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harts/chart4.xml" ContentType="application/vnd.openxmlformats-officedocument.drawingml.chart+xml"/>
  <Override PartName="/xl/charts/chart5.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harts/chart6.xml" ContentType="application/vnd.openxmlformats-officedocument.drawingml.chart+xml"/>
  <Override PartName="/xl/comments4.xml" ContentType="application/vnd.openxmlformats-officedocument.spreadsheetml.comments+xml"/>
  <Override PartName="/xl/drawings/drawing7.xml" ContentType="application/vnd.openxmlformats-officedocument.drawing+xml"/>
  <Override PartName="/xl/charts/chart7.xml" ContentType="application/vnd.openxmlformats-officedocument.drawingml.chart+xml"/>
  <Override PartName="/xl/charts/style3.xml" ContentType="application/vnd.ms-office.chartstyle+xml"/>
  <Override PartName="/xl/charts/colors3.xml" ContentType="application/vnd.ms-office.chartcolorstyle+xml"/>
  <Override PartName="/xl/comments5.xml" ContentType="application/vnd.openxmlformats-officedocument.spreadsheetml.comments+xml"/>
  <Override PartName="/xl/comments6.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harts/chart8.xml" ContentType="application/vnd.openxmlformats-officedocument.drawingml.chart+xml"/>
  <Override PartName="/xl/charts/chart9.xml" ContentType="application/vnd.openxmlformats-officedocument.drawingml.chart+xml"/>
  <Override PartName="/xl/charts/style4.xml" ContentType="application/vnd.ms-office.chartstyle+xml"/>
  <Override PartName="/xl/charts/colors4.xml" ContentType="application/vnd.ms-office.chartcolorstyle+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defaultThemeVersion="124226"/>
  <mc:AlternateContent xmlns:mc="http://schemas.openxmlformats.org/markup-compatibility/2006">
    <mc:Choice Requires="x15">
      <x15ac:absPath xmlns:x15ac="http://schemas.microsoft.com/office/spreadsheetml/2010/11/ac" url="\\ims.gov.uk\data\Users\GBBULVD\BULHOME19\KKhunpha\Data\Desktop\DCP model development\translation\"/>
    </mc:Choice>
  </mc:AlternateContent>
  <xr:revisionPtr revIDLastSave="0" documentId="13_ncr:1_{EAF123AE-3DB5-4B42-8F3A-0360A4F77126}" xr6:coauthVersionLast="45" xr6:coauthVersionMax="45" xr10:uidLastSave="{00000000-0000-0000-0000-000000000000}"/>
  <bookViews>
    <workbookView xWindow="-108" yWindow="-108" windowWidth="23256" windowHeight="12576" tabRatio="871" firstSheet="2" activeTab="3" xr2:uid="{00000000-000D-0000-FFFF-FFFF00000000}"/>
  </bookViews>
  <sheets>
    <sheet name="Org and TFC lookup" sheetId="3" state="hidden" r:id="rId1"/>
    <sheet name="Version control" sheetId="46" r:id="rId2"/>
    <sheet name="Read me first" sheetId="58" r:id="rId3"/>
    <sheet name="Data files" sheetId="26" r:id="rId4"/>
    <sheet name="Control Sheet" sheetId="2" state="hidden" r:id="rId5"/>
    <sheet name="Dependency setup" sheetId="24" r:id="rId6"/>
    <sheet name="DC Balance (hide)" sheetId="53" state="hidden" r:id="rId7"/>
    <sheet name="DC Balance" sheetId="39" r:id="rId8"/>
    <sheet name="WL Balance" sheetId="38" r:id="rId9"/>
    <sheet name="Parameter check" sheetId="54" r:id="rId10"/>
    <sheet name="WL Balance (hide)" sheetId="45" state="hidden" r:id="rId11"/>
    <sheet name="Sense check" sheetId="43" r:id="rId12"/>
    <sheet name="Dependency (hide)" sheetId="44" state="hidden" r:id="rId13"/>
    <sheet name="WL Clearance" sheetId="56" r:id="rId14"/>
    <sheet name="Reference dates (hide)" sheetId="51" state="hidden" r:id="rId15"/>
    <sheet name="Time based aggregation (hide)" sheetId="49" state="hidden" r:id="rId16"/>
    <sheet name="Aggregate activity" sheetId="31" r:id="rId17"/>
    <sheet name="Aggregate summary" sheetId="55" r:id="rId18"/>
    <sheet name="required data (hide)" sheetId="41" state="hidden" r:id="rId19"/>
    <sheet name="File 1" sheetId="4" state="hidden" r:id="rId20"/>
    <sheet name="File 2" sheetId="5" state="hidden" r:id="rId21"/>
    <sheet name="File 3" sheetId="6" state="hidden" r:id="rId22"/>
    <sheet name="File 4" sheetId="7" state="hidden" r:id="rId23"/>
    <sheet name="File 5" sheetId="8" state="hidden" r:id="rId24"/>
    <sheet name="File 6" sheetId="9" state="hidden" r:id="rId25"/>
    <sheet name="File 7" sheetId="10" state="hidden" r:id="rId26"/>
    <sheet name="File 8" sheetId="11" state="hidden" r:id="rId27"/>
    <sheet name="File 9" sheetId="12" state="hidden" r:id="rId28"/>
    <sheet name="File 10" sheetId="13" state="hidden" r:id="rId29"/>
    <sheet name="File 11" sheetId="14" state="hidden" r:id="rId30"/>
    <sheet name="File 12" sheetId="15" state="hidden" r:id="rId31"/>
    <sheet name="File 13" sheetId="16" state="hidden" r:id="rId32"/>
    <sheet name="File 14" sheetId="17" state="hidden" r:id="rId33"/>
    <sheet name="File 15" sheetId="18" state="hidden" r:id="rId34"/>
    <sheet name="File 16" sheetId="19" state="hidden" r:id="rId35"/>
    <sheet name="File 17" sheetId="20" state="hidden" r:id="rId36"/>
    <sheet name="File 18" sheetId="21" state="hidden" r:id="rId37"/>
    <sheet name="File 19" sheetId="22" state="hidden" r:id="rId38"/>
    <sheet name="File 20" sheetId="23" state="hidden" r:id="rId39"/>
  </sheets>
  <functionGroups builtInGroupCount="19"/>
  <definedNames>
    <definedName name="_xlnm._FilterDatabase" localSheetId="12" hidden="1">'Dependency (hide)'!$A$112:$F$172</definedName>
    <definedName name="Aggregate_Capacity_Time">IF(AND('Dependency (hide)'!$G$18&gt;0,'Dependency (hide)'!$G$22&gt;0,'Dependency (hide)'!$G$19&lt;3),CHOOSE('Dependency (hide)'!$G$19,'Reference dates (hide)'!Capacity_Activity_Weekly_Time,'Reference dates (hide)'!Capacity_Activity_Monthly_Time),'Dependency (hide)'!$A$1)</definedName>
    <definedName name="Aggregate_CapacityCore_Time">IF(AND('Dependency (hide)'!$G$18&gt;0,'Dependency (hide)'!$G$22&gt;0,'Dependency (hide)'!$G$19&lt;3),CHOOSE('Dependency (hide)'!$G$19,'Reference dates (hide)'!CapacityCore_Activity_Weekly_Time,'Reference dates (hide)'!CapacityCore_Activity_Monthly_Time),'Dependency (hide)'!$A$1)</definedName>
    <definedName name="Aggregate_Demand_Time">IF('Dependency (hide)'!$K$6=1,CHOOSE('Dependency (hide)'!$L$6,Demand_Activity_Weekly_Time,Demand_Activity_Monthly_Time),'Dependency (hide)'!$A$1)</definedName>
    <definedName name="Aggregate_POD_Picks" localSheetId="16">IF(AND('Aggregate activity'!$O$4="Process",'Dependency (hide)'!$G$18&gt;0),Aggregate_ProcessPOD_Picks,IF('Data files'!$E$11="Yes",'Control Sheet'!$H$7:$H$11,'Control Sheet'!$H$2:$H$4))</definedName>
    <definedName name="Aggregate_POD_Select">'Dependency (hide)'!$G$22</definedName>
    <definedName name="Aggregate_PODProcess_Switch">'Dependency (hide)'!$G$17</definedName>
    <definedName name="Aggregate_Process_Select">'Dependency (hide)'!$G$18</definedName>
    <definedName name="Aggregate_ProcessPOD_Picks">IF(AND('Dependency (hide)'!$G$17=1,'Dependency (hide)'!$G$18&gt;0),INDEX('Control Sheet'!$I$46:$K$65,'Dependency (hide)'!$G$18,IF(INDEX('Control Sheet'!$H$46:$H$65,'Dependency (hide)'!$G$18)=1,1,0)),'Control Sheet'!$A$1)</definedName>
    <definedName name="Aggregate_Showby_Picks" localSheetId="16">CHOOSE('Dependency (hide)'!$G$19,'Control Sheet'!$I$16:$I$17,'Control Sheet'!$I$20:$I$21,'Control Sheet'!$J$19:$J$21)</definedName>
    <definedName name="Aggregate_Table_Monthly">'Reference dates (hide)'!$AF$125:$AQ$229</definedName>
    <definedName name="Aggregate_Table_WL_Monthly">'Reference dates (hide)'!$AF$233:$AQ$337</definedName>
    <definedName name="Aggregate_WLBasic_Time">IF('Dependency (hide)'!$K$6=1,CHOOSE('Dependency (hide)'!$L$6,'Reference dates (hide)'!WLBasic_Activity_Weekly_Time,'Reference dates (hide)'!WLBasic_Activity_Monthly_Time),'Dependency (hide)'!$A$1)</definedName>
    <definedName name="Aggregate_WLFlow_Time">IF('Dependency (hide)'!$K$6=1,CHOOSE('Dependency (hide)'!$L$6,'Reference dates (hide)'!WLFlow_Activity_Weekly_Time,'Reference dates (hide)'!WLFlow_Activity_Monthly_Time),'Dependency (hide)'!$A$1)</definedName>
    <definedName name="Capacity_Activity_Final" localSheetId="14">'Reference dates (hide)'!$AA$106:$AC$110</definedName>
    <definedName name="Capacity_Activity_Monthly" localSheetId="14">'Reference dates (hide)'!$O$106:$Z$110</definedName>
    <definedName name="Capacity_Activity_Monthly_Time" localSheetId="14">IF(AND(Aggregate_Process_Select&gt;0, Aggregate_POD_Select &gt;0),CHOOSE(Aggregate_PODProcess_Switch+1,INDEX('Reference dates (hide)'!Capacity_Activity_Monthly,Aggregate_POD_Select,0),INDEX('Reference dates (hide)'!$O$184:$Z$243,((Aggregate_Process_Select-1)*3)+Aggregate_POD_Select,0)),'Reference dates (hide)'!$A$2)</definedName>
    <definedName name="Capacity_Activity_Weekly" localSheetId="14">IF(Aggregate_Process_Select=0,'Reference dates (hide)'!$CP$43:$EW$95,OFFSET('Reference dates (hide)'!$CM$43,0,Aggregate_Process_Select*3,53,3))</definedName>
    <definedName name="Capacity_Activity_Weekly_Summary" localSheetId="14">'Reference dates (hide)'!$EX$43:$FB$95</definedName>
    <definedName name="Capacity_Activity_Weekly_Time" localSheetId="14">IF(AND(Aggregate_Process_Select&gt;0, Aggregate_POD_Select &gt;0),CHOOSE('Reference dates (hide)'!$J$103+1,INDEX('Reference dates (hide)'!Capacity_Activity_Weekly_Summary,0,Aggregate_POD_Select),INDEX('Reference dates (hide)'!Capacity_Activity_Weekly,0,Aggregate_POD_Select)),'Reference dates (hide)'!$A$2)</definedName>
    <definedName name="Capacity_Adjustment" localSheetId="19">'File 1'!$Z$54:$AB$54</definedName>
    <definedName name="Capacity_Adjustment" localSheetId="28">'File 10'!$Z$54:$AB$54</definedName>
    <definedName name="Capacity_Adjustment" localSheetId="29">'File 11'!$Z$54:$AB$54</definedName>
    <definedName name="Capacity_Adjustment" localSheetId="30">'File 12'!$Z$54:$AB$54</definedName>
    <definedName name="Capacity_Adjustment" localSheetId="31">'File 13'!$Z$54:$AB$54</definedName>
    <definedName name="Capacity_Adjustment" localSheetId="32">'File 14'!$Z$54:$AB$54</definedName>
    <definedName name="Capacity_Adjustment" localSheetId="33">'File 15'!$Z$54:$AB$54</definedName>
    <definedName name="Capacity_Adjustment" localSheetId="34">'File 16'!$Z$54:$AB$54</definedName>
    <definedName name="Capacity_Adjustment" localSheetId="35">'File 17'!$Z$54:$AB$54</definedName>
    <definedName name="Capacity_Adjustment" localSheetId="36">'File 18'!$Z$54:$AB$54</definedName>
    <definedName name="Capacity_Adjustment" localSheetId="37">'File 19'!$Z$54:$AB$54</definedName>
    <definedName name="Capacity_Adjustment" localSheetId="20">'File 2'!$Z$54:$AB$54</definedName>
    <definedName name="Capacity_Adjustment" localSheetId="38">'File 20'!$Z$54:$AB$54</definedName>
    <definedName name="Capacity_Adjustment" localSheetId="21">'File 3'!$Z$54:$AB$54</definedName>
    <definedName name="Capacity_Adjustment" localSheetId="22">'File 4'!$Z$54:$AB$54</definedName>
    <definedName name="Capacity_Adjustment" localSheetId="23">'File 5'!$Z$54:$AB$54</definedName>
    <definedName name="Capacity_Adjustment" localSheetId="24">'File 6'!$Z$54:$AB$54</definedName>
    <definedName name="Capacity_Adjustment" localSheetId="25">'File 7'!$Z$54:$AB$54</definedName>
    <definedName name="Capacity_Adjustment" localSheetId="26">'File 8'!$Z$54:$AB$54</definedName>
    <definedName name="Capacity_Adjustment" localSheetId="27">'File 9'!$Z$54:$AB$54</definedName>
    <definedName name="CapacityCore_Activity_Final" localSheetId="14">'Reference dates (hide)'!$AA$111:$AC$115</definedName>
    <definedName name="CapacityCore_Activity_Monthly" localSheetId="14">'Reference dates (hide)'!$O$111:$Z$115</definedName>
    <definedName name="CapacityCore_Activity_Monthly_Time" localSheetId="14">IF(AND(Aggregate_Process_Select&gt;0, Aggregate_POD_Select &gt;0),CHOOSE(Aggregate_PODProcess_Switch+1,INDEX('Reference dates (hide)'!CapacityCore_Activity_Monthly,Aggregate_POD_Select,0),INDEX('Reference dates (hide)'!$O$245:$Z$304,((Aggregate_Process_Select-1)*3)+Aggregate_POD_Select,0)),'Reference dates (hide)'!$A$2)</definedName>
    <definedName name="CapacityCore_Activity_Weekly" localSheetId="14">IF(Aggregate_Process_Select=0,'Reference dates (hide)'!$HR$43:$JY$95,OFFSET('Reference dates (hide)'!$HO$43,0,Aggregate_Process_Select*3,53,3))</definedName>
    <definedName name="CapacityCore_Activity_Weekly_Summary" localSheetId="14">'Reference dates (hide)'!$JZ$43:$KD$95</definedName>
    <definedName name="CapacityCore_Activity_Weekly_Time" localSheetId="14">IF(AND(Aggregate_Process_Select&gt;0, Aggregate_POD_Select &gt;0),CHOOSE('Reference dates (hide)'!$J$103+1,INDEX('Reference dates (hide)'!CapacityCore_Activity_Weekly_Summary,0,Aggregate_POD_Select),INDEX('Reference dates (hide)'!CapacityCore_Activity_Weekly,0,Aggregate_POD_Select)),'Reference dates (hide)'!$A$2)</definedName>
    <definedName name="Control_Filename">'Data files'!$D$16:$D$35</definedName>
    <definedName name="Control_First_Base">'Control Sheet'!$E$34:$U$41</definedName>
    <definedName name="Control_FU_Base">'Control Sheet'!$V$34:$AM$41</definedName>
    <definedName name="Control_IP_Base">'Control Sheet'!$AN$34:$BE$41</definedName>
    <definedName name="Control_Path">'Data files'!$E$16:$E$35</definedName>
    <definedName name="Control_Status">'Data files'!$F$16:$F$35</definedName>
    <definedName name="Control_Type">'Control Sheet'!$D$46:$D$65</definedName>
    <definedName name="Current_Months">'Reference dates (hide)'!$O$42:$Z$42</definedName>
    <definedName name="DC_POD_Select" localSheetId="7">IF('DC Balance (hide)'!$W$4&gt;0,OFFSET('DC Balance (hide)'!$T$8,0,0,'DC Balance (hide)'!$W$5,1),'DC Balance (hide)'!$A$2)</definedName>
    <definedName name="Demand_Activity_Final" localSheetId="14">'Reference dates (hide)'!$AA$101:$AC$105</definedName>
    <definedName name="Demand_Activity_Monthly" localSheetId="14">'Reference dates (hide)'!$O$101:$Z$105</definedName>
    <definedName name="Demand_Activity_Monthly_Time">IF('Dependency (hide)'!$K$6=1,IF(OR('Dependency (hide)'!$G$17=0,'Dependency (hide)'!$G$18=0),INDEX('Reference dates (hide)'!Demand_Activity_Monthly,Aggregate_POD_Select,0),INDEX('Reference dates (hide)'!$O$123:$Z$182,((Aggregate_Process_Select-1)*3)+Aggregate_POD_Select,0)),'Dependency (hide)'!$A$1)</definedName>
    <definedName name="Demand_Activity_Weekly" localSheetId="14">IF(Aggregate_Process_Select=0,'Reference dates (hide)'!$AB$43:$CI$95,OFFSET('Reference dates (hide)'!$Y$43,0,Aggregate_Process_Select*3,53,3))</definedName>
    <definedName name="Demand_Activity_Weekly_Header" localSheetId="14">IF(Aggregate_Process_Select=0,'Reference dates (hide)'!$AB$42:$CI$42,OFFSET('Reference dates (hide)'!$Y$42,0,3*Aggregate_Process_Select,1,3))</definedName>
    <definedName name="Demand_Activity_Weekly_Summary" localSheetId="14">'Reference dates (hide)'!$CJ$43:$CN$95</definedName>
    <definedName name="Demand_Activity_Weekly_Time">IF('Dependency (hide)'!$K$6=1,IF(OR('Dependency (hide)'!$G$17=0,'Dependency (hide)'!$G$18=0),INDEX('Reference dates (hide)'!Demand_Activity_Weekly_Summary,0,Aggregate_POD_Select),INDEX('Reference dates (hide)'!Demand_Activity_Weekly,0,Aggregate_POD_Select)),'Dependency (hide)'!$A$1)</definedName>
    <definedName name="Demand_Activity_Yearly">'Reference dates (hide)'!$AC$101:$AC$105</definedName>
    <definedName name="Demand_Adjustment" localSheetId="19">'File 1'!$Q$54:$S$54</definedName>
    <definedName name="Demand_Adjustment" localSheetId="28">'File 10'!$Q$54:$S$54</definedName>
    <definedName name="Demand_Adjustment" localSheetId="29">'File 11'!$Q$54:$S$54</definedName>
    <definedName name="Demand_Adjustment" localSheetId="30">'File 12'!$Q$54:$S$54</definedName>
    <definedName name="Demand_Adjustment" localSheetId="31">'File 13'!$Q$54:$S$54</definedName>
    <definedName name="Demand_Adjustment" localSheetId="32">'File 14'!$Q$54:$S$54</definedName>
    <definedName name="Demand_Adjustment" localSheetId="33">'File 15'!$Q$54:$S$54</definedName>
    <definedName name="Demand_Adjustment" localSheetId="34">'File 16'!$Q$54:$S$54</definedName>
    <definedName name="Demand_Adjustment" localSheetId="35">'File 17'!$Q$54:$S$54</definedName>
    <definedName name="Demand_Adjustment" localSheetId="36">'File 18'!$Q$54:$S$54</definedName>
    <definedName name="Demand_Adjustment" localSheetId="37">'File 19'!$Q$54:$S$54</definedName>
    <definedName name="Demand_Adjustment" localSheetId="20">'File 2'!$Q$54:$S$54</definedName>
    <definedName name="Demand_Adjustment" localSheetId="38">'File 20'!$Q$54:$S$54</definedName>
    <definedName name="Demand_Adjustment" localSheetId="21">'File 3'!$Q$54:$S$54</definedName>
    <definedName name="Demand_Adjustment" localSheetId="22">'File 4'!$Q$54:$S$54</definedName>
    <definedName name="Demand_Adjustment" localSheetId="23">'File 5'!$Q$54:$S$54</definedName>
    <definedName name="Demand_Adjustment" localSheetId="24">'File 6'!$Q$54:$S$54</definedName>
    <definedName name="Demand_Adjustment" localSheetId="25">'File 7'!$Q$54:$S$54</definedName>
    <definedName name="Demand_Adjustment" localSheetId="26">'File 8'!$Q$54:$S$54</definedName>
    <definedName name="Demand_Adjustment" localSheetId="27">'File 9'!$Q$54:$S$54</definedName>
    <definedName name="First_Base" localSheetId="19">'File 1'!$B$5:$B$21</definedName>
    <definedName name="First_Base" localSheetId="28">'File 10'!$B$5:$B$21</definedName>
    <definedName name="First_Base" localSheetId="29">'File 11'!$B$5:$B$21</definedName>
    <definedName name="First_Base" localSheetId="30">'File 12'!$B$5:$B$21</definedName>
    <definedName name="First_Base" localSheetId="31">'File 13'!$B$5:$B$21</definedName>
    <definedName name="First_Base" localSheetId="32">'File 14'!$B$5:$B$21</definedName>
    <definedName name="First_Base" localSheetId="33">'File 15'!$B$5:$B$21</definedName>
    <definedName name="First_Base" localSheetId="34">'File 16'!$B$5:$B$21</definedName>
    <definedName name="First_Base" localSheetId="35">'File 17'!$B$5:$B$21</definedName>
    <definedName name="First_Base" localSheetId="36">'File 18'!$B$5:$B$21</definedName>
    <definedName name="First_Base" localSheetId="37">'File 19'!$B$5:$B$21</definedName>
    <definedName name="First_Base" localSheetId="20">'File 2'!$B$5:$B$21</definedName>
    <definedName name="First_Base" localSheetId="38">'File 20'!$B$5:$B$21</definedName>
    <definedName name="First_Base" localSheetId="21">'File 3'!$B$5:$B$21</definedName>
    <definedName name="First_Base" localSheetId="22">'File 4'!$B$5:$B$21</definedName>
    <definedName name="First_Base" localSheetId="23">'File 5'!$B$5:$B$21</definedName>
    <definedName name="First_Base" localSheetId="24">'File 6'!$B$5:$B$21</definedName>
    <definedName name="First_Base" localSheetId="25">'File 7'!$B$5:$B$21</definedName>
    <definedName name="First_Base" localSheetId="26">'File 8'!$B$5:$B$21</definedName>
    <definedName name="First_Base" localSheetId="27">'File 9'!$B$5:$B$21</definedName>
    <definedName name="flag_ExtendedPOD">VLOOKUP('Data files'!$E$11,'Control Sheet'!$B$11:$C$12,2,0)</definedName>
    <definedName name="FU_Base" localSheetId="19">'File 1'!$F$5:$F$22</definedName>
    <definedName name="FU_Base" localSheetId="28">'File 10'!$F$5:$F$22</definedName>
    <definedName name="FU_Base" localSheetId="29">'File 11'!$F$5:$F$22</definedName>
    <definedName name="FU_Base" localSheetId="30">'File 12'!$F$5:$F$22</definedName>
    <definedName name="FU_Base" localSheetId="31">'File 13'!$F$5:$F$22</definedName>
    <definedName name="FU_Base" localSheetId="32">'File 14'!$F$5:$F$22</definedName>
    <definedName name="FU_Base" localSheetId="33">'File 15'!$F$5:$F$22</definedName>
    <definedName name="FU_Base" localSheetId="34">'File 16'!$F$5:$F$22</definedName>
    <definedName name="FU_Base" localSheetId="35">'File 17'!$F$5:$F$22</definedName>
    <definedName name="FU_Base" localSheetId="36">'File 18'!$F$5:$F$22</definedName>
    <definedName name="FU_Base" localSheetId="37">'File 19'!$F$5:$F$22</definedName>
    <definedName name="FU_Base" localSheetId="20">'File 2'!$F$5:$F$22</definedName>
    <definedName name="FU_Base" localSheetId="38">'File 20'!$F$5:$F$22</definedName>
    <definedName name="FU_Base" localSheetId="21">'File 3'!$F$5:$F$22</definedName>
    <definedName name="FU_Base" localSheetId="22">'File 4'!$F$5:$F$22</definedName>
    <definedName name="FU_Base" localSheetId="23">'File 5'!$F$5:$F$22</definedName>
    <definedName name="FU_Base" localSheetId="24">'File 6'!$F$5:$F$22</definedName>
    <definedName name="FU_Base" localSheetId="25">'File 7'!$F$5:$F$22</definedName>
    <definedName name="FU_Base" localSheetId="26">'File 8'!$F$5:$F$22</definedName>
    <definedName name="FU_Base" localSheetId="27">'File 9'!$F$5:$F$22</definedName>
    <definedName name="FU_NASL" localSheetId="19">'File 1'!$F$8</definedName>
    <definedName name="FU_NASL" localSheetId="28">'File 10'!$F$8</definedName>
    <definedName name="FU_NASL" localSheetId="29">'File 11'!$F$8</definedName>
    <definedName name="FU_NASL" localSheetId="30">'File 12'!$F$8</definedName>
    <definedName name="FU_NASL" localSheetId="31">'File 13'!$F$8</definedName>
    <definedName name="FU_NASL" localSheetId="32">'File 14'!$F$8</definedName>
    <definedName name="FU_NASL" localSheetId="33">'File 15'!$F$8</definedName>
    <definedName name="FU_NASL" localSheetId="34">'File 16'!$F$8</definedName>
    <definedName name="FU_NASL" localSheetId="35">'File 17'!$F$8</definedName>
    <definedName name="FU_NASL" localSheetId="36">'File 18'!$F$8</definedName>
    <definedName name="FU_NASL" localSheetId="37">'File 19'!$F$8</definedName>
    <definedName name="FU_NASL" localSheetId="20">'File 2'!$F$8</definedName>
    <definedName name="FU_NASL" localSheetId="38">'File 20'!$F$8</definedName>
    <definedName name="FU_NASL" localSheetId="21">'File 3'!$F$8</definedName>
    <definedName name="FU_NASL" localSheetId="22">'File 4'!$F$8</definedName>
    <definedName name="FU_NASL" localSheetId="23">'File 5'!$F$8</definedName>
    <definedName name="FU_NASL" localSheetId="24">'File 6'!$F$8</definedName>
    <definedName name="FU_NASL" localSheetId="25">'File 7'!$F$8</definedName>
    <definedName name="FU_NASL" localSheetId="26">'File 8'!$F$8</definedName>
    <definedName name="FU_NASL" localSheetId="27">'File 9'!$F$8</definedName>
    <definedName name="FU_NASLDC" localSheetId="19">'File 1'!$F$9</definedName>
    <definedName name="FU_NASLDC" localSheetId="28">'File 10'!$F$9</definedName>
    <definedName name="FU_NASLDC" localSheetId="29">'File 11'!$F$9</definedName>
    <definedName name="FU_NASLDC" localSheetId="30">'File 12'!$F$9</definedName>
    <definedName name="FU_NASLDC" localSheetId="31">'File 13'!$F$9</definedName>
    <definedName name="FU_NASLDC" localSheetId="32">'File 14'!$F$9</definedName>
    <definedName name="FU_NASLDC" localSheetId="33">'File 15'!$F$9</definedName>
    <definedName name="FU_NASLDC" localSheetId="34">'File 16'!$F$9</definedName>
    <definedName name="FU_NASLDC" localSheetId="35">'File 17'!$F$9</definedName>
    <definedName name="FU_NASLDC" localSheetId="36">'File 18'!$F$9</definedName>
    <definedName name="FU_NASLDC" localSheetId="37">'File 19'!$F$9</definedName>
    <definedName name="FU_NASLDC" localSheetId="20">'File 2'!$F$9</definedName>
    <definedName name="FU_NASLDC" localSheetId="38">'File 20'!$F$9</definedName>
    <definedName name="FU_NASLDC" localSheetId="21">'File 3'!$F$9</definedName>
    <definedName name="FU_NASLDC" localSheetId="22">'File 4'!$F$9</definedName>
    <definedName name="FU_NASLDC" localSheetId="23">'File 5'!$F$9</definedName>
    <definedName name="FU_NASLDC" localSheetId="24">'File 6'!$F$9</definedName>
    <definedName name="FU_NASLDC" localSheetId="25">'File 7'!$F$9</definedName>
    <definedName name="FU_NASLDC" localSheetId="26">'File 8'!$F$9</definedName>
    <definedName name="FU_NASLDC" localSheetId="27">'File 9'!$F$9</definedName>
    <definedName name="FU_NASR" localSheetId="19">'File 1'!$F$10</definedName>
    <definedName name="FU_NASR" localSheetId="28">'File 10'!$F$10</definedName>
    <definedName name="FU_NASR" localSheetId="29">'File 11'!$F$10</definedName>
    <definedName name="FU_NASR" localSheetId="30">'File 12'!$F$10</definedName>
    <definedName name="FU_NASR" localSheetId="31">'File 13'!$F$10</definedName>
    <definedName name="FU_NASR" localSheetId="32">'File 14'!$F$10</definedName>
    <definedName name="FU_NASR" localSheetId="33">'File 15'!$F$10</definedName>
    <definedName name="FU_NASR" localSheetId="34">'File 16'!$F$10</definedName>
    <definedName name="FU_NASR" localSheetId="35">'File 17'!$F$10</definedName>
    <definedName name="FU_NASR" localSheetId="36">'File 18'!$F$10</definedName>
    <definedName name="FU_NASR" localSheetId="37">'File 19'!$F$10</definedName>
    <definedName name="FU_NASR" localSheetId="20">'File 2'!$F$10</definedName>
    <definedName name="FU_NASR" localSheetId="38">'File 20'!$F$10</definedName>
    <definedName name="FU_NASR" localSheetId="21">'File 3'!$F$10</definedName>
    <definedName name="FU_NASR" localSheetId="22">'File 4'!$F$10</definedName>
    <definedName name="FU_NASR" localSheetId="23">'File 5'!$F$10</definedName>
    <definedName name="FU_NASR" localSheetId="24">'File 6'!$F$10</definedName>
    <definedName name="FU_NASR" localSheetId="25">'File 7'!$F$10</definedName>
    <definedName name="FU_NASR" localSheetId="26">'File 8'!$F$10</definedName>
    <definedName name="FU_NASR" localSheetId="27">'File 9'!$F$10</definedName>
    <definedName name="FU_NASRDC" localSheetId="19">'File 1'!$F$11</definedName>
    <definedName name="FU_NASRDC" localSheetId="28">'File 10'!$F$11</definedName>
    <definedName name="FU_NASRDC" localSheetId="29">'File 11'!$F$11</definedName>
    <definedName name="FU_NASRDC" localSheetId="30">'File 12'!$F$11</definedName>
    <definedName name="FU_NASRDC" localSheetId="31">'File 13'!$F$11</definedName>
    <definedName name="FU_NASRDC" localSheetId="32">'File 14'!$F$11</definedName>
    <definedName name="FU_NASRDC" localSheetId="33">'File 15'!$F$11</definedName>
    <definedName name="FU_NASRDC" localSheetId="34">'File 16'!$F$11</definedName>
    <definedName name="FU_NASRDC" localSheetId="35">'File 17'!$F$11</definedName>
    <definedName name="FU_NASRDC" localSheetId="36">'File 18'!$F$11</definedName>
    <definedName name="FU_NASRDC" localSheetId="37">'File 19'!$F$11</definedName>
    <definedName name="FU_NASRDC" localSheetId="20">'File 2'!$F$11</definedName>
    <definedName name="FU_NASRDC" localSheetId="38">'File 20'!$F$11</definedName>
    <definedName name="FU_NASRDC" localSheetId="21">'File 3'!$F$11</definedName>
    <definedName name="FU_NASRDC" localSheetId="22">'File 4'!$F$11</definedName>
    <definedName name="FU_NASRDC" localSheetId="23">'File 5'!$F$11</definedName>
    <definedName name="FU_NASRDC" localSheetId="24">'File 6'!$F$11</definedName>
    <definedName name="FU_NASRDC" localSheetId="25">'File 7'!$F$11</definedName>
    <definedName name="FU_NASRDC" localSheetId="26">'File 8'!$F$11</definedName>
    <definedName name="FU_NASRDC" localSheetId="27">'File 9'!$F$11</definedName>
    <definedName name="FU_NASRDC_Overall" localSheetId="19">'File 1'!$G$10</definedName>
    <definedName name="FU_NASRDC_Overall" localSheetId="28">'File 10'!$G$10</definedName>
    <definedName name="FU_NASRDC_Overall" localSheetId="29">'File 11'!$G$10</definedName>
    <definedName name="FU_NASRDC_Overall" localSheetId="30">'File 12'!$G$10</definedName>
    <definedName name="FU_NASRDC_Overall" localSheetId="31">'File 13'!$G$10</definedName>
    <definedName name="FU_NASRDC_Overall" localSheetId="32">'File 14'!$G$10</definedName>
    <definedName name="FU_NASRDC_Overall" localSheetId="33">'File 15'!$G$10</definedName>
    <definedName name="FU_NASRDC_Overall" localSheetId="34">'File 16'!$G$10</definedName>
    <definedName name="FU_NASRDC_Overall" localSheetId="35">'File 17'!$G$10</definedName>
    <definedName name="FU_NASRDC_Overall" localSheetId="36">'File 18'!$G$10</definedName>
    <definedName name="FU_NASRDC_Overall" localSheetId="37">'File 19'!$G$10</definedName>
    <definedName name="FU_NASRDC_Overall" localSheetId="20">'File 2'!$G$10</definedName>
    <definedName name="FU_NASRDC_Overall" localSheetId="38">'File 20'!$G$10</definedName>
    <definedName name="FU_NASRDC_Overall" localSheetId="21">'File 3'!$G$10</definedName>
    <definedName name="FU_NASRDC_Overall" localSheetId="22">'File 4'!$G$10</definedName>
    <definedName name="FU_NASRDC_Overall" localSheetId="23">'File 5'!$G$10</definedName>
    <definedName name="FU_NASRDC_Overall" localSheetId="24">'File 6'!$G$10</definedName>
    <definedName name="FU_NASRDC_Overall" localSheetId="25">'File 7'!$G$10</definedName>
    <definedName name="FU_NASRDC_Overall" localSheetId="26">'File 8'!$G$10</definedName>
    <definedName name="FU_NASRDC_Overall" localSheetId="27">'File 9'!$G$10</definedName>
    <definedName name="FU_ROTT" localSheetId="19">'File 1'!$F$18</definedName>
    <definedName name="FU_ROTT" localSheetId="28">'File 10'!$F$18</definedName>
    <definedName name="FU_ROTT" localSheetId="29">'File 11'!$F$18</definedName>
    <definedName name="FU_ROTT" localSheetId="30">'File 12'!$F$18</definedName>
    <definedName name="FU_ROTT" localSheetId="31">'File 13'!$F$18</definedName>
    <definedName name="FU_ROTT" localSheetId="32">'File 14'!$F$18</definedName>
    <definedName name="FU_ROTT" localSheetId="33">'File 15'!$F$18</definedName>
    <definedName name="FU_ROTT" localSheetId="34">'File 16'!$F$18</definedName>
    <definedName name="FU_ROTT" localSheetId="35">'File 17'!$F$18</definedName>
    <definedName name="FU_ROTT" localSheetId="36">'File 18'!$F$18</definedName>
    <definedName name="FU_ROTT" localSheetId="37">'File 19'!$F$18</definedName>
    <definedName name="FU_ROTT" localSheetId="20">'File 2'!$F$18</definedName>
    <definedName name="FU_ROTT" localSheetId="38">'File 20'!$F$18</definedName>
    <definedName name="FU_ROTT" localSheetId="21">'File 3'!$F$18</definedName>
    <definedName name="FU_ROTT" localSheetId="22">'File 4'!$F$18</definedName>
    <definedName name="FU_ROTT" localSheetId="23">'File 5'!$F$18</definedName>
    <definedName name="FU_ROTT" localSheetId="24">'File 6'!$F$18</definedName>
    <definedName name="FU_ROTT" localSheetId="25">'File 7'!$F$18</definedName>
    <definedName name="FU_ROTT" localSheetId="26">'File 8'!$F$18</definedName>
    <definedName name="FU_ROTT" localSheetId="27">'File 9'!$F$18</definedName>
    <definedName name="Group_By" localSheetId="16">'Aggregate activity'!$O$6</definedName>
    <definedName name="IP_Base" localSheetId="19">'File 1'!$J$5:$J$22</definedName>
    <definedName name="IP_Base" localSheetId="28">'File 10'!$J$5:$J$22</definedName>
    <definedName name="IP_Base" localSheetId="29">'File 11'!$J$5:$J$22</definedName>
    <definedName name="IP_Base" localSheetId="30">'File 12'!$J$5:$J$22</definedName>
    <definedName name="IP_Base" localSheetId="31">'File 13'!$J$5:$J$22</definedName>
    <definedName name="IP_Base" localSheetId="32">'File 14'!$J$5:$J$22</definedName>
    <definedName name="IP_Base" localSheetId="33">'File 15'!$J$5:$J$22</definedName>
    <definedName name="IP_Base" localSheetId="34">'File 16'!$J$5:$J$22</definedName>
    <definedName name="IP_Base" localSheetId="35">'File 17'!$J$5:$J$22</definedName>
    <definedName name="IP_Base" localSheetId="36">'File 18'!$J$5:$J$22</definedName>
    <definedName name="IP_Base" localSheetId="37">'File 19'!$J$5:$J$22</definedName>
    <definedName name="IP_Base" localSheetId="20">'File 2'!$J$5:$J$22</definedName>
    <definedName name="IP_Base" localSheetId="38">'File 20'!$J$5:$J$22</definedName>
    <definedName name="IP_Base" localSheetId="21">'File 3'!$J$5:$J$22</definedName>
    <definedName name="IP_Base" localSheetId="22">'File 4'!$J$5:$J$22</definedName>
    <definedName name="IP_Base" localSheetId="23">'File 5'!$J$5:$J$22</definedName>
    <definedName name="IP_Base" localSheetId="24">'File 6'!$J$5:$J$22</definedName>
    <definedName name="IP_Base" localSheetId="25">'File 7'!$J$5:$J$22</definedName>
    <definedName name="IP_Base" localSheetId="26">'File 8'!$J$5:$J$22</definedName>
    <definedName name="IP_Base" localSheetId="27">'File 9'!$J$5:$J$22</definedName>
    <definedName name="IP_NASL" localSheetId="19">'File 1'!$J$8</definedName>
    <definedName name="IP_NASL" localSheetId="28">'File 10'!$J$8</definedName>
    <definedName name="IP_NASL" localSheetId="29">'File 11'!$J$8</definedName>
    <definedName name="IP_NASL" localSheetId="30">'File 12'!$J$8</definedName>
    <definedName name="IP_NASL" localSheetId="31">'File 13'!$J$8</definedName>
    <definedName name="IP_NASL" localSheetId="32">'File 14'!$J$8</definedName>
    <definedName name="IP_NASL" localSheetId="33">'File 15'!$J$8</definedName>
    <definedName name="IP_NASL" localSheetId="34">'File 16'!$J$8</definedName>
    <definedName name="IP_NASL" localSheetId="35">'File 17'!$J$8</definedName>
    <definedName name="IP_NASL" localSheetId="36">'File 18'!$J$8</definedName>
    <definedName name="IP_NASL" localSheetId="37">'File 19'!$J$8</definedName>
    <definedName name="IP_NASL" localSheetId="20">'File 2'!$J$8</definedName>
    <definedName name="IP_NASL" localSheetId="38">'File 20'!$J$8</definedName>
    <definedName name="IP_NASL" localSheetId="21">'File 3'!$J$8</definedName>
    <definedName name="IP_NASL" localSheetId="22">'File 4'!$J$8</definedName>
    <definedName name="IP_NASL" localSheetId="23">'File 5'!$J$8</definedName>
    <definedName name="IP_NASL" localSheetId="24">'File 6'!$J$8</definedName>
    <definedName name="IP_NASL" localSheetId="25">'File 7'!$J$8</definedName>
    <definedName name="IP_NASL" localSheetId="26">'File 8'!$J$8</definedName>
    <definedName name="IP_NASL" localSheetId="27">'File 9'!$J$8</definedName>
    <definedName name="IP_NASLDC" localSheetId="19">'File 1'!$J$9</definedName>
    <definedName name="IP_NASLDC" localSheetId="28">'File 10'!$J$9</definedName>
    <definedName name="IP_NASLDC" localSheetId="29">'File 11'!$J$9</definedName>
    <definedName name="IP_NASLDC" localSheetId="30">'File 12'!$J$9</definedName>
    <definedName name="IP_NASLDC" localSheetId="31">'File 13'!$J$9</definedName>
    <definedName name="IP_NASLDC" localSheetId="32">'File 14'!$J$9</definedName>
    <definedName name="IP_NASLDC" localSheetId="33">'File 15'!$J$9</definedName>
    <definedName name="IP_NASLDC" localSheetId="34">'File 16'!$J$9</definedName>
    <definedName name="IP_NASLDC" localSheetId="35">'File 17'!$J$9</definedName>
    <definedName name="IP_NASLDC" localSheetId="36">'File 18'!$J$9</definedName>
    <definedName name="IP_NASLDC" localSheetId="37">'File 19'!$J$9</definedName>
    <definedName name="IP_NASLDC" localSheetId="20">'File 2'!$J$9</definedName>
    <definedName name="IP_NASLDC" localSheetId="38">'File 20'!$J$9</definedName>
    <definedName name="IP_NASLDC" localSheetId="21">'File 3'!$J$9</definedName>
    <definedName name="IP_NASLDC" localSheetId="22">'File 4'!$J$9</definedName>
    <definedName name="IP_NASLDC" localSheetId="23">'File 5'!$J$9</definedName>
    <definedName name="IP_NASLDC" localSheetId="24">'File 6'!$J$9</definedName>
    <definedName name="IP_NASLDC" localSheetId="25">'File 7'!$J$9</definedName>
    <definedName name="IP_NASLDC" localSheetId="26">'File 8'!$J$9</definedName>
    <definedName name="IP_NASLDC" localSheetId="27">'File 9'!$J$9</definedName>
    <definedName name="IP_NASR" localSheetId="19">'File 1'!$J$10</definedName>
    <definedName name="IP_NASR" localSheetId="28">'File 10'!$J$10</definedName>
    <definedName name="IP_NASR" localSheetId="29">'File 11'!$J$10</definedName>
    <definedName name="IP_NASR" localSheetId="30">'File 12'!$J$10</definedName>
    <definedName name="IP_NASR" localSheetId="31">'File 13'!$J$10</definedName>
    <definedName name="IP_NASR" localSheetId="32">'File 14'!$J$10</definedName>
    <definedName name="IP_NASR" localSheetId="33">'File 15'!$J$10</definedName>
    <definedName name="IP_NASR" localSheetId="34">'File 16'!$J$10</definedName>
    <definedName name="IP_NASR" localSheetId="35">'File 17'!$J$10</definedName>
    <definedName name="IP_NASR" localSheetId="36">'File 18'!$J$10</definedName>
    <definedName name="IP_NASR" localSheetId="37">'File 19'!$J$10</definedName>
    <definedName name="IP_NASR" localSheetId="20">'File 2'!$J$10</definedName>
    <definedName name="IP_NASR" localSheetId="38">'File 20'!$J$10</definedName>
    <definedName name="IP_NASR" localSheetId="21">'File 3'!$J$10</definedName>
    <definedName name="IP_NASR" localSheetId="22">'File 4'!$J$10</definedName>
    <definedName name="IP_NASR" localSheetId="23">'File 5'!$J$10</definedName>
    <definedName name="IP_NASR" localSheetId="24">'File 6'!$J$10</definedName>
    <definedName name="IP_NASR" localSheetId="25">'File 7'!$J$10</definedName>
    <definedName name="IP_NASR" localSheetId="26">'File 8'!$J$10</definedName>
    <definedName name="IP_NASR" localSheetId="27">'File 9'!$J$10</definedName>
    <definedName name="IP_NASRDC" localSheetId="19">'File 1'!$J$11</definedName>
    <definedName name="IP_NASRDC" localSheetId="28">'File 10'!$J$11</definedName>
    <definedName name="IP_NASRDC" localSheetId="29">'File 11'!$J$11</definedName>
    <definedName name="IP_NASRDC" localSheetId="30">'File 12'!$J$11</definedName>
    <definedName name="IP_NASRDC" localSheetId="31">'File 13'!$J$11</definedName>
    <definedName name="IP_NASRDC" localSheetId="32">'File 14'!$J$11</definedName>
    <definedName name="IP_NASRDC" localSheetId="33">'File 15'!$J$11</definedName>
    <definedName name="IP_NASRDC" localSheetId="34">'File 16'!$J$11</definedName>
    <definedName name="IP_NASRDC" localSheetId="35">'File 17'!$J$11</definedName>
    <definedName name="IP_NASRDC" localSheetId="36">'File 18'!$J$11</definedName>
    <definedName name="IP_NASRDC" localSheetId="37">'File 19'!$J$11</definedName>
    <definedName name="IP_NASRDC" localSheetId="20">'File 2'!$J$11</definedName>
    <definedName name="IP_NASRDC" localSheetId="38">'File 20'!$J$11</definedName>
    <definedName name="IP_NASRDC" localSheetId="21">'File 3'!$J$11</definedName>
    <definedName name="IP_NASRDC" localSheetId="22">'File 4'!$J$11</definedName>
    <definedName name="IP_NASRDC" localSheetId="23">'File 5'!$J$11</definedName>
    <definedName name="IP_NASRDC" localSheetId="24">'File 6'!$J$11</definedName>
    <definedName name="IP_NASRDC" localSheetId="25">'File 7'!$J$11</definedName>
    <definedName name="IP_NASRDC" localSheetId="26">'File 8'!$J$11</definedName>
    <definedName name="IP_NASRDC" localSheetId="27">'File 9'!$J$11</definedName>
    <definedName name="IP_NASRDC_Overall" localSheetId="19">'File 1'!$K$10</definedName>
    <definedName name="IP_NASRDC_Overall" localSheetId="28">'File 10'!$K$10</definedName>
    <definedName name="IP_NASRDC_Overall" localSheetId="29">'File 11'!$K$10</definedName>
    <definedName name="IP_NASRDC_Overall" localSheetId="30">'File 12'!$K$10</definedName>
    <definedName name="IP_NASRDC_Overall" localSheetId="31">'File 13'!$K$10</definedName>
    <definedName name="IP_NASRDC_Overall" localSheetId="32">'File 14'!$K$10</definedName>
    <definedName name="IP_NASRDC_Overall" localSheetId="33">'File 15'!$K$10</definedName>
    <definedName name="IP_NASRDC_Overall" localSheetId="34">'File 16'!$K$10</definedName>
    <definedName name="IP_NASRDC_Overall" localSheetId="35">'File 17'!$K$10</definedName>
    <definedName name="IP_NASRDC_Overall" localSheetId="36">'File 18'!$K$10</definedName>
    <definedName name="IP_NASRDC_Overall" localSheetId="37">'File 19'!$K$10</definedName>
    <definedName name="IP_NASRDC_Overall" localSheetId="20">'File 2'!$K$10</definedName>
    <definedName name="IP_NASRDC_Overall" localSheetId="38">'File 20'!$K$10</definedName>
    <definedName name="IP_NASRDC_Overall" localSheetId="21">'File 3'!$K$10</definedName>
    <definedName name="IP_NASRDC_Overall" localSheetId="22">'File 4'!$K$10</definedName>
    <definedName name="IP_NASRDC_Overall" localSheetId="23">'File 5'!$K$10</definedName>
    <definedName name="IP_NASRDC_Overall" localSheetId="24">'File 6'!$K$10</definedName>
    <definedName name="IP_NASRDC_Overall" localSheetId="25">'File 7'!$K$10</definedName>
    <definedName name="IP_NASRDC_Overall" localSheetId="26">'File 8'!$K$10</definedName>
    <definedName name="IP_NASRDC_Overall" localSheetId="27">'File 9'!$K$10</definedName>
    <definedName name="IP_ROTT" localSheetId="19">'File 1'!$J$18</definedName>
    <definedName name="IP_ROTT" localSheetId="28">'File 10'!$J$18</definedName>
    <definedName name="IP_ROTT" localSheetId="29">'File 11'!$J$18</definedName>
    <definedName name="IP_ROTT" localSheetId="30">'File 12'!$J$18</definedName>
    <definedName name="IP_ROTT" localSheetId="31">'File 13'!$J$18</definedName>
    <definedName name="IP_ROTT" localSheetId="32">'File 14'!$J$18</definedName>
    <definedName name="IP_ROTT" localSheetId="33">'File 15'!$J$18</definedName>
    <definedName name="IP_ROTT" localSheetId="34">'File 16'!$J$18</definedName>
    <definedName name="IP_ROTT" localSheetId="35">'File 17'!$J$18</definedName>
    <definedName name="IP_ROTT" localSheetId="36">'File 18'!$J$18</definedName>
    <definedName name="IP_ROTT" localSheetId="37">'File 19'!$J$18</definedName>
    <definedName name="IP_ROTT" localSheetId="20">'File 2'!$J$18</definedName>
    <definedName name="IP_ROTT" localSheetId="38">'File 20'!$J$18</definedName>
    <definedName name="IP_ROTT" localSheetId="21">'File 3'!$J$18</definedName>
    <definedName name="IP_ROTT" localSheetId="22">'File 4'!$J$18</definedName>
    <definedName name="IP_ROTT" localSheetId="23">'File 5'!$J$18</definedName>
    <definedName name="IP_ROTT" localSheetId="24">'File 6'!$J$18</definedName>
    <definedName name="IP_ROTT" localSheetId="25">'File 7'!$J$18</definedName>
    <definedName name="IP_ROTT" localSheetId="26">'File 8'!$J$18</definedName>
    <definedName name="IP_ROTT" localSheetId="27">'File 9'!$J$18</definedName>
    <definedName name="NASL" localSheetId="19">'File 1'!$B$8</definedName>
    <definedName name="NASL" localSheetId="28">'File 10'!$B$8</definedName>
    <definedName name="NASL" localSheetId="29">'File 11'!$B$8</definedName>
    <definedName name="NASL" localSheetId="30">'File 12'!$B$8</definedName>
    <definedName name="NASL" localSheetId="31">'File 13'!$B$8</definedName>
    <definedName name="NASL" localSheetId="32">'File 14'!$B$8</definedName>
    <definedName name="NASL" localSheetId="33">'File 15'!$B$8</definedName>
    <definedName name="NASL" localSheetId="34">'File 16'!$B$8</definedName>
    <definedName name="NASL" localSheetId="35">'File 17'!$B$8</definedName>
    <definedName name="NASL" localSheetId="36">'File 18'!$B$8</definedName>
    <definedName name="NASL" localSheetId="37">'File 19'!$B$8</definedName>
    <definedName name="NASL" localSheetId="20">'File 2'!$B$8</definedName>
    <definedName name="NASL" localSheetId="38">'File 20'!$B$8</definedName>
    <definedName name="NASL" localSheetId="21">'File 3'!$B$8</definedName>
    <definedName name="NASL" localSheetId="22">'File 4'!$B$8</definedName>
    <definedName name="NASL" localSheetId="23">'File 5'!$B$8</definedName>
    <definedName name="NASL" localSheetId="24">'File 6'!$B$8</definedName>
    <definedName name="NASL" localSheetId="25">'File 7'!$B$8</definedName>
    <definedName name="NASL" localSheetId="26">'File 8'!$B$8</definedName>
    <definedName name="NASL" localSheetId="27">'File 9'!$B$8</definedName>
    <definedName name="NASLDC" localSheetId="19">'File 1'!$B$9</definedName>
    <definedName name="NASLDC" localSheetId="28">'File 10'!$B$9</definedName>
    <definedName name="NASLDC" localSheetId="29">'File 11'!$B$9</definedName>
    <definedName name="NASLDC" localSheetId="30">'File 12'!$B$9</definedName>
    <definedName name="NASLDC" localSheetId="31">'File 13'!$B$9</definedName>
    <definedName name="NASLDC" localSheetId="32">'File 14'!$B$9</definedName>
    <definedName name="NASLDC" localSheetId="33">'File 15'!$B$9</definedName>
    <definedName name="NASLDC" localSheetId="34">'File 16'!$B$9</definedName>
    <definedName name="NASLDC" localSheetId="35">'File 17'!$B$9</definedName>
    <definedName name="NASLDC" localSheetId="36">'File 18'!$B$9</definedName>
    <definedName name="NASLDC" localSheetId="37">'File 19'!$B$9</definedName>
    <definedName name="NASLDC" localSheetId="20">'File 2'!$B$9</definedName>
    <definedName name="NASLDC" localSheetId="38">'File 20'!$B$9</definedName>
    <definedName name="NASLDC" localSheetId="21">'File 3'!$B$9</definedName>
    <definedName name="NASLDC" localSheetId="22">'File 4'!$B$9</definedName>
    <definedName name="NASLDC" localSheetId="23">'File 5'!$B$9</definedName>
    <definedName name="NASLDC" localSheetId="24">'File 6'!$B$9</definedName>
    <definedName name="NASLDC" localSheetId="25">'File 7'!$B$9</definedName>
    <definedName name="NASLDC" localSheetId="26">'File 8'!$B$9</definedName>
    <definedName name="NASLDC" localSheetId="27">'File 9'!$B$9</definedName>
    <definedName name="NASR" localSheetId="19">'File 1'!$B$10</definedName>
    <definedName name="NASR" localSheetId="28">'File 10'!$B$10</definedName>
    <definedName name="NASR" localSheetId="29">'File 11'!$B$10</definedName>
    <definedName name="NASR" localSheetId="30">'File 12'!$B$10</definedName>
    <definedName name="NASR" localSheetId="31">'File 13'!$B$10</definedName>
    <definedName name="NASR" localSheetId="32">'File 14'!$B$10</definedName>
    <definedName name="NASR" localSheetId="33">'File 15'!$B$10</definedName>
    <definedName name="NASR" localSheetId="34">'File 16'!$B$10</definedName>
    <definedName name="NASR" localSheetId="35">'File 17'!$B$10</definedName>
    <definedName name="NASR" localSheetId="36">'File 18'!$B$10</definedName>
    <definedName name="NASR" localSheetId="37">'File 19'!$B$10</definedName>
    <definedName name="NASR" localSheetId="20">'File 2'!$B$10</definedName>
    <definedName name="NASR" localSheetId="38">'File 20'!$B$10</definedName>
    <definedName name="NASR" localSheetId="21">'File 3'!$B$10</definedName>
    <definedName name="NASR" localSheetId="22">'File 4'!$B$10</definedName>
    <definedName name="NASR" localSheetId="23">'File 5'!$B$10</definedName>
    <definedName name="NASR" localSheetId="24">'File 6'!$B$10</definedName>
    <definedName name="NASR" localSheetId="25">'File 7'!$B$10</definedName>
    <definedName name="NASR" localSheetId="26">'File 8'!$B$10</definedName>
    <definedName name="NASR" localSheetId="27">'File 9'!$B$10</definedName>
    <definedName name="NASRDC" localSheetId="19">'File 1'!$B$11</definedName>
    <definedName name="NASRDC" localSheetId="28">'File 10'!$B$11</definedName>
    <definedName name="NASRDC" localSheetId="29">'File 11'!$B$11</definedName>
    <definedName name="NASRDC" localSheetId="30">'File 12'!$B$11</definedName>
    <definedName name="NASRDC" localSheetId="31">'File 13'!$B$11</definedName>
    <definedName name="NASRDC" localSheetId="32">'File 14'!$B$11</definedName>
    <definedName name="NASRDC" localSheetId="33">'File 15'!$B$11</definedName>
    <definedName name="NASRDC" localSheetId="34">'File 16'!$B$11</definedName>
    <definedName name="NASRDC" localSheetId="35">'File 17'!$B$11</definedName>
    <definedName name="NASRDC" localSheetId="36">'File 18'!$B$11</definedName>
    <definedName name="NASRDC" localSheetId="37">'File 19'!$B$11</definedName>
    <definedName name="NASRDC" localSheetId="20">'File 2'!$B$11</definedName>
    <definedName name="NASRDC" localSheetId="38">'File 20'!$B$11</definedName>
    <definedName name="NASRDC" localSheetId="21">'File 3'!$B$11</definedName>
    <definedName name="NASRDC" localSheetId="22">'File 4'!$B$11</definedName>
    <definedName name="NASRDC" localSheetId="23">'File 5'!$B$11</definedName>
    <definedName name="NASRDC" localSheetId="24">'File 6'!$B$11</definedName>
    <definedName name="NASRDC" localSheetId="25">'File 7'!$B$11</definedName>
    <definedName name="NASRDC" localSheetId="26">'File 8'!$B$11</definedName>
    <definedName name="NASRDC" localSheetId="27">'File 9'!$B$11</definedName>
    <definedName name="NASRDC_Overall" localSheetId="19">'File 1'!$C$10</definedName>
    <definedName name="NASRDC_Overall" localSheetId="28">'File 10'!$C$10</definedName>
    <definedName name="NASRDC_Overall" localSheetId="29">'File 11'!$C$10</definedName>
    <definedName name="NASRDC_Overall" localSheetId="30">'File 12'!$C$10</definedName>
    <definedName name="NASRDC_Overall" localSheetId="31">'File 13'!$C$10</definedName>
    <definedName name="NASRDC_Overall" localSheetId="32">'File 14'!$C$10</definedName>
    <definedName name="NASRDC_Overall" localSheetId="33">'File 15'!$C$10</definedName>
    <definedName name="NASRDC_Overall" localSheetId="34">'File 16'!$C$10</definedName>
    <definedName name="NASRDC_Overall" localSheetId="35">'File 17'!$C$10</definedName>
    <definedName name="NASRDC_Overall" localSheetId="36">'File 18'!$C$10</definedName>
    <definedName name="NASRDC_Overall" localSheetId="37">'File 19'!$C$10</definedName>
    <definedName name="NASRDC_Overall" localSheetId="20">'File 2'!$C$10</definedName>
    <definedName name="NASRDC_Overall" localSheetId="38">'File 20'!$C$10</definedName>
    <definedName name="NASRDC_Overall" localSheetId="21">'File 3'!$C$10</definedName>
    <definedName name="NASRDC_Overall" localSheetId="22">'File 4'!$C$10</definedName>
    <definedName name="NASRDC_Overall" localSheetId="23">'File 5'!$C$10</definedName>
    <definedName name="NASRDC_Overall" localSheetId="24">'File 6'!$C$10</definedName>
    <definedName name="NASRDC_Overall" localSheetId="25">'File 7'!$C$10</definedName>
    <definedName name="NASRDC_Overall" localSheetId="26">'File 8'!$C$10</definedName>
    <definedName name="NASRDC_Overall" localSheetId="27">'File 9'!$C$10</definedName>
    <definedName name="No_Components">'Data files'!$E$9</definedName>
    <definedName name="Parameter_Table" localSheetId="6">'DC Balance (hide)'!$Z$9:$AB$28</definedName>
    <definedName name="POD_By" localSheetId="16">'Aggregate activity'!$T$12</definedName>
    <definedName name="Process_By" localSheetId="16">'Aggregate activity'!$O$5</definedName>
    <definedName name="range_Aggregate_Capacity">IF('Dependency (hide)'!$G$17=0,'Dependency (hide)'!$C$5:$C$13,OFFSET('Dependency (hide)'!$G$25,IF('Dependency (hide)'!$G$18&gt;0,('Dependency (hide)'!$G$18-1)*4,0),0,IF('Dependency (hide)'!$G$18=0,(No_Components*4)-1,3),1))</definedName>
    <definedName name="range_Aggregate_Demand">IF('Dependency (hide)'!$G$17=0,'Dependency (hide)'!$B$5:$B$13,OFFSET('Dependency (hide)'!$F$25,IF('Dependency (hide)'!$G$18&gt;0,('Dependency (hide)'!$G$18-1)*4,0),0,IF('Dependency (hide)'!$G$18=0,(No_Components*4)-1,3),1))</definedName>
    <definedName name="Range_Aggregate_Time_Axis" localSheetId="16">IF('Dependency (hide)'!$K$6=1,IF('Dependency (hide)'!$L$6=1,'Reference dates (hide)'!$N$43:$N$95,'Reference dates (hide)'!$O$40:$Z$41),'Dependency (hide)'!$A$1)</definedName>
    <definedName name="range_Aggregate_WLClear">IF('Dependency (hide)'!$G$17=0,'Dependency (hide)'!$E$5:$E$13,OFFSET('Dependency (hide)'!$I$25,IF('Dependency (hide)'!$G$18&gt;0,('Dependency (hide)'!$G$18-1)*4,0),0,IF('Dependency (hide)'!$G$18=0,(No_Components*4)-1,3),1))</definedName>
    <definedName name="range_Aggregate_WLFlow">IF('Dependency (hide)'!$G$17=0,'Dependency (hide)'!$F$5:$F$13,OFFSET('Dependency (hide)'!$J$25,IF('Dependency (hide)'!$G$18&gt;0,('Dependency (hide)'!$G$18-1)*4,0),0,IF('Dependency (hide)'!$G$18=0,(No_Components*4)-1,3),1))</definedName>
    <definedName name="range_Aggregate_Xaxis">IF('Dependency (hide)'!$G$17=0,'Dependency (hide)'!$A$5:$A$13,OFFSET('Dependency (hide)'!$C$25,IF('Dependency (hide)'!$G$18&gt;0,('Dependency (hide)'!$G$18-1)*4,0),0,IF('Dependency (hide)'!$G$18=0,(No_Components*4)-1,3),2))</definedName>
    <definedName name="range_Check_Axis">IF('Dependency (hide)'!$L$21=0,OFFSET('Dependency (hide)'!$C$25,0,0,(No_Components*4)-1,2),OFFSET('Dependency (hide)'!$D$25,('Dependency (hide)'!$L$21-1)*4,0,3,1))</definedName>
    <definedName name="range_Check_Calc_Lower">IF('Dependency (hide)'!$L$21=0,OFFSET('Dependency (hide)'!$K$25,0,0,(No_Components*4)-1,1),OFFSET('Dependency (hide)'!$K$25,('Dependency (hide)'!$L$21-1)*4,0,3,1))</definedName>
    <definedName name="range_Check_Calc_Upper">IF('Dependency (hide)'!$L$21=0,OFFSET('Dependency (hide)'!$M$25,0,0,(No_Components*4)-1,1),OFFSET('Dependency (hide)'!$M$25,('Dependency (hide)'!$L$21-1)*4,0,3,1))</definedName>
    <definedName name="range_Check_Measured">IF('Dependency (hide)'!$L$21=0,OFFSET('Dependency (hide)'!$N$25,0,0,(No_Components*4)-1,1),OFFSET('Dependency (hide)'!$N$25,('Dependency (hide)'!$L$21-1)*4,0,3,1))</definedName>
    <definedName name="range_DCBalance_Capacity">IF('DC Balance (hide)'!$W$4=0,OFFSET('DC Balance (hide)'!$H$39,0,0,(No_Components*4)-1,1),OFFSET('DC Balance (hide)'!$W$8,0,0,'DC Balance (hide)'!$W$5,1))</definedName>
    <definedName name="Range_DCBalance_CapacityCore">IF('DC Balance (hide)'!$W$4=0,OFFSET('DC Balance (hide)'!$I$39,0,0,(No_Components*4)-1,1),OFFSET('DC Balance (hide)'!$X$8,0,0,'DC Balance (hide)'!$W$5,1))</definedName>
    <definedName name="Range_DCBalance_CapacityCore_Time">'DC Balance (hide)'!$P$39:$P$90</definedName>
    <definedName name="Range_DCBalance_CapacityTime">'DC Balance (hide)'!$O$39:$O$90</definedName>
    <definedName name="range_DCBalance_Lower">IF('DC Balance (hide)'!$W$4=0,OFFSET('DC Balance (hide)'!$F$39,0,0,(No_Components*4)-1,1),OFFSET('DC Balance (hide)'!$U$8,0,0,'DC Balance (hide)'!$W$5,1))</definedName>
    <definedName name="Range_DCBalance_LowerTIme">'DC Balance (hide)'!$M$39:$M$90</definedName>
    <definedName name="range_DCBalance_Upper">IF('DC Balance (hide)'!$W$4=0,OFFSET('DC Balance (hide)'!$G$39,0,0,(No_Components*4)-1,1),OFFSET('DC Balance (hide)'!$V$8,0,0,'DC Balance (hide)'!$W$5,1))</definedName>
    <definedName name="Range_DCBalance_UpperTime">'DC Balance (hide)'!$N$39:$N$90-'DC Balance (hide)'!$M$39:$M$90</definedName>
    <definedName name="Range_DCBalance_Week">'DC Balance (hide)'!$C$4</definedName>
    <definedName name="range_DCBalance_XAxis">IF('DC Balance (hide)'!$W$4=0,OFFSET('DC Balance (hide)'!$C$39,0,0,(No_Components*4)-1,2),OFFSET('DC Balance (hide)'!$T$8,0,0,'DC Balance (hide)'!$W$5,1))</definedName>
    <definedName name="Range_Demand_Weekly" localSheetId="14">INDEX('Reference dates (hide)'!Demand_Activity_Weekly,0,'Dependency (hide)'!$G$22)</definedName>
    <definedName name="range_Desc">'Data files'!$A$16:INDEX('Data files'!$A$16:$A$220,No_Components)</definedName>
    <definedName name="range_parameter_chart" comment="Target parameter will eventually be selectable by user">OFFSET('Dependency (hide)'!$O$25,IF('Dependency (hide)'!$O$20=0,0,('Dependency (hide)'!$O$20-1)*4),'Dependency (hide)'!$O$21,IF('Dependency (hide)'!$O$20=0,(No_Components*4)-1,3),1)</definedName>
    <definedName name="range_parameter_xaxis">OFFSET('Dependency (hide)'!$C$25,IF('Dependency (hide)'!$O$20=0,0,('Dependency (hide)'!$O$20-1)*4),0,IF('Dependency (hide)'!$O$20=0,(No_Components*4)-1,3),2)</definedName>
    <definedName name="range_PODType_XAxis_Chart">CHOOSE(flag_ExtendedPOD,'DC Balance (hide)'!$T$24:$T$28,'DC Balance (hide)'!$R$32:$R$34)</definedName>
    <definedName name="Range_Process_Select">OFFSET('Data files'!$A$15,0,0,No_Components+1,1)</definedName>
    <definedName name="range_WLBalance_WLActual">IF('WL Balance (hide)'!$B$26=0,OFFSET('WL Balance (hide)'!$I$28,0,0,(No_Components*4)-1,1),OFFSET('WL Balance (hide)'!$I$28,('WL Balance (hide)'!$B$26-1)*4,0,3,1))</definedName>
    <definedName name="range_WLBalance_WLIdeal1">IF('WL Balance (hide)'!$B$26=0,OFFSET('WL Balance (hide)'!$F$28,0,0,(No_Components*4)-1,1),OFFSET('WL Balance (hide)'!$F$28,('WL Balance (hide)'!$B$26-1)*4,0,3,1))</definedName>
    <definedName name="range_WLBalance_WLIdeal2">IF('WL Balance (hide)'!$B$26=0,OFFSET('WL Balance (hide)'!$H$28,0,0,(No_Components*4)-1,1),OFFSET('WL Balance (hide)'!$H$28,('WL Balance (hide)'!$B$26-1)*4,0,3,1))</definedName>
    <definedName name="range_WLBalance_XAxis">IF('WL Balance (hide)'!$B$26=0,OFFSET('WL Balance (hide)'!$C$28,0,0,(No_Components*4),2),OFFSET('WL Balance (hide)'!$D$28,('WL Balance (hide)'!$B$26-1)*4,0,3,1))</definedName>
    <definedName name="ROTT" localSheetId="19">'File 1'!$B$18</definedName>
    <definedName name="ROTT" localSheetId="28">'File 10'!$B$18</definedName>
    <definedName name="ROTT" localSheetId="29">'File 11'!$B$18</definedName>
    <definedName name="ROTT" localSheetId="30">'File 12'!$B$18</definedName>
    <definedName name="ROTT" localSheetId="31">'File 13'!$B$18</definedName>
    <definedName name="ROTT" localSheetId="32">'File 14'!$B$18</definedName>
    <definedName name="ROTT" localSheetId="33">'File 15'!$B$18</definedName>
    <definedName name="ROTT" localSheetId="34">'File 16'!$B$18</definedName>
    <definedName name="ROTT" localSheetId="35">'File 17'!$B$18</definedName>
    <definedName name="ROTT" localSheetId="36">'File 18'!$B$18</definedName>
    <definedName name="ROTT" localSheetId="37">'File 19'!$B$18</definedName>
    <definedName name="ROTT" localSheetId="20">'File 2'!$B$18</definedName>
    <definedName name="ROTT" localSheetId="38">'File 20'!$B$18</definedName>
    <definedName name="ROTT" localSheetId="21">'File 3'!$B$18</definedName>
    <definedName name="ROTT" localSheetId="22">'File 4'!$B$18</definedName>
    <definedName name="ROTT" localSheetId="23">'File 5'!$B$18</definedName>
    <definedName name="ROTT" localSheetId="24">'File 6'!$B$18</definedName>
    <definedName name="ROTT" localSheetId="25">'File 7'!$B$18</definedName>
    <definedName name="ROTT" localSheetId="26">'File 8'!$B$18</definedName>
    <definedName name="ROTT" localSheetId="27">'File 9'!$B$18</definedName>
    <definedName name="Show_By" localSheetId="16">'Aggregate activity'!$T$8</definedName>
    <definedName name="var_Service_Components">'Data files'!$E$9</definedName>
    <definedName name="Weekly_Adjusted" localSheetId="19">'File 1'!$Q$58:$AN$110</definedName>
    <definedName name="Weekly_Adjusted" localSheetId="28">'File 10'!$Q$58:$AN$110</definedName>
    <definedName name="Weekly_Adjusted" localSheetId="29">'File 11'!$Q$58:$AN$110</definedName>
    <definedName name="Weekly_Adjusted" localSheetId="30">'File 12'!$Q$58:$AN$110</definedName>
    <definedName name="Weekly_Adjusted" localSheetId="31">'File 13'!$Q$58:$AN$110</definedName>
    <definedName name="Weekly_Adjusted" localSheetId="32">'File 14'!$Q$58:$AN$110</definedName>
    <definedName name="Weekly_Adjusted" localSheetId="33">'File 15'!$Q$58:$AN$110</definedName>
    <definedName name="Weekly_Adjusted" localSheetId="34">'File 16'!$Q$58:$AN$110</definedName>
    <definedName name="Weekly_Adjusted" localSheetId="35">'File 17'!$Q$58:$AN$110</definedName>
    <definedName name="Weekly_Adjusted" localSheetId="36">'File 18'!$Q$58:$AN$110</definedName>
    <definedName name="Weekly_Adjusted" localSheetId="37">'File 19'!$Q$58:$AN$110</definedName>
    <definedName name="Weekly_Adjusted" localSheetId="20">'File 2'!$Q$58:$AN$110</definedName>
    <definedName name="Weekly_Adjusted" localSheetId="38">'File 20'!$Q$58:$AN$110</definedName>
    <definedName name="Weekly_Adjusted" localSheetId="21">'File 3'!$Q$58:$AN$110</definedName>
    <definedName name="Weekly_Adjusted" localSheetId="22">'File 4'!$Q$58:$AN$110</definedName>
    <definedName name="Weekly_Adjusted" localSheetId="23">'File 5'!$Q$58:$AN$110</definedName>
    <definedName name="Weekly_Adjusted" localSheetId="24">'File 6'!$Q$58:$AN$110</definedName>
    <definedName name="Weekly_Adjusted" localSheetId="25">'File 7'!$Q$58:$AN$110</definedName>
    <definedName name="Weekly_Adjusted" localSheetId="26">'File 8'!$Q$58:$AN$110</definedName>
    <definedName name="Weekly_Adjusted" localSheetId="27">'File 9'!$Q$58:$AN$110</definedName>
    <definedName name="Weekly_Source" localSheetId="19">'File 1'!$A$58:$K$110</definedName>
    <definedName name="Weekly_Source" localSheetId="28">'File 10'!$A$58:$K$110</definedName>
    <definedName name="Weekly_Source" localSheetId="29">'File 11'!$A$58:$K$110</definedName>
    <definedName name="Weekly_Source" localSheetId="30">'File 12'!$A$58:$K$110</definedName>
    <definedName name="Weekly_Source" localSheetId="31">'File 13'!$A$58:$K$110</definedName>
    <definedName name="Weekly_Source" localSheetId="32">'File 14'!$A$58:$K$110</definedName>
    <definedName name="Weekly_Source" localSheetId="33">'File 15'!$A$58:$K$110</definedName>
    <definedName name="Weekly_Source" localSheetId="34">'File 16'!$A$58:$K$110</definedName>
    <definedName name="Weekly_Source" localSheetId="35">'File 17'!$A$58:$K$110</definedName>
    <definedName name="Weekly_Source" localSheetId="36">'File 18'!$A$58:$K$110</definedName>
    <definedName name="Weekly_Source" localSheetId="37">'File 19'!$A$58:$K$110</definedName>
    <definedName name="Weekly_Source" localSheetId="20">'File 2'!$A$58:$K$110</definedName>
    <definedName name="Weekly_Source" localSheetId="38">'File 20'!$A$58:$K$110</definedName>
    <definedName name="Weekly_Source" localSheetId="21">'File 3'!$A$58:$K$110</definedName>
    <definedName name="Weekly_Source" localSheetId="22">'File 4'!$A$58:$K$110</definedName>
    <definedName name="Weekly_Source" localSheetId="23">'File 5'!$A$58:$K$110</definedName>
    <definedName name="Weekly_Source" localSheetId="24">'File 6'!$A$58:$K$110</definedName>
    <definedName name="Weekly_Source" localSheetId="25">'File 7'!$A$58:$K$110</definedName>
    <definedName name="Weekly_Source" localSheetId="26">'File 8'!$A$58:$K$110</definedName>
    <definedName name="Weekly_Source" localSheetId="27">'File 9'!$A$58:$K$110</definedName>
    <definedName name="WL_Current" localSheetId="19">'File 1'!$D$17</definedName>
    <definedName name="WL_Current" localSheetId="28">'File 10'!$D$17</definedName>
    <definedName name="WL_Current" localSheetId="29">'File 11'!$D$17</definedName>
    <definedName name="WL_Current" localSheetId="30">'File 12'!$D$17</definedName>
    <definedName name="WL_Current" localSheetId="31">'File 13'!$D$17</definedName>
    <definedName name="WL_Current" localSheetId="32">'File 14'!$D$17</definedName>
    <definedName name="WL_Current" localSheetId="33">'File 15'!$D$17</definedName>
    <definedName name="WL_Current" localSheetId="34">'File 16'!$D$17</definedName>
    <definedName name="WL_Current" localSheetId="35">'File 17'!$D$17</definedName>
    <definedName name="WL_Current" localSheetId="36">'File 18'!$D$17</definedName>
    <definedName name="WL_Current" localSheetId="37">'File 19'!$D$17</definedName>
    <definedName name="WL_Current" localSheetId="20">'File 2'!$D$17</definedName>
    <definedName name="WL_Current" localSheetId="38">'File 20'!$D$17</definedName>
    <definedName name="WL_Current" localSheetId="21">'File 3'!$D$17</definedName>
    <definedName name="WL_Current" localSheetId="22">'File 4'!$D$17</definedName>
    <definedName name="WL_Current" localSheetId="23">'File 5'!$D$17</definedName>
    <definedName name="WL_Current" localSheetId="24">'File 6'!$D$17</definedName>
    <definedName name="WL_Current" localSheetId="25">'File 7'!$D$17</definedName>
    <definedName name="WL_Current" localSheetId="26">'File 8'!$D$17</definedName>
    <definedName name="WL_Current" localSheetId="27">'File 9'!$D$17</definedName>
    <definedName name="WL_Current" localSheetId="10">'WL Balance (hide)'!$E$4:$G$23</definedName>
    <definedName name="WL_Current_FU" localSheetId="19">'File 1'!$H$17</definedName>
    <definedName name="WL_Current_FU" localSheetId="28">'File 10'!$H$17</definedName>
    <definedName name="WL_Current_FU" localSheetId="29">'File 11'!$H$17</definedName>
    <definedName name="WL_Current_FU" localSheetId="30">'File 12'!$H$17</definedName>
    <definedName name="WL_Current_FU" localSheetId="31">'File 13'!$H$17</definedName>
    <definedName name="WL_Current_FU" localSheetId="32">'File 14'!$H$17</definedName>
    <definedName name="WL_Current_FU" localSheetId="33">'File 15'!$H$17</definedName>
    <definedName name="WL_Current_FU" localSheetId="34">'File 16'!$H$17</definedName>
    <definedName name="WL_Current_FU" localSheetId="35">'File 17'!$H$17</definedName>
    <definedName name="WL_Current_FU" localSheetId="36">'File 18'!$H$17</definedName>
    <definedName name="WL_Current_FU" localSheetId="37">'File 19'!$H$17</definedName>
    <definedName name="WL_Current_FU" localSheetId="20">'File 2'!$H$17</definedName>
    <definedName name="WL_Current_FU" localSheetId="38">'File 20'!$H$17</definedName>
    <definedName name="WL_Current_FU" localSheetId="21">'File 3'!$H$17</definedName>
    <definedName name="WL_Current_FU" localSheetId="22">'File 4'!$H$17</definedName>
    <definedName name="WL_Current_FU" localSheetId="23">'File 5'!$H$17</definedName>
    <definedName name="WL_Current_FU" localSheetId="24">'File 6'!$H$17</definedName>
    <definedName name="WL_Current_FU" localSheetId="25">'File 7'!$H$17</definedName>
    <definedName name="WL_Current_FU" localSheetId="26">'File 8'!$H$17</definedName>
    <definedName name="WL_Current_FU" localSheetId="27">'File 9'!$H$17</definedName>
    <definedName name="WL_Current_IP" localSheetId="19">'File 1'!$L$17</definedName>
    <definedName name="WL_Current_IP" localSheetId="28">'File 10'!$L$17</definedName>
    <definedName name="WL_Current_IP" localSheetId="29">'File 11'!$L$17</definedName>
    <definedName name="WL_Current_IP" localSheetId="30">'File 12'!$L$17</definedName>
    <definedName name="WL_Current_IP" localSheetId="31">'File 13'!$L$17</definedName>
    <definedName name="WL_Current_IP" localSheetId="32">'File 14'!$L$17</definedName>
    <definedName name="WL_Current_IP" localSheetId="33">'File 15'!$L$17</definedName>
    <definedName name="WL_Current_IP" localSheetId="34">'File 16'!$L$17</definedName>
    <definedName name="WL_Current_IP" localSheetId="35">'File 17'!$L$17</definedName>
    <definedName name="WL_Current_IP" localSheetId="36">'File 18'!$L$17</definedName>
    <definedName name="WL_Current_IP" localSheetId="37">'File 19'!$L$17</definedName>
    <definedName name="WL_Current_IP" localSheetId="20">'File 2'!$L$17</definedName>
    <definedName name="WL_Current_IP" localSheetId="38">'File 20'!$L$17</definedName>
    <definedName name="WL_Current_IP" localSheetId="21">'File 3'!$L$17</definedName>
    <definedName name="WL_Current_IP" localSheetId="22">'File 4'!$L$17</definedName>
    <definedName name="WL_Current_IP" localSheetId="23">'File 5'!$L$17</definedName>
    <definedName name="WL_Current_IP" localSheetId="24">'File 6'!$L$17</definedName>
    <definedName name="WL_Current_IP" localSheetId="25">'File 7'!$L$17</definedName>
    <definedName name="WL_Current_IP" localSheetId="26">'File 8'!$L$17</definedName>
    <definedName name="WL_Current_IP" localSheetId="27">'File 9'!$L$17</definedName>
    <definedName name="WL_Ideal" localSheetId="19">'File 1'!$D$16</definedName>
    <definedName name="WL_Ideal" localSheetId="28">'File 10'!$D$16</definedName>
    <definedName name="WL_Ideal" localSheetId="29">'File 11'!$D$16</definedName>
    <definedName name="WL_Ideal" localSheetId="30">'File 12'!$D$16</definedName>
    <definedName name="WL_Ideal" localSheetId="31">'File 13'!$D$16</definedName>
    <definedName name="WL_Ideal" localSheetId="32">'File 14'!$D$16</definedName>
    <definedName name="WL_Ideal" localSheetId="33">'File 15'!$D$16</definedName>
    <definedName name="WL_Ideal" localSheetId="34">'File 16'!$D$16</definedName>
    <definedName name="WL_Ideal" localSheetId="35">'File 17'!$D$16</definedName>
    <definedName name="WL_Ideal" localSheetId="36">'File 18'!$D$16</definedName>
    <definedName name="WL_Ideal" localSheetId="37">'File 19'!$D$16</definedName>
    <definedName name="WL_Ideal" localSheetId="20">'File 2'!$D$16</definedName>
    <definedName name="WL_Ideal" localSheetId="38">'File 20'!$D$16</definedName>
    <definedName name="WL_Ideal" localSheetId="21">'File 3'!$D$16</definedName>
    <definedName name="WL_Ideal" localSheetId="22">'File 4'!$D$16</definedName>
    <definedName name="WL_Ideal" localSheetId="23">'File 5'!$D$16</definedName>
    <definedName name="WL_Ideal" localSheetId="24">'File 6'!$D$16</definedName>
    <definedName name="WL_Ideal" localSheetId="25">'File 7'!$D$16</definedName>
    <definedName name="WL_Ideal" localSheetId="26">'File 8'!$D$16</definedName>
    <definedName name="WL_Ideal" localSheetId="27">'File 9'!$D$16</definedName>
    <definedName name="WL_Ideal" localSheetId="10">'WL Balance (hide)'!$B$4:$D$23</definedName>
    <definedName name="WL_Ideal_FU" localSheetId="19">'File 1'!$H$16</definedName>
    <definedName name="WL_Ideal_FU" localSheetId="28">'File 10'!$H$16</definedName>
    <definedName name="WL_Ideal_FU" localSheetId="29">'File 11'!$H$16</definedName>
    <definedName name="WL_Ideal_FU" localSheetId="30">'File 12'!$H$16</definedName>
    <definedName name="WL_Ideal_FU" localSheetId="31">'File 13'!$H$16</definedName>
    <definedName name="WL_Ideal_FU" localSheetId="32">'File 14'!$H$16</definedName>
    <definedName name="WL_Ideal_FU" localSheetId="33">'File 15'!$H$16</definedName>
    <definedName name="WL_Ideal_FU" localSheetId="34">'File 16'!$H$16</definedName>
    <definedName name="WL_Ideal_FU" localSheetId="35">'File 17'!$H$16</definedName>
    <definedName name="WL_Ideal_FU" localSheetId="36">'File 18'!$H$16</definedName>
    <definedName name="WL_Ideal_FU" localSheetId="37">'File 19'!$H$16</definedName>
    <definedName name="WL_Ideal_FU" localSheetId="20">'File 2'!$H$16</definedName>
    <definedName name="WL_Ideal_FU" localSheetId="38">'File 20'!$H$16</definedName>
    <definedName name="WL_Ideal_FU" localSheetId="21">'File 3'!$H$16</definedName>
    <definedName name="WL_Ideal_FU" localSheetId="22">'File 4'!$H$16</definedName>
    <definedName name="WL_Ideal_FU" localSheetId="23">'File 5'!$H$16</definedName>
    <definedName name="WL_Ideal_FU" localSheetId="24">'File 6'!$H$16</definedName>
    <definedName name="WL_Ideal_FU" localSheetId="25">'File 7'!$H$16</definedName>
    <definedName name="WL_Ideal_FU" localSheetId="26">'File 8'!$H$16</definedName>
    <definedName name="WL_Ideal_FU" localSheetId="27">'File 9'!$H$16</definedName>
    <definedName name="WL_Ideal_IP" localSheetId="19">'File 1'!$L$16</definedName>
    <definedName name="WL_Ideal_IP" localSheetId="28">'File 10'!$L$16</definedName>
    <definedName name="WL_Ideal_IP" localSheetId="29">'File 11'!$L$16</definedName>
    <definedName name="WL_Ideal_IP" localSheetId="30">'File 12'!$L$16</definedName>
    <definedName name="WL_Ideal_IP" localSheetId="31">'File 13'!$L$16</definedName>
    <definedName name="WL_Ideal_IP" localSheetId="32">'File 14'!$L$16</definedName>
    <definedName name="WL_Ideal_IP" localSheetId="33">'File 15'!$L$16</definedName>
    <definedName name="WL_Ideal_IP" localSheetId="34">'File 16'!$L$16</definedName>
    <definedName name="WL_Ideal_IP" localSheetId="35">'File 17'!$L$16</definedName>
    <definedName name="WL_Ideal_IP" localSheetId="36">'File 18'!$L$16</definedName>
    <definedName name="WL_Ideal_IP" localSheetId="37">'File 19'!$L$16</definedName>
    <definedName name="WL_Ideal_IP" localSheetId="20">'File 2'!$L$16</definedName>
    <definedName name="WL_Ideal_IP" localSheetId="38">'File 20'!$L$16</definedName>
    <definedName name="WL_Ideal_IP" localSheetId="21">'File 3'!$L$16</definedName>
    <definedName name="WL_Ideal_IP" localSheetId="22">'File 4'!$L$16</definedName>
    <definedName name="WL_Ideal_IP" localSheetId="23">'File 5'!$L$16</definedName>
    <definedName name="WL_Ideal_IP" localSheetId="24">'File 6'!$L$16</definedName>
    <definedName name="WL_Ideal_IP" localSheetId="25">'File 7'!$L$16</definedName>
    <definedName name="WL_Ideal_IP" localSheetId="26">'File 8'!$L$16</definedName>
    <definedName name="WL_Ideal_IP" localSheetId="27">'File 9'!$L$16</definedName>
    <definedName name="WLBasic_Activity_Final" localSheetId="14">'Reference dates (hide)'!$AA$308:$AC$312</definedName>
    <definedName name="WLBasic_Activity_Monthly" localSheetId="14">'Reference dates (hide)'!$O$308:$Z$312</definedName>
    <definedName name="WLBasic_Activity_Monthly_Time" localSheetId="14">IF('Dependency (hide)'!$K$6=1,IF(OR('Dependency (hide)'!$G$17=0,'Dependency (hide)'!$G$18=0),INDEX('Reference dates (hide)'!WLBasic_Activity_Monthly,Aggregate_POD_Select,0),INDEX('Reference dates (hide)'!$O$321:$Z$380,((Aggregate_Process_Select-1)*3)+Aggregate_POD_Select,0)),'Dependency (hide)'!$A$1)</definedName>
    <definedName name="WLBasic_Activity_Weekly" localSheetId="14">IF(Aggregate_Process_Select=0,'Reference dates (hide)'!$FD$43:$HK$95,OFFSET('Reference dates (hide)'!$FA$43,0,Aggregate_Process_Select*3,53,3))</definedName>
    <definedName name="WLBasic_Activity_Weekly_Summary" localSheetId="14">'Reference dates (hide)'!$HL$43:$HP$95</definedName>
    <definedName name="WLBasic_Activity_Weekly_Time" localSheetId="14">IF('Dependency (hide)'!$K$6=1,IF(OR('Dependency (hide)'!$G$17=0,'Dependency (hide)'!$G$18=0),INDEX('Reference dates (hide)'!WLBasic_Activity_Weekly_Summary,0,Aggregate_POD_Select),INDEX('Reference dates (hide)'!WLBasic_Activity_Weekly,0,Aggregate_POD_Select)),'Dependency (hide)'!$A$1)</definedName>
    <definedName name="WLBasic_Activity_Yearly">'Reference dates (hide)'!$AC$308:$AC$312</definedName>
    <definedName name="WLFlow_Activity_Final" localSheetId="14">'Reference dates (hide)'!$AA$313:$AC$317</definedName>
    <definedName name="WLFlow_Activity_Monthly" localSheetId="14">'Reference dates (hide)'!$O$313:$Z$317</definedName>
    <definedName name="WLFlow_Activity_Monthly_Time" localSheetId="14">IF('Dependency (hide)'!$K$6=1,IF(OR('Dependency (hide)'!$G$17=0,'Dependency (hide)'!$G$18=0),INDEX('Reference dates (hide)'!WLFlow_Activity_Monthly,Aggregate_POD_Select,0),INDEX('Reference dates (hide)'!$O$382:$Z$441,((Aggregate_Process_Select-1)*3)+Aggregate_POD_Select,0)),'Dependency (hide)'!$A$1)</definedName>
    <definedName name="WLFlow_Activity_Weekly" localSheetId="14">IF(Aggregate_Process_Select=0,'Reference dates (hide)'!$KF$43:$MM$95,OFFSET('Reference dates (hide)'!$KC$43,0,Aggregate_Process_Select*3,53,3))</definedName>
    <definedName name="WLFlow_Activity_Weekly_Summary" localSheetId="14">'Reference dates (hide)'!$MN$43:$MR$95</definedName>
    <definedName name="WLFlow_Activity_Weekly_Time" localSheetId="14">IF('Dependency (hide)'!$K$6=1,IF(OR('Dependency (hide)'!$G$17=0,'Dependency (hide)'!$G$18=0),INDEX('Reference dates (hide)'!WLFlow_Activity_Weekly_Summary,0,Aggregate_POD_Select),INDEX('Reference dates (hide)'!WLFlow_Activity_Weekly,0,Aggregate_POD_Select)),'Dependency (hide)'!$A$1)</definedName>
    <definedName name="WLFlow_Activity_Yearly">'Reference dates (hide)'!$AC$313:$AC$317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54" i="4" l="1"/>
  <c r="Q54" i="4"/>
  <c r="Z54" i="7" l="1"/>
  <c r="Q54" i="7"/>
  <c r="Z54" i="6"/>
  <c r="AA54" i="6"/>
  <c r="AB54" i="6"/>
  <c r="Q54" i="6"/>
  <c r="R54" i="6"/>
  <c r="S54" i="6"/>
  <c r="Z54" i="5"/>
  <c r="Q54" i="5"/>
  <c r="E13" i="53" l="1"/>
  <c r="E14" i="53"/>
  <c r="E15" i="53"/>
  <c r="E16" i="53"/>
  <c r="E17" i="53"/>
  <c r="E18" i="53"/>
  <c r="E19" i="53"/>
  <c r="E20" i="53"/>
  <c r="E21" i="53"/>
  <c r="E22" i="53"/>
  <c r="E23" i="53"/>
  <c r="E24" i="53"/>
  <c r="E25" i="53"/>
  <c r="E26" i="53"/>
  <c r="E27" i="53"/>
  <c r="E28" i="53"/>
  <c r="AD13" i="53" l="1"/>
  <c r="AD14" i="53"/>
  <c r="AD15" i="53"/>
  <c r="AD16" i="53"/>
  <c r="AD17" i="53"/>
  <c r="AD18" i="53"/>
  <c r="AD19" i="53"/>
  <c r="AD20" i="53"/>
  <c r="AD21" i="53"/>
  <c r="AD22" i="53"/>
  <c r="AD23" i="53"/>
  <c r="AD24" i="53"/>
  <c r="AD25" i="53"/>
  <c r="AD26" i="53"/>
  <c r="AD27" i="53"/>
  <c r="AD28" i="53"/>
  <c r="C5" i="53"/>
  <c r="E5" i="55" l="1"/>
  <c r="B40" i="51"/>
  <c r="M111" i="23" l="1"/>
  <c r="M111" i="22"/>
  <c r="M111" i="21"/>
  <c r="M111" i="20"/>
  <c r="M111" i="19"/>
  <c r="M111" i="18"/>
  <c r="M111" i="17"/>
  <c r="M111" i="16"/>
  <c r="M111" i="15"/>
  <c r="M111" i="14"/>
  <c r="M111" i="13"/>
  <c r="M111" i="12"/>
  <c r="M111" i="11"/>
  <c r="M111" i="10"/>
  <c r="M111" i="9"/>
  <c r="M111" i="8"/>
  <c r="AF28" i="53"/>
  <c r="AF27" i="53"/>
  <c r="AF26" i="53"/>
  <c r="AF25" i="53"/>
  <c r="AE18" i="53"/>
  <c r="AF24" i="53"/>
  <c r="AF23" i="53"/>
  <c r="AF22" i="53"/>
  <c r="AF21" i="53"/>
  <c r="AE21" i="53"/>
  <c r="AF20" i="53"/>
  <c r="AF19" i="53"/>
  <c r="AF18" i="53"/>
  <c r="AF17" i="53"/>
  <c r="AE20" i="53"/>
  <c r="AF16" i="53"/>
  <c r="AF15" i="53"/>
  <c r="AF14" i="53"/>
  <c r="AF13" i="53"/>
  <c r="AE19" i="53"/>
  <c r="AE28" i="53"/>
  <c r="AE27" i="53"/>
  <c r="AE26" i="53"/>
  <c r="AE25" i="53"/>
  <c r="AE17" i="53"/>
  <c r="AE24" i="53"/>
  <c r="AE23" i="53"/>
  <c r="AE22" i="53"/>
  <c r="AE16" i="53"/>
  <c r="AE15" i="53"/>
  <c r="AE14" i="53"/>
  <c r="AE13" i="53"/>
  <c r="G12" i="26" l="1"/>
  <c r="N65" i="2"/>
  <c r="N64" i="2"/>
  <c r="N63" i="2"/>
  <c r="N62" i="2"/>
  <c r="N61" i="2"/>
  <c r="N60" i="2"/>
  <c r="N59" i="2"/>
  <c r="N58" i="2"/>
  <c r="N57" i="2"/>
  <c r="N56" i="2"/>
  <c r="N55" i="2"/>
  <c r="N54" i="2"/>
  <c r="N53" i="2"/>
  <c r="N52" i="2"/>
  <c r="N51" i="2"/>
  <c r="N50" i="2"/>
  <c r="N49" i="2"/>
  <c r="N48" i="2"/>
  <c r="N47" i="2"/>
  <c r="N46" i="2"/>
  <c r="M65" i="2"/>
  <c r="M64" i="2"/>
  <c r="M63" i="2"/>
  <c r="M62" i="2"/>
  <c r="M61" i="2"/>
  <c r="M60" i="2"/>
  <c r="M59" i="2"/>
  <c r="M58" i="2"/>
  <c r="M57" i="2"/>
  <c r="M56" i="2"/>
  <c r="M55" i="2"/>
  <c r="M54" i="2"/>
  <c r="M53" i="2"/>
  <c r="M52" i="2"/>
  <c r="M51" i="2"/>
  <c r="M50" i="2"/>
  <c r="AE12" i="53"/>
  <c r="AF12" i="53"/>
  <c r="AE10" i="53"/>
  <c r="AF10" i="53"/>
  <c r="AE9" i="53"/>
  <c r="AF9" i="53"/>
  <c r="S17" i="39" l="1"/>
  <c r="A9" i="24" l="1"/>
  <c r="A10" i="24"/>
  <c r="A11" i="24"/>
  <c r="A12" i="24"/>
  <c r="A13" i="24"/>
  <c r="A14" i="24"/>
  <c r="A15" i="24"/>
  <c r="A16" i="24"/>
  <c r="A17" i="24"/>
  <c r="A18" i="24"/>
  <c r="A19" i="24"/>
  <c r="A20" i="24"/>
  <c r="A21" i="24"/>
  <c r="A22" i="24"/>
  <c r="A23" i="24"/>
  <c r="A24" i="24"/>
  <c r="A25" i="24"/>
  <c r="A26" i="24"/>
  <c r="A27" i="24"/>
  <c r="A28" i="24"/>
  <c r="A29" i="24"/>
  <c r="A30" i="24"/>
  <c r="A31" i="24"/>
  <c r="A32" i="24"/>
  <c r="A33" i="24"/>
  <c r="A34" i="24"/>
  <c r="A35" i="24"/>
  <c r="A36" i="24"/>
  <c r="A37" i="24"/>
  <c r="A38" i="24"/>
  <c r="A39" i="24"/>
  <c r="A40" i="24"/>
  <c r="A41" i="24"/>
  <c r="A42" i="24"/>
  <c r="A43" i="24"/>
  <c r="A44" i="24"/>
  <c r="A45" i="24"/>
  <c r="A46" i="24"/>
  <c r="A47" i="24"/>
  <c r="A48" i="24"/>
  <c r="A49" i="24"/>
  <c r="A50" i="24"/>
  <c r="A51" i="24"/>
  <c r="A52" i="24"/>
  <c r="A53" i="24"/>
  <c r="A54" i="24"/>
  <c r="A55" i="24"/>
  <c r="A56" i="24"/>
  <c r="A57" i="24"/>
  <c r="A58" i="24"/>
  <c r="A59" i="24"/>
  <c r="A60" i="24"/>
  <c r="A61" i="24"/>
  <c r="A62" i="24"/>
  <c r="A63" i="24"/>
  <c r="A64" i="24"/>
  <c r="A65" i="24"/>
  <c r="A66" i="24"/>
  <c r="A67" i="24"/>
  <c r="A8" i="24"/>
  <c r="K19" i="53" l="1"/>
  <c r="L19" i="53" s="1"/>
  <c r="K27" i="53"/>
  <c r="L27" i="53" s="1"/>
  <c r="G18" i="53"/>
  <c r="H18" i="53" s="1"/>
  <c r="G26" i="53"/>
  <c r="H26" i="53" s="1"/>
  <c r="K21" i="53"/>
  <c r="L21" i="53" s="1"/>
  <c r="G28" i="53"/>
  <c r="H28" i="53" s="1"/>
  <c r="G25" i="53"/>
  <c r="H25" i="53" s="1"/>
  <c r="K20" i="53"/>
  <c r="L20" i="53" s="1"/>
  <c r="K28" i="53"/>
  <c r="L28" i="53" s="1"/>
  <c r="G19" i="53"/>
  <c r="H19" i="53" s="1"/>
  <c r="G27" i="53"/>
  <c r="H27" i="53" s="1"/>
  <c r="K13" i="53"/>
  <c r="L13" i="53" s="1"/>
  <c r="G20" i="53"/>
  <c r="H20" i="53" s="1"/>
  <c r="G14" i="53"/>
  <c r="H14" i="53" s="1"/>
  <c r="K26" i="53"/>
  <c r="L26" i="53" s="1"/>
  <c r="K14" i="53"/>
  <c r="L14" i="53" s="1"/>
  <c r="K22" i="53"/>
  <c r="L22" i="53" s="1"/>
  <c r="G13" i="53"/>
  <c r="H13" i="53" s="1"/>
  <c r="G21" i="53"/>
  <c r="H21" i="53" s="1"/>
  <c r="K15" i="53"/>
  <c r="L15" i="53" s="1"/>
  <c r="K23" i="53"/>
  <c r="L23" i="53" s="1"/>
  <c r="G22" i="53"/>
  <c r="H22" i="53" s="1"/>
  <c r="K18" i="53"/>
  <c r="L18" i="53" s="1"/>
  <c r="G17" i="53"/>
  <c r="H17" i="53" s="1"/>
  <c r="K16" i="53"/>
  <c r="L16" i="53" s="1"/>
  <c r="K24" i="53"/>
  <c r="L24" i="53" s="1"/>
  <c r="G15" i="53"/>
  <c r="H15" i="53" s="1"/>
  <c r="G23" i="53"/>
  <c r="H23" i="53" s="1"/>
  <c r="K17" i="53"/>
  <c r="L17" i="53" s="1"/>
  <c r="K25" i="53"/>
  <c r="L25" i="53" s="1"/>
  <c r="G16" i="53"/>
  <c r="H16" i="53" s="1"/>
  <c r="G24" i="53"/>
  <c r="H24" i="53" s="1"/>
  <c r="AE242" i="51" l="1"/>
  <c r="AE247" i="51" s="1"/>
  <c r="AE252" i="51" s="1"/>
  <c r="AE257" i="51" s="1"/>
  <c r="AE262" i="51" s="1"/>
  <c r="AE267" i="51" s="1"/>
  <c r="AE272" i="51" s="1"/>
  <c r="AE277" i="51" s="1"/>
  <c r="AE282" i="51" s="1"/>
  <c r="AE287" i="51" s="1"/>
  <c r="AE292" i="51" s="1"/>
  <c r="AE297" i="51" s="1"/>
  <c r="AE302" i="51" s="1"/>
  <c r="AE307" i="51" s="1"/>
  <c r="AE312" i="51" s="1"/>
  <c r="AE317" i="51" s="1"/>
  <c r="AE322" i="51" s="1"/>
  <c r="AE327" i="51" s="1"/>
  <c r="AE332" i="51" s="1"/>
  <c r="AE337" i="51" s="1"/>
  <c r="AE241" i="51"/>
  <c r="AE246" i="51" s="1"/>
  <c r="AE251" i="51" s="1"/>
  <c r="AE256" i="51" s="1"/>
  <c r="AE261" i="51" s="1"/>
  <c r="AE266" i="51" s="1"/>
  <c r="AE271" i="51" s="1"/>
  <c r="AE276" i="51" s="1"/>
  <c r="AE281" i="51" s="1"/>
  <c r="AE286" i="51" s="1"/>
  <c r="AE291" i="51" s="1"/>
  <c r="AE296" i="51" s="1"/>
  <c r="AE301" i="51" s="1"/>
  <c r="AE306" i="51" s="1"/>
  <c r="AE311" i="51" s="1"/>
  <c r="AE316" i="51" s="1"/>
  <c r="AE321" i="51" s="1"/>
  <c r="AE326" i="51" s="1"/>
  <c r="AE331" i="51" s="1"/>
  <c r="AE336" i="51" s="1"/>
  <c r="AE240" i="51"/>
  <c r="AE245" i="51" s="1"/>
  <c r="AE250" i="51" s="1"/>
  <c r="AE255" i="51" s="1"/>
  <c r="AE260" i="51" s="1"/>
  <c r="AE265" i="51" s="1"/>
  <c r="AE270" i="51" s="1"/>
  <c r="AE275" i="51" s="1"/>
  <c r="AE280" i="51" s="1"/>
  <c r="AE285" i="51" s="1"/>
  <c r="AE290" i="51" s="1"/>
  <c r="AE295" i="51" s="1"/>
  <c r="AE300" i="51" s="1"/>
  <c r="AE305" i="51" s="1"/>
  <c r="AE310" i="51" s="1"/>
  <c r="AE315" i="51" s="1"/>
  <c r="AE320" i="51" s="1"/>
  <c r="AE325" i="51" s="1"/>
  <c r="AE330" i="51" s="1"/>
  <c r="AE335" i="51" s="1"/>
  <c r="AE239" i="51"/>
  <c r="AE244" i="51" s="1"/>
  <c r="AE249" i="51" s="1"/>
  <c r="AE254" i="51" s="1"/>
  <c r="AE259" i="51" s="1"/>
  <c r="AE264" i="51" s="1"/>
  <c r="AE269" i="51" s="1"/>
  <c r="AE274" i="51" s="1"/>
  <c r="AE279" i="51" s="1"/>
  <c r="AE284" i="51" s="1"/>
  <c r="AE289" i="51" s="1"/>
  <c r="AE294" i="51" s="1"/>
  <c r="AE299" i="51" s="1"/>
  <c r="AE304" i="51" s="1"/>
  <c r="AE309" i="51" s="1"/>
  <c r="AE314" i="51" s="1"/>
  <c r="AE319" i="51" s="1"/>
  <c r="AE324" i="51" s="1"/>
  <c r="AE329" i="51" s="1"/>
  <c r="AE334" i="51" s="1"/>
  <c r="AE238" i="51"/>
  <c r="AE243" i="51" s="1"/>
  <c r="AE248" i="51" s="1"/>
  <c r="AE253" i="51" s="1"/>
  <c r="AE258" i="51" s="1"/>
  <c r="AE263" i="51" s="1"/>
  <c r="AE268" i="51" s="1"/>
  <c r="AE273" i="51" s="1"/>
  <c r="AE278" i="51" s="1"/>
  <c r="AE283" i="51" s="1"/>
  <c r="AE288" i="51" s="1"/>
  <c r="AE293" i="51" s="1"/>
  <c r="AE298" i="51" s="1"/>
  <c r="AE303" i="51" s="1"/>
  <c r="AE308" i="51" s="1"/>
  <c r="AE313" i="51" s="1"/>
  <c r="AE318" i="51" s="1"/>
  <c r="AE323" i="51" s="1"/>
  <c r="AE328" i="51" s="1"/>
  <c r="AE333" i="51" s="1"/>
  <c r="N118" i="44" l="1"/>
  <c r="O118" i="44"/>
  <c r="N119" i="44"/>
  <c r="O119" i="44"/>
  <c r="N120" i="44"/>
  <c r="O120" i="44"/>
  <c r="N121" i="44"/>
  <c r="O121" i="44"/>
  <c r="N122" i="44"/>
  <c r="O122" i="44"/>
  <c r="O123" i="44"/>
  <c r="N124" i="44"/>
  <c r="O124" i="44"/>
  <c r="N125" i="44"/>
  <c r="O125" i="44"/>
  <c r="N126" i="44"/>
  <c r="O126" i="44"/>
  <c r="N127" i="44"/>
  <c r="O127" i="44"/>
  <c r="N128" i="44"/>
  <c r="O128" i="44"/>
  <c r="N129" i="44"/>
  <c r="O129" i="44"/>
  <c r="N130" i="44"/>
  <c r="O130" i="44"/>
  <c r="N131" i="44"/>
  <c r="O131" i="44"/>
  <c r="N132" i="44"/>
  <c r="O132" i="44"/>
  <c r="N133" i="44"/>
  <c r="O133" i="44"/>
  <c r="N134" i="44"/>
  <c r="O134" i="44"/>
  <c r="N135" i="44"/>
  <c r="O135" i="44"/>
  <c r="N136" i="44"/>
  <c r="O136" i="44"/>
  <c r="N137" i="44"/>
  <c r="O137" i="44"/>
  <c r="N138" i="44"/>
  <c r="O138" i="44"/>
  <c r="N139" i="44"/>
  <c r="O139" i="44"/>
  <c r="N140" i="44"/>
  <c r="O140" i="44"/>
  <c r="N141" i="44"/>
  <c r="O141" i="44"/>
  <c r="N142" i="44"/>
  <c r="O142" i="44"/>
  <c r="N143" i="44"/>
  <c r="O143" i="44"/>
  <c r="N144" i="44"/>
  <c r="O144" i="44"/>
  <c r="N145" i="44"/>
  <c r="O145" i="44"/>
  <c r="N146" i="44"/>
  <c r="O146" i="44"/>
  <c r="N147" i="44"/>
  <c r="O147" i="44"/>
  <c r="N148" i="44"/>
  <c r="O148" i="44"/>
  <c r="N149" i="44"/>
  <c r="O149" i="44"/>
  <c r="N150" i="44"/>
  <c r="O150" i="44"/>
  <c r="N151" i="44"/>
  <c r="O151" i="44"/>
  <c r="N152" i="44"/>
  <c r="O152" i="44"/>
  <c r="N153" i="44"/>
  <c r="O153" i="44"/>
  <c r="N154" i="44"/>
  <c r="O154" i="44"/>
  <c r="N155" i="44"/>
  <c r="O155" i="44"/>
  <c r="N156" i="44"/>
  <c r="O156" i="44"/>
  <c r="N157" i="44"/>
  <c r="O157" i="44"/>
  <c r="N158" i="44"/>
  <c r="O158" i="44"/>
  <c r="N159" i="44"/>
  <c r="O159" i="44"/>
  <c r="N160" i="44"/>
  <c r="O160" i="44"/>
  <c r="N161" i="44"/>
  <c r="O161" i="44"/>
  <c r="N162" i="44"/>
  <c r="O162" i="44"/>
  <c r="N163" i="44"/>
  <c r="O163" i="44"/>
  <c r="N164" i="44"/>
  <c r="O164" i="44"/>
  <c r="N165" i="44"/>
  <c r="O165" i="44"/>
  <c r="N166" i="44"/>
  <c r="O166" i="44"/>
  <c r="N167" i="44"/>
  <c r="O167" i="44"/>
  <c r="N168" i="44"/>
  <c r="O168" i="44"/>
  <c r="N169" i="44"/>
  <c r="O169" i="44"/>
  <c r="N170" i="44"/>
  <c r="O170" i="44"/>
  <c r="N171" i="44"/>
  <c r="O171" i="44"/>
  <c r="N172" i="44"/>
  <c r="O172" i="44"/>
  <c r="K6" i="44" l="1"/>
  <c r="L6" i="44" s="1"/>
  <c r="J19" i="44" l="1"/>
  <c r="F9" i="56" l="1"/>
  <c r="FE44" i="51" l="1"/>
  <c r="FF44" i="51"/>
  <c r="FH44" i="51"/>
  <c r="FI44" i="51"/>
  <c r="FE45" i="51"/>
  <c r="FF45" i="51"/>
  <c r="FH45" i="51"/>
  <c r="FI45" i="51"/>
  <c r="FE46" i="51"/>
  <c r="FF46" i="51"/>
  <c r="FH46" i="51"/>
  <c r="FI46" i="51"/>
  <c r="FE47" i="51"/>
  <c r="FF47" i="51"/>
  <c r="FH47" i="51"/>
  <c r="FI47" i="51"/>
  <c r="FE48" i="51"/>
  <c r="FF48" i="51"/>
  <c r="FH48" i="51"/>
  <c r="FI48" i="51"/>
  <c r="FE49" i="51"/>
  <c r="FF49" i="51"/>
  <c r="FH49" i="51"/>
  <c r="FI49" i="51"/>
  <c r="FE50" i="51"/>
  <c r="FF50" i="51"/>
  <c r="FH50" i="51"/>
  <c r="FI50" i="51"/>
  <c r="FE51" i="51"/>
  <c r="FF51" i="51"/>
  <c r="FH51" i="51"/>
  <c r="FI51" i="51"/>
  <c r="FE52" i="51"/>
  <c r="FF52" i="51"/>
  <c r="FH52" i="51"/>
  <c r="FI52" i="51"/>
  <c r="FE53" i="51"/>
  <c r="FF53" i="51"/>
  <c r="FH53" i="51"/>
  <c r="FI53" i="51"/>
  <c r="FE54" i="51"/>
  <c r="FF54" i="51"/>
  <c r="FH54" i="51"/>
  <c r="FI54" i="51"/>
  <c r="FE55" i="51"/>
  <c r="FF55" i="51"/>
  <c r="FH55" i="51"/>
  <c r="FI55" i="51"/>
  <c r="FE56" i="51"/>
  <c r="FF56" i="51"/>
  <c r="FH56" i="51"/>
  <c r="FI56" i="51"/>
  <c r="FE57" i="51"/>
  <c r="FF57" i="51"/>
  <c r="FH57" i="51"/>
  <c r="FI57" i="51"/>
  <c r="FE58" i="51"/>
  <c r="FF58" i="51"/>
  <c r="FH58" i="51"/>
  <c r="FI58" i="51"/>
  <c r="FE59" i="51"/>
  <c r="FF59" i="51"/>
  <c r="FH59" i="51"/>
  <c r="FI59" i="51"/>
  <c r="FE60" i="51"/>
  <c r="FF60" i="51"/>
  <c r="FH60" i="51"/>
  <c r="FI60" i="51"/>
  <c r="FE61" i="51"/>
  <c r="FF61" i="51"/>
  <c r="FH61" i="51"/>
  <c r="FI61" i="51"/>
  <c r="FE62" i="51"/>
  <c r="FF62" i="51"/>
  <c r="FH62" i="51"/>
  <c r="FI62" i="51"/>
  <c r="FE63" i="51"/>
  <c r="FF63" i="51"/>
  <c r="FH63" i="51"/>
  <c r="FI63" i="51"/>
  <c r="FE64" i="51"/>
  <c r="FF64" i="51"/>
  <c r="FH64" i="51"/>
  <c r="FI64" i="51"/>
  <c r="FE65" i="51"/>
  <c r="FF65" i="51"/>
  <c r="FH65" i="51"/>
  <c r="FI65" i="51"/>
  <c r="FE66" i="51"/>
  <c r="FF66" i="51"/>
  <c r="FH66" i="51"/>
  <c r="FI66" i="51"/>
  <c r="FE67" i="51"/>
  <c r="FF67" i="51"/>
  <c r="FH67" i="51"/>
  <c r="FI67" i="51"/>
  <c r="FE68" i="51"/>
  <c r="FF68" i="51"/>
  <c r="FH68" i="51"/>
  <c r="FI68" i="51"/>
  <c r="FE69" i="51"/>
  <c r="FF69" i="51"/>
  <c r="FH69" i="51"/>
  <c r="FI69" i="51"/>
  <c r="FE70" i="51"/>
  <c r="FF70" i="51"/>
  <c r="FH70" i="51"/>
  <c r="FI70" i="51"/>
  <c r="FE71" i="51"/>
  <c r="FF71" i="51"/>
  <c r="FH71" i="51"/>
  <c r="FI71" i="51"/>
  <c r="FE72" i="51"/>
  <c r="FF72" i="51"/>
  <c r="FH72" i="51"/>
  <c r="FI72" i="51"/>
  <c r="FE73" i="51"/>
  <c r="FF73" i="51"/>
  <c r="FH73" i="51"/>
  <c r="FI73" i="51"/>
  <c r="FE74" i="51"/>
  <c r="FF74" i="51"/>
  <c r="FH74" i="51"/>
  <c r="FI74" i="51"/>
  <c r="FE75" i="51"/>
  <c r="FF75" i="51"/>
  <c r="FH75" i="51"/>
  <c r="FI75" i="51"/>
  <c r="FE76" i="51"/>
  <c r="FF76" i="51"/>
  <c r="FH76" i="51"/>
  <c r="FI76" i="51"/>
  <c r="FE77" i="51"/>
  <c r="FF77" i="51"/>
  <c r="FH77" i="51"/>
  <c r="FI77" i="51"/>
  <c r="FE78" i="51"/>
  <c r="FF78" i="51"/>
  <c r="FH78" i="51"/>
  <c r="FI78" i="51"/>
  <c r="FE79" i="51"/>
  <c r="FF79" i="51"/>
  <c r="FH79" i="51"/>
  <c r="FI79" i="51"/>
  <c r="FE80" i="51"/>
  <c r="FF80" i="51"/>
  <c r="FH80" i="51"/>
  <c r="FI80" i="51"/>
  <c r="FE81" i="51"/>
  <c r="FF81" i="51"/>
  <c r="FH81" i="51"/>
  <c r="FI81" i="51"/>
  <c r="FE82" i="51"/>
  <c r="FF82" i="51"/>
  <c r="FH82" i="51"/>
  <c r="FI82" i="51"/>
  <c r="FE83" i="51"/>
  <c r="FF83" i="51"/>
  <c r="FH83" i="51"/>
  <c r="FI83" i="51"/>
  <c r="FE84" i="51"/>
  <c r="FF84" i="51"/>
  <c r="FH84" i="51"/>
  <c r="FI84" i="51"/>
  <c r="FE85" i="51"/>
  <c r="FF85" i="51"/>
  <c r="FH85" i="51"/>
  <c r="FI85" i="51"/>
  <c r="FE86" i="51"/>
  <c r="FF86" i="51"/>
  <c r="FH86" i="51"/>
  <c r="FI86" i="51"/>
  <c r="FE87" i="51"/>
  <c r="FF87" i="51"/>
  <c r="FH87" i="51"/>
  <c r="FI87" i="51"/>
  <c r="FE88" i="51"/>
  <c r="FF88" i="51"/>
  <c r="FH88" i="51"/>
  <c r="FI88" i="51"/>
  <c r="FE89" i="51"/>
  <c r="FF89" i="51"/>
  <c r="FH89" i="51"/>
  <c r="FI89" i="51"/>
  <c r="FE90" i="51"/>
  <c r="FF90" i="51"/>
  <c r="FH90" i="51"/>
  <c r="FI90" i="51"/>
  <c r="FE91" i="51"/>
  <c r="FF91" i="51"/>
  <c r="FH91" i="51"/>
  <c r="FI91" i="51"/>
  <c r="FE92" i="51"/>
  <c r="FF92" i="51"/>
  <c r="FH92" i="51"/>
  <c r="FI92" i="51"/>
  <c r="FE93" i="51"/>
  <c r="FF93" i="51"/>
  <c r="FH93" i="51"/>
  <c r="FI93" i="51"/>
  <c r="FE94" i="51"/>
  <c r="FF94" i="51"/>
  <c r="FH94" i="51"/>
  <c r="FI94" i="51"/>
  <c r="FE43" i="51"/>
  <c r="FE98" i="51" s="1"/>
  <c r="FF43" i="51"/>
  <c r="FH43" i="51"/>
  <c r="FH98" i="51" s="1"/>
  <c r="FI43" i="51"/>
  <c r="FI98" i="51" s="1"/>
  <c r="FF98" i="51" l="1"/>
  <c r="FH96" i="51"/>
  <c r="FH97" i="51"/>
  <c r="FI96" i="51"/>
  <c r="FI97" i="51"/>
  <c r="FF97" i="51"/>
  <c r="FF96" i="51"/>
  <c r="FE96" i="51"/>
  <c r="FE97" i="51"/>
  <c r="H172" i="44"/>
  <c r="G172" i="44"/>
  <c r="H171" i="44"/>
  <c r="G171" i="44"/>
  <c r="H170" i="44"/>
  <c r="G170" i="44"/>
  <c r="H169" i="44"/>
  <c r="G169" i="44"/>
  <c r="H168" i="44"/>
  <c r="G168" i="44"/>
  <c r="H167" i="44"/>
  <c r="G167" i="44"/>
  <c r="H166" i="44"/>
  <c r="G166" i="44"/>
  <c r="H165" i="44"/>
  <c r="G165" i="44"/>
  <c r="H164" i="44"/>
  <c r="G164" i="44"/>
  <c r="H163" i="44"/>
  <c r="G163" i="44"/>
  <c r="H162" i="44"/>
  <c r="G162" i="44"/>
  <c r="H161" i="44"/>
  <c r="G161" i="44"/>
  <c r="H160" i="44"/>
  <c r="G160" i="44"/>
  <c r="H159" i="44"/>
  <c r="G159" i="44"/>
  <c r="H158" i="44"/>
  <c r="G158" i="44"/>
  <c r="H157" i="44"/>
  <c r="G157" i="44"/>
  <c r="H156" i="44"/>
  <c r="G156" i="44"/>
  <c r="H155" i="44"/>
  <c r="G155" i="44"/>
  <c r="H154" i="44"/>
  <c r="G154" i="44"/>
  <c r="H153" i="44"/>
  <c r="G153" i="44"/>
  <c r="H152" i="44"/>
  <c r="G152" i="44"/>
  <c r="H151" i="44"/>
  <c r="G151" i="44"/>
  <c r="H150" i="44"/>
  <c r="G150" i="44"/>
  <c r="H149" i="44"/>
  <c r="G149" i="44"/>
  <c r="H148" i="44"/>
  <c r="G148" i="44"/>
  <c r="H147" i="44"/>
  <c r="G147" i="44"/>
  <c r="H146" i="44"/>
  <c r="G146" i="44"/>
  <c r="H145" i="44"/>
  <c r="G145" i="44"/>
  <c r="H144" i="44"/>
  <c r="G144" i="44"/>
  <c r="H143" i="44"/>
  <c r="G143" i="44"/>
  <c r="H142" i="44"/>
  <c r="G142" i="44"/>
  <c r="H141" i="44"/>
  <c r="G141" i="44"/>
  <c r="H140" i="44"/>
  <c r="G140" i="44"/>
  <c r="H139" i="44"/>
  <c r="G139" i="44"/>
  <c r="H138" i="44"/>
  <c r="G138" i="44"/>
  <c r="H137" i="44"/>
  <c r="G137" i="44"/>
  <c r="H136" i="44"/>
  <c r="G136" i="44"/>
  <c r="H135" i="44"/>
  <c r="G135" i="44"/>
  <c r="H134" i="44"/>
  <c r="G134" i="44"/>
  <c r="H133" i="44"/>
  <c r="G133" i="44"/>
  <c r="H132" i="44"/>
  <c r="G132" i="44"/>
  <c r="H131" i="44"/>
  <c r="G131" i="44"/>
  <c r="H130" i="44"/>
  <c r="G130" i="44"/>
  <c r="H129" i="44"/>
  <c r="G129" i="44"/>
  <c r="H128" i="44"/>
  <c r="G128" i="44"/>
  <c r="H127" i="44"/>
  <c r="G127" i="44"/>
  <c r="H126" i="44"/>
  <c r="G126" i="44"/>
  <c r="H125" i="44"/>
  <c r="G125" i="44"/>
  <c r="H124" i="44"/>
  <c r="G124" i="44"/>
  <c r="H123" i="44"/>
  <c r="G123" i="44"/>
  <c r="H122" i="44"/>
  <c r="G122" i="44"/>
  <c r="H121" i="44"/>
  <c r="G121" i="44"/>
  <c r="H120" i="44"/>
  <c r="G120" i="44"/>
  <c r="H119" i="44"/>
  <c r="G119" i="44"/>
  <c r="H118" i="44"/>
  <c r="G118" i="44"/>
  <c r="H117" i="44"/>
  <c r="G117" i="44"/>
  <c r="H116" i="44"/>
  <c r="G116" i="44"/>
  <c r="H115" i="44"/>
  <c r="G115" i="44"/>
  <c r="H114" i="44"/>
  <c r="G114" i="44"/>
  <c r="H113" i="44"/>
  <c r="G113" i="44"/>
  <c r="I157" i="44" l="1"/>
  <c r="A157" i="44"/>
  <c r="C157" i="44" s="1"/>
  <c r="A125" i="44"/>
  <c r="C125" i="44" s="1"/>
  <c r="I125" i="44"/>
  <c r="A172" i="44"/>
  <c r="C172" i="44" s="1"/>
  <c r="I172" i="44"/>
  <c r="A140" i="44"/>
  <c r="F140" i="44" s="1"/>
  <c r="I140" i="44"/>
  <c r="A162" i="44"/>
  <c r="I162" i="44"/>
  <c r="A146" i="44"/>
  <c r="I146" i="44"/>
  <c r="A122" i="44"/>
  <c r="F122" i="44" s="1"/>
  <c r="I122" i="44"/>
  <c r="A169" i="44"/>
  <c r="C169" i="44" s="1"/>
  <c r="I169" i="44"/>
  <c r="A161" i="44"/>
  <c r="I161" i="44"/>
  <c r="A153" i="44"/>
  <c r="E153" i="44" s="1"/>
  <c r="I153" i="44"/>
  <c r="A145" i="44"/>
  <c r="E145" i="44" s="1"/>
  <c r="I145" i="44"/>
  <c r="A137" i="44"/>
  <c r="C137" i="44" s="1"/>
  <c r="I137" i="44"/>
  <c r="A129" i="44"/>
  <c r="C129" i="44" s="1"/>
  <c r="I129" i="44"/>
  <c r="A121" i="44"/>
  <c r="F121" i="44" s="1"/>
  <c r="I121" i="44"/>
  <c r="I165" i="44"/>
  <c r="A165" i="44"/>
  <c r="E165" i="44" s="1"/>
  <c r="A148" i="44"/>
  <c r="F148" i="44" s="1"/>
  <c r="I148" i="44"/>
  <c r="A130" i="44"/>
  <c r="I130" i="44"/>
  <c r="A168" i="44"/>
  <c r="C168" i="44" s="1"/>
  <c r="I168" i="44"/>
  <c r="A120" i="44"/>
  <c r="C120" i="44" s="1"/>
  <c r="I120" i="44"/>
  <c r="I141" i="44"/>
  <c r="A141" i="44"/>
  <c r="A156" i="44"/>
  <c r="E156" i="44" s="1"/>
  <c r="I156" i="44"/>
  <c r="A170" i="44"/>
  <c r="I170" i="44"/>
  <c r="A138" i="44"/>
  <c r="I138" i="44"/>
  <c r="A152" i="44"/>
  <c r="C152" i="44" s="1"/>
  <c r="I152" i="44"/>
  <c r="A136" i="44"/>
  <c r="C136" i="44" s="1"/>
  <c r="I136" i="44"/>
  <c r="A167" i="44"/>
  <c r="E167" i="44" s="1"/>
  <c r="I167" i="44"/>
  <c r="A151" i="44"/>
  <c r="E151" i="44" s="1"/>
  <c r="I151" i="44"/>
  <c r="A143" i="44"/>
  <c r="E143" i="44" s="1"/>
  <c r="I143" i="44"/>
  <c r="A135" i="44"/>
  <c r="I135" i="44"/>
  <c r="A127" i="44"/>
  <c r="I127" i="44"/>
  <c r="A119" i="44"/>
  <c r="E119" i="44" s="1"/>
  <c r="I119" i="44"/>
  <c r="I149" i="44"/>
  <c r="A149" i="44"/>
  <c r="A132" i="44"/>
  <c r="F132" i="44" s="1"/>
  <c r="I132" i="44"/>
  <c r="A154" i="44"/>
  <c r="I154" i="44"/>
  <c r="A160" i="44"/>
  <c r="C160" i="44" s="1"/>
  <c r="I160" i="44"/>
  <c r="A144" i="44"/>
  <c r="C144" i="44" s="1"/>
  <c r="I144" i="44"/>
  <c r="A128" i="44"/>
  <c r="I128" i="44"/>
  <c r="A159" i="44"/>
  <c r="I159" i="44"/>
  <c r="I166" i="44"/>
  <c r="A166" i="44"/>
  <c r="I158" i="44"/>
  <c r="A158" i="44"/>
  <c r="I150" i="44"/>
  <c r="A150" i="44"/>
  <c r="I142" i="44"/>
  <c r="A142" i="44"/>
  <c r="I134" i="44"/>
  <c r="A134" i="44"/>
  <c r="I126" i="44"/>
  <c r="A126" i="44"/>
  <c r="I118" i="44"/>
  <c r="A118" i="44"/>
  <c r="F118" i="44" s="1"/>
  <c r="I133" i="44"/>
  <c r="A133" i="44"/>
  <c r="A164" i="44"/>
  <c r="F164" i="44" s="1"/>
  <c r="I164" i="44"/>
  <c r="A124" i="44"/>
  <c r="I124" i="44"/>
  <c r="A171" i="44"/>
  <c r="C171" i="44" s="1"/>
  <c r="I171" i="44"/>
  <c r="A163" i="44"/>
  <c r="I163" i="44"/>
  <c r="A155" i="44"/>
  <c r="I155" i="44"/>
  <c r="A147" i="44"/>
  <c r="C147" i="44" s="1"/>
  <c r="I147" i="44"/>
  <c r="A139" i="44"/>
  <c r="I139" i="44"/>
  <c r="A131" i="44"/>
  <c r="I131" i="44"/>
  <c r="A123" i="44"/>
  <c r="F123" i="44" s="1"/>
  <c r="I123" i="44"/>
  <c r="C164" i="44" l="1"/>
  <c r="E164" i="44"/>
  <c r="E122" i="44"/>
  <c r="C123" i="44"/>
  <c r="E132" i="44"/>
  <c r="E123" i="44"/>
  <c r="C148" i="44"/>
  <c r="E140" i="44"/>
  <c r="C140" i="44"/>
  <c r="C122" i="44"/>
  <c r="E148" i="44"/>
  <c r="F159" i="44"/>
  <c r="C159" i="44"/>
  <c r="Q128" i="44"/>
  <c r="S128" i="44"/>
  <c r="P128" i="44"/>
  <c r="R128" i="44"/>
  <c r="S135" i="44"/>
  <c r="R135" i="44"/>
  <c r="P135" i="44"/>
  <c r="Q135" i="44"/>
  <c r="R156" i="44"/>
  <c r="P156" i="44"/>
  <c r="Q156" i="44"/>
  <c r="S156" i="44"/>
  <c r="F146" i="44"/>
  <c r="E146" i="44"/>
  <c r="C146" i="44"/>
  <c r="E159" i="44"/>
  <c r="F139" i="44"/>
  <c r="E139" i="44"/>
  <c r="C139" i="44"/>
  <c r="S150" i="44"/>
  <c r="P150" i="44"/>
  <c r="R150" i="44"/>
  <c r="Q150" i="44"/>
  <c r="F128" i="44"/>
  <c r="E128" i="44"/>
  <c r="F136" i="44"/>
  <c r="E136" i="44"/>
  <c r="F130" i="44"/>
  <c r="C130" i="44"/>
  <c r="E130" i="44"/>
  <c r="Q161" i="44"/>
  <c r="S161" i="44"/>
  <c r="R161" i="44"/>
  <c r="P161" i="44"/>
  <c r="Q162" i="44"/>
  <c r="S162" i="44"/>
  <c r="P162" i="44"/>
  <c r="R162" i="44"/>
  <c r="F126" i="44"/>
  <c r="E126" i="44"/>
  <c r="C126" i="44"/>
  <c r="F149" i="44"/>
  <c r="C149" i="44"/>
  <c r="E149" i="44"/>
  <c r="F141" i="44"/>
  <c r="C141" i="44"/>
  <c r="F161" i="44"/>
  <c r="E161" i="44"/>
  <c r="R157" i="44"/>
  <c r="P157" i="44"/>
  <c r="Q157" i="44"/>
  <c r="S157" i="44"/>
  <c r="F124" i="44"/>
  <c r="C124" i="44"/>
  <c r="F144" i="44"/>
  <c r="E144" i="44"/>
  <c r="P149" i="44"/>
  <c r="R149" i="44"/>
  <c r="Q149" i="44"/>
  <c r="S149" i="44"/>
  <c r="F143" i="44"/>
  <c r="C143" i="44"/>
  <c r="F152" i="44"/>
  <c r="E152" i="44"/>
  <c r="R141" i="44"/>
  <c r="P141" i="44"/>
  <c r="Q141" i="44"/>
  <c r="S141" i="44"/>
  <c r="Q137" i="44"/>
  <c r="S137" i="44"/>
  <c r="P137" i="44"/>
  <c r="R137" i="44"/>
  <c r="P169" i="44"/>
  <c r="S169" i="44"/>
  <c r="Q169" i="44"/>
  <c r="R169" i="44"/>
  <c r="Q140" i="44"/>
  <c r="R140" i="44"/>
  <c r="P140" i="44"/>
  <c r="S140" i="44"/>
  <c r="E121" i="44"/>
  <c r="R123" i="44"/>
  <c r="Q123" i="44"/>
  <c r="S123" i="44"/>
  <c r="P123" i="44"/>
  <c r="Q155" i="44"/>
  <c r="R155" i="44"/>
  <c r="S155" i="44"/>
  <c r="P155" i="44"/>
  <c r="R164" i="44"/>
  <c r="Q164" i="44"/>
  <c r="S164" i="44"/>
  <c r="P164" i="44"/>
  <c r="F134" i="44"/>
  <c r="E134" i="44"/>
  <c r="C134" i="44"/>
  <c r="F166" i="44"/>
  <c r="C166" i="44"/>
  <c r="E166" i="44"/>
  <c r="Q160" i="44"/>
  <c r="P160" i="44"/>
  <c r="S160" i="44"/>
  <c r="R160" i="44"/>
  <c r="R119" i="44"/>
  <c r="S119" i="44"/>
  <c r="P119" i="44"/>
  <c r="Q119" i="44"/>
  <c r="S151" i="44"/>
  <c r="R151" i="44"/>
  <c r="P151" i="44"/>
  <c r="Q151" i="44"/>
  <c r="Q138" i="44"/>
  <c r="S138" i="44"/>
  <c r="P138" i="44"/>
  <c r="R138" i="44"/>
  <c r="P120" i="44"/>
  <c r="Q120" i="44"/>
  <c r="S120" i="44"/>
  <c r="R120" i="44"/>
  <c r="F165" i="44"/>
  <c r="C165" i="44"/>
  <c r="F137" i="44"/>
  <c r="E137" i="44"/>
  <c r="F169" i="44"/>
  <c r="E169" i="44"/>
  <c r="F163" i="44"/>
  <c r="C163" i="44"/>
  <c r="F127" i="44"/>
  <c r="C127" i="44"/>
  <c r="S153" i="44"/>
  <c r="Q153" i="44"/>
  <c r="P153" i="44"/>
  <c r="R153" i="44"/>
  <c r="R139" i="44"/>
  <c r="Q139" i="44"/>
  <c r="S139" i="44"/>
  <c r="P139" i="44"/>
  <c r="F153" i="44"/>
  <c r="C153" i="44"/>
  <c r="F171" i="44"/>
  <c r="E171" i="44"/>
  <c r="F135" i="44"/>
  <c r="C135" i="44"/>
  <c r="P129" i="44"/>
  <c r="Q129" i="44"/>
  <c r="S129" i="44"/>
  <c r="R129" i="44"/>
  <c r="R147" i="44"/>
  <c r="Q147" i="44"/>
  <c r="S147" i="44"/>
  <c r="P147" i="44"/>
  <c r="F129" i="44"/>
  <c r="E129" i="44"/>
  <c r="F147" i="44"/>
  <c r="E147" i="44"/>
  <c r="S166" i="44"/>
  <c r="P166" i="44"/>
  <c r="R166" i="44"/>
  <c r="Q166" i="44"/>
  <c r="F160" i="44"/>
  <c r="E160" i="44"/>
  <c r="F119" i="44"/>
  <c r="C119" i="44"/>
  <c r="F151" i="44"/>
  <c r="C151" i="44"/>
  <c r="F138" i="44"/>
  <c r="E138" i="44"/>
  <c r="C138" i="44"/>
  <c r="F120" i="44"/>
  <c r="E120" i="44"/>
  <c r="P165" i="44"/>
  <c r="R165" i="44"/>
  <c r="Q165" i="44"/>
  <c r="S165" i="44"/>
  <c r="S145" i="44"/>
  <c r="Q145" i="44"/>
  <c r="P145" i="44"/>
  <c r="R145" i="44"/>
  <c r="Q122" i="44"/>
  <c r="S122" i="44"/>
  <c r="P122" i="44"/>
  <c r="R122" i="44"/>
  <c r="P172" i="44"/>
  <c r="R172" i="44"/>
  <c r="S172" i="44"/>
  <c r="Q172" i="44"/>
  <c r="F131" i="44"/>
  <c r="C131" i="44"/>
  <c r="R142" i="44"/>
  <c r="S142" i="44"/>
  <c r="P142" i="44"/>
  <c r="Q142" i="44"/>
  <c r="F154" i="44"/>
  <c r="E154" i="44"/>
  <c r="C154" i="44"/>
  <c r="F168" i="44"/>
  <c r="E168" i="44"/>
  <c r="P125" i="44"/>
  <c r="Q125" i="44"/>
  <c r="R125" i="44"/>
  <c r="S125" i="44"/>
  <c r="F150" i="44"/>
  <c r="E150" i="44"/>
  <c r="C150" i="44"/>
  <c r="R132" i="44"/>
  <c r="Q132" i="44"/>
  <c r="S132" i="44"/>
  <c r="P132" i="44"/>
  <c r="P136" i="44"/>
  <c r="Q136" i="44"/>
  <c r="S136" i="44"/>
  <c r="R136" i="44"/>
  <c r="Q130" i="44"/>
  <c r="S130" i="44"/>
  <c r="P130" i="44"/>
  <c r="R130" i="44"/>
  <c r="C121" i="44"/>
  <c r="S118" i="44"/>
  <c r="P118" i="44"/>
  <c r="R118" i="44"/>
  <c r="Q118" i="44"/>
  <c r="F156" i="44"/>
  <c r="C156" i="44"/>
  <c r="F157" i="44"/>
  <c r="E157" i="44"/>
  <c r="R124" i="44"/>
  <c r="S124" i="44"/>
  <c r="Q124" i="44"/>
  <c r="P124" i="44"/>
  <c r="F158" i="44"/>
  <c r="E158" i="44"/>
  <c r="C158" i="44"/>
  <c r="Q144" i="44"/>
  <c r="P144" i="44"/>
  <c r="S144" i="44"/>
  <c r="R144" i="44"/>
  <c r="P143" i="44"/>
  <c r="S143" i="44"/>
  <c r="R143" i="44"/>
  <c r="Q143" i="44"/>
  <c r="Q152" i="44"/>
  <c r="S152" i="44"/>
  <c r="P152" i="44"/>
  <c r="R152" i="44"/>
  <c r="R148" i="44"/>
  <c r="Q148" i="44"/>
  <c r="S148" i="44"/>
  <c r="P148" i="44"/>
  <c r="F162" i="44"/>
  <c r="C162" i="44"/>
  <c r="E162" i="44"/>
  <c r="C161" i="44"/>
  <c r="S126" i="44"/>
  <c r="P126" i="44"/>
  <c r="R126" i="44"/>
  <c r="Q126" i="44"/>
  <c r="S158" i="44"/>
  <c r="P158" i="44"/>
  <c r="R158" i="44"/>
  <c r="Q158" i="44"/>
  <c r="E127" i="44"/>
  <c r="E131" i="44"/>
  <c r="F155" i="44"/>
  <c r="C155" i="44"/>
  <c r="E155" i="44"/>
  <c r="S134" i="44"/>
  <c r="P134" i="44"/>
  <c r="R134" i="44"/>
  <c r="Q134" i="44"/>
  <c r="C128" i="44"/>
  <c r="E135" i="44"/>
  <c r="E141" i="44"/>
  <c r="E124" i="44"/>
  <c r="C132" i="44"/>
  <c r="Q131" i="44"/>
  <c r="R131" i="44"/>
  <c r="S131" i="44"/>
  <c r="P131" i="44"/>
  <c r="R163" i="44"/>
  <c r="Q163" i="44"/>
  <c r="S163" i="44"/>
  <c r="P163" i="44"/>
  <c r="F133" i="44"/>
  <c r="C133" i="44"/>
  <c r="E133" i="44"/>
  <c r="F142" i="44"/>
  <c r="C142" i="44"/>
  <c r="E142" i="44"/>
  <c r="P159" i="44"/>
  <c r="S159" i="44"/>
  <c r="R159" i="44"/>
  <c r="Q159" i="44"/>
  <c r="S154" i="44"/>
  <c r="Q154" i="44"/>
  <c r="P154" i="44"/>
  <c r="R154" i="44"/>
  <c r="P127" i="44"/>
  <c r="S127" i="44"/>
  <c r="R127" i="44"/>
  <c r="Q127" i="44"/>
  <c r="R167" i="44"/>
  <c r="S167" i="44"/>
  <c r="P167" i="44"/>
  <c r="Q167" i="44"/>
  <c r="S170" i="44"/>
  <c r="Q170" i="44"/>
  <c r="P170" i="44"/>
  <c r="R170" i="44"/>
  <c r="Q168" i="44"/>
  <c r="P168" i="44"/>
  <c r="S168" i="44"/>
  <c r="R168" i="44"/>
  <c r="S121" i="44"/>
  <c r="Q121" i="44"/>
  <c r="P121" i="44"/>
  <c r="R121" i="44"/>
  <c r="F145" i="44"/>
  <c r="C145" i="44"/>
  <c r="F172" i="44"/>
  <c r="E172" i="44"/>
  <c r="P133" i="44"/>
  <c r="R133" i="44"/>
  <c r="Q133" i="44"/>
  <c r="S133" i="44"/>
  <c r="F170" i="44"/>
  <c r="E170" i="44"/>
  <c r="C170" i="44"/>
  <c r="F125" i="44"/>
  <c r="E125" i="44"/>
  <c r="F167" i="44"/>
  <c r="C167" i="44"/>
  <c r="S146" i="44"/>
  <c r="Q146" i="44"/>
  <c r="P146" i="44"/>
  <c r="R146" i="44"/>
  <c r="E163" i="44"/>
  <c r="R171" i="44"/>
  <c r="Q171" i="44"/>
  <c r="S171" i="44"/>
  <c r="P171" i="44"/>
  <c r="E118" i="44"/>
  <c r="C118" i="44"/>
  <c r="A2" i="56" l="1"/>
  <c r="S30" i="54" l="1"/>
  <c r="N30" i="54"/>
  <c r="I30" i="54"/>
  <c r="D118" i="44"/>
  <c r="D119" i="44"/>
  <c r="D120" i="44"/>
  <c r="D121" i="44"/>
  <c r="D122" i="44"/>
  <c r="D123" i="44"/>
  <c r="D124" i="44"/>
  <c r="D125" i="44"/>
  <c r="D126" i="44"/>
  <c r="D127" i="44"/>
  <c r="D128" i="44"/>
  <c r="D129" i="44"/>
  <c r="D130" i="44"/>
  <c r="D131" i="44"/>
  <c r="D132" i="44"/>
  <c r="D133" i="44"/>
  <c r="D134" i="44"/>
  <c r="D135" i="44"/>
  <c r="D136" i="44"/>
  <c r="D137" i="44"/>
  <c r="D138" i="44"/>
  <c r="D139" i="44"/>
  <c r="D140" i="44"/>
  <c r="D141" i="44"/>
  <c r="D142" i="44"/>
  <c r="D143" i="44"/>
  <c r="D144" i="44"/>
  <c r="D145" i="44"/>
  <c r="D146" i="44"/>
  <c r="D147" i="44"/>
  <c r="D148" i="44"/>
  <c r="D149" i="44"/>
  <c r="D150" i="44"/>
  <c r="D151" i="44"/>
  <c r="D152" i="44"/>
  <c r="D153" i="44"/>
  <c r="D154" i="44"/>
  <c r="D155" i="44"/>
  <c r="D156" i="44"/>
  <c r="D157" i="44"/>
  <c r="D158" i="44"/>
  <c r="D159" i="44"/>
  <c r="D160" i="44"/>
  <c r="D161" i="44"/>
  <c r="D162" i="44"/>
  <c r="D163" i="44"/>
  <c r="D164" i="44"/>
  <c r="D165" i="44"/>
  <c r="D166" i="44"/>
  <c r="D167" i="44"/>
  <c r="D168" i="44"/>
  <c r="D169" i="44"/>
  <c r="D170" i="44"/>
  <c r="D171" i="44"/>
  <c r="D172" i="44"/>
  <c r="B144" i="44" l="1"/>
  <c r="B120" i="44"/>
  <c r="B167" i="44"/>
  <c r="B135" i="44"/>
  <c r="B119" i="44"/>
  <c r="B158" i="44"/>
  <c r="B150" i="44"/>
  <c r="B134" i="44"/>
  <c r="B126" i="44"/>
  <c r="B118" i="44"/>
  <c r="B165" i="44"/>
  <c r="B157" i="44"/>
  <c r="B149" i="44"/>
  <c r="B141" i="44"/>
  <c r="B133" i="44"/>
  <c r="B125" i="44"/>
  <c r="B160" i="44"/>
  <c r="B172" i="44"/>
  <c r="B156" i="44"/>
  <c r="B132" i="44"/>
  <c r="B163" i="44"/>
  <c r="B139" i="44"/>
  <c r="B159" i="44"/>
  <c r="B164" i="44"/>
  <c r="B140" i="44"/>
  <c r="B124" i="44"/>
  <c r="B155" i="44"/>
  <c r="B131" i="44"/>
  <c r="B170" i="44"/>
  <c r="B162" i="44"/>
  <c r="B154" i="44"/>
  <c r="B146" i="44"/>
  <c r="B138" i="44"/>
  <c r="B130" i="44"/>
  <c r="B122" i="44"/>
  <c r="B148" i="44"/>
  <c r="B171" i="44"/>
  <c r="B147" i="44"/>
  <c r="B123" i="44"/>
  <c r="B169" i="44"/>
  <c r="B161" i="44"/>
  <c r="B153" i="44"/>
  <c r="B145" i="44"/>
  <c r="B137" i="44"/>
  <c r="B129" i="44"/>
  <c r="B121" i="44"/>
  <c r="B136" i="44"/>
  <c r="B128" i="44"/>
  <c r="B168" i="44"/>
  <c r="B143" i="44"/>
  <c r="B152" i="44"/>
  <c r="B151" i="44"/>
  <c r="B127" i="44"/>
  <c r="B166" i="44"/>
  <c r="B142" i="44"/>
  <c r="S2" i="55"/>
  <c r="FG90" i="51" l="1"/>
  <c r="FG43" i="51"/>
  <c r="FG44" i="51"/>
  <c r="FG45" i="51"/>
  <c r="FG46" i="51"/>
  <c r="FG47" i="51"/>
  <c r="FG48" i="51"/>
  <c r="FG49" i="51"/>
  <c r="FG50" i="51"/>
  <c r="FG51" i="51"/>
  <c r="FG52" i="51"/>
  <c r="FG53" i="51"/>
  <c r="FG54" i="51"/>
  <c r="FG55" i="51"/>
  <c r="FG56" i="51"/>
  <c r="FG57" i="51"/>
  <c r="FG58" i="51"/>
  <c r="FG59" i="51"/>
  <c r="FG60" i="51"/>
  <c r="FG61" i="51"/>
  <c r="FG62" i="51"/>
  <c r="FG63" i="51"/>
  <c r="FG64" i="51"/>
  <c r="FG65" i="51"/>
  <c r="FG66" i="51"/>
  <c r="FG67" i="51"/>
  <c r="FG68" i="51"/>
  <c r="FG69" i="51"/>
  <c r="FG70" i="51"/>
  <c r="FG71" i="51"/>
  <c r="FG72" i="51"/>
  <c r="FG73" i="51"/>
  <c r="FG74" i="51"/>
  <c r="FG75" i="51"/>
  <c r="FG76" i="51"/>
  <c r="FG77" i="51"/>
  <c r="FG78" i="51"/>
  <c r="FG79" i="51"/>
  <c r="FG80" i="51"/>
  <c r="FG81" i="51"/>
  <c r="FG82" i="51"/>
  <c r="FG83" i="51"/>
  <c r="FG84" i="51"/>
  <c r="FG85" i="51"/>
  <c r="FG86" i="51"/>
  <c r="FG87" i="51"/>
  <c r="FG88" i="51"/>
  <c r="FG89" i="51"/>
  <c r="FG91" i="51"/>
  <c r="FG92" i="51"/>
  <c r="FG93" i="51"/>
  <c r="FG94" i="51"/>
  <c r="FD68" i="51"/>
  <c r="FD84" i="51"/>
  <c r="FD92" i="51"/>
  <c r="FD45" i="51"/>
  <c r="FD53" i="51"/>
  <c r="FD61" i="51"/>
  <c r="FD69" i="51"/>
  <c r="FD77" i="51"/>
  <c r="FD85" i="51"/>
  <c r="FD93" i="51"/>
  <c r="FD46" i="51"/>
  <c r="FD54" i="51"/>
  <c r="FD62" i="51"/>
  <c r="FD70" i="51"/>
  <c r="FD78" i="51"/>
  <c r="FD86" i="51"/>
  <c r="FD94" i="51"/>
  <c r="FD47" i="51"/>
  <c r="FD55" i="51"/>
  <c r="FD63" i="51"/>
  <c r="FD71" i="51"/>
  <c r="FD79" i="51"/>
  <c r="FD87" i="51"/>
  <c r="FD43" i="51"/>
  <c r="FD48" i="51"/>
  <c r="FD64" i="51"/>
  <c r="FD72" i="51"/>
  <c r="FD80" i="51"/>
  <c r="FD88" i="51"/>
  <c r="FD56" i="51"/>
  <c r="FD49" i="51"/>
  <c r="FD57" i="51"/>
  <c r="FD65" i="51"/>
  <c r="FD73" i="51"/>
  <c r="FD81" i="51"/>
  <c r="FD89" i="51"/>
  <c r="FD50" i="51"/>
  <c r="FD58" i="51"/>
  <c r="FD66" i="51"/>
  <c r="FD74" i="51"/>
  <c r="FD82" i="51"/>
  <c r="FD90" i="51"/>
  <c r="FD51" i="51"/>
  <c r="FD59" i="51"/>
  <c r="FD67" i="51"/>
  <c r="FD75" i="51"/>
  <c r="FD83" i="51"/>
  <c r="FD91" i="51"/>
  <c r="FD44" i="51"/>
  <c r="FD52" i="51"/>
  <c r="FD60" i="51"/>
  <c r="FD76" i="51"/>
  <c r="FJ45" i="51"/>
  <c r="FJ47" i="51"/>
  <c r="FJ49" i="51"/>
  <c r="FJ51" i="51"/>
  <c r="FJ53" i="51"/>
  <c r="FJ55" i="51"/>
  <c r="FJ57" i="51"/>
  <c r="FJ59" i="51"/>
  <c r="FJ61" i="51"/>
  <c r="FJ63" i="51"/>
  <c r="FJ65" i="51"/>
  <c r="FJ67" i="51"/>
  <c r="FJ69" i="51"/>
  <c r="FJ71" i="51"/>
  <c r="FJ73" i="51"/>
  <c r="FJ75" i="51"/>
  <c r="FJ77" i="51"/>
  <c r="FJ79" i="51"/>
  <c r="FJ81" i="51"/>
  <c r="FJ83" i="51"/>
  <c r="FJ85" i="51"/>
  <c r="FJ87" i="51"/>
  <c r="FJ89" i="51"/>
  <c r="FJ91" i="51"/>
  <c r="FJ93" i="51"/>
  <c r="FJ43" i="51"/>
  <c r="FJ44" i="51"/>
  <c r="FJ46" i="51"/>
  <c r="FJ48" i="51"/>
  <c r="FJ50" i="51"/>
  <c r="FJ52" i="51"/>
  <c r="FJ54" i="51"/>
  <c r="FJ56" i="51"/>
  <c r="FJ58" i="51"/>
  <c r="FJ60" i="51"/>
  <c r="FJ62" i="51"/>
  <c r="FJ64" i="51"/>
  <c r="FJ66" i="51"/>
  <c r="FJ68" i="51"/>
  <c r="FJ70" i="51"/>
  <c r="FJ72" i="51"/>
  <c r="FJ74" i="51"/>
  <c r="FJ76" i="51"/>
  <c r="FJ78" i="51"/>
  <c r="FJ80" i="51"/>
  <c r="FJ82" i="51"/>
  <c r="FJ84" i="51"/>
  <c r="FJ86" i="51"/>
  <c r="FJ88" i="51"/>
  <c r="FJ90" i="51"/>
  <c r="FJ92" i="51"/>
  <c r="FJ94" i="51"/>
  <c r="FK45" i="51"/>
  <c r="FK47" i="51"/>
  <c r="FK49" i="51"/>
  <c r="FK51" i="51"/>
  <c r="FK53" i="51"/>
  <c r="FK55" i="51"/>
  <c r="FK57" i="51"/>
  <c r="FK59" i="51"/>
  <c r="FK61" i="51"/>
  <c r="FK63" i="51"/>
  <c r="FK65" i="51"/>
  <c r="FK67" i="51"/>
  <c r="FK69" i="51"/>
  <c r="FK71" i="51"/>
  <c r="FK73" i="51"/>
  <c r="FK75" i="51"/>
  <c r="FK77" i="51"/>
  <c r="FK79" i="51"/>
  <c r="FK81" i="51"/>
  <c r="FK83" i="51"/>
  <c r="FK85" i="51"/>
  <c r="FK87" i="51"/>
  <c r="FK89" i="51"/>
  <c r="FK91" i="51"/>
  <c r="FK93" i="51"/>
  <c r="FK43" i="51"/>
  <c r="FK44" i="51"/>
  <c r="FK46" i="51"/>
  <c r="FK48" i="51"/>
  <c r="FK50" i="51"/>
  <c r="FK52" i="51"/>
  <c r="FK54" i="51"/>
  <c r="FK56" i="51"/>
  <c r="FK58" i="51"/>
  <c r="FK60" i="51"/>
  <c r="FK62" i="51"/>
  <c r="FK64" i="51"/>
  <c r="FK66" i="51"/>
  <c r="FK68" i="51"/>
  <c r="FK70" i="51"/>
  <c r="FK72" i="51"/>
  <c r="FK74" i="51"/>
  <c r="FK76" i="51"/>
  <c r="FK78" i="51"/>
  <c r="FK80" i="51"/>
  <c r="FK82" i="51"/>
  <c r="FK84" i="51"/>
  <c r="FK86" i="51"/>
  <c r="FK88" i="51"/>
  <c r="FK90" i="51"/>
  <c r="FK92" i="51"/>
  <c r="FK94" i="51"/>
  <c r="FL44" i="51"/>
  <c r="FL46" i="51"/>
  <c r="FL48" i="51"/>
  <c r="FL50" i="51"/>
  <c r="FL52" i="51"/>
  <c r="FL54" i="51"/>
  <c r="FL56" i="51"/>
  <c r="FL58" i="51"/>
  <c r="FL60" i="51"/>
  <c r="FL62" i="51"/>
  <c r="FL64" i="51"/>
  <c r="FL66" i="51"/>
  <c r="FL68" i="51"/>
  <c r="FL70" i="51"/>
  <c r="FL72" i="51"/>
  <c r="FL74" i="51"/>
  <c r="FL76" i="51"/>
  <c r="FL78" i="51"/>
  <c r="FL80" i="51"/>
  <c r="FL82" i="51"/>
  <c r="FL84" i="51"/>
  <c r="FL86" i="51"/>
  <c r="FL88" i="51"/>
  <c r="FL90" i="51"/>
  <c r="FL92" i="51"/>
  <c r="FL94" i="51"/>
  <c r="FL45" i="51"/>
  <c r="FL47" i="51"/>
  <c r="FL49" i="51"/>
  <c r="FL51" i="51"/>
  <c r="FL53" i="51"/>
  <c r="FL55" i="51"/>
  <c r="FL57" i="51"/>
  <c r="FL59" i="51"/>
  <c r="FL61" i="51"/>
  <c r="FL63" i="51"/>
  <c r="FL65" i="51"/>
  <c r="FL67" i="51"/>
  <c r="FL69" i="51"/>
  <c r="FL71" i="51"/>
  <c r="FL73" i="51"/>
  <c r="FL75" i="51"/>
  <c r="FL77" i="51"/>
  <c r="FL79" i="51"/>
  <c r="FL81" i="51"/>
  <c r="FL83" i="51"/>
  <c r="FL85" i="51"/>
  <c r="FL87" i="51"/>
  <c r="FL89" i="51"/>
  <c r="FL91" i="51"/>
  <c r="FL93" i="51"/>
  <c r="FL43" i="51"/>
  <c r="AE131" i="51"/>
  <c r="AE136" i="51" s="1"/>
  <c r="AE141" i="51" s="1"/>
  <c r="AE146" i="51" s="1"/>
  <c r="AE151" i="51" s="1"/>
  <c r="AE156" i="51" s="1"/>
  <c r="AE161" i="51" s="1"/>
  <c r="AE166" i="51" s="1"/>
  <c r="AE171" i="51" s="1"/>
  <c r="AE176" i="51" s="1"/>
  <c r="AE181" i="51" s="1"/>
  <c r="AE186" i="51" s="1"/>
  <c r="AE191" i="51" s="1"/>
  <c r="AE196" i="51" s="1"/>
  <c r="AE201" i="51" s="1"/>
  <c r="AE206" i="51" s="1"/>
  <c r="AE211" i="51" s="1"/>
  <c r="AE216" i="51" s="1"/>
  <c r="AE221" i="51" s="1"/>
  <c r="AE226" i="51" s="1"/>
  <c r="AE132" i="51"/>
  <c r="AE137" i="51" s="1"/>
  <c r="AE142" i="51" s="1"/>
  <c r="AE147" i="51" s="1"/>
  <c r="AE152" i="51" s="1"/>
  <c r="AE157" i="51" s="1"/>
  <c r="AE162" i="51" s="1"/>
  <c r="AE167" i="51" s="1"/>
  <c r="AE172" i="51" s="1"/>
  <c r="AE177" i="51" s="1"/>
  <c r="AE182" i="51" s="1"/>
  <c r="AE187" i="51" s="1"/>
  <c r="AE192" i="51" s="1"/>
  <c r="AE197" i="51" s="1"/>
  <c r="AE202" i="51" s="1"/>
  <c r="AE207" i="51" s="1"/>
  <c r="AE212" i="51" s="1"/>
  <c r="AE217" i="51" s="1"/>
  <c r="AE222" i="51" s="1"/>
  <c r="AE227" i="51" s="1"/>
  <c r="AE133" i="51"/>
  <c r="AE138" i="51" s="1"/>
  <c r="AE143" i="51" s="1"/>
  <c r="AE148" i="51" s="1"/>
  <c r="AE153" i="51" s="1"/>
  <c r="AE158" i="51" s="1"/>
  <c r="AE163" i="51" s="1"/>
  <c r="AE168" i="51" s="1"/>
  <c r="AE173" i="51" s="1"/>
  <c r="AE178" i="51" s="1"/>
  <c r="AE183" i="51" s="1"/>
  <c r="AE188" i="51" s="1"/>
  <c r="AE193" i="51" s="1"/>
  <c r="AE198" i="51" s="1"/>
  <c r="AE203" i="51" s="1"/>
  <c r="AE208" i="51" s="1"/>
  <c r="AE213" i="51" s="1"/>
  <c r="AE218" i="51" s="1"/>
  <c r="AE223" i="51" s="1"/>
  <c r="AE228" i="51" s="1"/>
  <c r="AE134" i="51"/>
  <c r="AE139" i="51" s="1"/>
  <c r="AE144" i="51" s="1"/>
  <c r="AE149" i="51" s="1"/>
  <c r="AE154" i="51" s="1"/>
  <c r="AE159" i="51" s="1"/>
  <c r="AE164" i="51" s="1"/>
  <c r="AE169" i="51" s="1"/>
  <c r="AE174" i="51" s="1"/>
  <c r="AE179" i="51" s="1"/>
  <c r="AE184" i="51" s="1"/>
  <c r="AE189" i="51" s="1"/>
  <c r="AE194" i="51" s="1"/>
  <c r="AE199" i="51" s="1"/>
  <c r="AE204" i="51" s="1"/>
  <c r="AE209" i="51" s="1"/>
  <c r="AE214" i="51" s="1"/>
  <c r="AE219" i="51" s="1"/>
  <c r="AE224" i="51" s="1"/>
  <c r="AE229" i="51" s="1"/>
  <c r="AE130" i="51"/>
  <c r="AE135" i="51" s="1"/>
  <c r="AE140" i="51" s="1"/>
  <c r="AE145" i="51" s="1"/>
  <c r="AE150" i="51" s="1"/>
  <c r="AE155" i="51" s="1"/>
  <c r="AE160" i="51" s="1"/>
  <c r="AE165" i="51" s="1"/>
  <c r="AE170" i="51" s="1"/>
  <c r="AE175" i="51" s="1"/>
  <c r="AE180" i="51" s="1"/>
  <c r="AE185" i="51" s="1"/>
  <c r="AE190" i="51" s="1"/>
  <c r="AE195" i="51" s="1"/>
  <c r="AE200" i="51" s="1"/>
  <c r="AE205" i="51" s="1"/>
  <c r="AE210" i="51" s="1"/>
  <c r="AE215" i="51" s="1"/>
  <c r="AE220" i="51" s="1"/>
  <c r="AE225" i="51" s="1"/>
  <c r="O21" i="44"/>
  <c r="FL98" i="51" l="1"/>
  <c r="FK98" i="51"/>
  <c r="FG98" i="51"/>
  <c r="FD98" i="51"/>
  <c r="FJ98" i="51"/>
  <c r="FG96" i="51"/>
  <c r="FG97" i="51"/>
  <c r="FD97" i="51"/>
  <c r="FD96" i="51"/>
  <c r="FK96" i="51"/>
  <c r="FK97" i="51"/>
  <c r="FL97" i="51"/>
  <c r="FL96" i="51"/>
  <c r="FJ96" i="51"/>
  <c r="FJ97" i="51"/>
  <c r="C2" i="55" l="1"/>
  <c r="HS43" i="51" l="1"/>
  <c r="HT43" i="51"/>
  <c r="HV43" i="51"/>
  <c r="HW43" i="51"/>
  <c r="IB43" i="51"/>
  <c r="IC43" i="51"/>
  <c r="ID43" i="51"/>
  <c r="IE43" i="51"/>
  <c r="IF43" i="51"/>
  <c r="IG43" i="51"/>
  <c r="IH43" i="51"/>
  <c r="II43" i="51"/>
  <c r="IJ43" i="51"/>
  <c r="IK43" i="51"/>
  <c r="IL43" i="51"/>
  <c r="IM43" i="51"/>
  <c r="IN43" i="51"/>
  <c r="IO43" i="51"/>
  <c r="IP43" i="51"/>
  <c r="IQ43" i="51"/>
  <c r="IR43" i="51"/>
  <c r="IS43" i="51"/>
  <c r="IT43" i="51"/>
  <c r="IU43" i="51"/>
  <c r="IV43" i="51"/>
  <c r="IW43" i="51"/>
  <c r="IX43" i="51"/>
  <c r="IY43" i="51"/>
  <c r="IZ43" i="51"/>
  <c r="JA43" i="51"/>
  <c r="JB43" i="51"/>
  <c r="JC43" i="51"/>
  <c r="JD43" i="51"/>
  <c r="JE43" i="51"/>
  <c r="JF43" i="51"/>
  <c r="JG43" i="51"/>
  <c r="JH43" i="51"/>
  <c r="JI43" i="51"/>
  <c r="JJ43" i="51"/>
  <c r="JK43" i="51"/>
  <c r="JL43" i="51"/>
  <c r="JM43" i="51"/>
  <c r="JN43" i="51"/>
  <c r="JO43" i="51"/>
  <c r="JP43" i="51"/>
  <c r="JQ43" i="51"/>
  <c r="JR43" i="51"/>
  <c r="JS43" i="51"/>
  <c r="JT43" i="51"/>
  <c r="JU43" i="51"/>
  <c r="JV43" i="51"/>
  <c r="JW43" i="51"/>
  <c r="JX43" i="51"/>
  <c r="JY43" i="51"/>
  <c r="HS44" i="51"/>
  <c r="HT44" i="51"/>
  <c r="HV44" i="51"/>
  <c r="HW44" i="51"/>
  <c r="IB44" i="51"/>
  <c r="IC44" i="51"/>
  <c r="ID44" i="51"/>
  <c r="IE44" i="51"/>
  <c r="IF44" i="51"/>
  <c r="IG44" i="51"/>
  <c r="IH44" i="51"/>
  <c r="II44" i="51"/>
  <c r="IJ44" i="51"/>
  <c r="IK44" i="51"/>
  <c r="IL44" i="51"/>
  <c r="IM44" i="51"/>
  <c r="IN44" i="51"/>
  <c r="IO44" i="51"/>
  <c r="IP44" i="51"/>
  <c r="IQ44" i="51"/>
  <c r="IR44" i="51"/>
  <c r="IS44" i="51"/>
  <c r="IT44" i="51"/>
  <c r="IU44" i="51"/>
  <c r="IV44" i="51"/>
  <c r="IW44" i="51"/>
  <c r="IX44" i="51"/>
  <c r="IY44" i="51"/>
  <c r="IZ44" i="51"/>
  <c r="JA44" i="51"/>
  <c r="JB44" i="51"/>
  <c r="JC44" i="51"/>
  <c r="JD44" i="51"/>
  <c r="JE44" i="51"/>
  <c r="JF44" i="51"/>
  <c r="JG44" i="51"/>
  <c r="JH44" i="51"/>
  <c r="JI44" i="51"/>
  <c r="JJ44" i="51"/>
  <c r="JK44" i="51"/>
  <c r="JL44" i="51"/>
  <c r="JM44" i="51"/>
  <c r="JN44" i="51"/>
  <c r="JO44" i="51"/>
  <c r="JP44" i="51"/>
  <c r="JQ44" i="51"/>
  <c r="JR44" i="51"/>
  <c r="JS44" i="51"/>
  <c r="JT44" i="51"/>
  <c r="JU44" i="51"/>
  <c r="JV44" i="51"/>
  <c r="JW44" i="51"/>
  <c r="JX44" i="51"/>
  <c r="JY44" i="51"/>
  <c r="HS45" i="51"/>
  <c r="HT45" i="51"/>
  <c r="HV45" i="51"/>
  <c r="HW45" i="51"/>
  <c r="IB45" i="51"/>
  <c r="IC45" i="51"/>
  <c r="ID45" i="51"/>
  <c r="IE45" i="51"/>
  <c r="IF45" i="51"/>
  <c r="IG45" i="51"/>
  <c r="IH45" i="51"/>
  <c r="II45" i="51"/>
  <c r="IJ45" i="51"/>
  <c r="IK45" i="51"/>
  <c r="IL45" i="51"/>
  <c r="IM45" i="51"/>
  <c r="IN45" i="51"/>
  <c r="IO45" i="51"/>
  <c r="IP45" i="51"/>
  <c r="IQ45" i="51"/>
  <c r="IR45" i="51"/>
  <c r="IS45" i="51"/>
  <c r="IT45" i="51"/>
  <c r="IU45" i="51"/>
  <c r="IV45" i="51"/>
  <c r="IW45" i="51"/>
  <c r="IX45" i="51"/>
  <c r="IY45" i="51"/>
  <c r="IZ45" i="51"/>
  <c r="JA45" i="51"/>
  <c r="JB45" i="51"/>
  <c r="JC45" i="51"/>
  <c r="JD45" i="51"/>
  <c r="JE45" i="51"/>
  <c r="JF45" i="51"/>
  <c r="JG45" i="51"/>
  <c r="JH45" i="51"/>
  <c r="JI45" i="51"/>
  <c r="JJ45" i="51"/>
  <c r="JK45" i="51"/>
  <c r="JL45" i="51"/>
  <c r="JM45" i="51"/>
  <c r="JN45" i="51"/>
  <c r="JO45" i="51"/>
  <c r="JP45" i="51"/>
  <c r="JQ45" i="51"/>
  <c r="JR45" i="51"/>
  <c r="JS45" i="51"/>
  <c r="JT45" i="51"/>
  <c r="JU45" i="51"/>
  <c r="JV45" i="51"/>
  <c r="JW45" i="51"/>
  <c r="JX45" i="51"/>
  <c r="JY45" i="51"/>
  <c r="HS46" i="51"/>
  <c r="HT46" i="51"/>
  <c r="HV46" i="51"/>
  <c r="HW46" i="51"/>
  <c r="IB46" i="51"/>
  <c r="IC46" i="51"/>
  <c r="ID46" i="51"/>
  <c r="IE46" i="51"/>
  <c r="IF46" i="51"/>
  <c r="IG46" i="51"/>
  <c r="IH46" i="51"/>
  <c r="II46" i="51"/>
  <c r="IJ46" i="51"/>
  <c r="IK46" i="51"/>
  <c r="IL46" i="51"/>
  <c r="IM46" i="51"/>
  <c r="IN46" i="51"/>
  <c r="IO46" i="51"/>
  <c r="IP46" i="51"/>
  <c r="IQ46" i="51"/>
  <c r="IR46" i="51"/>
  <c r="IS46" i="51"/>
  <c r="IT46" i="51"/>
  <c r="IU46" i="51"/>
  <c r="IV46" i="51"/>
  <c r="IW46" i="51"/>
  <c r="IX46" i="51"/>
  <c r="IY46" i="51"/>
  <c r="IZ46" i="51"/>
  <c r="JA46" i="51"/>
  <c r="JB46" i="51"/>
  <c r="JC46" i="51"/>
  <c r="JD46" i="51"/>
  <c r="JE46" i="51"/>
  <c r="JF46" i="51"/>
  <c r="JG46" i="51"/>
  <c r="JH46" i="51"/>
  <c r="JI46" i="51"/>
  <c r="JJ46" i="51"/>
  <c r="JK46" i="51"/>
  <c r="JL46" i="51"/>
  <c r="JM46" i="51"/>
  <c r="JN46" i="51"/>
  <c r="JO46" i="51"/>
  <c r="JP46" i="51"/>
  <c r="JQ46" i="51"/>
  <c r="JR46" i="51"/>
  <c r="JS46" i="51"/>
  <c r="JT46" i="51"/>
  <c r="JU46" i="51"/>
  <c r="JV46" i="51"/>
  <c r="JW46" i="51"/>
  <c r="JX46" i="51"/>
  <c r="JY46" i="51"/>
  <c r="HS47" i="51"/>
  <c r="HT47" i="51"/>
  <c r="HV47" i="51"/>
  <c r="HW47" i="51"/>
  <c r="IB47" i="51"/>
  <c r="IC47" i="51"/>
  <c r="ID47" i="51"/>
  <c r="IE47" i="51"/>
  <c r="IF47" i="51"/>
  <c r="IG47" i="51"/>
  <c r="IH47" i="51"/>
  <c r="II47" i="51"/>
  <c r="IJ47" i="51"/>
  <c r="IK47" i="51"/>
  <c r="IL47" i="51"/>
  <c r="IM47" i="51"/>
  <c r="IN47" i="51"/>
  <c r="IO47" i="51"/>
  <c r="IP47" i="51"/>
  <c r="IQ47" i="51"/>
  <c r="IR47" i="51"/>
  <c r="IS47" i="51"/>
  <c r="IT47" i="51"/>
  <c r="IU47" i="51"/>
  <c r="IV47" i="51"/>
  <c r="IW47" i="51"/>
  <c r="IX47" i="51"/>
  <c r="IY47" i="51"/>
  <c r="IZ47" i="51"/>
  <c r="JA47" i="51"/>
  <c r="JB47" i="51"/>
  <c r="JC47" i="51"/>
  <c r="JD47" i="51"/>
  <c r="JE47" i="51"/>
  <c r="JF47" i="51"/>
  <c r="JG47" i="51"/>
  <c r="JH47" i="51"/>
  <c r="JI47" i="51"/>
  <c r="JJ47" i="51"/>
  <c r="JK47" i="51"/>
  <c r="JL47" i="51"/>
  <c r="JM47" i="51"/>
  <c r="JN47" i="51"/>
  <c r="JO47" i="51"/>
  <c r="JP47" i="51"/>
  <c r="JQ47" i="51"/>
  <c r="JR47" i="51"/>
  <c r="JS47" i="51"/>
  <c r="JT47" i="51"/>
  <c r="JU47" i="51"/>
  <c r="JV47" i="51"/>
  <c r="JW47" i="51"/>
  <c r="JX47" i="51"/>
  <c r="JY47" i="51"/>
  <c r="HS48" i="51"/>
  <c r="HT48" i="51"/>
  <c r="HV48" i="51"/>
  <c r="HW48" i="51"/>
  <c r="IB48" i="51"/>
  <c r="IC48" i="51"/>
  <c r="ID48" i="51"/>
  <c r="IE48" i="51"/>
  <c r="IF48" i="51"/>
  <c r="IG48" i="51"/>
  <c r="IH48" i="51"/>
  <c r="II48" i="51"/>
  <c r="IJ48" i="51"/>
  <c r="IK48" i="51"/>
  <c r="IL48" i="51"/>
  <c r="IM48" i="51"/>
  <c r="IN48" i="51"/>
  <c r="IO48" i="51"/>
  <c r="IP48" i="51"/>
  <c r="IQ48" i="51"/>
  <c r="IR48" i="51"/>
  <c r="IS48" i="51"/>
  <c r="IT48" i="51"/>
  <c r="IU48" i="51"/>
  <c r="IV48" i="51"/>
  <c r="IW48" i="51"/>
  <c r="IX48" i="51"/>
  <c r="IY48" i="51"/>
  <c r="IZ48" i="51"/>
  <c r="JA48" i="51"/>
  <c r="JB48" i="51"/>
  <c r="JC48" i="51"/>
  <c r="JD48" i="51"/>
  <c r="JE48" i="51"/>
  <c r="JF48" i="51"/>
  <c r="JG48" i="51"/>
  <c r="JH48" i="51"/>
  <c r="JI48" i="51"/>
  <c r="JJ48" i="51"/>
  <c r="JK48" i="51"/>
  <c r="JL48" i="51"/>
  <c r="JM48" i="51"/>
  <c r="JN48" i="51"/>
  <c r="JO48" i="51"/>
  <c r="JP48" i="51"/>
  <c r="JQ48" i="51"/>
  <c r="JR48" i="51"/>
  <c r="JS48" i="51"/>
  <c r="JT48" i="51"/>
  <c r="JU48" i="51"/>
  <c r="JV48" i="51"/>
  <c r="JW48" i="51"/>
  <c r="JX48" i="51"/>
  <c r="JY48" i="51"/>
  <c r="HS49" i="51"/>
  <c r="HT49" i="51"/>
  <c r="HV49" i="51"/>
  <c r="HW49" i="51"/>
  <c r="IB49" i="51"/>
  <c r="IC49" i="51"/>
  <c r="ID49" i="51"/>
  <c r="IE49" i="51"/>
  <c r="IF49" i="51"/>
  <c r="IG49" i="51"/>
  <c r="IH49" i="51"/>
  <c r="II49" i="51"/>
  <c r="IJ49" i="51"/>
  <c r="IK49" i="51"/>
  <c r="IL49" i="51"/>
  <c r="IM49" i="51"/>
  <c r="IN49" i="51"/>
  <c r="IO49" i="51"/>
  <c r="IP49" i="51"/>
  <c r="IQ49" i="51"/>
  <c r="IR49" i="51"/>
  <c r="IS49" i="51"/>
  <c r="IT49" i="51"/>
  <c r="IU49" i="51"/>
  <c r="IV49" i="51"/>
  <c r="IW49" i="51"/>
  <c r="IX49" i="51"/>
  <c r="IY49" i="51"/>
  <c r="IZ49" i="51"/>
  <c r="JA49" i="51"/>
  <c r="JB49" i="51"/>
  <c r="JC49" i="51"/>
  <c r="JD49" i="51"/>
  <c r="JE49" i="51"/>
  <c r="JF49" i="51"/>
  <c r="JG49" i="51"/>
  <c r="JH49" i="51"/>
  <c r="JI49" i="51"/>
  <c r="JJ49" i="51"/>
  <c r="JK49" i="51"/>
  <c r="JL49" i="51"/>
  <c r="JM49" i="51"/>
  <c r="JN49" i="51"/>
  <c r="JO49" i="51"/>
  <c r="JP49" i="51"/>
  <c r="JQ49" i="51"/>
  <c r="JR49" i="51"/>
  <c r="JS49" i="51"/>
  <c r="JT49" i="51"/>
  <c r="JU49" i="51"/>
  <c r="JV49" i="51"/>
  <c r="JW49" i="51"/>
  <c r="JX49" i="51"/>
  <c r="JY49" i="51"/>
  <c r="HS50" i="51"/>
  <c r="HT50" i="51"/>
  <c r="HV50" i="51"/>
  <c r="HW50" i="51"/>
  <c r="IB50" i="51"/>
  <c r="IC50" i="51"/>
  <c r="ID50" i="51"/>
  <c r="IE50" i="51"/>
  <c r="IF50" i="51"/>
  <c r="IG50" i="51"/>
  <c r="IH50" i="51"/>
  <c r="II50" i="51"/>
  <c r="IJ50" i="51"/>
  <c r="IK50" i="51"/>
  <c r="IL50" i="51"/>
  <c r="IM50" i="51"/>
  <c r="IN50" i="51"/>
  <c r="IO50" i="51"/>
  <c r="IP50" i="51"/>
  <c r="IQ50" i="51"/>
  <c r="IR50" i="51"/>
  <c r="IS50" i="51"/>
  <c r="IT50" i="51"/>
  <c r="IU50" i="51"/>
  <c r="IV50" i="51"/>
  <c r="IW50" i="51"/>
  <c r="IX50" i="51"/>
  <c r="IY50" i="51"/>
  <c r="IZ50" i="51"/>
  <c r="JA50" i="51"/>
  <c r="JB50" i="51"/>
  <c r="JC50" i="51"/>
  <c r="JD50" i="51"/>
  <c r="JE50" i="51"/>
  <c r="JF50" i="51"/>
  <c r="JG50" i="51"/>
  <c r="JH50" i="51"/>
  <c r="JI50" i="51"/>
  <c r="JJ50" i="51"/>
  <c r="JK50" i="51"/>
  <c r="JL50" i="51"/>
  <c r="JM50" i="51"/>
  <c r="JN50" i="51"/>
  <c r="JO50" i="51"/>
  <c r="JP50" i="51"/>
  <c r="JQ50" i="51"/>
  <c r="JR50" i="51"/>
  <c r="JS50" i="51"/>
  <c r="JT50" i="51"/>
  <c r="JU50" i="51"/>
  <c r="JV50" i="51"/>
  <c r="JW50" i="51"/>
  <c r="JX50" i="51"/>
  <c r="JY50" i="51"/>
  <c r="HS51" i="51"/>
  <c r="HT51" i="51"/>
  <c r="HV51" i="51"/>
  <c r="HW51" i="51"/>
  <c r="IB51" i="51"/>
  <c r="IC51" i="51"/>
  <c r="ID51" i="51"/>
  <c r="IE51" i="51"/>
  <c r="IF51" i="51"/>
  <c r="IG51" i="51"/>
  <c r="IH51" i="51"/>
  <c r="II51" i="51"/>
  <c r="IJ51" i="51"/>
  <c r="IK51" i="51"/>
  <c r="IL51" i="51"/>
  <c r="IM51" i="51"/>
  <c r="IN51" i="51"/>
  <c r="IO51" i="51"/>
  <c r="IP51" i="51"/>
  <c r="IQ51" i="51"/>
  <c r="IR51" i="51"/>
  <c r="IS51" i="51"/>
  <c r="IT51" i="51"/>
  <c r="IU51" i="51"/>
  <c r="IV51" i="51"/>
  <c r="IW51" i="51"/>
  <c r="IX51" i="51"/>
  <c r="IY51" i="51"/>
  <c r="IZ51" i="51"/>
  <c r="JA51" i="51"/>
  <c r="JB51" i="51"/>
  <c r="JC51" i="51"/>
  <c r="JD51" i="51"/>
  <c r="JE51" i="51"/>
  <c r="JF51" i="51"/>
  <c r="JG51" i="51"/>
  <c r="JH51" i="51"/>
  <c r="JI51" i="51"/>
  <c r="JJ51" i="51"/>
  <c r="JK51" i="51"/>
  <c r="JL51" i="51"/>
  <c r="JM51" i="51"/>
  <c r="JN51" i="51"/>
  <c r="JO51" i="51"/>
  <c r="JP51" i="51"/>
  <c r="JQ51" i="51"/>
  <c r="JR51" i="51"/>
  <c r="JS51" i="51"/>
  <c r="JT51" i="51"/>
  <c r="JU51" i="51"/>
  <c r="JV51" i="51"/>
  <c r="JW51" i="51"/>
  <c r="JX51" i="51"/>
  <c r="JY51" i="51"/>
  <c r="HS52" i="51"/>
  <c r="HT52" i="51"/>
  <c r="HV52" i="51"/>
  <c r="HW52" i="51"/>
  <c r="IB52" i="51"/>
  <c r="IC52" i="51"/>
  <c r="ID52" i="51"/>
  <c r="IE52" i="51"/>
  <c r="IF52" i="51"/>
  <c r="IG52" i="51"/>
  <c r="IH52" i="51"/>
  <c r="II52" i="51"/>
  <c r="IJ52" i="51"/>
  <c r="IK52" i="51"/>
  <c r="IL52" i="51"/>
  <c r="IM52" i="51"/>
  <c r="IN52" i="51"/>
  <c r="IO52" i="51"/>
  <c r="IP52" i="51"/>
  <c r="IQ52" i="51"/>
  <c r="IR52" i="51"/>
  <c r="IS52" i="51"/>
  <c r="IT52" i="51"/>
  <c r="IU52" i="51"/>
  <c r="IV52" i="51"/>
  <c r="IW52" i="51"/>
  <c r="IX52" i="51"/>
  <c r="IY52" i="51"/>
  <c r="IZ52" i="51"/>
  <c r="JA52" i="51"/>
  <c r="JB52" i="51"/>
  <c r="JC52" i="51"/>
  <c r="JD52" i="51"/>
  <c r="JE52" i="51"/>
  <c r="JF52" i="51"/>
  <c r="JG52" i="51"/>
  <c r="JH52" i="51"/>
  <c r="JI52" i="51"/>
  <c r="JJ52" i="51"/>
  <c r="JK52" i="51"/>
  <c r="JL52" i="51"/>
  <c r="JM52" i="51"/>
  <c r="JN52" i="51"/>
  <c r="JO52" i="51"/>
  <c r="JP52" i="51"/>
  <c r="JQ52" i="51"/>
  <c r="JR52" i="51"/>
  <c r="JS52" i="51"/>
  <c r="JT52" i="51"/>
  <c r="JU52" i="51"/>
  <c r="JV52" i="51"/>
  <c r="JW52" i="51"/>
  <c r="JX52" i="51"/>
  <c r="JY52" i="51"/>
  <c r="HS53" i="51"/>
  <c r="HT53" i="51"/>
  <c r="HV53" i="51"/>
  <c r="HW53" i="51"/>
  <c r="IB53" i="51"/>
  <c r="IC53" i="51"/>
  <c r="ID53" i="51"/>
  <c r="IE53" i="51"/>
  <c r="IF53" i="51"/>
  <c r="IG53" i="51"/>
  <c r="IH53" i="51"/>
  <c r="II53" i="51"/>
  <c r="IJ53" i="51"/>
  <c r="IK53" i="51"/>
  <c r="IL53" i="51"/>
  <c r="IM53" i="51"/>
  <c r="IN53" i="51"/>
  <c r="IO53" i="51"/>
  <c r="IP53" i="51"/>
  <c r="IQ53" i="51"/>
  <c r="IR53" i="51"/>
  <c r="IS53" i="51"/>
  <c r="IT53" i="51"/>
  <c r="IU53" i="51"/>
  <c r="IV53" i="51"/>
  <c r="IW53" i="51"/>
  <c r="IX53" i="51"/>
  <c r="IY53" i="51"/>
  <c r="IZ53" i="51"/>
  <c r="JA53" i="51"/>
  <c r="JB53" i="51"/>
  <c r="JC53" i="51"/>
  <c r="JD53" i="51"/>
  <c r="JE53" i="51"/>
  <c r="JF53" i="51"/>
  <c r="JG53" i="51"/>
  <c r="JH53" i="51"/>
  <c r="JI53" i="51"/>
  <c r="JJ53" i="51"/>
  <c r="JK53" i="51"/>
  <c r="JL53" i="51"/>
  <c r="JM53" i="51"/>
  <c r="JN53" i="51"/>
  <c r="JO53" i="51"/>
  <c r="JP53" i="51"/>
  <c r="JQ53" i="51"/>
  <c r="JR53" i="51"/>
  <c r="JS53" i="51"/>
  <c r="JT53" i="51"/>
  <c r="JU53" i="51"/>
  <c r="JV53" i="51"/>
  <c r="JW53" i="51"/>
  <c r="JX53" i="51"/>
  <c r="JY53" i="51"/>
  <c r="HS54" i="51"/>
  <c r="HT54" i="51"/>
  <c r="HV54" i="51"/>
  <c r="HW54" i="51"/>
  <c r="IB54" i="51"/>
  <c r="IC54" i="51"/>
  <c r="ID54" i="51"/>
  <c r="IE54" i="51"/>
  <c r="IF54" i="51"/>
  <c r="IG54" i="51"/>
  <c r="IH54" i="51"/>
  <c r="II54" i="51"/>
  <c r="IJ54" i="51"/>
  <c r="IK54" i="51"/>
  <c r="IL54" i="51"/>
  <c r="IM54" i="51"/>
  <c r="IN54" i="51"/>
  <c r="IO54" i="51"/>
  <c r="IP54" i="51"/>
  <c r="IQ54" i="51"/>
  <c r="IR54" i="51"/>
  <c r="IS54" i="51"/>
  <c r="IT54" i="51"/>
  <c r="IU54" i="51"/>
  <c r="IV54" i="51"/>
  <c r="IW54" i="51"/>
  <c r="IX54" i="51"/>
  <c r="IY54" i="51"/>
  <c r="IZ54" i="51"/>
  <c r="JA54" i="51"/>
  <c r="JB54" i="51"/>
  <c r="JC54" i="51"/>
  <c r="JD54" i="51"/>
  <c r="JE54" i="51"/>
  <c r="JF54" i="51"/>
  <c r="JG54" i="51"/>
  <c r="JH54" i="51"/>
  <c r="JI54" i="51"/>
  <c r="JJ54" i="51"/>
  <c r="JK54" i="51"/>
  <c r="JL54" i="51"/>
  <c r="JM54" i="51"/>
  <c r="JN54" i="51"/>
  <c r="JO54" i="51"/>
  <c r="JP54" i="51"/>
  <c r="JQ54" i="51"/>
  <c r="JR54" i="51"/>
  <c r="JS54" i="51"/>
  <c r="JT54" i="51"/>
  <c r="JU54" i="51"/>
  <c r="JV54" i="51"/>
  <c r="JW54" i="51"/>
  <c r="JX54" i="51"/>
  <c r="JY54" i="51"/>
  <c r="HS55" i="51"/>
  <c r="HT55" i="51"/>
  <c r="HV55" i="51"/>
  <c r="HW55" i="51"/>
  <c r="IB55" i="51"/>
  <c r="IC55" i="51"/>
  <c r="ID55" i="51"/>
  <c r="IE55" i="51"/>
  <c r="IF55" i="51"/>
  <c r="IG55" i="51"/>
  <c r="IH55" i="51"/>
  <c r="II55" i="51"/>
  <c r="IJ55" i="51"/>
  <c r="IK55" i="51"/>
  <c r="IL55" i="51"/>
  <c r="IM55" i="51"/>
  <c r="IN55" i="51"/>
  <c r="IO55" i="51"/>
  <c r="IP55" i="51"/>
  <c r="IQ55" i="51"/>
  <c r="IR55" i="51"/>
  <c r="IS55" i="51"/>
  <c r="IT55" i="51"/>
  <c r="IU55" i="51"/>
  <c r="IV55" i="51"/>
  <c r="IW55" i="51"/>
  <c r="IX55" i="51"/>
  <c r="IY55" i="51"/>
  <c r="IZ55" i="51"/>
  <c r="JA55" i="51"/>
  <c r="JB55" i="51"/>
  <c r="JC55" i="51"/>
  <c r="JD55" i="51"/>
  <c r="JE55" i="51"/>
  <c r="JF55" i="51"/>
  <c r="JG55" i="51"/>
  <c r="JH55" i="51"/>
  <c r="JI55" i="51"/>
  <c r="JJ55" i="51"/>
  <c r="JK55" i="51"/>
  <c r="JL55" i="51"/>
  <c r="JM55" i="51"/>
  <c r="JN55" i="51"/>
  <c r="JO55" i="51"/>
  <c r="JP55" i="51"/>
  <c r="JQ55" i="51"/>
  <c r="JR55" i="51"/>
  <c r="JS55" i="51"/>
  <c r="JT55" i="51"/>
  <c r="JU55" i="51"/>
  <c r="JV55" i="51"/>
  <c r="JW55" i="51"/>
  <c r="JX55" i="51"/>
  <c r="JY55" i="51"/>
  <c r="HS56" i="51"/>
  <c r="HT56" i="51"/>
  <c r="HV56" i="51"/>
  <c r="HW56" i="51"/>
  <c r="IB56" i="51"/>
  <c r="IC56" i="51"/>
  <c r="ID56" i="51"/>
  <c r="IE56" i="51"/>
  <c r="IF56" i="51"/>
  <c r="IG56" i="51"/>
  <c r="IH56" i="51"/>
  <c r="II56" i="51"/>
  <c r="IJ56" i="51"/>
  <c r="IK56" i="51"/>
  <c r="IL56" i="51"/>
  <c r="IM56" i="51"/>
  <c r="IN56" i="51"/>
  <c r="IO56" i="51"/>
  <c r="IP56" i="51"/>
  <c r="IQ56" i="51"/>
  <c r="IR56" i="51"/>
  <c r="IS56" i="51"/>
  <c r="IT56" i="51"/>
  <c r="IU56" i="51"/>
  <c r="IV56" i="51"/>
  <c r="IW56" i="51"/>
  <c r="IX56" i="51"/>
  <c r="IY56" i="51"/>
  <c r="IZ56" i="51"/>
  <c r="JA56" i="51"/>
  <c r="JB56" i="51"/>
  <c r="JC56" i="51"/>
  <c r="JD56" i="51"/>
  <c r="JE56" i="51"/>
  <c r="JF56" i="51"/>
  <c r="JG56" i="51"/>
  <c r="JH56" i="51"/>
  <c r="JI56" i="51"/>
  <c r="JJ56" i="51"/>
  <c r="JK56" i="51"/>
  <c r="JL56" i="51"/>
  <c r="JM56" i="51"/>
  <c r="JN56" i="51"/>
  <c r="JO56" i="51"/>
  <c r="JP56" i="51"/>
  <c r="JQ56" i="51"/>
  <c r="JR56" i="51"/>
  <c r="JS56" i="51"/>
  <c r="JT56" i="51"/>
  <c r="JU56" i="51"/>
  <c r="JV56" i="51"/>
  <c r="JW56" i="51"/>
  <c r="JX56" i="51"/>
  <c r="JY56" i="51"/>
  <c r="HS57" i="51"/>
  <c r="HT57" i="51"/>
  <c r="HV57" i="51"/>
  <c r="HW57" i="51"/>
  <c r="IB57" i="51"/>
  <c r="IC57" i="51"/>
  <c r="ID57" i="51"/>
  <c r="IE57" i="51"/>
  <c r="IF57" i="51"/>
  <c r="IG57" i="51"/>
  <c r="IH57" i="51"/>
  <c r="II57" i="51"/>
  <c r="IJ57" i="51"/>
  <c r="IK57" i="51"/>
  <c r="IL57" i="51"/>
  <c r="IM57" i="51"/>
  <c r="IN57" i="51"/>
  <c r="IO57" i="51"/>
  <c r="IP57" i="51"/>
  <c r="IQ57" i="51"/>
  <c r="IR57" i="51"/>
  <c r="IS57" i="51"/>
  <c r="IT57" i="51"/>
  <c r="IU57" i="51"/>
  <c r="IV57" i="51"/>
  <c r="IW57" i="51"/>
  <c r="IX57" i="51"/>
  <c r="IY57" i="51"/>
  <c r="IZ57" i="51"/>
  <c r="JA57" i="51"/>
  <c r="JB57" i="51"/>
  <c r="JC57" i="51"/>
  <c r="JD57" i="51"/>
  <c r="JE57" i="51"/>
  <c r="JF57" i="51"/>
  <c r="JG57" i="51"/>
  <c r="JH57" i="51"/>
  <c r="JI57" i="51"/>
  <c r="JJ57" i="51"/>
  <c r="JK57" i="51"/>
  <c r="JL57" i="51"/>
  <c r="JM57" i="51"/>
  <c r="JN57" i="51"/>
  <c r="JO57" i="51"/>
  <c r="JP57" i="51"/>
  <c r="JQ57" i="51"/>
  <c r="JR57" i="51"/>
  <c r="JS57" i="51"/>
  <c r="JT57" i="51"/>
  <c r="JU57" i="51"/>
  <c r="JV57" i="51"/>
  <c r="JW57" i="51"/>
  <c r="JX57" i="51"/>
  <c r="JY57" i="51"/>
  <c r="HS58" i="51"/>
  <c r="HT58" i="51"/>
  <c r="HV58" i="51"/>
  <c r="HW58" i="51"/>
  <c r="IB58" i="51"/>
  <c r="IC58" i="51"/>
  <c r="ID58" i="51"/>
  <c r="IE58" i="51"/>
  <c r="IF58" i="51"/>
  <c r="IG58" i="51"/>
  <c r="IH58" i="51"/>
  <c r="II58" i="51"/>
  <c r="IJ58" i="51"/>
  <c r="IK58" i="51"/>
  <c r="IL58" i="51"/>
  <c r="IM58" i="51"/>
  <c r="IN58" i="51"/>
  <c r="IO58" i="51"/>
  <c r="IP58" i="51"/>
  <c r="IQ58" i="51"/>
  <c r="IR58" i="51"/>
  <c r="IS58" i="51"/>
  <c r="IT58" i="51"/>
  <c r="IU58" i="51"/>
  <c r="IV58" i="51"/>
  <c r="IW58" i="51"/>
  <c r="IX58" i="51"/>
  <c r="IY58" i="51"/>
  <c r="IZ58" i="51"/>
  <c r="JA58" i="51"/>
  <c r="JB58" i="51"/>
  <c r="JC58" i="51"/>
  <c r="JD58" i="51"/>
  <c r="JE58" i="51"/>
  <c r="JF58" i="51"/>
  <c r="JG58" i="51"/>
  <c r="JH58" i="51"/>
  <c r="JI58" i="51"/>
  <c r="JJ58" i="51"/>
  <c r="JK58" i="51"/>
  <c r="JL58" i="51"/>
  <c r="JM58" i="51"/>
  <c r="JN58" i="51"/>
  <c r="JO58" i="51"/>
  <c r="JP58" i="51"/>
  <c r="JQ58" i="51"/>
  <c r="JR58" i="51"/>
  <c r="JS58" i="51"/>
  <c r="JT58" i="51"/>
  <c r="JU58" i="51"/>
  <c r="JV58" i="51"/>
  <c r="JW58" i="51"/>
  <c r="JX58" i="51"/>
  <c r="JY58" i="51"/>
  <c r="HS59" i="51"/>
  <c r="HT59" i="51"/>
  <c r="HV59" i="51"/>
  <c r="HW59" i="51"/>
  <c r="IB59" i="51"/>
  <c r="IC59" i="51"/>
  <c r="ID59" i="51"/>
  <c r="IE59" i="51"/>
  <c r="IF59" i="51"/>
  <c r="IG59" i="51"/>
  <c r="IH59" i="51"/>
  <c r="II59" i="51"/>
  <c r="IJ59" i="51"/>
  <c r="IK59" i="51"/>
  <c r="IL59" i="51"/>
  <c r="IM59" i="51"/>
  <c r="IN59" i="51"/>
  <c r="IO59" i="51"/>
  <c r="IP59" i="51"/>
  <c r="IQ59" i="51"/>
  <c r="IR59" i="51"/>
  <c r="IS59" i="51"/>
  <c r="IT59" i="51"/>
  <c r="IU59" i="51"/>
  <c r="IV59" i="51"/>
  <c r="IW59" i="51"/>
  <c r="IX59" i="51"/>
  <c r="IY59" i="51"/>
  <c r="IZ59" i="51"/>
  <c r="JA59" i="51"/>
  <c r="JB59" i="51"/>
  <c r="JC59" i="51"/>
  <c r="JD59" i="51"/>
  <c r="JE59" i="51"/>
  <c r="JF59" i="51"/>
  <c r="JG59" i="51"/>
  <c r="JH59" i="51"/>
  <c r="JI59" i="51"/>
  <c r="JJ59" i="51"/>
  <c r="JK59" i="51"/>
  <c r="JL59" i="51"/>
  <c r="JM59" i="51"/>
  <c r="JN59" i="51"/>
  <c r="JO59" i="51"/>
  <c r="JP59" i="51"/>
  <c r="JQ59" i="51"/>
  <c r="JR59" i="51"/>
  <c r="JS59" i="51"/>
  <c r="JT59" i="51"/>
  <c r="JU59" i="51"/>
  <c r="JV59" i="51"/>
  <c r="JW59" i="51"/>
  <c r="JX59" i="51"/>
  <c r="JY59" i="51"/>
  <c r="HS60" i="51"/>
  <c r="HT60" i="51"/>
  <c r="HV60" i="51"/>
  <c r="HW60" i="51"/>
  <c r="IB60" i="51"/>
  <c r="IC60" i="51"/>
  <c r="ID60" i="51"/>
  <c r="IE60" i="51"/>
  <c r="IF60" i="51"/>
  <c r="IG60" i="51"/>
  <c r="IH60" i="51"/>
  <c r="II60" i="51"/>
  <c r="IJ60" i="51"/>
  <c r="IK60" i="51"/>
  <c r="IL60" i="51"/>
  <c r="IM60" i="51"/>
  <c r="IN60" i="51"/>
  <c r="IO60" i="51"/>
  <c r="IP60" i="51"/>
  <c r="IQ60" i="51"/>
  <c r="IR60" i="51"/>
  <c r="IS60" i="51"/>
  <c r="IT60" i="51"/>
  <c r="IU60" i="51"/>
  <c r="IV60" i="51"/>
  <c r="IW60" i="51"/>
  <c r="IX60" i="51"/>
  <c r="IY60" i="51"/>
  <c r="IZ60" i="51"/>
  <c r="JA60" i="51"/>
  <c r="JB60" i="51"/>
  <c r="JC60" i="51"/>
  <c r="JD60" i="51"/>
  <c r="JE60" i="51"/>
  <c r="JF60" i="51"/>
  <c r="JG60" i="51"/>
  <c r="JH60" i="51"/>
  <c r="JI60" i="51"/>
  <c r="JJ60" i="51"/>
  <c r="JK60" i="51"/>
  <c r="JL60" i="51"/>
  <c r="JM60" i="51"/>
  <c r="JN60" i="51"/>
  <c r="JO60" i="51"/>
  <c r="JP60" i="51"/>
  <c r="JQ60" i="51"/>
  <c r="JR60" i="51"/>
  <c r="JS60" i="51"/>
  <c r="JT60" i="51"/>
  <c r="JU60" i="51"/>
  <c r="JV60" i="51"/>
  <c r="JW60" i="51"/>
  <c r="JX60" i="51"/>
  <c r="JY60" i="51"/>
  <c r="HS61" i="51"/>
  <c r="HT61" i="51"/>
  <c r="HV61" i="51"/>
  <c r="HW61" i="51"/>
  <c r="IB61" i="51"/>
  <c r="IC61" i="51"/>
  <c r="ID61" i="51"/>
  <c r="IE61" i="51"/>
  <c r="IF61" i="51"/>
  <c r="IG61" i="51"/>
  <c r="IH61" i="51"/>
  <c r="II61" i="51"/>
  <c r="IJ61" i="51"/>
  <c r="IK61" i="51"/>
  <c r="IL61" i="51"/>
  <c r="IM61" i="51"/>
  <c r="IN61" i="51"/>
  <c r="IO61" i="51"/>
  <c r="IP61" i="51"/>
  <c r="IQ61" i="51"/>
  <c r="IR61" i="51"/>
  <c r="IS61" i="51"/>
  <c r="IT61" i="51"/>
  <c r="IU61" i="51"/>
  <c r="IV61" i="51"/>
  <c r="IW61" i="51"/>
  <c r="IX61" i="51"/>
  <c r="IY61" i="51"/>
  <c r="IZ61" i="51"/>
  <c r="JA61" i="51"/>
  <c r="JB61" i="51"/>
  <c r="JC61" i="51"/>
  <c r="JD61" i="51"/>
  <c r="JE61" i="51"/>
  <c r="JF61" i="51"/>
  <c r="JG61" i="51"/>
  <c r="JH61" i="51"/>
  <c r="JI61" i="51"/>
  <c r="JJ61" i="51"/>
  <c r="JK61" i="51"/>
  <c r="JL61" i="51"/>
  <c r="JM61" i="51"/>
  <c r="JN61" i="51"/>
  <c r="JO61" i="51"/>
  <c r="JP61" i="51"/>
  <c r="JQ61" i="51"/>
  <c r="JR61" i="51"/>
  <c r="JS61" i="51"/>
  <c r="JT61" i="51"/>
  <c r="JU61" i="51"/>
  <c r="JV61" i="51"/>
  <c r="JW61" i="51"/>
  <c r="JX61" i="51"/>
  <c r="JY61" i="51"/>
  <c r="HS62" i="51"/>
  <c r="HT62" i="51"/>
  <c r="HV62" i="51"/>
  <c r="HW62" i="51"/>
  <c r="IB62" i="51"/>
  <c r="IC62" i="51"/>
  <c r="ID62" i="51"/>
  <c r="IE62" i="51"/>
  <c r="IF62" i="51"/>
  <c r="IG62" i="51"/>
  <c r="IH62" i="51"/>
  <c r="II62" i="51"/>
  <c r="IJ62" i="51"/>
  <c r="IK62" i="51"/>
  <c r="IL62" i="51"/>
  <c r="IM62" i="51"/>
  <c r="IN62" i="51"/>
  <c r="IO62" i="51"/>
  <c r="IP62" i="51"/>
  <c r="IQ62" i="51"/>
  <c r="IR62" i="51"/>
  <c r="IS62" i="51"/>
  <c r="IT62" i="51"/>
  <c r="IU62" i="51"/>
  <c r="IV62" i="51"/>
  <c r="IW62" i="51"/>
  <c r="IX62" i="51"/>
  <c r="IY62" i="51"/>
  <c r="IZ62" i="51"/>
  <c r="JA62" i="51"/>
  <c r="JB62" i="51"/>
  <c r="JC62" i="51"/>
  <c r="JD62" i="51"/>
  <c r="JE62" i="51"/>
  <c r="JF62" i="51"/>
  <c r="JG62" i="51"/>
  <c r="JH62" i="51"/>
  <c r="JI62" i="51"/>
  <c r="JJ62" i="51"/>
  <c r="JK62" i="51"/>
  <c r="JL62" i="51"/>
  <c r="JM62" i="51"/>
  <c r="JN62" i="51"/>
  <c r="JO62" i="51"/>
  <c r="JP62" i="51"/>
  <c r="JQ62" i="51"/>
  <c r="JR62" i="51"/>
  <c r="JS62" i="51"/>
  <c r="JT62" i="51"/>
  <c r="JU62" i="51"/>
  <c r="JV62" i="51"/>
  <c r="JW62" i="51"/>
  <c r="JX62" i="51"/>
  <c r="JY62" i="51"/>
  <c r="HS63" i="51"/>
  <c r="HT63" i="51"/>
  <c r="HV63" i="51"/>
  <c r="HW63" i="51"/>
  <c r="IB63" i="51"/>
  <c r="IC63" i="51"/>
  <c r="ID63" i="51"/>
  <c r="IE63" i="51"/>
  <c r="IF63" i="51"/>
  <c r="IG63" i="51"/>
  <c r="IH63" i="51"/>
  <c r="II63" i="51"/>
  <c r="IJ63" i="51"/>
  <c r="IK63" i="51"/>
  <c r="IL63" i="51"/>
  <c r="IM63" i="51"/>
  <c r="IN63" i="51"/>
  <c r="IO63" i="51"/>
  <c r="IP63" i="51"/>
  <c r="IQ63" i="51"/>
  <c r="IR63" i="51"/>
  <c r="IS63" i="51"/>
  <c r="IT63" i="51"/>
  <c r="IU63" i="51"/>
  <c r="IV63" i="51"/>
  <c r="IW63" i="51"/>
  <c r="IX63" i="51"/>
  <c r="IY63" i="51"/>
  <c r="IZ63" i="51"/>
  <c r="JA63" i="51"/>
  <c r="JB63" i="51"/>
  <c r="JC63" i="51"/>
  <c r="JD63" i="51"/>
  <c r="JE63" i="51"/>
  <c r="JF63" i="51"/>
  <c r="JG63" i="51"/>
  <c r="JH63" i="51"/>
  <c r="JI63" i="51"/>
  <c r="JJ63" i="51"/>
  <c r="JK63" i="51"/>
  <c r="JL63" i="51"/>
  <c r="JM63" i="51"/>
  <c r="JN63" i="51"/>
  <c r="JO63" i="51"/>
  <c r="JP63" i="51"/>
  <c r="JQ63" i="51"/>
  <c r="JR63" i="51"/>
  <c r="JS63" i="51"/>
  <c r="JT63" i="51"/>
  <c r="JU63" i="51"/>
  <c r="JV63" i="51"/>
  <c r="JW63" i="51"/>
  <c r="JX63" i="51"/>
  <c r="JY63" i="51"/>
  <c r="HS64" i="51"/>
  <c r="HT64" i="51"/>
  <c r="HV64" i="51"/>
  <c r="HW64" i="51"/>
  <c r="IB64" i="51"/>
  <c r="IC64" i="51"/>
  <c r="ID64" i="51"/>
  <c r="IE64" i="51"/>
  <c r="IF64" i="51"/>
  <c r="IG64" i="51"/>
  <c r="IH64" i="51"/>
  <c r="II64" i="51"/>
  <c r="IJ64" i="51"/>
  <c r="IK64" i="51"/>
  <c r="IL64" i="51"/>
  <c r="IM64" i="51"/>
  <c r="IN64" i="51"/>
  <c r="IO64" i="51"/>
  <c r="IP64" i="51"/>
  <c r="IQ64" i="51"/>
  <c r="IR64" i="51"/>
  <c r="IS64" i="51"/>
  <c r="IT64" i="51"/>
  <c r="IU64" i="51"/>
  <c r="IV64" i="51"/>
  <c r="IW64" i="51"/>
  <c r="IX64" i="51"/>
  <c r="IY64" i="51"/>
  <c r="IZ64" i="51"/>
  <c r="JA64" i="51"/>
  <c r="JB64" i="51"/>
  <c r="JC64" i="51"/>
  <c r="JD64" i="51"/>
  <c r="JE64" i="51"/>
  <c r="JF64" i="51"/>
  <c r="JG64" i="51"/>
  <c r="JH64" i="51"/>
  <c r="JI64" i="51"/>
  <c r="JJ64" i="51"/>
  <c r="JK64" i="51"/>
  <c r="JL64" i="51"/>
  <c r="JM64" i="51"/>
  <c r="JN64" i="51"/>
  <c r="JO64" i="51"/>
  <c r="JP64" i="51"/>
  <c r="JQ64" i="51"/>
  <c r="JR64" i="51"/>
  <c r="JS64" i="51"/>
  <c r="JT64" i="51"/>
  <c r="JU64" i="51"/>
  <c r="JV64" i="51"/>
  <c r="JW64" i="51"/>
  <c r="JX64" i="51"/>
  <c r="JY64" i="51"/>
  <c r="HS65" i="51"/>
  <c r="HT65" i="51"/>
  <c r="HV65" i="51"/>
  <c r="HW65" i="51"/>
  <c r="IB65" i="51"/>
  <c r="IC65" i="51"/>
  <c r="ID65" i="51"/>
  <c r="IE65" i="51"/>
  <c r="IF65" i="51"/>
  <c r="IG65" i="51"/>
  <c r="IH65" i="51"/>
  <c r="II65" i="51"/>
  <c r="IJ65" i="51"/>
  <c r="IK65" i="51"/>
  <c r="IL65" i="51"/>
  <c r="IM65" i="51"/>
  <c r="IN65" i="51"/>
  <c r="IO65" i="51"/>
  <c r="IP65" i="51"/>
  <c r="IQ65" i="51"/>
  <c r="IR65" i="51"/>
  <c r="IS65" i="51"/>
  <c r="IT65" i="51"/>
  <c r="IU65" i="51"/>
  <c r="IV65" i="51"/>
  <c r="IW65" i="51"/>
  <c r="IX65" i="51"/>
  <c r="IY65" i="51"/>
  <c r="IZ65" i="51"/>
  <c r="JA65" i="51"/>
  <c r="JB65" i="51"/>
  <c r="JC65" i="51"/>
  <c r="JD65" i="51"/>
  <c r="JE65" i="51"/>
  <c r="JF65" i="51"/>
  <c r="JG65" i="51"/>
  <c r="JH65" i="51"/>
  <c r="JI65" i="51"/>
  <c r="JJ65" i="51"/>
  <c r="JK65" i="51"/>
  <c r="JL65" i="51"/>
  <c r="JM65" i="51"/>
  <c r="JN65" i="51"/>
  <c r="JO65" i="51"/>
  <c r="JP65" i="51"/>
  <c r="JQ65" i="51"/>
  <c r="JR65" i="51"/>
  <c r="JS65" i="51"/>
  <c r="JT65" i="51"/>
  <c r="JU65" i="51"/>
  <c r="JV65" i="51"/>
  <c r="JW65" i="51"/>
  <c r="JX65" i="51"/>
  <c r="JY65" i="51"/>
  <c r="HS66" i="51"/>
  <c r="HT66" i="51"/>
  <c r="HV66" i="51"/>
  <c r="HW66" i="51"/>
  <c r="IB66" i="51"/>
  <c r="IC66" i="51"/>
  <c r="ID66" i="51"/>
  <c r="IE66" i="51"/>
  <c r="IF66" i="51"/>
  <c r="IG66" i="51"/>
  <c r="IH66" i="51"/>
  <c r="II66" i="51"/>
  <c r="IJ66" i="51"/>
  <c r="IK66" i="51"/>
  <c r="IL66" i="51"/>
  <c r="IM66" i="51"/>
  <c r="IN66" i="51"/>
  <c r="IO66" i="51"/>
  <c r="IP66" i="51"/>
  <c r="IQ66" i="51"/>
  <c r="IR66" i="51"/>
  <c r="IS66" i="51"/>
  <c r="IT66" i="51"/>
  <c r="IU66" i="51"/>
  <c r="IV66" i="51"/>
  <c r="IW66" i="51"/>
  <c r="IX66" i="51"/>
  <c r="IY66" i="51"/>
  <c r="IZ66" i="51"/>
  <c r="JA66" i="51"/>
  <c r="JB66" i="51"/>
  <c r="JC66" i="51"/>
  <c r="JD66" i="51"/>
  <c r="JE66" i="51"/>
  <c r="JF66" i="51"/>
  <c r="JG66" i="51"/>
  <c r="JH66" i="51"/>
  <c r="JI66" i="51"/>
  <c r="JJ66" i="51"/>
  <c r="JK66" i="51"/>
  <c r="JL66" i="51"/>
  <c r="JM66" i="51"/>
  <c r="JN66" i="51"/>
  <c r="JO66" i="51"/>
  <c r="JP66" i="51"/>
  <c r="JQ66" i="51"/>
  <c r="JR66" i="51"/>
  <c r="JS66" i="51"/>
  <c r="JT66" i="51"/>
  <c r="JU66" i="51"/>
  <c r="JV66" i="51"/>
  <c r="JW66" i="51"/>
  <c r="JX66" i="51"/>
  <c r="JY66" i="51"/>
  <c r="HS67" i="51"/>
  <c r="HT67" i="51"/>
  <c r="HV67" i="51"/>
  <c r="HW67" i="51"/>
  <c r="IB67" i="51"/>
  <c r="IC67" i="51"/>
  <c r="ID67" i="51"/>
  <c r="IE67" i="51"/>
  <c r="IF67" i="51"/>
  <c r="IG67" i="51"/>
  <c r="IH67" i="51"/>
  <c r="II67" i="51"/>
  <c r="IJ67" i="51"/>
  <c r="IK67" i="51"/>
  <c r="IL67" i="51"/>
  <c r="IM67" i="51"/>
  <c r="IN67" i="51"/>
  <c r="IO67" i="51"/>
  <c r="IP67" i="51"/>
  <c r="IQ67" i="51"/>
  <c r="IR67" i="51"/>
  <c r="IS67" i="51"/>
  <c r="IT67" i="51"/>
  <c r="IU67" i="51"/>
  <c r="IV67" i="51"/>
  <c r="IW67" i="51"/>
  <c r="IX67" i="51"/>
  <c r="IY67" i="51"/>
  <c r="IZ67" i="51"/>
  <c r="JA67" i="51"/>
  <c r="JB67" i="51"/>
  <c r="JC67" i="51"/>
  <c r="JD67" i="51"/>
  <c r="JE67" i="51"/>
  <c r="JF67" i="51"/>
  <c r="JG67" i="51"/>
  <c r="JH67" i="51"/>
  <c r="JI67" i="51"/>
  <c r="JJ67" i="51"/>
  <c r="JK67" i="51"/>
  <c r="JL67" i="51"/>
  <c r="JM67" i="51"/>
  <c r="JN67" i="51"/>
  <c r="JO67" i="51"/>
  <c r="JP67" i="51"/>
  <c r="JQ67" i="51"/>
  <c r="JR67" i="51"/>
  <c r="JS67" i="51"/>
  <c r="JT67" i="51"/>
  <c r="JU67" i="51"/>
  <c r="JV67" i="51"/>
  <c r="JW67" i="51"/>
  <c r="JX67" i="51"/>
  <c r="JY67" i="51"/>
  <c r="HS68" i="51"/>
  <c r="HT68" i="51"/>
  <c r="HV68" i="51"/>
  <c r="HW68" i="51"/>
  <c r="IB68" i="51"/>
  <c r="IC68" i="51"/>
  <c r="ID68" i="51"/>
  <c r="IE68" i="51"/>
  <c r="IF68" i="51"/>
  <c r="IG68" i="51"/>
  <c r="IH68" i="51"/>
  <c r="II68" i="51"/>
  <c r="IJ68" i="51"/>
  <c r="IK68" i="51"/>
  <c r="IL68" i="51"/>
  <c r="IM68" i="51"/>
  <c r="IN68" i="51"/>
  <c r="IO68" i="51"/>
  <c r="IP68" i="51"/>
  <c r="IQ68" i="51"/>
  <c r="IR68" i="51"/>
  <c r="IS68" i="51"/>
  <c r="IT68" i="51"/>
  <c r="IU68" i="51"/>
  <c r="IV68" i="51"/>
  <c r="IW68" i="51"/>
  <c r="IX68" i="51"/>
  <c r="IY68" i="51"/>
  <c r="IZ68" i="51"/>
  <c r="JA68" i="51"/>
  <c r="JB68" i="51"/>
  <c r="JC68" i="51"/>
  <c r="JD68" i="51"/>
  <c r="JE68" i="51"/>
  <c r="JF68" i="51"/>
  <c r="JG68" i="51"/>
  <c r="JH68" i="51"/>
  <c r="JI68" i="51"/>
  <c r="JJ68" i="51"/>
  <c r="JK68" i="51"/>
  <c r="JL68" i="51"/>
  <c r="JM68" i="51"/>
  <c r="JN68" i="51"/>
  <c r="JO68" i="51"/>
  <c r="JP68" i="51"/>
  <c r="JQ68" i="51"/>
  <c r="JR68" i="51"/>
  <c r="JS68" i="51"/>
  <c r="JT68" i="51"/>
  <c r="JU68" i="51"/>
  <c r="JV68" i="51"/>
  <c r="JW68" i="51"/>
  <c r="JX68" i="51"/>
  <c r="JY68" i="51"/>
  <c r="HS69" i="51"/>
  <c r="HT69" i="51"/>
  <c r="HV69" i="51"/>
  <c r="HW69" i="51"/>
  <c r="IB69" i="51"/>
  <c r="IC69" i="51"/>
  <c r="ID69" i="51"/>
  <c r="IE69" i="51"/>
  <c r="IF69" i="51"/>
  <c r="IG69" i="51"/>
  <c r="IH69" i="51"/>
  <c r="II69" i="51"/>
  <c r="IJ69" i="51"/>
  <c r="IK69" i="51"/>
  <c r="IL69" i="51"/>
  <c r="IM69" i="51"/>
  <c r="IN69" i="51"/>
  <c r="IO69" i="51"/>
  <c r="IP69" i="51"/>
  <c r="IQ69" i="51"/>
  <c r="IR69" i="51"/>
  <c r="IS69" i="51"/>
  <c r="IT69" i="51"/>
  <c r="IU69" i="51"/>
  <c r="IV69" i="51"/>
  <c r="IW69" i="51"/>
  <c r="IX69" i="51"/>
  <c r="IY69" i="51"/>
  <c r="IZ69" i="51"/>
  <c r="JA69" i="51"/>
  <c r="JB69" i="51"/>
  <c r="JC69" i="51"/>
  <c r="JD69" i="51"/>
  <c r="JE69" i="51"/>
  <c r="JF69" i="51"/>
  <c r="JG69" i="51"/>
  <c r="JH69" i="51"/>
  <c r="JI69" i="51"/>
  <c r="JJ69" i="51"/>
  <c r="JK69" i="51"/>
  <c r="JL69" i="51"/>
  <c r="JM69" i="51"/>
  <c r="JN69" i="51"/>
  <c r="JO69" i="51"/>
  <c r="JP69" i="51"/>
  <c r="JQ69" i="51"/>
  <c r="JR69" i="51"/>
  <c r="JS69" i="51"/>
  <c r="JT69" i="51"/>
  <c r="JU69" i="51"/>
  <c r="JV69" i="51"/>
  <c r="JW69" i="51"/>
  <c r="JX69" i="51"/>
  <c r="JY69" i="51"/>
  <c r="HS70" i="51"/>
  <c r="HT70" i="51"/>
  <c r="HV70" i="51"/>
  <c r="HW70" i="51"/>
  <c r="IB70" i="51"/>
  <c r="IC70" i="51"/>
  <c r="ID70" i="51"/>
  <c r="IE70" i="51"/>
  <c r="IF70" i="51"/>
  <c r="IG70" i="51"/>
  <c r="IH70" i="51"/>
  <c r="II70" i="51"/>
  <c r="IJ70" i="51"/>
  <c r="IK70" i="51"/>
  <c r="IL70" i="51"/>
  <c r="IM70" i="51"/>
  <c r="IN70" i="51"/>
  <c r="IO70" i="51"/>
  <c r="IP70" i="51"/>
  <c r="IQ70" i="51"/>
  <c r="IR70" i="51"/>
  <c r="IS70" i="51"/>
  <c r="IT70" i="51"/>
  <c r="IU70" i="51"/>
  <c r="IV70" i="51"/>
  <c r="IW70" i="51"/>
  <c r="IX70" i="51"/>
  <c r="IY70" i="51"/>
  <c r="IZ70" i="51"/>
  <c r="JA70" i="51"/>
  <c r="JB70" i="51"/>
  <c r="JC70" i="51"/>
  <c r="JD70" i="51"/>
  <c r="JE70" i="51"/>
  <c r="JF70" i="51"/>
  <c r="JG70" i="51"/>
  <c r="JH70" i="51"/>
  <c r="JI70" i="51"/>
  <c r="JJ70" i="51"/>
  <c r="JK70" i="51"/>
  <c r="JL70" i="51"/>
  <c r="JM70" i="51"/>
  <c r="JN70" i="51"/>
  <c r="JO70" i="51"/>
  <c r="JP70" i="51"/>
  <c r="JQ70" i="51"/>
  <c r="JR70" i="51"/>
  <c r="JS70" i="51"/>
  <c r="JT70" i="51"/>
  <c r="JU70" i="51"/>
  <c r="JV70" i="51"/>
  <c r="JW70" i="51"/>
  <c r="JX70" i="51"/>
  <c r="JY70" i="51"/>
  <c r="HS71" i="51"/>
  <c r="HT71" i="51"/>
  <c r="HV71" i="51"/>
  <c r="HW71" i="51"/>
  <c r="IB71" i="51"/>
  <c r="IC71" i="51"/>
  <c r="ID71" i="51"/>
  <c r="IE71" i="51"/>
  <c r="IF71" i="51"/>
  <c r="IG71" i="51"/>
  <c r="IH71" i="51"/>
  <c r="II71" i="51"/>
  <c r="IJ71" i="51"/>
  <c r="IK71" i="51"/>
  <c r="IL71" i="51"/>
  <c r="IM71" i="51"/>
  <c r="IN71" i="51"/>
  <c r="IO71" i="51"/>
  <c r="IP71" i="51"/>
  <c r="IQ71" i="51"/>
  <c r="IR71" i="51"/>
  <c r="IS71" i="51"/>
  <c r="IT71" i="51"/>
  <c r="IU71" i="51"/>
  <c r="IV71" i="51"/>
  <c r="IW71" i="51"/>
  <c r="IX71" i="51"/>
  <c r="IY71" i="51"/>
  <c r="IZ71" i="51"/>
  <c r="JA71" i="51"/>
  <c r="JB71" i="51"/>
  <c r="JC71" i="51"/>
  <c r="JD71" i="51"/>
  <c r="JE71" i="51"/>
  <c r="JF71" i="51"/>
  <c r="JG71" i="51"/>
  <c r="JH71" i="51"/>
  <c r="JI71" i="51"/>
  <c r="JJ71" i="51"/>
  <c r="JK71" i="51"/>
  <c r="JL71" i="51"/>
  <c r="JM71" i="51"/>
  <c r="JN71" i="51"/>
  <c r="JO71" i="51"/>
  <c r="JP71" i="51"/>
  <c r="JQ71" i="51"/>
  <c r="JR71" i="51"/>
  <c r="JS71" i="51"/>
  <c r="JT71" i="51"/>
  <c r="JU71" i="51"/>
  <c r="JV71" i="51"/>
  <c r="JW71" i="51"/>
  <c r="JX71" i="51"/>
  <c r="JY71" i="51"/>
  <c r="HS72" i="51"/>
  <c r="HT72" i="51"/>
  <c r="HV72" i="51"/>
  <c r="HW72" i="51"/>
  <c r="IB72" i="51"/>
  <c r="IC72" i="51"/>
  <c r="ID72" i="51"/>
  <c r="IE72" i="51"/>
  <c r="IF72" i="51"/>
  <c r="IG72" i="51"/>
  <c r="IH72" i="51"/>
  <c r="II72" i="51"/>
  <c r="IJ72" i="51"/>
  <c r="IK72" i="51"/>
  <c r="IL72" i="51"/>
  <c r="IM72" i="51"/>
  <c r="IN72" i="51"/>
  <c r="IO72" i="51"/>
  <c r="IP72" i="51"/>
  <c r="IQ72" i="51"/>
  <c r="IR72" i="51"/>
  <c r="IS72" i="51"/>
  <c r="IT72" i="51"/>
  <c r="IU72" i="51"/>
  <c r="IV72" i="51"/>
  <c r="IW72" i="51"/>
  <c r="IX72" i="51"/>
  <c r="IY72" i="51"/>
  <c r="IZ72" i="51"/>
  <c r="JA72" i="51"/>
  <c r="JB72" i="51"/>
  <c r="JC72" i="51"/>
  <c r="JD72" i="51"/>
  <c r="JE72" i="51"/>
  <c r="JF72" i="51"/>
  <c r="JG72" i="51"/>
  <c r="JH72" i="51"/>
  <c r="JI72" i="51"/>
  <c r="JJ72" i="51"/>
  <c r="JK72" i="51"/>
  <c r="JL72" i="51"/>
  <c r="JM72" i="51"/>
  <c r="JN72" i="51"/>
  <c r="JO72" i="51"/>
  <c r="JP72" i="51"/>
  <c r="JQ72" i="51"/>
  <c r="JR72" i="51"/>
  <c r="JS72" i="51"/>
  <c r="JT72" i="51"/>
  <c r="JU72" i="51"/>
  <c r="JV72" i="51"/>
  <c r="JW72" i="51"/>
  <c r="JX72" i="51"/>
  <c r="JY72" i="51"/>
  <c r="HS73" i="51"/>
  <c r="HT73" i="51"/>
  <c r="HV73" i="51"/>
  <c r="HW73" i="51"/>
  <c r="IB73" i="51"/>
  <c r="IC73" i="51"/>
  <c r="ID73" i="51"/>
  <c r="IE73" i="51"/>
  <c r="IF73" i="51"/>
  <c r="IG73" i="51"/>
  <c r="IH73" i="51"/>
  <c r="II73" i="51"/>
  <c r="IJ73" i="51"/>
  <c r="IK73" i="51"/>
  <c r="IL73" i="51"/>
  <c r="IM73" i="51"/>
  <c r="IN73" i="51"/>
  <c r="IO73" i="51"/>
  <c r="IP73" i="51"/>
  <c r="IQ73" i="51"/>
  <c r="IR73" i="51"/>
  <c r="IS73" i="51"/>
  <c r="IT73" i="51"/>
  <c r="IU73" i="51"/>
  <c r="IV73" i="51"/>
  <c r="IW73" i="51"/>
  <c r="IX73" i="51"/>
  <c r="IY73" i="51"/>
  <c r="IZ73" i="51"/>
  <c r="JA73" i="51"/>
  <c r="JB73" i="51"/>
  <c r="JC73" i="51"/>
  <c r="JD73" i="51"/>
  <c r="JE73" i="51"/>
  <c r="JF73" i="51"/>
  <c r="JG73" i="51"/>
  <c r="JH73" i="51"/>
  <c r="JI73" i="51"/>
  <c r="JJ73" i="51"/>
  <c r="JK73" i="51"/>
  <c r="JL73" i="51"/>
  <c r="JM73" i="51"/>
  <c r="JN73" i="51"/>
  <c r="JO73" i="51"/>
  <c r="JP73" i="51"/>
  <c r="JQ73" i="51"/>
  <c r="JR73" i="51"/>
  <c r="JS73" i="51"/>
  <c r="JT73" i="51"/>
  <c r="JU73" i="51"/>
  <c r="JV73" i="51"/>
  <c r="JW73" i="51"/>
  <c r="JX73" i="51"/>
  <c r="JY73" i="51"/>
  <c r="HS74" i="51"/>
  <c r="HT74" i="51"/>
  <c r="HV74" i="51"/>
  <c r="HW74" i="51"/>
  <c r="IB74" i="51"/>
  <c r="IC74" i="51"/>
  <c r="ID74" i="51"/>
  <c r="IE74" i="51"/>
  <c r="IF74" i="51"/>
  <c r="IG74" i="51"/>
  <c r="IH74" i="51"/>
  <c r="II74" i="51"/>
  <c r="IJ74" i="51"/>
  <c r="IK74" i="51"/>
  <c r="IL74" i="51"/>
  <c r="IM74" i="51"/>
  <c r="IN74" i="51"/>
  <c r="IO74" i="51"/>
  <c r="IP74" i="51"/>
  <c r="IQ74" i="51"/>
  <c r="IR74" i="51"/>
  <c r="IS74" i="51"/>
  <c r="IT74" i="51"/>
  <c r="IU74" i="51"/>
  <c r="IV74" i="51"/>
  <c r="IW74" i="51"/>
  <c r="IX74" i="51"/>
  <c r="IY74" i="51"/>
  <c r="IZ74" i="51"/>
  <c r="JA74" i="51"/>
  <c r="JB74" i="51"/>
  <c r="JC74" i="51"/>
  <c r="JD74" i="51"/>
  <c r="JE74" i="51"/>
  <c r="JF74" i="51"/>
  <c r="JG74" i="51"/>
  <c r="JH74" i="51"/>
  <c r="JI74" i="51"/>
  <c r="JJ74" i="51"/>
  <c r="JK74" i="51"/>
  <c r="JL74" i="51"/>
  <c r="JM74" i="51"/>
  <c r="JN74" i="51"/>
  <c r="JO74" i="51"/>
  <c r="JP74" i="51"/>
  <c r="JQ74" i="51"/>
  <c r="JR74" i="51"/>
  <c r="JS74" i="51"/>
  <c r="JT74" i="51"/>
  <c r="JU74" i="51"/>
  <c r="JV74" i="51"/>
  <c r="JW74" i="51"/>
  <c r="JX74" i="51"/>
  <c r="JY74" i="51"/>
  <c r="HS75" i="51"/>
  <c r="HT75" i="51"/>
  <c r="HV75" i="51"/>
  <c r="HW75" i="51"/>
  <c r="IB75" i="51"/>
  <c r="IC75" i="51"/>
  <c r="ID75" i="51"/>
  <c r="IE75" i="51"/>
  <c r="IF75" i="51"/>
  <c r="IG75" i="51"/>
  <c r="IH75" i="51"/>
  <c r="II75" i="51"/>
  <c r="IJ75" i="51"/>
  <c r="IK75" i="51"/>
  <c r="IL75" i="51"/>
  <c r="IM75" i="51"/>
  <c r="IN75" i="51"/>
  <c r="IO75" i="51"/>
  <c r="IP75" i="51"/>
  <c r="IQ75" i="51"/>
  <c r="IR75" i="51"/>
  <c r="IS75" i="51"/>
  <c r="IT75" i="51"/>
  <c r="IU75" i="51"/>
  <c r="IV75" i="51"/>
  <c r="IW75" i="51"/>
  <c r="IX75" i="51"/>
  <c r="IY75" i="51"/>
  <c r="IZ75" i="51"/>
  <c r="JA75" i="51"/>
  <c r="JB75" i="51"/>
  <c r="JC75" i="51"/>
  <c r="JD75" i="51"/>
  <c r="JE75" i="51"/>
  <c r="JF75" i="51"/>
  <c r="JG75" i="51"/>
  <c r="JH75" i="51"/>
  <c r="JI75" i="51"/>
  <c r="JJ75" i="51"/>
  <c r="JK75" i="51"/>
  <c r="JL75" i="51"/>
  <c r="JM75" i="51"/>
  <c r="JN75" i="51"/>
  <c r="JO75" i="51"/>
  <c r="JP75" i="51"/>
  <c r="JQ75" i="51"/>
  <c r="JR75" i="51"/>
  <c r="JS75" i="51"/>
  <c r="JT75" i="51"/>
  <c r="JU75" i="51"/>
  <c r="JV75" i="51"/>
  <c r="JW75" i="51"/>
  <c r="JX75" i="51"/>
  <c r="JY75" i="51"/>
  <c r="HS76" i="51"/>
  <c r="HT76" i="51"/>
  <c r="HV76" i="51"/>
  <c r="HW76" i="51"/>
  <c r="IB76" i="51"/>
  <c r="IC76" i="51"/>
  <c r="ID76" i="51"/>
  <c r="IE76" i="51"/>
  <c r="IF76" i="51"/>
  <c r="IG76" i="51"/>
  <c r="IH76" i="51"/>
  <c r="II76" i="51"/>
  <c r="IJ76" i="51"/>
  <c r="IK76" i="51"/>
  <c r="IL76" i="51"/>
  <c r="IM76" i="51"/>
  <c r="IN76" i="51"/>
  <c r="IO76" i="51"/>
  <c r="IP76" i="51"/>
  <c r="IQ76" i="51"/>
  <c r="IR76" i="51"/>
  <c r="IS76" i="51"/>
  <c r="IT76" i="51"/>
  <c r="IU76" i="51"/>
  <c r="IV76" i="51"/>
  <c r="IW76" i="51"/>
  <c r="IX76" i="51"/>
  <c r="IY76" i="51"/>
  <c r="IZ76" i="51"/>
  <c r="JA76" i="51"/>
  <c r="JB76" i="51"/>
  <c r="JC76" i="51"/>
  <c r="JD76" i="51"/>
  <c r="JE76" i="51"/>
  <c r="JF76" i="51"/>
  <c r="JG76" i="51"/>
  <c r="JH76" i="51"/>
  <c r="JI76" i="51"/>
  <c r="JJ76" i="51"/>
  <c r="JK76" i="51"/>
  <c r="JL76" i="51"/>
  <c r="JM76" i="51"/>
  <c r="JN76" i="51"/>
  <c r="JO76" i="51"/>
  <c r="JP76" i="51"/>
  <c r="JQ76" i="51"/>
  <c r="JR76" i="51"/>
  <c r="JS76" i="51"/>
  <c r="JT76" i="51"/>
  <c r="JU76" i="51"/>
  <c r="JV76" i="51"/>
  <c r="JW76" i="51"/>
  <c r="JX76" i="51"/>
  <c r="JY76" i="51"/>
  <c r="HS77" i="51"/>
  <c r="HT77" i="51"/>
  <c r="HV77" i="51"/>
  <c r="HW77" i="51"/>
  <c r="IB77" i="51"/>
  <c r="IC77" i="51"/>
  <c r="ID77" i="51"/>
  <c r="IE77" i="51"/>
  <c r="IF77" i="51"/>
  <c r="IG77" i="51"/>
  <c r="IH77" i="51"/>
  <c r="II77" i="51"/>
  <c r="IJ77" i="51"/>
  <c r="IK77" i="51"/>
  <c r="IL77" i="51"/>
  <c r="IM77" i="51"/>
  <c r="IN77" i="51"/>
  <c r="IO77" i="51"/>
  <c r="IP77" i="51"/>
  <c r="IQ77" i="51"/>
  <c r="IR77" i="51"/>
  <c r="IS77" i="51"/>
  <c r="IT77" i="51"/>
  <c r="IU77" i="51"/>
  <c r="IV77" i="51"/>
  <c r="IW77" i="51"/>
  <c r="IX77" i="51"/>
  <c r="IY77" i="51"/>
  <c r="IZ77" i="51"/>
  <c r="JA77" i="51"/>
  <c r="JB77" i="51"/>
  <c r="JC77" i="51"/>
  <c r="JD77" i="51"/>
  <c r="JE77" i="51"/>
  <c r="JF77" i="51"/>
  <c r="JG77" i="51"/>
  <c r="JH77" i="51"/>
  <c r="JI77" i="51"/>
  <c r="JJ77" i="51"/>
  <c r="JK77" i="51"/>
  <c r="JL77" i="51"/>
  <c r="JM77" i="51"/>
  <c r="JN77" i="51"/>
  <c r="JO77" i="51"/>
  <c r="JP77" i="51"/>
  <c r="JQ77" i="51"/>
  <c r="JR77" i="51"/>
  <c r="JS77" i="51"/>
  <c r="JT77" i="51"/>
  <c r="JU77" i="51"/>
  <c r="JV77" i="51"/>
  <c r="JW77" i="51"/>
  <c r="JX77" i="51"/>
  <c r="JY77" i="51"/>
  <c r="HS78" i="51"/>
  <c r="HT78" i="51"/>
  <c r="HV78" i="51"/>
  <c r="HW78" i="51"/>
  <c r="IB78" i="51"/>
  <c r="IC78" i="51"/>
  <c r="ID78" i="51"/>
  <c r="IE78" i="51"/>
  <c r="IF78" i="51"/>
  <c r="IG78" i="51"/>
  <c r="IH78" i="51"/>
  <c r="II78" i="51"/>
  <c r="IJ78" i="51"/>
  <c r="IK78" i="51"/>
  <c r="IL78" i="51"/>
  <c r="IM78" i="51"/>
  <c r="IN78" i="51"/>
  <c r="IO78" i="51"/>
  <c r="IP78" i="51"/>
  <c r="IQ78" i="51"/>
  <c r="IR78" i="51"/>
  <c r="IS78" i="51"/>
  <c r="IT78" i="51"/>
  <c r="IU78" i="51"/>
  <c r="IV78" i="51"/>
  <c r="IW78" i="51"/>
  <c r="IX78" i="51"/>
  <c r="IY78" i="51"/>
  <c r="IZ78" i="51"/>
  <c r="JA78" i="51"/>
  <c r="JB78" i="51"/>
  <c r="JC78" i="51"/>
  <c r="JD78" i="51"/>
  <c r="JE78" i="51"/>
  <c r="JF78" i="51"/>
  <c r="JG78" i="51"/>
  <c r="JH78" i="51"/>
  <c r="JI78" i="51"/>
  <c r="JJ78" i="51"/>
  <c r="JK78" i="51"/>
  <c r="JL78" i="51"/>
  <c r="JM78" i="51"/>
  <c r="JN78" i="51"/>
  <c r="JO78" i="51"/>
  <c r="JP78" i="51"/>
  <c r="JQ78" i="51"/>
  <c r="JR78" i="51"/>
  <c r="JS78" i="51"/>
  <c r="JT78" i="51"/>
  <c r="JU78" i="51"/>
  <c r="JV78" i="51"/>
  <c r="JW78" i="51"/>
  <c r="JX78" i="51"/>
  <c r="JY78" i="51"/>
  <c r="HS79" i="51"/>
  <c r="HT79" i="51"/>
  <c r="HV79" i="51"/>
  <c r="HW79" i="51"/>
  <c r="IB79" i="51"/>
  <c r="IC79" i="51"/>
  <c r="ID79" i="51"/>
  <c r="IE79" i="51"/>
  <c r="IF79" i="51"/>
  <c r="IG79" i="51"/>
  <c r="IH79" i="51"/>
  <c r="II79" i="51"/>
  <c r="IJ79" i="51"/>
  <c r="IK79" i="51"/>
  <c r="IL79" i="51"/>
  <c r="IM79" i="51"/>
  <c r="IN79" i="51"/>
  <c r="IO79" i="51"/>
  <c r="IP79" i="51"/>
  <c r="IQ79" i="51"/>
  <c r="IR79" i="51"/>
  <c r="IS79" i="51"/>
  <c r="IT79" i="51"/>
  <c r="IU79" i="51"/>
  <c r="IV79" i="51"/>
  <c r="IW79" i="51"/>
  <c r="IX79" i="51"/>
  <c r="IY79" i="51"/>
  <c r="IZ79" i="51"/>
  <c r="JA79" i="51"/>
  <c r="JB79" i="51"/>
  <c r="JC79" i="51"/>
  <c r="JD79" i="51"/>
  <c r="JE79" i="51"/>
  <c r="JF79" i="51"/>
  <c r="JG79" i="51"/>
  <c r="JH79" i="51"/>
  <c r="JI79" i="51"/>
  <c r="JJ79" i="51"/>
  <c r="JK79" i="51"/>
  <c r="JL79" i="51"/>
  <c r="JM79" i="51"/>
  <c r="JN79" i="51"/>
  <c r="JO79" i="51"/>
  <c r="JP79" i="51"/>
  <c r="JQ79" i="51"/>
  <c r="JR79" i="51"/>
  <c r="JS79" i="51"/>
  <c r="JT79" i="51"/>
  <c r="JU79" i="51"/>
  <c r="JV79" i="51"/>
  <c r="JW79" i="51"/>
  <c r="JX79" i="51"/>
  <c r="JY79" i="51"/>
  <c r="HS80" i="51"/>
  <c r="HT80" i="51"/>
  <c r="HV80" i="51"/>
  <c r="HW80" i="51"/>
  <c r="IB80" i="51"/>
  <c r="IC80" i="51"/>
  <c r="ID80" i="51"/>
  <c r="IE80" i="51"/>
  <c r="IF80" i="51"/>
  <c r="IG80" i="51"/>
  <c r="IH80" i="51"/>
  <c r="II80" i="51"/>
  <c r="IJ80" i="51"/>
  <c r="IK80" i="51"/>
  <c r="IL80" i="51"/>
  <c r="IM80" i="51"/>
  <c r="IN80" i="51"/>
  <c r="IO80" i="51"/>
  <c r="IP80" i="51"/>
  <c r="IQ80" i="51"/>
  <c r="IR80" i="51"/>
  <c r="IS80" i="51"/>
  <c r="IT80" i="51"/>
  <c r="IU80" i="51"/>
  <c r="IV80" i="51"/>
  <c r="IW80" i="51"/>
  <c r="IX80" i="51"/>
  <c r="IY80" i="51"/>
  <c r="IZ80" i="51"/>
  <c r="JA80" i="51"/>
  <c r="JB80" i="51"/>
  <c r="JC80" i="51"/>
  <c r="JD80" i="51"/>
  <c r="JE80" i="51"/>
  <c r="JF80" i="51"/>
  <c r="JG80" i="51"/>
  <c r="JH80" i="51"/>
  <c r="JI80" i="51"/>
  <c r="JJ80" i="51"/>
  <c r="JK80" i="51"/>
  <c r="JL80" i="51"/>
  <c r="JM80" i="51"/>
  <c r="JN80" i="51"/>
  <c r="JO80" i="51"/>
  <c r="JP80" i="51"/>
  <c r="JQ80" i="51"/>
  <c r="JR80" i="51"/>
  <c r="JS80" i="51"/>
  <c r="JT80" i="51"/>
  <c r="JU80" i="51"/>
  <c r="JV80" i="51"/>
  <c r="JW80" i="51"/>
  <c r="JX80" i="51"/>
  <c r="JY80" i="51"/>
  <c r="HS81" i="51"/>
  <c r="HT81" i="51"/>
  <c r="HV81" i="51"/>
  <c r="HW81" i="51"/>
  <c r="IB81" i="51"/>
  <c r="IC81" i="51"/>
  <c r="ID81" i="51"/>
  <c r="IE81" i="51"/>
  <c r="IF81" i="51"/>
  <c r="IG81" i="51"/>
  <c r="IH81" i="51"/>
  <c r="II81" i="51"/>
  <c r="IJ81" i="51"/>
  <c r="IK81" i="51"/>
  <c r="IL81" i="51"/>
  <c r="IM81" i="51"/>
  <c r="IN81" i="51"/>
  <c r="IO81" i="51"/>
  <c r="IP81" i="51"/>
  <c r="IQ81" i="51"/>
  <c r="IR81" i="51"/>
  <c r="IS81" i="51"/>
  <c r="IT81" i="51"/>
  <c r="IU81" i="51"/>
  <c r="IV81" i="51"/>
  <c r="IW81" i="51"/>
  <c r="IX81" i="51"/>
  <c r="IY81" i="51"/>
  <c r="IZ81" i="51"/>
  <c r="JA81" i="51"/>
  <c r="JB81" i="51"/>
  <c r="JC81" i="51"/>
  <c r="JD81" i="51"/>
  <c r="JE81" i="51"/>
  <c r="JF81" i="51"/>
  <c r="JG81" i="51"/>
  <c r="JH81" i="51"/>
  <c r="JI81" i="51"/>
  <c r="JJ81" i="51"/>
  <c r="JK81" i="51"/>
  <c r="JL81" i="51"/>
  <c r="JM81" i="51"/>
  <c r="JN81" i="51"/>
  <c r="JO81" i="51"/>
  <c r="JP81" i="51"/>
  <c r="JQ81" i="51"/>
  <c r="JR81" i="51"/>
  <c r="JS81" i="51"/>
  <c r="JT81" i="51"/>
  <c r="JU81" i="51"/>
  <c r="JV81" i="51"/>
  <c r="JW81" i="51"/>
  <c r="JX81" i="51"/>
  <c r="JY81" i="51"/>
  <c r="HS82" i="51"/>
  <c r="HT82" i="51"/>
  <c r="HV82" i="51"/>
  <c r="HW82" i="51"/>
  <c r="IB82" i="51"/>
  <c r="IC82" i="51"/>
  <c r="ID82" i="51"/>
  <c r="IE82" i="51"/>
  <c r="IF82" i="51"/>
  <c r="IG82" i="51"/>
  <c r="IH82" i="51"/>
  <c r="II82" i="51"/>
  <c r="IJ82" i="51"/>
  <c r="IK82" i="51"/>
  <c r="IL82" i="51"/>
  <c r="IM82" i="51"/>
  <c r="IN82" i="51"/>
  <c r="IO82" i="51"/>
  <c r="IP82" i="51"/>
  <c r="IQ82" i="51"/>
  <c r="IR82" i="51"/>
  <c r="IS82" i="51"/>
  <c r="IT82" i="51"/>
  <c r="IU82" i="51"/>
  <c r="IV82" i="51"/>
  <c r="IW82" i="51"/>
  <c r="IX82" i="51"/>
  <c r="IY82" i="51"/>
  <c r="IZ82" i="51"/>
  <c r="JA82" i="51"/>
  <c r="JB82" i="51"/>
  <c r="JC82" i="51"/>
  <c r="JD82" i="51"/>
  <c r="JE82" i="51"/>
  <c r="JF82" i="51"/>
  <c r="JG82" i="51"/>
  <c r="JH82" i="51"/>
  <c r="JI82" i="51"/>
  <c r="JJ82" i="51"/>
  <c r="JK82" i="51"/>
  <c r="JL82" i="51"/>
  <c r="JM82" i="51"/>
  <c r="JN82" i="51"/>
  <c r="JO82" i="51"/>
  <c r="JP82" i="51"/>
  <c r="JQ82" i="51"/>
  <c r="JR82" i="51"/>
  <c r="JS82" i="51"/>
  <c r="JT82" i="51"/>
  <c r="JU82" i="51"/>
  <c r="JV82" i="51"/>
  <c r="JW82" i="51"/>
  <c r="JX82" i="51"/>
  <c r="JY82" i="51"/>
  <c r="HS83" i="51"/>
  <c r="HT83" i="51"/>
  <c r="HV83" i="51"/>
  <c r="HW83" i="51"/>
  <c r="IB83" i="51"/>
  <c r="IC83" i="51"/>
  <c r="ID83" i="51"/>
  <c r="IE83" i="51"/>
  <c r="IF83" i="51"/>
  <c r="IG83" i="51"/>
  <c r="IH83" i="51"/>
  <c r="II83" i="51"/>
  <c r="IJ83" i="51"/>
  <c r="IK83" i="51"/>
  <c r="IL83" i="51"/>
  <c r="IM83" i="51"/>
  <c r="IN83" i="51"/>
  <c r="IO83" i="51"/>
  <c r="IP83" i="51"/>
  <c r="IQ83" i="51"/>
  <c r="IR83" i="51"/>
  <c r="IS83" i="51"/>
  <c r="IT83" i="51"/>
  <c r="IU83" i="51"/>
  <c r="IV83" i="51"/>
  <c r="IW83" i="51"/>
  <c r="IX83" i="51"/>
  <c r="IY83" i="51"/>
  <c r="IZ83" i="51"/>
  <c r="JA83" i="51"/>
  <c r="JB83" i="51"/>
  <c r="JC83" i="51"/>
  <c r="JD83" i="51"/>
  <c r="JE83" i="51"/>
  <c r="JF83" i="51"/>
  <c r="JG83" i="51"/>
  <c r="JH83" i="51"/>
  <c r="JI83" i="51"/>
  <c r="JJ83" i="51"/>
  <c r="JK83" i="51"/>
  <c r="JL83" i="51"/>
  <c r="JM83" i="51"/>
  <c r="JN83" i="51"/>
  <c r="JO83" i="51"/>
  <c r="JP83" i="51"/>
  <c r="JQ83" i="51"/>
  <c r="JR83" i="51"/>
  <c r="JS83" i="51"/>
  <c r="JT83" i="51"/>
  <c r="JU83" i="51"/>
  <c r="JV83" i="51"/>
  <c r="JW83" i="51"/>
  <c r="JX83" i="51"/>
  <c r="JY83" i="51"/>
  <c r="HS84" i="51"/>
  <c r="HT84" i="51"/>
  <c r="HV84" i="51"/>
  <c r="HW84" i="51"/>
  <c r="IB84" i="51"/>
  <c r="IC84" i="51"/>
  <c r="ID84" i="51"/>
  <c r="IE84" i="51"/>
  <c r="IF84" i="51"/>
  <c r="IG84" i="51"/>
  <c r="IH84" i="51"/>
  <c r="II84" i="51"/>
  <c r="IJ84" i="51"/>
  <c r="IK84" i="51"/>
  <c r="IL84" i="51"/>
  <c r="IM84" i="51"/>
  <c r="IN84" i="51"/>
  <c r="IO84" i="51"/>
  <c r="IP84" i="51"/>
  <c r="IQ84" i="51"/>
  <c r="IR84" i="51"/>
  <c r="IS84" i="51"/>
  <c r="IT84" i="51"/>
  <c r="IU84" i="51"/>
  <c r="IV84" i="51"/>
  <c r="IW84" i="51"/>
  <c r="IX84" i="51"/>
  <c r="IY84" i="51"/>
  <c r="IZ84" i="51"/>
  <c r="JA84" i="51"/>
  <c r="JB84" i="51"/>
  <c r="JC84" i="51"/>
  <c r="JD84" i="51"/>
  <c r="JE84" i="51"/>
  <c r="JF84" i="51"/>
  <c r="JG84" i="51"/>
  <c r="JH84" i="51"/>
  <c r="JI84" i="51"/>
  <c r="JJ84" i="51"/>
  <c r="JK84" i="51"/>
  <c r="JL84" i="51"/>
  <c r="JM84" i="51"/>
  <c r="JN84" i="51"/>
  <c r="JO84" i="51"/>
  <c r="JP84" i="51"/>
  <c r="JQ84" i="51"/>
  <c r="JR84" i="51"/>
  <c r="JS84" i="51"/>
  <c r="JT84" i="51"/>
  <c r="JU84" i="51"/>
  <c r="JV84" i="51"/>
  <c r="JW84" i="51"/>
  <c r="JX84" i="51"/>
  <c r="JY84" i="51"/>
  <c r="HS85" i="51"/>
  <c r="HT85" i="51"/>
  <c r="HV85" i="51"/>
  <c r="HW85" i="51"/>
  <c r="IB85" i="51"/>
  <c r="IC85" i="51"/>
  <c r="ID85" i="51"/>
  <c r="IE85" i="51"/>
  <c r="IF85" i="51"/>
  <c r="IG85" i="51"/>
  <c r="IH85" i="51"/>
  <c r="II85" i="51"/>
  <c r="IJ85" i="51"/>
  <c r="IK85" i="51"/>
  <c r="IL85" i="51"/>
  <c r="IM85" i="51"/>
  <c r="IN85" i="51"/>
  <c r="IO85" i="51"/>
  <c r="IP85" i="51"/>
  <c r="IQ85" i="51"/>
  <c r="IR85" i="51"/>
  <c r="IS85" i="51"/>
  <c r="IT85" i="51"/>
  <c r="IU85" i="51"/>
  <c r="IV85" i="51"/>
  <c r="IW85" i="51"/>
  <c r="IX85" i="51"/>
  <c r="IY85" i="51"/>
  <c r="IZ85" i="51"/>
  <c r="JA85" i="51"/>
  <c r="JB85" i="51"/>
  <c r="JC85" i="51"/>
  <c r="JD85" i="51"/>
  <c r="JE85" i="51"/>
  <c r="JF85" i="51"/>
  <c r="JG85" i="51"/>
  <c r="JH85" i="51"/>
  <c r="JI85" i="51"/>
  <c r="JJ85" i="51"/>
  <c r="JK85" i="51"/>
  <c r="JL85" i="51"/>
  <c r="JM85" i="51"/>
  <c r="JN85" i="51"/>
  <c r="JO85" i="51"/>
  <c r="JP85" i="51"/>
  <c r="JQ85" i="51"/>
  <c r="JR85" i="51"/>
  <c r="JS85" i="51"/>
  <c r="JT85" i="51"/>
  <c r="JU85" i="51"/>
  <c r="JV85" i="51"/>
  <c r="JW85" i="51"/>
  <c r="JX85" i="51"/>
  <c r="JY85" i="51"/>
  <c r="HS86" i="51"/>
  <c r="HT86" i="51"/>
  <c r="HV86" i="51"/>
  <c r="HW86" i="51"/>
  <c r="IB86" i="51"/>
  <c r="IC86" i="51"/>
  <c r="ID86" i="51"/>
  <c r="IE86" i="51"/>
  <c r="IF86" i="51"/>
  <c r="IG86" i="51"/>
  <c r="IH86" i="51"/>
  <c r="II86" i="51"/>
  <c r="IJ86" i="51"/>
  <c r="IK86" i="51"/>
  <c r="IL86" i="51"/>
  <c r="IM86" i="51"/>
  <c r="IN86" i="51"/>
  <c r="IO86" i="51"/>
  <c r="IP86" i="51"/>
  <c r="IQ86" i="51"/>
  <c r="IR86" i="51"/>
  <c r="IS86" i="51"/>
  <c r="IT86" i="51"/>
  <c r="IU86" i="51"/>
  <c r="IV86" i="51"/>
  <c r="IW86" i="51"/>
  <c r="IX86" i="51"/>
  <c r="IY86" i="51"/>
  <c r="IZ86" i="51"/>
  <c r="JA86" i="51"/>
  <c r="JB86" i="51"/>
  <c r="JC86" i="51"/>
  <c r="JD86" i="51"/>
  <c r="JE86" i="51"/>
  <c r="JF86" i="51"/>
  <c r="JG86" i="51"/>
  <c r="JH86" i="51"/>
  <c r="JI86" i="51"/>
  <c r="JJ86" i="51"/>
  <c r="JK86" i="51"/>
  <c r="JL86" i="51"/>
  <c r="JM86" i="51"/>
  <c r="JN86" i="51"/>
  <c r="JO86" i="51"/>
  <c r="JP86" i="51"/>
  <c r="JQ86" i="51"/>
  <c r="JR86" i="51"/>
  <c r="JS86" i="51"/>
  <c r="JT86" i="51"/>
  <c r="JU86" i="51"/>
  <c r="JV86" i="51"/>
  <c r="JW86" i="51"/>
  <c r="JX86" i="51"/>
  <c r="JY86" i="51"/>
  <c r="HS87" i="51"/>
  <c r="HT87" i="51"/>
  <c r="HV87" i="51"/>
  <c r="HW87" i="51"/>
  <c r="IB87" i="51"/>
  <c r="IC87" i="51"/>
  <c r="ID87" i="51"/>
  <c r="IE87" i="51"/>
  <c r="IF87" i="51"/>
  <c r="IG87" i="51"/>
  <c r="IH87" i="51"/>
  <c r="II87" i="51"/>
  <c r="IJ87" i="51"/>
  <c r="IK87" i="51"/>
  <c r="IL87" i="51"/>
  <c r="IM87" i="51"/>
  <c r="IN87" i="51"/>
  <c r="IO87" i="51"/>
  <c r="IP87" i="51"/>
  <c r="IQ87" i="51"/>
  <c r="IR87" i="51"/>
  <c r="IS87" i="51"/>
  <c r="IT87" i="51"/>
  <c r="IU87" i="51"/>
  <c r="IV87" i="51"/>
  <c r="IW87" i="51"/>
  <c r="IX87" i="51"/>
  <c r="IY87" i="51"/>
  <c r="IZ87" i="51"/>
  <c r="JA87" i="51"/>
  <c r="JB87" i="51"/>
  <c r="JC87" i="51"/>
  <c r="JD87" i="51"/>
  <c r="JE87" i="51"/>
  <c r="JF87" i="51"/>
  <c r="JG87" i="51"/>
  <c r="JH87" i="51"/>
  <c r="JI87" i="51"/>
  <c r="JJ87" i="51"/>
  <c r="JK87" i="51"/>
  <c r="JL87" i="51"/>
  <c r="JM87" i="51"/>
  <c r="JN87" i="51"/>
  <c r="JO87" i="51"/>
  <c r="JP87" i="51"/>
  <c r="JQ87" i="51"/>
  <c r="JR87" i="51"/>
  <c r="JS87" i="51"/>
  <c r="JT87" i="51"/>
  <c r="JU87" i="51"/>
  <c r="JV87" i="51"/>
  <c r="JW87" i="51"/>
  <c r="JX87" i="51"/>
  <c r="JY87" i="51"/>
  <c r="HS88" i="51"/>
  <c r="HT88" i="51"/>
  <c r="HV88" i="51"/>
  <c r="HW88" i="51"/>
  <c r="IB88" i="51"/>
  <c r="IC88" i="51"/>
  <c r="ID88" i="51"/>
  <c r="IE88" i="51"/>
  <c r="IF88" i="51"/>
  <c r="IG88" i="51"/>
  <c r="IH88" i="51"/>
  <c r="II88" i="51"/>
  <c r="IJ88" i="51"/>
  <c r="IK88" i="51"/>
  <c r="IL88" i="51"/>
  <c r="IM88" i="51"/>
  <c r="IN88" i="51"/>
  <c r="IO88" i="51"/>
  <c r="IP88" i="51"/>
  <c r="IQ88" i="51"/>
  <c r="IR88" i="51"/>
  <c r="IS88" i="51"/>
  <c r="IT88" i="51"/>
  <c r="IU88" i="51"/>
  <c r="IV88" i="51"/>
  <c r="IW88" i="51"/>
  <c r="IX88" i="51"/>
  <c r="IY88" i="51"/>
  <c r="IZ88" i="51"/>
  <c r="JA88" i="51"/>
  <c r="JB88" i="51"/>
  <c r="JC88" i="51"/>
  <c r="JD88" i="51"/>
  <c r="JE88" i="51"/>
  <c r="JF88" i="51"/>
  <c r="JG88" i="51"/>
  <c r="JH88" i="51"/>
  <c r="JI88" i="51"/>
  <c r="JJ88" i="51"/>
  <c r="JK88" i="51"/>
  <c r="JL88" i="51"/>
  <c r="JM88" i="51"/>
  <c r="JN88" i="51"/>
  <c r="JO88" i="51"/>
  <c r="JP88" i="51"/>
  <c r="JQ88" i="51"/>
  <c r="JR88" i="51"/>
  <c r="JS88" i="51"/>
  <c r="JT88" i="51"/>
  <c r="JU88" i="51"/>
  <c r="JV88" i="51"/>
  <c r="JW88" i="51"/>
  <c r="JX88" i="51"/>
  <c r="JY88" i="51"/>
  <c r="HS89" i="51"/>
  <c r="HT89" i="51"/>
  <c r="HV89" i="51"/>
  <c r="HW89" i="51"/>
  <c r="IB89" i="51"/>
  <c r="IC89" i="51"/>
  <c r="ID89" i="51"/>
  <c r="IE89" i="51"/>
  <c r="IF89" i="51"/>
  <c r="IG89" i="51"/>
  <c r="IH89" i="51"/>
  <c r="II89" i="51"/>
  <c r="IJ89" i="51"/>
  <c r="IK89" i="51"/>
  <c r="IL89" i="51"/>
  <c r="IM89" i="51"/>
  <c r="IN89" i="51"/>
  <c r="IO89" i="51"/>
  <c r="IP89" i="51"/>
  <c r="IQ89" i="51"/>
  <c r="IR89" i="51"/>
  <c r="IS89" i="51"/>
  <c r="IT89" i="51"/>
  <c r="IU89" i="51"/>
  <c r="IV89" i="51"/>
  <c r="IW89" i="51"/>
  <c r="IX89" i="51"/>
  <c r="IY89" i="51"/>
  <c r="IZ89" i="51"/>
  <c r="JA89" i="51"/>
  <c r="JB89" i="51"/>
  <c r="JC89" i="51"/>
  <c r="JD89" i="51"/>
  <c r="JE89" i="51"/>
  <c r="JF89" i="51"/>
  <c r="JG89" i="51"/>
  <c r="JH89" i="51"/>
  <c r="JI89" i="51"/>
  <c r="JJ89" i="51"/>
  <c r="JK89" i="51"/>
  <c r="JL89" i="51"/>
  <c r="JM89" i="51"/>
  <c r="JN89" i="51"/>
  <c r="JO89" i="51"/>
  <c r="JP89" i="51"/>
  <c r="JQ89" i="51"/>
  <c r="JR89" i="51"/>
  <c r="JS89" i="51"/>
  <c r="JT89" i="51"/>
  <c r="JU89" i="51"/>
  <c r="JV89" i="51"/>
  <c r="JW89" i="51"/>
  <c r="JX89" i="51"/>
  <c r="JY89" i="51"/>
  <c r="HS90" i="51"/>
  <c r="HT90" i="51"/>
  <c r="HV90" i="51"/>
  <c r="HW90" i="51"/>
  <c r="IB90" i="51"/>
  <c r="IC90" i="51"/>
  <c r="ID90" i="51"/>
  <c r="IE90" i="51"/>
  <c r="IF90" i="51"/>
  <c r="IG90" i="51"/>
  <c r="IH90" i="51"/>
  <c r="II90" i="51"/>
  <c r="IJ90" i="51"/>
  <c r="IK90" i="51"/>
  <c r="IL90" i="51"/>
  <c r="IM90" i="51"/>
  <c r="IN90" i="51"/>
  <c r="IO90" i="51"/>
  <c r="IP90" i="51"/>
  <c r="IQ90" i="51"/>
  <c r="IR90" i="51"/>
  <c r="IS90" i="51"/>
  <c r="IT90" i="51"/>
  <c r="IU90" i="51"/>
  <c r="IV90" i="51"/>
  <c r="IW90" i="51"/>
  <c r="IX90" i="51"/>
  <c r="IY90" i="51"/>
  <c r="IZ90" i="51"/>
  <c r="JA90" i="51"/>
  <c r="JB90" i="51"/>
  <c r="JC90" i="51"/>
  <c r="JD90" i="51"/>
  <c r="JE90" i="51"/>
  <c r="JF90" i="51"/>
  <c r="JG90" i="51"/>
  <c r="JH90" i="51"/>
  <c r="JI90" i="51"/>
  <c r="JJ90" i="51"/>
  <c r="JK90" i="51"/>
  <c r="JL90" i="51"/>
  <c r="JM90" i="51"/>
  <c r="JN90" i="51"/>
  <c r="JO90" i="51"/>
  <c r="JP90" i="51"/>
  <c r="JQ90" i="51"/>
  <c r="JR90" i="51"/>
  <c r="JS90" i="51"/>
  <c r="JT90" i="51"/>
  <c r="JU90" i="51"/>
  <c r="JV90" i="51"/>
  <c r="JW90" i="51"/>
  <c r="JX90" i="51"/>
  <c r="JY90" i="51"/>
  <c r="HS91" i="51"/>
  <c r="HT91" i="51"/>
  <c r="HV91" i="51"/>
  <c r="HW91" i="51"/>
  <c r="IB91" i="51"/>
  <c r="IC91" i="51"/>
  <c r="ID91" i="51"/>
  <c r="IE91" i="51"/>
  <c r="IF91" i="51"/>
  <c r="IG91" i="51"/>
  <c r="IH91" i="51"/>
  <c r="II91" i="51"/>
  <c r="IJ91" i="51"/>
  <c r="IK91" i="51"/>
  <c r="IL91" i="51"/>
  <c r="IM91" i="51"/>
  <c r="IN91" i="51"/>
  <c r="IO91" i="51"/>
  <c r="IP91" i="51"/>
  <c r="IQ91" i="51"/>
  <c r="IR91" i="51"/>
  <c r="IS91" i="51"/>
  <c r="IT91" i="51"/>
  <c r="IU91" i="51"/>
  <c r="IV91" i="51"/>
  <c r="IW91" i="51"/>
  <c r="IX91" i="51"/>
  <c r="IY91" i="51"/>
  <c r="IZ91" i="51"/>
  <c r="JA91" i="51"/>
  <c r="JB91" i="51"/>
  <c r="JC91" i="51"/>
  <c r="JD91" i="51"/>
  <c r="JE91" i="51"/>
  <c r="JF91" i="51"/>
  <c r="JG91" i="51"/>
  <c r="JH91" i="51"/>
  <c r="JI91" i="51"/>
  <c r="JJ91" i="51"/>
  <c r="JK91" i="51"/>
  <c r="JL91" i="51"/>
  <c r="JM91" i="51"/>
  <c r="JN91" i="51"/>
  <c r="JO91" i="51"/>
  <c r="JP91" i="51"/>
  <c r="JQ91" i="51"/>
  <c r="JR91" i="51"/>
  <c r="JS91" i="51"/>
  <c r="JT91" i="51"/>
  <c r="JU91" i="51"/>
  <c r="JV91" i="51"/>
  <c r="JW91" i="51"/>
  <c r="JX91" i="51"/>
  <c r="JY91" i="51"/>
  <c r="HS92" i="51"/>
  <c r="HT92" i="51"/>
  <c r="HV92" i="51"/>
  <c r="HW92" i="51"/>
  <c r="IB92" i="51"/>
  <c r="IC92" i="51"/>
  <c r="ID92" i="51"/>
  <c r="IE92" i="51"/>
  <c r="IF92" i="51"/>
  <c r="IG92" i="51"/>
  <c r="IH92" i="51"/>
  <c r="II92" i="51"/>
  <c r="IJ92" i="51"/>
  <c r="IK92" i="51"/>
  <c r="IL92" i="51"/>
  <c r="IM92" i="51"/>
  <c r="IN92" i="51"/>
  <c r="IO92" i="51"/>
  <c r="IP92" i="51"/>
  <c r="IQ92" i="51"/>
  <c r="IR92" i="51"/>
  <c r="IS92" i="51"/>
  <c r="IT92" i="51"/>
  <c r="IU92" i="51"/>
  <c r="IV92" i="51"/>
  <c r="IW92" i="51"/>
  <c r="IX92" i="51"/>
  <c r="IY92" i="51"/>
  <c r="IZ92" i="51"/>
  <c r="JA92" i="51"/>
  <c r="JB92" i="51"/>
  <c r="JC92" i="51"/>
  <c r="JD92" i="51"/>
  <c r="JE92" i="51"/>
  <c r="JF92" i="51"/>
  <c r="JG92" i="51"/>
  <c r="JH92" i="51"/>
  <c r="JI92" i="51"/>
  <c r="JJ92" i="51"/>
  <c r="JK92" i="51"/>
  <c r="JL92" i="51"/>
  <c r="JM92" i="51"/>
  <c r="JN92" i="51"/>
  <c r="JO92" i="51"/>
  <c r="JP92" i="51"/>
  <c r="JQ92" i="51"/>
  <c r="JR92" i="51"/>
  <c r="JS92" i="51"/>
  <c r="JT92" i="51"/>
  <c r="JU92" i="51"/>
  <c r="JV92" i="51"/>
  <c r="JW92" i="51"/>
  <c r="JX92" i="51"/>
  <c r="JY92" i="51"/>
  <c r="HS93" i="51"/>
  <c r="HT93" i="51"/>
  <c r="HV93" i="51"/>
  <c r="HW93" i="51"/>
  <c r="IB93" i="51"/>
  <c r="IC93" i="51"/>
  <c r="ID93" i="51"/>
  <c r="IE93" i="51"/>
  <c r="IF93" i="51"/>
  <c r="IG93" i="51"/>
  <c r="IH93" i="51"/>
  <c r="II93" i="51"/>
  <c r="IJ93" i="51"/>
  <c r="IK93" i="51"/>
  <c r="IL93" i="51"/>
  <c r="IM93" i="51"/>
  <c r="IN93" i="51"/>
  <c r="IO93" i="51"/>
  <c r="IP93" i="51"/>
  <c r="IQ93" i="51"/>
  <c r="IR93" i="51"/>
  <c r="IS93" i="51"/>
  <c r="IT93" i="51"/>
  <c r="IU93" i="51"/>
  <c r="IV93" i="51"/>
  <c r="IW93" i="51"/>
  <c r="IX93" i="51"/>
  <c r="IY93" i="51"/>
  <c r="IZ93" i="51"/>
  <c r="JA93" i="51"/>
  <c r="JB93" i="51"/>
  <c r="JC93" i="51"/>
  <c r="JD93" i="51"/>
  <c r="JE93" i="51"/>
  <c r="JF93" i="51"/>
  <c r="JG93" i="51"/>
  <c r="JH93" i="51"/>
  <c r="JI93" i="51"/>
  <c r="JJ93" i="51"/>
  <c r="JK93" i="51"/>
  <c r="JL93" i="51"/>
  <c r="JM93" i="51"/>
  <c r="JN93" i="51"/>
  <c r="JO93" i="51"/>
  <c r="JP93" i="51"/>
  <c r="JQ93" i="51"/>
  <c r="JR93" i="51"/>
  <c r="JS93" i="51"/>
  <c r="JT93" i="51"/>
  <c r="JU93" i="51"/>
  <c r="JV93" i="51"/>
  <c r="JW93" i="51"/>
  <c r="JX93" i="51"/>
  <c r="JY93" i="51"/>
  <c r="HS94" i="51"/>
  <c r="HT94" i="51"/>
  <c r="HV94" i="51"/>
  <c r="HW94" i="51"/>
  <c r="IB94" i="51"/>
  <c r="IC94" i="51"/>
  <c r="ID94" i="51"/>
  <c r="IE94" i="51"/>
  <c r="IF94" i="51"/>
  <c r="IG94" i="51"/>
  <c r="IH94" i="51"/>
  <c r="II94" i="51"/>
  <c r="IJ94" i="51"/>
  <c r="IK94" i="51"/>
  <c r="IL94" i="51"/>
  <c r="IM94" i="51"/>
  <c r="IN94" i="51"/>
  <c r="IO94" i="51"/>
  <c r="IP94" i="51"/>
  <c r="IQ94" i="51"/>
  <c r="IR94" i="51"/>
  <c r="IS94" i="51"/>
  <c r="IT94" i="51"/>
  <c r="IU94" i="51"/>
  <c r="IV94" i="51"/>
  <c r="IW94" i="51"/>
  <c r="IX94" i="51"/>
  <c r="IY94" i="51"/>
  <c r="IZ94" i="51"/>
  <c r="JA94" i="51"/>
  <c r="JB94" i="51"/>
  <c r="JC94" i="51"/>
  <c r="JD94" i="51"/>
  <c r="JE94" i="51"/>
  <c r="JF94" i="51"/>
  <c r="JG94" i="51"/>
  <c r="JH94" i="51"/>
  <c r="JI94" i="51"/>
  <c r="JJ94" i="51"/>
  <c r="JK94" i="51"/>
  <c r="JL94" i="51"/>
  <c r="JM94" i="51"/>
  <c r="JN94" i="51"/>
  <c r="JO94" i="51"/>
  <c r="JP94" i="51"/>
  <c r="JQ94" i="51"/>
  <c r="JR94" i="51"/>
  <c r="JS94" i="51"/>
  <c r="JT94" i="51"/>
  <c r="JU94" i="51"/>
  <c r="JV94" i="51"/>
  <c r="JW94" i="51"/>
  <c r="JX94" i="51"/>
  <c r="JY94" i="51"/>
  <c r="HS95" i="51"/>
  <c r="HT95" i="51"/>
  <c r="HV95" i="51"/>
  <c r="HW95" i="51"/>
  <c r="IB95" i="51"/>
  <c r="IC95" i="51"/>
  <c r="ID95" i="51"/>
  <c r="IE95" i="51"/>
  <c r="IF95" i="51"/>
  <c r="IG95" i="51"/>
  <c r="IH95" i="51"/>
  <c r="II95" i="51"/>
  <c r="IJ95" i="51"/>
  <c r="IK95" i="51"/>
  <c r="IL95" i="51"/>
  <c r="IM95" i="51"/>
  <c r="IN95" i="51"/>
  <c r="IO95" i="51"/>
  <c r="IP95" i="51"/>
  <c r="IQ95" i="51"/>
  <c r="IR95" i="51"/>
  <c r="IS95" i="51"/>
  <c r="IT95" i="51"/>
  <c r="IU95" i="51"/>
  <c r="IV95" i="51"/>
  <c r="IW95" i="51"/>
  <c r="IX95" i="51"/>
  <c r="IY95" i="51"/>
  <c r="IZ95" i="51"/>
  <c r="JA95" i="51"/>
  <c r="JB95" i="51"/>
  <c r="JC95" i="51"/>
  <c r="JD95" i="51"/>
  <c r="JE95" i="51"/>
  <c r="JF95" i="51"/>
  <c r="JG95" i="51"/>
  <c r="JH95" i="51"/>
  <c r="JI95" i="51"/>
  <c r="JJ95" i="51"/>
  <c r="JK95" i="51"/>
  <c r="JL95" i="51"/>
  <c r="JM95" i="51"/>
  <c r="JN95" i="51"/>
  <c r="JO95" i="51"/>
  <c r="JP95" i="51"/>
  <c r="JQ95" i="51"/>
  <c r="JR95" i="51"/>
  <c r="JS95" i="51"/>
  <c r="JT95" i="51"/>
  <c r="JU95" i="51"/>
  <c r="JV95" i="51"/>
  <c r="JW95" i="51"/>
  <c r="JX95" i="51"/>
  <c r="JY95" i="51"/>
  <c r="JY98" i="51" l="1"/>
  <c r="JX98" i="51"/>
  <c r="JW98" i="51"/>
  <c r="JV98" i="51"/>
  <c r="JU98" i="51"/>
  <c r="JT98" i="51"/>
  <c r="JR98" i="51"/>
  <c r="JQ98" i="51"/>
  <c r="JS98" i="51"/>
  <c r="JP98" i="51"/>
  <c r="JO98" i="51"/>
  <c r="JN98" i="51"/>
  <c r="JK98" i="51"/>
  <c r="JM98" i="51"/>
  <c r="JL98" i="51"/>
  <c r="JJ98" i="51"/>
  <c r="JI98" i="51"/>
  <c r="JH98" i="51"/>
  <c r="JG98" i="51"/>
  <c r="JF98" i="51"/>
  <c r="JE98" i="51"/>
  <c r="JC98" i="51"/>
  <c r="JB98" i="51"/>
  <c r="JD98" i="51"/>
  <c r="IZ96" i="51"/>
  <c r="IZ98" i="51"/>
  <c r="IY98" i="51"/>
  <c r="JA98" i="51"/>
  <c r="IX98" i="51"/>
  <c r="IW98" i="51"/>
  <c r="IV98" i="51"/>
  <c r="IT98" i="51"/>
  <c r="IS98" i="51"/>
  <c r="IU98" i="51"/>
  <c r="IR98" i="51"/>
  <c r="IQ98" i="51"/>
  <c r="IP98" i="51"/>
  <c r="IM98" i="51"/>
  <c r="IO98" i="51"/>
  <c r="IN98" i="51"/>
  <c r="IL98" i="51"/>
  <c r="IK98" i="51"/>
  <c r="IJ98" i="51"/>
  <c r="II98" i="51"/>
  <c r="IH98" i="51"/>
  <c r="IG98" i="51"/>
  <c r="IE98" i="51"/>
  <c r="ID98" i="51"/>
  <c r="IF98" i="51"/>
  <c r="IC98" i="51"/>
  <c r="IB98" i="51"/>
  <c r="HW98" i="51"/>
  <c r="HV98" i="51"/>
  <c r="HT98" i="51"/>
  <c r="HS98" i="51"/>
  <c r="JW96" i="51"/>
  <c r="II96" i="51"/>
  <c r="JE97" i="51"/>
  <c r="IW97" i="51"/>
  <c r="IO97" i="51"/>
  <c r="IG97" i="51"/>
  <c r="JX96" i="51"/>
  <c r="JP96" i="51"/>
  <c r="JH96" i="51"/>
  <c r="IR96" i="51"/>
  <c r="IJ96" i="51"/>
  <c r="IB96" i="51"/>
  <c r="JU97" i="51"/>
  <c r="JG96" i="51"/>
  <c r="IY96" i="51"/>
  <c r="JM97" i="51"/>
  <c r="IQ96" i="51"/>
  <c r="JO96" i="51"/>
  <c r="IC96" i="51"/>
  <c r="HT97" i="51"/>
  <c r="IB97" i="51"/>
  <c r="HS96" i="51"/>
  <c r="HS97" i="51"/>
  <c r="HT96" i="51"/>
  <c r="IC97" i="51"/>
  <c r="IK97" i="51"/>
  <c r="IS97" i="51"/>
  <c r="JA97" i="51"/>
  <c r="JI97" i="51"/>
  <c r="JQ97" i="51"/>
  <c r="JY97" i="51"/>
  <c r="IK96" i="51"/>
  <c r="IJ97" i="51"/>
  <c r="ID97" i="51"/>
  <c r="IT97" i="51"/>
  <c r="JJ97" i="51"/>
  <c r="IS96" i="51"/>
  <c r="IR97" i="51"/>
  <c r="IL97" i="51"/>
  <c r="JB97" i="51"/>
  <c r="JR97" i="51"/>
  <c r="HV97" i="51"/>
  <c r="IE97" i="51"/>
  <c r="IE96" i="51"/>
  <c r="IM97" i="51"/>
  <c r="IM96" i="51"/>
  <c r="IU97" i="51"/>
  <c r="IU96" i="51"/>
  <c r="JC97" i="51"/>
  <c r="JC96" i="51"/>
  <c r="JK97" i="51"/>
  <c r="JK96" i="51"/>
  <c r="JS97" i="51"/>
  <c r="JS96" i="51"/>
  <c r="JA96" i="51"/>
  <c r="IZ97" i="51"/>
  <c r="HW97" i="51"/>
  <c r="HW96" i="51"/>
  <c r="JD97" i="51"/>
  <c r="JD96" i="51"/>
  <c r="JL97" i="51"/>
  <c r="JL96" i="51"/>
  <c r="JT97" i="51"/>
  <c r="JT96" i="51"/>
  <c r="JI96" i="51"/>
  <c r="JH97" i="51"/>
  <c r="IF97" i="51"/>
  <c r="IF96" i="51"/>
  <c r="IN97" i="51"/>
  <c r="IN96" i="51"/>
  <c r="IV97" i="51"/>
  <c r="IV96" i="51"/>
  <c r="JQ96" i="51"/>
  <c r="JP97" i="51"/>
  <c r="IH97" i="51"/>
  <c r="IH96" i="51"/>
  <c r="IP97" i="51"/>
  <c r="IP96" i="51"/>
  <c r="IX97" i="51"/>
  <c r="IX96" i="51"/>
  <c r="JF97" i="51"/>
  <c r="JF96" i="51"/>
  <c r="JN97" i="51"/>
  <c r="JN96" i="51"/>
  <c r="JV97" i="51"/>
  <c r="JV96" i="51"/>
  <c r="JY96" i="51"/>
  <c r="JX97" i="51"/>
  <c r="II97" i="51"/>
  <c r="IQ97" i="51"/>
  <c r="IY97" i="51"/>
  <c r="JG97" i="51"/>
  <c r="JO97" i="51"/>
  <c r="JW97" i="51"/>
  <c r="HV96" i="51"/>
  <c r="ID96" i="51"/>
  <c r="IL96" i="51"/>
  <c r="IT96" i="51"/>
  <c r="JB96" i="51"/>
  <c r="JJ96" i="51"/>
  <c r="JR96" i="51"/>
  <c r="IG96" i="51"/>
  <c r="IO96" i="51"/>
  <c r="IW96" i="51"/>
  <c r="JE96" i="51"/>
  <c r="JM96" i="51"/>
  <c r="JU96" i="51"/>
  <c r="B28" i="31" l="1"/>
  <c r="L15" i="6" l="1"/>
  <c r="L15" i="7"/>
  <c r="L15" i="8"/>
  <c r="L15" i="9"/>
  <c r="L15" i="10"/>
  <c r="L15" i="11"/>
  <c r="L15" i="12"/>
  <c r="L15" i="13"/>
  <c r="L15" i="14"/>
  <c r="L15" i="15"/>
  <c r="L15" i="16"/>
  <c r="L15" i="17"/>
  <c r="L15" i="18"/>
  <c r="L15" i="19"/>
  <c r="L15" i="20"/>
  <c r="L15" i="21"/>
  <c r="L15" i="22"/>
  <c r="L15" i="23"/>
  <c r="L15" i="5"/>
  <c r="H15" i="6"/>
  <c r="H15" i="7"/>
  <c r="H15" i="8"/>
  <c r="H15" i="9"/>
  <c r="H15" i="10"/>
  <c r="H15" i="11"/>
  <c r="H15" i="12"/>
  <c r="H15" i="13"/>
  <c r="H15" i="14"/>
  <c r="H15" i="15"/>
  <c r="H15" i="16"/>
  <c r="H15" i="17"/>
  <c r="H15" i="18"/>
  <c r="H15" i="19"/>
  <c r="H15" i="20"/>
  <c r="H15" i="21"/>
  <c r="H15" i="22"/>
  <c r="H15" i="23"/>
  <c r="H15" i="5"/>
  <c r="L15" i="4"/>
  <c r="H15" i="4"/>
  <c r="D15" i="8"/>
  <c r="D15" i="9"/>
  <c r="D15" i="10"/>
  <c r="D15" i="11"/>
  <c r="D15" i="12"/>
  <c r="D15" i="13"/>
  <c r="D15" i="14"/>
  <c r="D15" i="15"/>
  <c r="D15" i="16"/>
  <c r="D15" i="17"/>
  <c r="D15" i="18"/>
  <c r="D15" i="19"/>
  <c r="D15" i="20"/>
  <c r="D15" i="21"/>
  <c r="D15" i="22"/>
  <c r="D15" i="23"/>
  <c r="D15" i="7"/>
  <c r="D15" i="6"/>
  <c r="D15" i="5"/>
  <c r="D15" i="4"/>
  <c r="G12" i="44" l="1"/>
  <c r="G10" i="44"/>
  <c r="G8" i="44"/>
  <c r="G6" i="44"/>
  <c r="T15" i="31"/>
  <c r="CQ43" i="51" l="1"/>
  <c r="CR43" i="51"/>
  <c r="CT43" i="51"/>
  <c r="CU43" i="51"/>
  <c r="CZ43" i="51"/>
  <c r="DA43" i="51"/>
  <c r="DB43" i="51"/>
  <c r="DC43" i="51"/>
  <c r="DD43" i="51"/>
  <c r="DE43" i="51"/>
  <c r="DF43" i="51"/>
  <c r="DG43" i="51"/>
  <c r="DH43" i="51"/>
  <c r="DI43" i="51"/>
  <c r="DJ43" i="51"/>
  <c r="DK43" i="51"/>
  <c r="DL43" i="51"/>
  <c r="DM43" i="51"/>
  <c r="DN43" i="51"/>
  <c r="DO43" i="51"/>
  <c r="DP43" i="51"/>
  <c r="DQ43" i="51"/>
  <c r="DR43" i="51"/>
  <c r="DS43" i="51"/>
  <c r="DT43" i="51"/>
  <c r="DU43" i="51"/>
  <c r="DV43" i="51"/>
  <c r="DW43" i="51"/>
  <c r="DX43" i="51"/>
  <c r="DY43" i="51"/>
  <c r="DZ43" i="51"/>
  <c r="EA43" i="51"/>
  <c r="EB43" i="51"/>
  <c r="EC43" i="51"/>
  <c r="ED43" i="51"/>
  <c r="EE43" i="51"/>
  <c r="EF43" i="51"/>
  <c r="EG43" i="51"/>
  <c r="EH43" i="51"/>
  <c r="EI43" i="51"/>
  <c r="EJ43" i="51"/>
  <c r="EK43" i="51"/>
  <c r="EL43" i="51"/>
  <c r="EM43" i="51"/>
  <c r="EN43" i="51"/>
  <c r="EO43" i="51"/>
  <c r="EP43" i="51"/>
  <c r="EQ43" i="51"/>
  <c r="ER43" i="51"/>
  <c r="ES43" i="51"/>
  <c r="ET43" i="51"/>
  <c r="EU43" i="51"/>
  <c r="EV43" i="51"/>
  <c r="EW43" i="51"/>
  <c r="CQ44" i="51"/>
  <c r="CR44" i="51"/>
  <c r="CT44" i="51"/>
  <c r="CU44" i="51"/>
  <c r="CZ44" i="51"/>
  <c r="DA44" i="51"/>
  <c r="DB44" i="51"/>
  <c r="DC44" i="51"/>
  <c r="DD44" i="51"/>
  <c r="DE44" i="51"/>
  <c r="DF44" i="51"/>
  <c r="DG44" i="51"/>
  <c r="DH44" i="51"/>
  <c r="DI44" i="51"/>
  <c r="DJ44" i="51"/>
  <c r="DK44" i="51"/>
  <c r="DL44" i="51"/>
  <c r="DM44" i="51"/>
  <c r="DN44" i="51"/>
  <c r="DO44" i="51"/>
  <c r="DP44" i="51"/>
  <c r="DQ44" i="51"/>
  <c r="DR44" i="51"/>
  <c r="DS44" i="51"/>
  <c r="DT44" i="51"/>
  <c r="DU44" i="51"/>
  <c r="DV44" i="51"/>
  <c r="DW44" i="51"/>
  <c r="DX44" i="51"/>
  <c r="DY44" i="51"/>
  <c r="DZ44" i="51"/>
  <c r="EA44" i="51"/>
  <c r="EB44" i="51"/>
  <c r="EC44" i="51"/>
  <c r="ED44" i="51"/>
  <c r="EE44" i="51"/>
  <c r="EF44" i="51"/>
  <c r="EG44" i="51"/>
  <c r="EH44" i="51"/>
  <c r="EI44" i="51"/>
  <c r="EJ44" i="51"/>
  <c r="EK44" i="51"/>
  <c r="EL44" i="51"/>
  <c r="EM44" i="51"/>
  <c r="EN44" i="51"/>
  <c r="EO44" i="51"/>
  <c r="EP44" i="51"/>
  <c r="EQ44" i="51"/>
  <c r="ER44" i="51"/>
  <c r="ES44" i="51"/>
  <c r="ET44" i="51"/>
  <c r="EU44" i="51"/>
  <c r="EV44" i="51"/>
  <c r="EW44" i="51"/>
  <c r="CQ45" i="51"/>
  <c r="CR45" i="51"/>
  <c r="CT45" i="51"/>
  <c r="CU45" i="51"/>
  <c r="CZ45" i="51"/>
  <c r="DA45" i="51"/>
  <c r="DB45" i="51"/>
  <c r="DC45" i="51"/>
  <c r="DD45" i="51"/>
  <c r="DE45" i="51"/>
  <c r="DF45" i="51"/>
  <c r="DG45" i="51"/>
  <c r="DH45" i="51"/>
  <c r="DI45" i="51"/>
  <c r="DJ45" i="51"/>
  <c r="DK45" i="51"/>
  <c r="DL45" i="51"/>
  <c r="DM45" i="51"/>
  <c r="DN45" i="51"/>
  <c r="DO45" i="51"/>
  <c r="DP45" i="51"/>
  <c r="DQ45" i="51"/>
  <c r="DR45" i="51"/>
  <c r="DS45" i="51"/>
  <c r="DT45" i="51"/>
  <c r="DU45" i="51"/>
  <c r="DV45" i="51"/>
  <c r="DW45" i="51"/>
  <c r="DX45" i="51"/>
  <c r="DY45" i="51"/>
  <c r="DZ45" i="51"/>
  <c r="EA45" i="51"/>
  <c r="EB45" i="51"/>
  <c r="EC45" i="51"/>
  <c r="ED45" i="51"/>
  <c r="EE45" i="51"/>
  <c r="EF45" i="51"/>
  <c r="EG45" i="51"/>
  <c r="EH45" i="51"/>
  <c r="EI45" i="51"/>
  <c r="EJ45" i="51"/>
  <c r="EK45" i="51"/>
  <c r="EL45" i="51"/>
  <c r="EM45" i="51"/>
  <c r="EN45" i="51"/>
  <c r="EO45" i="51"/>
  <c r="EP45" i="51"/>
  <c r="EQ45" i="51"/>
  <c r="ER45" i="51"/>
  <c r="ES45" i="51"/>
  <c r="ET45" i="51"/>
  <c r="EU45" i="51"/>
  <c r="EV45" i="51"/>
  <c r="EW45" i="51"/>
  <c r="CQ46" i="51"/>
  <c r="CR46" i="51"/>
  <c r="CT46" i="51"/>
  <c r="CU46" i="51"/>
  <c r="CZ46" i="51"/>
  <c r="DA46" i="51"/>
  <c r="DB46" i="51"/>
  <c r="DC46" i="51"/>
  <c r="DD46" i="51"/>
  <c r="DE46" i="51"/>
  <c r="DF46" i="51"/>
  <c r="DG46" i="51"/>
  <c r="DH46" i="51"/>
  <c r="DI46" i="51"/>
  <c r="DJ46" i="51"/>
  <c r="DK46" i="51"/>
  <c r="DL46" i="51"/>
  <c r="DM46" i="51"/>
  <c r="DN46" i="51"/>
  <c r="DO46" i="51"/>
  <c r="DP46" i="51"/>
  <c r="DQ46" i="51"/>
  <c r="DR46" i="51"/>
  <c r="DS46" i="51"/>
  <c r="DT46" i="51"/>
  <c r="DU46" i="51"/>
  <c r="DV46" i="51"/>
  <c r="DW46" i="51"/>
  <c r="DX46" i="51"/>
  <c r="DY46" i="51"/>
  <c r="DZ46" i="51"/>
  <c r="EA46" i="51"/>
  <c r="EB46" i="51"/>
  <c r="EC46" i="51"/>
  <c r="ED46" i="51"/>
  <c r="EE46" i="51"/>
  <c r="EF46" i="51"/>
  <c r="EG46" i="51"/>
  <c r="EH46" i="51"/>
  <c r="EI46" i="51"/>
  <c r="EJ46" i="51"/>
  <c r="EK46" i="51"/>
  <c r="EL46" i="51"/>
  <c r="EM46" i="51"/>
  <c r="EN46" i="51"/>
  <c r="EO46" i="51"/>
  <c r="EP46" i="51"/>
  <c r="EQ46" i="51"/>
  <c r="ER46" i="51"/>
  <c r="ES46" i="51"/>
  <c r="ET46" i="51"/>
  <c r="EU46" i="51"/>
  <c r="EV46" i="51"/>
  <c r="EW46" i="51"/>
  <c r="CQ47" i="51"/>
  <c r="CR47" i="51"/>
  <c r="CT47" i="51"/>
  <c r="CU47" i="51"/>
  <c r="CZ47" i="51"/>
  <c r="DA47" i="51"/>
  <c r="DB47" i="51"/>
  <c r="DC47" i="51"/>
  <c r="DD47" i="51"/>
  <c r="DE47" i="51"/>
  <c r="DF47" i="51"/>
  <c r="DG47" i="51"/>
  <c r="DH47" i="51"/>
  <c r="DI47" i="51"/>
  <c r="DJ47" i="51"/>
  <c r="DK47" i="51"/>
  <c r="DL47" i="51"/>
  <c r="DM47" i="51"/>
  <c r="DN47" i="51"/>
  <c r="DO47" i="51"/>
  <c r="DP47" i="51"/>
  <c r="DQ47" i="51"/>
  <c r="DR47" i="51"/>
  <c r="DS47" i="51"/>
  <c r="DT47" i="51"/>
  <c r="DU47" i="51"/>
  <c r="DV47" i="51"/>
  <c r="DW47" i="51"/>
  <c r="DX47" i="51"/>
  <c r="DY47" i="51"/>
  <c r="DZ47" i="51"/>
  <c r="EA47" i="51"/>
  <c r="EB47" i="51"/>
  <c r="EC47" i="51"/>
  <c r="ED47" i="51"/>
  <c r="EE47" i="51"/>
  <c r="EF47" i="51"/>
  <c r="EG47" i="51"/>
  <c r="EH47" i="51"/>
  <c r="EI47" i="51"/>
  <c r="EJ47" i="51"/>
  <c r="EK47" i="51"/>
  <c r="EL47" i="51"/>
  <c r="EM47" i="51"/>
  <c r="EN47" i="51"/>
  <c r="EO47" i="51"/>
  <c r="EP47" i="51"/>
  <c r="EQ47" i="51"/>
  <c r="ER47" i="51"/>
  <c r="ES47" i="51"/>
  <c r="ET47" i="51"/>
  <c r="EU47" i="51"/>
  <c r="EV47" i="51"/>
  <c r="EW47" i="51"/>
  <c r="CQ48" i="51"/>
  <c r="CR48" i="51"/>
  <c r="CT48" i="51"/>
  <c r="CU48" i="51"/>
  <c r="CZ48" i="51"/>
  <c r="DA48" i="51"/>
  <c r="DB48" i="51"/>
  <c r="DC48" i="51"/>
  <c r="DD48" i="51"/>
  <c r="DE48" i="51"/>
  <c r="DF48" i="51"/>
  <c r="DG48" i="51"/>
  <c r="DH48" i="51"/>
  <c r="DI48" i="51"/>
  <c r="DJ48" i="51"/>
  <c r="DK48" i="51"/>
  <c r="DL48" i="51"/>
  <c r="DM48" i="51"/>
  <c r="DN48" i="51"/>
  <c r="DO48" i="51"/>
  <c r="DP48" i="51"/>
  <c r="DQ48" i="51"/>
  <c r="DR48" i="51"/>
  <c r="DS48" i="51"/>
  <c r="DT48" i="51"/>
  <c r="DU48" i="51"/>
  <c r="DV48" i="51"/>
  <c r="DW48" i="51"/>
  <c r="DX48" i="51"/>
  <c r="DY48" i="51"/>
  <c r="DZ48" i="51"/>
  <c r="EA48" i="51"/>
  <c r="EB48" i="51"/>
  <c r="EC48" i="51"/>
  <c r="ED48" i="51"/>
  <c r="EE48" i="51"/>
  <c r="EF48" i="51"/>
  <c r="EG48" i="51"/>
  <c r="EH48" i="51"/>
  <c r="EI48" i="51"/>
  <c r="EJ48" i="51"/>
  <c r="EK48" i="51"/>
  <c r="EL48" i="51"/>
  <c r="EM48" i="51"/>
  <c r="EN48" i="51"/>
  <c r="EO48" i="51"/>
  <c r="EP48" i="51"/>
  <c r="EQ48" i="51"/>
  <c r="ER48" i="51"/>
  <c r="ES48" i="51"/>
  <c r="ET48" i="51"/>
  <c r="EU48" i="51"/>
  <c r="EV48" i="51"/>
  <c r="EW48" i="51"/>
  <c r="CQ49" i="51"/>
  <c r="CR49" i="51"/>
  <c r="CT49" i="51"/>
  <c r="CU49" i="51"/>
  <c r="CZ49" i="51"/>
  <c r="DA49" i="51"/>
  <c r="DB49" i="51"/>
  <c r="DC49" i="51"/>
  <c r="DD49" i="51"/>
  <c r="DE49" i="51"/>
  <c r="DF49" i="51"/>
  <c r="DG49" i="51"/>
  <c r="DH49" i="51"/>
  <c r="DI49" i="51"/>
  <c r="DJ49" i="51"/>
  <c r="DK49" i="51"/>
  <c r="DL49" i="51"/>
  <c r="DM49" i="51"/>
  <c r="DN49" i="51"/>
  <c r="DO49" i="51"/>
  <c r="DP49" i="51"/>
  <c r="DQ49" i="51"/>
  <c r="DR49" i="51"/>
  <c r="DS49" i="51"/>
  <c r="DT49" i="51"/>
  <c r="DU49" i="51"/>
  <c r="DV49" i="51"/>
  <c r="DW49" i="51"/>
  <c r="DX49" i="51"/>
  <c r="DY49" i="51"/>
  <c r="DZ49" i="51"/>
  <c r="EA49" i="51"/>
  <c r="EB49" i="51"/>
  <c r="EC49" i="51"/>
  <c r="ED49" i="51"/>
  <c r="EE49" i="51"/>
  <c r="EF49" i="51"/>
  <c r="EG49" i="51"/>
  <c r="EH49" i="51"/>
  <c r="EI49" i="51"/>
  <c r="EJ49" i="51"/>
  <c r="EK49" i="51"/>
  <c r="EL49" i="51"/>
  <c r="EM49" i="51"/>
  <c r="EN49" i="51"/>
  <c r="EO49" i="51"/>
  <c r="EP49" i="51"/>
  <c r="EQ49" i="51"/>
  <c r="ER49" i="51"/>
  <c r="ES49" i="51"/>
  <c r="ET49" i="51"/>
  <c r="EU49" i="51"/>
  <c r="EV49" i="51"/>
  <c r="EW49" i="51"/>
  <c r="CQ50" i="51"/>
  <c r="CR50" i="51"/>
  <c r="CT50" i="51"/>
  <c r="CU50" i="51"/>
  <c r="CZ50" i="51"/>
  <c r="DA50" i="51"/>
  <c r="DB50" i="51"/>
  <c r="DC50" i="51"/>
  <c r="DD50" i="51"/>
  <c r="DE50" i="51"/>
  <c r="DF50" i="51"/>
  <c r="DG50" i="51"/>
  <c r="DH50" i="51"/>
  <c r="DI50" i="51"/>
  <c r="DJ50" i="51"/>
  <c r="DK50" i="51"/>
  <c r="DL50" i="51"/>
  <c r="DM50" i="51"/>
  <c r="DN50" i="51"/>
  <c r="DO50" i="51"/>
  <c r="DP50" i="51"/>
  <c r="DQ50" i="51"/>
  <c r="DR50" i="51"/>
  <c r="DS50" i="51"/>
  <c r="DT50" i="51"/>
  <c r="DU50" i="51"/>
  <c r="DV50" i="51"/>
  <c r="DW50" i="51"/>
  <c r="DX50" i="51"/>
  <c r="DY50" i="51"/>
  <c r="DZ50" i="51"/>
  <c r="EA50" i="51"/>
  <c r="EB50" i="51"/>
  <c r="EC50" i="51"/>
  <c r="ED50" i="51"/>
  <c r="EE50" i="51"/>
  <c r="EF50" i="51"/>
  <c r="EG50" i="51"/>
  <c r="EH50" i="51"/>
  <c r="EI50" i="51"/>
  <c r="EJ50" i="51"/>
  <c r="EK50" i="51"/>
  <c r="EL50" i="51"/>
  <c r="EM50" i="51"/>
  <c r="EN50" i="51"/>
  <c r="EO50" i="51"/>
  <c r="EP50" i="51"/>
  <c r="EQ50" i="51"/>
  <c r="ER50" i="51"/>
  <c r="ES50" i="51"/>
  <c r="ET50" i="51"/>
  <c r="EU50" i="51"/>
  <c r="EV50" i="51"/>
  <c r="EW50" i="51"/>
  <c r="CQ51" i="51"/>
  <c r="CR51" i="51"/>
  <c r="CT51" i="51"/>
  <c r="CU51" i="51"/>
  <c r="CZ51" i="51"/>
  <c r="DA51" i="51"/>
  <c r="DB51" i="51"/>
  <c r="DC51" i="51"/>
  <c r="DD51" i="51"/>
  <c r="DE51" i="51"/>
  <c r="DF51" i="51"/>
  <c r="DG51" i="51"/>
  <c r="DH51" i="51"/>
  <c r="DI51" i="51"/>
  <c r="DJ51" i="51"/>
  <c r="DK51" i="51"/>
  <c r="DL51" i="51"/>
  <c r="DM51" i="51"/>
  <c r="DN51" i="51"/>
  <c r="DO51" i="51"/>
  <c r="DP51" i="51"/>
  <c r="DQ51" i="51"/>
  <c r="DR51" i="51"/>
  <c r="DS51" i="51"/>
  <c r="DT51" i="51"/>
  <c r="DU51" i="51"/>
  <c r="DV51" i="51"/>
  <c r="DW51" i="51"/>
  <c r="DX51" i="51"/>
  <c r="DY51" i="51"/>
  <c r="DZ51" i="51"/>
  <c r="EA51" i="51"/>
  <c r="EB51" i="51"/>
  <c r="EC51" i="51"/>
  <c r="ED51" i="51"/>
  <c r="EE51" i="51"/>
  <c r="EF51" i="51"/>
  <c r="EG51" i="51"/>
  <c r="EH51" i="51"/>
  <c r="EI51" i="51"/>
  <c r="EJ51" i="51"/>
  <c r="EK51" i="51"/>
  <c r="EL51" i="51"/>
  <c r="EM51" i="51"/>
  <c r="EN51" i="51"/>
  <c r="EO51" i="51"/>
  <c r="EP51" i="51"/>
  <c r="EQ51" i="51"/>
  <c r="ER51" i="51"/>
  <c r="ES51" i="51"/>
  <c r="ET51" i="51"/>
  <c r="EU51" i="51"/>
  <c r="EV51" i="51"/>
  <c r="EW51" i="51"/>
  <c r="CQ52" i="51"/>
  <c r="CR52" i="51"/>
  <c r="CT52" i="51"/>
  <c r="CU52" i="51"/>
  <c r="CZ52" i="51"/>
  <c r="DA52" i="51"/>
  <c r="DB52" i="51"/>
  <c r="DC52" i="51"/>
  <c r="DD52" i="51"/>
  <c r="DE52" i="51"/>
  <c r="DF52" i="51"/>
  <c r="DG52" i="51"/>
  <c r="DH52" i="51"/>
  <c r="DI52" i="51"/>
  <c r="DJ52" i="51"/>
  <c r="DK52" i="51"/>
  <c r="DL52" i="51"/>
  <c r="DM52" i="51"/>
  <c r="DN52" i="51"/>
  <c r="DO52" i="51"/>
  <c r="DP52" i="51"/>
  <c r="DQ52" i="51"/>
  <c r="DR52" i="51"/>
  <c r="DS52" i="51"/>
  <c r="DT52" i="51"/>
  <c r="DU52" i="51"/>
  <c r="DV52" i="51"/>
  <c r="DW52" i="51"/>
  <c r="DX52" i="51"/>
  <c r="DY52" i="51"/>
  <c r="DZ52" i="51"/>
  <c r="EA52" i="51"/>
  <c r="EB52" i="51"/>
  <c r="EC52" i="51"/>
  <c r="ED52" i="51"/>
  <c r="EE52" i="51"/>
  <c r="EF52" i="51"/>
  <c r="EG52" i="51"/>
  <c r="EH52" i="51"/>
  <c r="EI52" i="51"/>
  <c r="EJ52" i="51"/>
  <c r="EK52" i="51"/>
  <c r="EL52" i="51"/>
  <c r="EM52" i="51"/>
  <c r="EN52" i="51"/>
  <c r="EO52" i="51"/>
  <c r="EP52" i="51"/>
  <c r="EQ52" i="51"/>
  <c r="ER52" i="51"/>
  <c r="ES52" i="51"/>
  <c r="ET52" i="51"/>
  <c r="EU52" i="51"/>
  <c r="EV52" i="51"/>
  <c r="EW52" i="51"/>
  <c r="CQ53" i="51"/>
  <c r="CR53" i="51"/>
  <c r="CT53" i="51"/>
  <c r="CU53" i="51"/>
  <c r="CZ53" i="51"/>
  <c r="DA53" i="51"/>
  <c r="DB53" i="51"/>
  <c r="DC53" i="51"/>
  <c r="DD53" i="51"/>
  <c r="DE53" i="51"/>
  <c r="DF53" i="51"/>
  <c r="DG53" i="51"/>
  <c r="DH53" i="51"/>
  <c r="DI53" i="51"/>
  <c r="DJ53" i="51"/>
  <c r="DK53" i="51"/>
  <c r="DL53" i="51"/>
  <c r="DM53" i="51"/>
  <c r="DN53" i="51"/>
  <c r="DO53" i="51"/>
  <c r="DP53" i="51"/>
  <c r="DQ53" i="51"/>
  <c r="DR53" i="51"/>
  <c r="DS53" i="51"/>
  <c r="DT53" i="51"/>
  <c r="DU53" i="51"/>
  <c r="DV53" i="51"/>
  <c r="DW53" i="51"/>
  <c r="DX53" i="51"/>
  <c r="DY53" i="51"/>
  <c r="DZ53" i="51"/>
  <c r="EA53" i="51"/>
  <c r="EB53" i="51"/>
  <c r="EC53" i="51"/>
  <c r="ED53" i="51"/>
  <c r="EE53" i="51"/>
  <c r="EF53" i="51"/>
  <c r="EG53" i="51"/>
  <c r="EH53" i="51"/>
  <c r="EI53" i="51"/>
  <c r="EJ53" i="51"/>
  <c r="EK53" i="51"/>
  <c r="EL53" i="51"/>
  <c r="EM53" i="51"/>
  <c r="EN53" i="51"/>
  <c r="EO53" i="51"/>
  <c r="EP53" i="51"/>
  <c r="EQ53" i="51"/>
  <c r="ER53" i="51"/>
  <c r="ES53" i="51"/>
  <c r="ET53" i="51"/>
  <c r="EU53" i="51"/>
  <c r="EV53" i="51"/>
  <c r="EW53" i="51"/>
  <c r="CQ54" i="51"/>
  <c r="CR54" i="51"/>
  <c r="CT54" i="51"/>
  <c r="CU54" i="51"/>
  <c r="CZ54" i="51"/>
  <c r="DA54" i="51"/>
  <c r="DB54" i="51"/>
  <c r="DC54" i="51"/>
  <c r="DD54" i="51"/>
  <c r="DE54" i="51"/>
  <c r="DF54" i="51"/>
  <c r="DG54" i="51"/>
  <c r="DH54" i="51"/>
  <c r="DI54" i="51"/>
  <c r="DJ54" i="51"/>
  <c r="DK54" i="51"/>
  <c r="DL54" i="51"/>
  <c r="DM54" i="51"/>
  <c r="DN54" i="51"/>
  <c r="DO54" i="51"/>
  <c r="DP54" i="51"/>
  <c r="DQ54" i="51"/>
  <c r="DR54" i="51"/>
  <c r="DS54" i="51"/>
  <c r="DT54" i="51"/>
  <c r="DU54" i="51"/>
  <c r="DV54" i="51"/>
  <c r="DW54" i="51"/>
  <c r="DX54" i="51"/>
  <c r="DY54" i="51"/>
  <c r="DZ54" i="51"/>
  <c r="EA54" i="51"/>
  <c r="EB54" i="51"/>
  <c r="EC54" i="51"/>
  <c r="ED54" i="51"/>
  <c r="EE54" i="51"/>
  <c r="EF54" i="51"/>
  <c r="EG54" i="51"/>
  <c r="EH54" i="51"/>
  <c r="EI54" i="51"/>
  <c r="EJ54" i="51"/>
  <c r="EK54" i="51"/>
  <c r="EL54" i="51"/>
  <c r="EM54" i="51"/>
  <c r="EN54" i="51"/>
  <c r="EO54" i="51"/>
  <c r="EP54" i="51"/>
  <c r="EQ54" i="51"/>
  <c r="ER54" i="51"/>
  <c r="ES54" i="51"/>
  <c r="ET54" i="51"/>
  <c r="EU54" i="51"/>
  <c r="EV54" i="51"/>
  <c r="EW54" i="51"/>
  <c r="CQ55" i="51"/>
  <c r="CR55" i="51"/>
  <c r="CT55" i="51"/>
  <c r="CU55" i="51"/>
  <c r="CZ55" i="51"/>
  <c r="DA55" i="51"/>
  <c r="DB55" i="51"/>
  <c r="DC55" i="51"/>
  <c r="DD55" i="51"/>
  <c r="DE55" i="51"/>
  <c r="DF55" i="51"/>
  <c r="DG55" i="51"/>
  <c r="DH55" i="51"/>
  <c r="DI55" i="51"/>
  <c r="DJ55" i="51"/>
  <c r="DK55" i="51"/>
  <c r="DL55" i="51"/>
  <c r="DM55" i="51"/>
  <c r="DN55" i="51"/>
  <c r="DO55" i="51"/>
  <c r="DP55" i="51"/>
  <c r="DQ55" i="51"/>
  <c r="DR55" i="51"/>
  <c r="DS55" i="51"/>
  <c r="DT55" i="51"/>
  <c r="DU55" i="51"/>
  <c r="DV55" i="51"/>
  <c r="DW55" i="51"/>
  <c r="DX55" i="51"/>
  <c r="DY55" i="51"/>
  <c r="DZ55" i="51"/>
  <c r="EA55" i="51"/>
  <c r="EB55" i="51"/>
  <c r="EC55" i="51"/>
  <c r="ED55" i="51"/>
  <c r="EE55" i="51"/>
  <c r="EF55" i="51"/>
  <c r="EG55" i="51"/>
  <c r="EH55" i="51"/>
  <c r="EI55" i="51"/>
  <c r="EJ55" i="51"/>
  <c r="EK55" i="51"/>
  <c r="EL55" i="51"/>
  <c r="EM55" i="51"/>
  <c r="EN55" i="51"/>
  <c r="EO55" i="51"/>
  <c r="EP55" i="51"/>
  <c r="EQ55" i="51"/>
  <c r="ER55" i="51"/>
  <c r="ES55" i="51"/>
  <c r="ET55" i="51"/>
  <c r="EU55" i="51"/>
  <c r="EV55" i="51"/>
  <c r="EW55" i="51"/>
  <c r="CQ56" i="51"/>
  <c r="CR56" i="51"/>
  <c r="CT56" i="51"/>
  <c r="CU56" i="51"/>
  <c r="CZ56" i="51"/>
  <c r="DA56" i="51"/>
  <c r="DB56" i="51"/>
  <c r="DC56" i="51"/>
  <c r="DD56" i="51"/>
  <c r="DE56" i="51"/>
  <c r="DF56" i="51"/>
  <c r="DG56" i="51"/>
  <c r="DH56" i="51"/>
  <c r="DI56" i="51"/>
  <c r="DJ56" i="51"/>
  <c r="DK56" i="51"/>
  <c r="DL56" i="51"/>
  <c r="DM56" i="51"/>
  <c r="DN56" i="51"/>
  <c r="DO56" i="51"/>
  <c r="DP56" i="51"/>
  <c r="DQ56" i="51"/>
  <c r="DR56" i="51"/>
  <c r="DS56" i="51"/>
  <c r="DT56" i="51"/>
  <c r="DU56" i="51"/>
  <c r="DV56" i="51"/>
  <c r="DW56" i="51"/>
  <c r="DX56" i="51"/>
  <c r="DY56" i="51"/>
  <c r="DZ56" i="51"/>
  <c r="EA56" i="51"/>
  <c r="EB56" i="51"/>
  <c r="EC56" i="51"/>
  <c r="ED56" i="51"/>
  <c r="EE56" i="51"/>
  <c r="EF56" i="51"/>
  <c r="EG56" i="51"/>
  <c r="EH56" i="51"/>
  <c r="EI56" i="51"/>
  <c r="EJ56" i="51"/>
  <c r="EK56" i="51"/>
  <c r="EL56" i="51"/>
  <c r="EM56" i="51"/>
  <c r="EN56" i="51"/>
  <c r="EO56" i="51"/>
  <c r="EP56" i="51"/>
  <c r="EQ56" i="51"/>
  <c r="ER56" i="51"/>
  <c r="ES56" i="51"/>
  <c r="ET56" i="51"/>
  <c r="EU56" i="51"/>
  <c r="EV56" i="51"/>
  <c r="EW56" i="51"/>
  <c r="CQ57" i="51"/>
  <c r="CR57" i="51"/>
  <c r="CT57" i="51"/>
  <c r="CU57" i="51"/>
  <c r="CZ57" i="51"/>
  <c r="DA57" i="51"/>
  <c r="DB57" i="51"/>
  <c r="DC57" i="51"/>
  <c r="DD57" i="51"/>
  <c r="DE57" i="51"/>
  <c r="DF57" i="51"/>
  <c r="DG57" i="51"/>
  <c r="DH57" i="51"/>
  <c r="DI57" i="51"/>
  <c r="DJ57" i="51"/>
  <c r="DK57" i="51"/>
  <c r="DL57" i="51"/>
  <c r="DM57" i="51"/>
  <c r="DN57" i="51"/>
  <c r="DO57" i="51"/>
  <c r="DP57" i="51"/>
  <c r="DQ57" i="51"/>
  <c r="DR57" i="51"/>
  <c r="DS57" i="51"/>
  <c r="DT57" i="51"/>
  <c r="DU57" i="51"/>
  <c r="DV57" i="51"/>
  <c r="DW57" i="51"/>
  <c r="DX57" i="51"/>
  <c r="DY57" i="51"/>
  <c r="DZ57" i="51"/>
  <c r="EA57" i="51"/>
  <c r="EB57" i="51"/>
  <c r="EC57" i="51"/>
  <c r="ED57" i="51"/>
  <c r="EE57" i="51"/>
  <c r="EF57" i="51"/>
  <c r="EG57" i="51"/>
  <c r="EH57" i="51"/>
  <c r="EI57" i="51"/>
  <c r="EJ57" i="51"/>
  <c r="EK57" i="51"/>
  <c r="EL57" i="51"/>
  <c r="EM57" i="51"/>
  <c r="EN57" i="51"/>
  <c r="EO57" i="51"/>
  <c r="EP57" i="51"/>
  <c r="EQ57" i="51"/>
  <c r="ER57" i="51"/>
  <c r="ES57" i="51"/>
  <c r="ET57" i="51"/>
  <c r="EU57" i="51"/>
  <c r="EV57" i="51"/>
  <c r="EW57" i="51"/>
  <c r="CQ58" i="51"/>
  <c r="CR58" i="51"/>
  <c r="CT58" i="51"/>
  <c r="CU58" i="51"/>
  <c r="CZ58" i="51"/>
  <c r="DA58" i="51"/>
  <c r="DB58" i="51"/>
  <c r="DC58" i="51"/>
  <c r="DD58" i="51"/>
  <c r="DE58" i="51"/>
  <c r="DF58" i="51"/>
  <c r="DG58" i="51"/>
  <c r="DH58" i="51"/>
  <c r="DI58" i="51"/>
  <c r="DJ58" i="51"/>
  <c r="DK58" i="51"/>
  <c r="DL58" i="51"/>
  <c r="DM58" i="51"/>
  <c r="DN58" i="51"/>
  <c r="DO58" i="51"/>
  <c r="DP58" i="51"/>
  <c r="DQ58" i="51"/>
  <c r="DR58" i="51"/>
  <c r="DS58" i="51"/>
  <c r="DT58" i="51"/>
  <c r="DU58" i="51"/>
  <c r="DV58" i="51"/>
  <c r="DW58" i="51"/>
  <c r="DX58" i="51"/>
  <c r="DY58" i="51"/>
  <c r="DZ58" i="51"/>
  <c r="EA58" i="51"/>
  <c r="EB58" i="51"/>
  <c r="EC58" i="51"/>
  <c r="ED58" i="51"/>
  <c r="EE58" i="51"/>
  <c r="EF58" i="51"/>
  <c r="EG58" i="51"/>
  <c r="EH58" i="51"/>
  <c r="EI58" i="51"/>
  <c r="EJ58" i="51"/>
  <c r="EK58" i="51"/>
  <c r="EL58" i="51"/>
  <c r="EM58" i="51"/>
  <c r="EN58" i="51"/>
  <c r="EO58" i="51"/>
  <c r="EP58" i="51"/>
  <c r="EQ58" i="51"/>
  <c r="ER58" i="51"/>
  <c r="ES58" i="51"/>
  <c r="ET58" i="51"/>
  <c r="EU58" i="51"/>
  <c r="EV58" i="51"/>
  <c r="EW58" i="51"/>
  <c r="CQ59" i="51"/>
  <c r="CR59" i="51"/>
  <c r="CT59" i="51"/>
  <c r="CU59" i="51"/>
  <c r="CZ59" i="51"/>
  <c r="DA59" i="51"/>
  <c r="DB59" i="51"/>
  <c r="DC59" i="51"/>
  <c r="DD59" i="51"/>
  <c r="DE59" i="51"/>
  <c r="DF59" i="51"/>
  <c r="DG59" i="51"/>
  <c r="DH59" i="51"/>
  <c r="DI59" i="51"/>
  <c r="DJ59" i="51"/>
  <c r="DK59" i="51"/>
  <c r="DL59" i="51"/>
  <c r="DM59" i="51"/>
  <c r="DN59" i="51"/>
  <c r="DO59" i="51"/>
  <c r="DP59" i="51"/>
  <c r="DQ59" i="51"/>
  <c r="DR59" i="51"/>
  <c r="DS59" i="51"/>
  <c r="DT59" i="51"/>
  <c r="DU59" i="51"/>
  <c r="DV59" i="51"/>
  <c r="DW59" i="51"/>
  <c r="DX59" i="51"/>
  <c r="DY59" i="51"/>
  <c r="DZ59" i="51"/>
  <c r="EA59" i="51"/>
  <c r="EB59" i="51"/>
  <c r="EC59" i="51"/>
  <c r="ED59" i="51"/>
  <c r="EE59" i="51"/>
  <c r="EF59" i="51"/>
  <c r="EG59" i="51"/>
  <c r="EH59" i="51"/>
  <c r="EI59" i="51"/>
  <c r="EJ59" i="51"/>
  <c r="EK59" i="51"/>
  <c r="EL59" i="51"/>
  <c r="EM59" i="51"/>
  <c r="EN59" i="51"/>
  <c r="EO59" i="51"/>
  <c r="EP59" i="51"/>
  <c r="EQ59" i="51"/>
  <c r="ER59" i="51"/>
  <c r="ES59" i="51"/>
  <c r="ET59" i="51"/>
  <c r="EU59" i="51"/>
  <c r="EV59" i="51"/>
  <c r="EW59" i="51"/>
  <c r="CQ60" i="51"/>
  <c r="CR60" i="51"/>
  <c r="CT60" i="51"/>
  <c r="CU60" i="51"/>
  <c r="CZ60" i="51"/>
  <c r="DA60" i="51"/>
  <c r="DB60" i="51"/>
  <c r="DC60" i="51"/>
  <c r="DD60" i="51"/>
  <c r="DE60" i="51"/>
  <c r="DF60" i="51"/>
  <c r="DG60" i="51"/>
  <c r="DH60" i="51"/>
  <c r="DI60" i="51"/>
  <c r="DJ60" i="51"/>
  <c r="DK60" i="51"/>
  <c r="DL60" i="51"/>
  <c r="DM60" i="51"/>
  <c r="DN60" i="51"/>
  <c r="DO60" i="51"/>
  <c r="DP60" i="51"/>
  <c r="DQ60" i="51"/>
  <c r="DR60" i="51"/>
  <c r="DS60" i="51"/>
  <c r="DT60" i="51"/>
  <c r="DU60" i="51"/>
  <c r="DV60" i="51"/>
  <c r="DW60" i="51"/>
  <c r="DX60" i="51"/>
  <c r="DY60" i="51"/>
  <c r="DZ60" i="51"/>
  <c r="EA60" i="51"/>
  <c r="EB60" i="51"/>
  <c r="EC60" i="51"/>
  <c r="ED60" i="51"/>
  <c r="EE60" i="51"/>
  <c r="EF60" i="51"/>
  <c r="EG60" i="51"/>
  <c r="EH60" i="51"/>
  <c r="EI60" i="51"/>
  <c r="EJ60" i="51"/>
  <c r="EK60" i="51"/>
  <c r="EL60" i="51"/>
  <c r="EM60" i="51"/>
  <c r="EN60" i="51"/>
  <c r="EO60" i="51"/>
  <c r="EP60" i="51"/>
  <c r="EQ60" i="51"/>
  <c r="ER60" i="51"/>
  <c r="ES60" i="51"/>
  <c r="ET60" i="51"/>
  <c r="EU60" i="51"/>
  <c r="EV60" i="51"/>
  <c r="EW60" i="51"/>
  <c r="CQ61" i="51"/>
  <c r="CR61" i="51"/>
  <c r="CT61" i="51"/>
  <c r="CU61" i="51"/>
  <c r="CZ61" i="51"/>
  <c r="DA61" i="51"/>
  <c r="DB61" i="51"/>
  <c r="DC61" i="51"/>
  <c r="DD61" i="51"/>
  <c r="DE61" i="51"/>
  <c r="DF61" i="51"/>
  <c r="DG61" i="51"/>
  <c r="DH61" i="51"/>
  <c r="DI61" i="51"/>
  <c r="DJ61" i="51"/>
  <c r="DK61" i="51"/>
  <c r="DL61" i="51"/>
  <c r="DM61" i="51"/>
  <c r="DN61" i="51"/>
  <c r="DO61" i="51"/>
  <c r="DP61" i="51"/>
  <c r="DQ61" i="51"/>
  <c r="DR61" i="51"/>
  <c r="DS61" i="51"/>
  <c r="DT61" i="51"/>
  <c r="DU61" i="51"/>
  <c r="DV61" i="51"/>
  <c r="DW61" i="51"/>
  <c r="DX61" i="51"/>
  <c r="DY61" i="51"/>
  <c r="DZ61" i="51"/>
  <c r="EA61" i="51"/>
  <c r="EB61" i="51"/>
  <c r="EC61" i="51"/>
  <c r="ED61" i="51"/>
  <c r="EE61" i="51"/>
  <c r="EF61" i="51"/>
  <c r="EG61" i="51"/>
  <c r="EH61" i="51"/>
  <c r="EI61" i="51"/>
  <c r="EJ61" i="51"/>
  <c r="EK61" i="51"/>
  <c r="EL61" i="51"/>
  <c r="EM61" i="51"/>
  <c r="EN61" i="51"/>
  <c r="EO61" i="51"/>
  <c r="EP61" i="51"/>
  <c r="EQ61" i="51"/>
  <c r="ER61" i="51"/>
  <c r="ES61" i="51"/>
  <c r="ET61" i="51"/>
  <c r="EU61" i="51"/>
  <c r="EV61" i="51"/>
  <c r="EW61" i="51"/>
  <c r="CQ62" i="51"/>
  <c r="CR62" i="51"/>
  <c r="CT62" i="51"/>
  <c r="CU62" i="51"/>
  <c r="CZ62" i="51"/>
  <c r="DA62" i="51"/>
  <c r="DB62" i="51"/>
  <c r="DC62" i="51"/>
  <c r="DD62" i="51"/>
  <c r="DE62" i="51"/>
  <c r="DF62" i="51"/>
  <c r="DG62" i="51"/>
  <c r="DH62" i="51"/>
  <c r="DI62" i="51"/>
  <c r="DJ62" i="51"/>
  <c r="DK62" i="51"/>
  <c r="DL62" i="51"/>
  <c r="DM62" i="51"/>
  <c r="DN62" i="51"/>
  <c r="DO62" i="51"/>
  <c r="DP62" i="51"/>
  <c r="DQ62" i="51"/>
  <c r="DR62" i="51"/>
  <c r="DS62" i="51"/>
  <c r="DT62" i="51"/>
  <c r="DU62" i="51"/>
  <c r="DV62" i="51"/>
  <c r="DW62" i="51"/>
  <c r="DX62" i="51"/>
  <c r="DY62" i="51"/>
  <c r="DZ62" i="51"/>
  <c r="EA62" i="51"/>
  <c r="EB62" i="51"/>
  <c r="EC62" i="51"/>
  <c r="ED62" i="51"/>
  <c r="EE62" i="51"/>
  <c r="EF62" i="51"/>
  <c r="EG62" i="51"/>
  <c r="EH62" i="51"/>
  <c r="EI62" i="51"/>
  <c r="EJ62" i="51"/>
  <c r="EK62" i="51"/>
  <c r="EL62" i="51"/>
  <c r="EM62" i="51"/>
  <c r="EN62" i="51"/>
  <c r="EO62" i="51"/>
  <c r="EP62" i="51"/>
  <c r="EQ62" i="51"/>
  <c r="ER62" i="51"/>
  <c r="ES62" i="51"/>
  <c r="ET62" i="51"/>
  <c r="EU62" i="51"/>
  <c r="EV62" i="51"/>
  <c r="EW62" i="51"/>
  <c r="CQ63" i="51"/>
  <c r="CR63" i="51"/>
  <c r="CT63" i="51"/>
  <c r="CU63" i="51"/>
  <c r="CZ63" i="51"/>
  <c r="DA63" i="51"/>
  <c r="DB63" i="51"/>
  <c r="DC63" i="51"/>
  <c r="DD63" i="51"/>
  <c r="DE63" i="51"/>
  <c r="DF63" i="51"/>
  <c r="DG63" i="51"/>
  <c r="DH63" i="51"/>
  <c r="DI63" i="51"/>
  <c r="DJ63" i="51"/>
  <c r="DK63" i="51"/>
  <c r="DL63" i="51"/>
  <c r="DM63" i="51"/>
  <c r="DN63" i="51"/>
  <c r="DO63" i="51"/>
  <c r="DP63" i="51"/>
  <c r="DQ63" i="51"/>
  <c r="DR63" i="51"/>
  <c r="DS63" i="51"/>
  <c r="DT63" i="51"/>
  <c r="DU63" i="51"/>
  <c r="DV63" i="51"/>
  <c r="DW63" i="51"/>
  <c r="DX63" i="51"/>
  <c r="DY63" i="51"/>
  <c r="DZ63" i="51"/>
  <c r="EA63" i="51"/>
  <c r="EB63" i="51"/>
  <c r="EC63" i="51"/>
  <c r="ED63" i="51"/>
  <c r="EE63" i="51"/>
  <c r="EF63" i="51"/>
  <c r="EG63" i="51"/>
  <c r="EH63" i="51"/>
  <c r="EI63" i="51"/>
  <c r="EJ63" i="51"/>
  <c r="EK63" i="51"/>
  <c r="EL63" i="51"/>
  <c r="EM63" i="51"/>
  <c r="EN63" i="51"/>
  <c r="EO63" i="51"/>
  <c r="EP63" i="51"/>
  <c r="EQ63" i="51"/>
  <c r="ER63" i="51"/>
  <c r="ES63" i="51"/>
  <c r="ET63" i="51"/>
  <c r="EU63" i="51"/>
  <c r="EV63" i="51"/>
  <c r="EW63" i="51"/>
  <c r="CQ64" i="51"/>
  <c r="CR64" i="51"/>
  <c r="CT64" i="51"/>
  <c r="CU64" i="51"/>
  <c r="CZ64" i="51"/>
  <c r="DA64" i="51"/>
  <c r="DB64" i="51"/>
  <c r="DC64" i="51"/>
  <c r="DD64" i="51"/>
  <c r="DE64" i="51"/>
  <c r="DF64" i="51"/>
  <c r="DG64" i="51"/>
  <c r="DH64" i="51"/>
  <c r="DI64" i="51"/>
  <c r="DJ64" i="51"/>
  <c r="DK64" i="51"/>
  <c r="DL64" i="51"/>
  <c r="DM64" i="51"/>
  <c r="DN64" i="51"/>
  <c r="DO64" i="51"/>
  <c r="DP64" i="51"/>
  <c r="DQ64" i="51"/>
  <c r="DR64" i="51"/>
  <c r="DS64" i="51"/>
  <c r="DT64" i="51"/>
  <c r="DU64" i="51"/>
  <c r="DV64" i="51"/>
  <c r="DW64" i="51"/>
  <c r="DX64" i="51"/>
  <c r="DY64" i="51"/>
  <c r="DZ64" i="51"/>
  <c r="EA64" i="51"/>
  <c r="EB64" i="51"/>
  <c r="EC64" i="51"/>
  <c r="ED64" i="51"/>
  <c r="EE64" i="51"/>
  <c r="EF64" i="51"/>
  <c r="EG64" i="51"/>
  <c r="EH64" i="51"/>
  <c r="EI64" i="51"/>
  <c r="EJ64" i="51"/>
  <c r="EK64" i="51"/>
  <c r="EL64" i="51"/>
  <c r="EM64" i="51"/>
  <c r="EN64" i="51"/>
  <c r="EO64" i="51"/>
  <c r="EP64" i="51"/>
  <c r="EQ64" i="51"/>
  <c r="ER64" i="51"/>
  <c r="ES64" i="51"/>
  <c r="ET64" i="51"/>
  <c r="EU64" i="51"/>
  <c r="EV64" i="51"/>
  <c r="EW64" i="51"/>
  <c r="CQ65" i="51"/>
  <c r="CR65" i="51"/>
  <c r="CT65" i="51"/>
  <c r="CU65" i="51"/>
  <c r="CZ65" i="51"/>
  <c r="DA65" i="51"/>
  <c r="DB65" i="51"/>
  <c r="DC65" i="51"/>
  <c r="DD65" i="51"/>
  <c r="DE65" i="51"/>
  <c r="DF65" i="51"/>
  <c r="DG65" i="51"/>
  <c r="DH65" i="51"/>
  <c r="DI65" i="51"/>
  <c r="DJ65" i="51"/>
  <c r="DK65" i="51"/>
  <c r="DL65" i="51"/>
  <c r="DM65" i="51"/>
  <c r="DN65" i="51"/>
  <c r="DO65" i="51"/>
  <c r="DP65" i="51"/>
  <c r="DQ65" i="51"/>
  <c r="DR65" i="51"/>
  <c r="DS65" i="51"/>
  <c r="DT65" i="51"/>
  <c r="DU65" i="51"/>
  <c r="DV65" i="51"/>
  <c r="DW65" i="51"/>
  <c r="DX65" i="51"/>
  <c r="DY65" i="51"/>
  <c r="DZ65" i="51"/>
  <c r="EA65" i="51"/>
  <c r="EB65" i="51"/>
  <c r="EC65" i="51"/>
  <c r="ED65" i="51"/>
  <c r="EE65" i="51"/>
  <c r="EF65" i="51"/>
  <c r="EG65" i="51"/>
  <c r="EH65" i="51"/>
  <c r="EI65" i="51"/>
  <c r="EJ65" i="51"/>
  <c r="EK65" i="51"/>
  <c r="EL65" i="51"/>
  <c r="EM65" i="51"/>
  <c r="EN65" i="51"/>
  <c r="EO65" i="51"/>
  <c r="EP65" i="51"/>
  <c r="EQ65" i="51"/>
  <c r="ER65" i="51"/>
  <c r="ES65" i="51"/>
  <c r="ET65" i="51"/>
  <c r="EU65" i="51"/>
  <c r="EV65" i="51"/>
  <c r="EW65" i="51"/>
  <c r="CQ66" i="51"/>
  <c r="CR66" i="51"/>
  <c r="CT66" i="51"/>
  <c r="CU66" i="51"/>
  <c r="CZ66" i="51"/>
  <c r="DA66" i="51"/>
  <c r="DB66" i="51"/>
  <c r="DC66" i="51"/>
  <c r="DD66" i="51"/>
  <c r="DE66" i="51"/>
  <c r="DF66" i="51"/>
  <c r="DG66" i="51"/>
  <c r="DH66" i="51"/>
  <c r="DI66" i="51"/>
  <c r="DJ66" i="51"/>
  <c r="DK66" i="51"/>
  <c r="DL66" i="51"/>
  <c r="DM66" i="51"/>
  <c r="DN66" i="51"/>
  <c r="DO66" i="51"/>
  <c r="DP66" i="51"/>
  <c r="DQ66" i="51"/>
  <c r="DR66" i="51"/>
  <c r="DS66" i="51"/>
  <c r="DT66" i="51"/>
  <c r="DU66" i="51"/>
  <c r="DV66" i="51"/>
  <c r="DW66" i="51"/>
  <c r="DX66" i="51"/>
  <c r="DY66" i="51"/>
  <c r="DZ66" i="51"/>
  <c r="EA66" i="51"/>
  <c r="EB66" i="51"/>
  <c r="EC66" i="51"/>
  <c r="ED66" i="51"/>
  <c r="EE66" i="51"/>
  <c r="EF66" i="51"/>
  <c r="EG66" i="51"/>
  <c r="EH66" i="51"/>
  <c r="EI66" i="51"/>
  <c r="EJ66" i="51"/>
  <c r="EK66" i="51"/>
  <c r="EL66" i="51"/>
  <c r="EM66" i="51"/>
  <c r="EN66" i="51"/>
  <c r="EO66" i="51"/>
  <c r="EP66" i="51"/>
  <c r="EQ66" i="51"/>
  <c r="ER66" i="51"/>
  <c r="ES66" i="51"/>
  <c r="ET66" i="51"/>
  <c r="EU66" i="51"/>
  <c r="EV66" i="51"/>
  <c r="EW66" i="51"/>
  <c r="CQ67" i="51"/>
  <c r="CR67" i="51"/>
  <c r="CT67" i="51"/>
  <c r="CU67" i="51"/>
  <c r="CZ67" i="51"/>
  <c r="DA67" i="51"/>
  <c r="DB67" i="51"/>
  <c r="DC67" i="51"/>
  <c r="DD67" i="51"/>
  <c r="DE67" i="51"/>
  <c r="DF67" i="51"/>
  <c r="DG67" i="51"/>
  <c r="DH67" i="51"/>
  <c r="DI67" i="51"/>
  <c r="DJ67" i="51"/>
  <c r="DK67" i="51"/>
  <c r="DL67" i="51"/>
  <c r="DM67" i="51"/>
  <c r="DN67" i="51"/>
  <c r="DO67" i="51"/>
  <c r="DP67" i="51"/>
  <c r="DQ67" i="51"/>
  <c r="DR67" i="51"/>
  <c r="DS67" i="51"/>
  <c r="DT67" i="51"/>
  <c r="DU67" i="51"/>
  <c r="DV67" i="51"/>
  <c r="DW67" i="51"/>
  <c r="DX67" i="51"/>
  <c r="DY67" i="51"/>
  <c r="DZ67" i="51"/>
  <c r="EA67" i="51"/>
  <c r="EB67" i="51"/>
  <c r="EC67" i="51"/>
  <c r="ED67" i="51"/>
  <c r="EE67" i="51"/>
  <c r="EF67" i="51"/>
  <c r="EG67" i="51"/>
  <c r="EH67" i="51"/>
  <c r="EI67" i="51"/>
  <c r="EJ67" i="51"/>
  <c r="EK67" i="51"/>
  <c r="EL67" i="51"/>
  <c r="EM67" i="51"/>
  <c r="EN67" i="51"/>
  <c r="EO67" i="51"/>
  <c r="EP67" i="51"/>
  <c r="EQ67" i="51"/>
  <c r="ER67" i="51"/>
  <c r="ES67" i="51"/>
  <c r="ET67" i="51"/>
  <c r="EU67" i="51"/>
  <c r="EV67" i="51"/>
  <c r="EW67" i="51"/>
  <c r="CQ68" i="51"/>
  <c r="CR68" i="51"/>
  <c r="CT68" i="51"/>
  <c r="CU68" i="51"/>
  <c r="CZ68" i="51"/>
  <c r="DA68" i="51"/>
  <c r="DB68" i="51"/>
  <c r="DC68" i="51"/>
  <c r="DD68" i="51"/>
  <c r="DE68" i="51"/>
  <c r="DF68" i="51"/>
  <c r="DG68" i="51"/>
  <c r="DH68" i="51"/>
  <c r="DI68" i="51"/>
  <c r="DJ68" i="51"/>
  <c r="DK68" i="51"/>
  <c r="DL68" i="51"/>
  <c r="DM68" i="51"/>
  <c r="DN68" i="51"/>
  <c r="DO68" i="51"/>
  <c r="DP68" i="51"/>
  <c r="DQ68" i="51"/>
  <c r="DR68" i="51"/>
  <c r="DS68" i="51"/>
  <c r="DT68" i="51"/>
  <c r="DU68" i="51"/>
  <c r="DV68" i="51"/>
  <c r="DW68" i="51"/>
  <c r="DX68" i="51"/>
  <c r="DY68" i="51"/>
  <c r="DZ68" i="51"/>
  <c r="EA68" i="51"/>
  <c r="EB68" i="51"/>
  <c r="EC68" i="51"/>
  <c r="ED68" i="51"/>
  <c r="EE68" i="51"/>
  <c r="EF68" i="51"/>
  <c r="EG68" i="51"/>
  <c r="EH68" i="51"/>
  <c r="EI68" i="51"/>
  <c r="EJ68" i="51"/>
  <c r="EK68" i="51"/>
  <c r="EL68" i="51"/>
  <c r="EM68" i="51"/>
  <c r="EN68" i="51"/>
  <c r="EO68" i="51"/>
  <c r="EP68" i="51"/>
  <c r="EQ68" i="51"/>
  <c r="ER68" i="51"/>
  <c r="ES68" i="51"/>
  <c r="ET68" i="51"/>
  <c r="EU68" i="51"/>
  <c r="EV68" i="51"/>
  <c r="EW68" i="51"/>
  <c r="CQ69" i="51"/>
  <c r="CR69" i="51"/>
  <c r="CT69" i="51"/>
  <c r="CU69" i="51"/>
  <c r="CZ69" i="51"/>
  <c r="DA69" i="51"/>
  <c r="DB69" i="51"/>
  <c r="DC69" i="51"/>
  <c r="DD69" i="51"/>
  <c r="DE69" i="51"/>
  <c r="DF69" i="51"/>
  <c r="DG69" i="51"/>
  <c r="DH69" i="51"/>
  <c r="DI69" i="51"/>
  <c r="DJ69" i="51"/>
  <c r="DK69" i="51"/>
  <c r="DL69" i="51"/>
  <c r="DM69" i="51"/>
  <c r="DN69" i="51"/>
  <c r="DO69" i="51"/>
  <c r="DP69" i="51"/>
  <c r="DQ69" i="51"/>
  <c r="DR69" i="51"/>
  <c r="DS69" i="51"/>
  <c r="DT69" i="51"/>
  <c r="DU69" i="51"/>
  <c r="DV69" i="51"/>
  <c r="DW69" i="51"/>
  <c r="DX69" i="51"/>
  <c r="DY69" i="51"/>
  <c r="DZ69" i="51"/>
  <c r="EA69" i="51"/>
  <c r="EB69" i="51"/>
  <c r="EC69" i="51"/>
  <c r="ED69" i="51"/>
  <c r="EE69" i="51"/>
  <c r="EF69" i="51"/>
  <c r="EG69" i="51"/>
  <c r="EH69" i="51"/>
  <c r="EI69" i="51"/>
  <c r="EJ69" i="51"/>
  <c r="EK69" i="51"/>
  <c r="EL69" i="51"/>
  <c r="EM69" i="51"/>
  <c r="EN69" i="51"/>
  <c r="EO69" i="51"/>
  <c r="EP69" i="51"/>
  <c r="EQ69" i="51"/>
  <c r="ER69" i="51"/>
  <c r="ES69" i="51"/>
  <c r="ET69" i="51"/>
  <c r="EU69" i="51"/>
  <c r="EV69" i="51"/>
  <c r="EW69" i="51"/>
  <c r="CQ70" i="51"/>
  <c r="CR70" i="51"/>
  <c r="CT70" i="51"/>
  <c r="CU70" i="51"/>
  <c r="CZ70" i="51"/>
  <c r="DA70" i="51"/>
  <c r="DB70" i="51"/>
  <c r="DC70" i="51"/>
  <c r="DD70" i="51"/>
  <c r="DE70" i="51"/>
  <c r="DF70" i="51"/>
  <c r="DG70" i="51"/>
  <c r="DH70" i="51"/>
  <c r="DI70" i="51"/>
  <c r="DJ70" i="51"/>
  <c r="DK70" i="51"/>
  <c r="DL70" i="51"/>
  <c r="DM70" i="51"/>
  <c r="DN70" i="51"/>
  <c r="DO70" i="51"/>
  <c r="DP70" i="51"/>
  <c r="DQ70" i="51"/>
  <c r="DR70" i="51"/>
  <c r="DS70" i="51"/>
  <c r="DT70" i="51"/>
  <c r="DU70" i="51"/>
  <c r="DV70" i="51"/>
  <c r="DW70" i="51"/>
  <c r="DX70" i="51"/>
  <c r="DY70" i="51"/>
  <c r="DZ70" i="51"/>
  <c r="EA70" i="51"/>
  <c r="EB70" i="51"/>
  <c r="EC70" i="51"/>
  <c r="ED70" i="51"/>
  <c r="EE70" i="51"/>
  <c r="EF70" i="51"/>
  <c r="EG70" i="51"/>
  <c r="EH70" i="51"/>
  <c r="EI70" i="51"/>
  <c r="EJ70" i="51"/>
  <c r="EK70" i="51"/>
  <c r="EL70" i="51"/>
  <c r="EM70" i="51"/>
  <c r="EN70" i="51"/>
  <c r="EO70" i="51"/>
  <c r="EP70" i="51"/>
  <c r="EQ70" i="51"/>
  <c r="ER70" i="51"/>
  <c r="ES70" i="51"/>
  <c r="ET70" i="51"/>
  <c r="EU70" i="51"/>
  <c r="EV70" i="51"/>
  <c r="EW70" i="51"/>
  <c r="CQ71" i="51"/>
  <c r="CR71" i="51"/>
  <c r="CT71" i="51"/>
  <c r="CU71" i="51"/>
  <c r="CZ71" i="51"/>
  <c r="DA71" i="51"/>
  <c r="DB71" i="51"/>
  <c r="DC71" i="51"/>
  <c r="DD71" i="51"/>
  <c r="DE71" i="51"/>
  <c r="DF71" i="51"/>
  <c r="DG71" i="51"/>
  <c r="DH71" i="51"/>
  <c r="DI71" i="51"/>
  <c r="DJ71" i="51"/>
  <c r="DK71" i="51"/>
  <c r="DL71" i="51"/>
  <c r="DM71" i="51"/>
  <c r="DN71" i="51"/>
  <c r="DO71" i="51"/>
  <c r="DP71" i="51"/>
  <c r="DQ71" i="51"/>
  <c r="DR71" i="51"/>
  <c r="DS71" i="51"/>
  <c r="DT71" i="51"/>
  <c r="DU71" i="51"/>
  <c r="DV71" i="51"/>
  <c r="DW71" i="51"/>
  <c r="DX71" i="51"/>
  <c r="DY71" i="51"/>
  <c r="DZ71" i="51"/>
  <c r="EA71" i="51"/>
  <c r="EB71" i="51"/>
  <c r="EC71" i="51"/>
  <c r="ED71" i="51"/>
  <c r="EE71" i="51"/>
  <c r="EF71" i="51"/>
  <c r="EG71" i="51"/>
  <c r="EH71" i="51"/>
  <c r="EI71" i="51"/>
  <c r="EJ71" i="51"/>
  <c r="EK71" i="51"/>
  <c r="EL71" i="51"/>
  <c r="EM71" i="51"/>
  <c r="EN71" i="51"/>
  <c r="EO71" i="51"/>
  <c r="EP71" i="51"/>
  <c r="EQ71" i="51"/>
  <c r="ER71" i="51"/>
  <c r="ES71" i="51"/>
  <c r="ET71" i="51"/>
  <c r="EU71" i="51"/>
  <c r="EV71" i="51"/>
  <c r="EW71" i="51"/>
  <c r="CQ72" i="51"/>
  <c r="CR72" i="51"/>
  <c r="CT72" i="51"/>
  <c r="CU72" i="51"/>
  <c r="CZ72" i="51"/>
  <c r="DA72" i="51"/>
  <c r="DB72" i="51"/>
  <c r="DC72" i="51"/>
  <c r="DD72" i="51"/>
  <c r="DE72" i="51"/>
  <c r="DF72" i="51"/>
  <c r="DG72" i="51"/>
  <c r="DH72" i="51"/>
  <c r="DI72" i="51"/>
  <c r="DJ72" i="51"/>
  <c r="DK72" i="51"/>
  <c r="DL72" i="51"/>
  <c r="DM72" i="51"/>
  <c r="DN72" i="51"/>
  <c r="DO72" i="51"/>
  <c r="DP72" i="51"/>
  <c r="DQ72" i="51"/>
  <c r="DR72" i="51"/>
  <c r="DS72" i="51"/>
  <c r="DT72" i="51"/>
  <c r="DU72" i="51"/>
  <c r="DV72" i="51"/>
  <c r="DW72" i="51"/>
  <c r="DX72" i="51"/>
  <c r="DY72" i="51"/>
  <c r="DZ72" i="51"/>
  <c r="EA72" i="51"/>
  <c r="EB72" i="51"/>
  <c r="EC72" i="51"/>
  <c r="ED72" i="51"/>
  <c r="EE72" i="51"/>
  <c r="EF72" i="51"/>
  <c r="EG72" i="51"/>
  <c r="EH72" i="51"/>
  <c r="EI72" i="51"/>
  <c r="EJ72" i="51"/>
  <c r="EK72" i="51"/>
  <c r="EL72" i="51"/>
  <c r="EM72" i="51"/>
  <c r="EN72" i="51"/>
  <c r="EO72" i="51"/>
  <c r="EP72" i="51"/>
  <c r="EQ72" i="51"/>
  <c r="ER72" i="51"/>
  <c r="ES72" i="51"/>
  <c r="ET72" i="51"/>
  <c r="EU72" i="51"/>
  <c r="EV72" i="51"/>
  <c r="EW72" i="51"/>
  <c r="CQ73" i="51"/>
  <c r="CR73" i="51"/>
  <c r="CT73" i="51"/>
  <c r="CU73" i="51"/>
  <c r="CZ73" i="51"/>
  <c r="DA73" i="51"/>
  <c r="DB73" i="51"/>
  <c r="DC73" i="51"/>
  <c r="DD73" i="51"/>
  <c r="DE73" i="51"/>
  <c r="DF73" i="51"/>
  <c r="DG73" i="51"/>
  <c r="DH73" i="51"/>
  <c r="DI73" i="51"/>
  <c r="DJ73" i="51"/>
  <c r="DK73" i="51"/>
  <c r="DL73" i="51"/>
  <c r="DM73" i="51"/>
  <c r="DN73" i="51"/>
  <c r="DO73" i="51"/>
  <c r="DP73" i="51"/>
  <c r="DQ73" i="51"/>
  <c r="DR73" i="51"/>
  <c r="DS73" i="51"/>
  <c r="DT73" i="51"/>
  <c r="DU73" i="51"/>
  <c r="DV73" i="51"/>
  <c r="DW73" i="51"/>
  <c r="DX73" i="51"/>
  <c r="DY73" i="51"/>
  <c r="DZ73" i="51"/>
  <c r="EA73" i="51"/>
  <c r="EB73" i="51"/>
  <c r="EC73" i="51"/>
  <c r="ED73" i="51"/>
  <c r="EE73" i="51"/>
  <c r="EF73" i="51"/>
  <c r="EG73" i="51"/>
  <c r="EH73" i="51"/>
  <c r="EI73" i="51"/>
  <c r="EJ73" i="51"/>
  <c r="EK73" i="51"/>
  <c r="EL73" i="51"/>
  <c r="EM73" i="51"/>
  <c r="EN73" i="51"/>
  <c r="EO73" i="51"/>
  <c r="EP73" i="51"/>
  <c r="EQ73" i="51"/>
  <c r="ER73" i="51"/>
  <c r="ES73" i="51"/>
  <c r="ET73" i="51"/>
  <c r="EU73" i="51"/>
  <c r="EV73" i="51"/>
  <c r="EW73" i="51"/>
  <c r="CQ74" i="51"/>
  <c r="CR74" i="51"/>
  <c r="CT74" i="51"/>
  <c r="CU74" i="51"/>
  <c r="CZ74" i="51"/>
  <c r="DA74" i="51"/>
  <c r="DB74" i="51"/>
  <c r="DC74" i="51"/>
  <c r="DD74" i="51"/>
  <c r="DE74" i="51"/>
  <c r="DF74" i="51"/>
  <c r="DG74" i="51"/>
  <c r="DH74" i="51"/>
  <c r="DI74" i="51"/>
  <c r="DJ74" i="51"/>
  <c r="DK74" i="51"/>
  <c r="DL74" i="51"/>
  <c r="DM74" i="51"/>
  <c r="DN74" i="51"/>
  <c r="DO74" i="51"/>
  <c r="DP74" i="51"/>
  <c r="DQ74" i="51"/>
  <c r="DR74" i="51"/>
  <c r="DS74" i="51"/>
  <c r="DT74" i="51"/>
  <c r="DU74" i="51"/>
  <c r="DV74" i="51"/>
  <c r="DW74" i="51"/>
  <c r="DX74" i="51"/>
  <c r="DY74" i="51"/>
  <c r="DZ74" i="51"/>
  <c r="EA74" i="51"/>
  <c r="EB74" i="51"/>
  <c r="EC74" i="51"/>
  <c r="ED74" i="51"/>
  <c r="EE74" i="51"/>
  <c r="EF74" i="51"/>
  <c r="EG74" i="51"/>
  <c r="EH74" i="51"/>
  <c r="EI74" i="51"/>
  <c r="EJ74" i="51"/>
  <c r="EK74" i="51"/>
  <c r="EL74" i="51"/>
  <c r="EM74" i="51"/>
  <c r="EN74" i="51"/>
  <c r="EO74" i="51"/>
  <c r="EP74" i="51"/>
  <c r="EQ74" i="51"/>
  <c r="ER74" i="51"/>
  <c r="ES74" i="51"/>
  <c r="ET74" i="51"/>
  <c r="EU74" i="51"/>
  <c r="EV74" i="51"/>
  <c r="EW74" i="51"/>
  <c r="CQ75" i="51"/>
  <c r="CR75" i="51"/>
  <c r="CT75" i="51"/>
  <c r="CU75" i="51"/>
  <c r="CZ75" i="51"/>
  <c r="DA75" i="51"/>
  <c r="DB75" i="51"/>
  <c r="DC75" i="51"/>
  <c r="DD75" i="51"/>
  <c r="DE75" i="51"/>
  <c r="DF75" i="51"/>
  <c r="DG75" i="51"/>
  <c r="DH75" i="51"/>
  <c r="DI75" i="51"/>
  <c r="DJ75" i="51"/>
  <c r="DK75" i="51"/>
  <c r="DL75" i="51"/>
  <c r="DM75" i="51"/>
  <c r="DN75" i="51"/>
  <c r="DO75" i="51"/>
  <c r="DP75" i="51"/>
  <c r="DQ75" i="51"/>
  <c r="DR75" i="51"/>
  <c r="DS75" i="51"/>
  <c r="DT75" i="51"/>
  <c r="DU75" i="51"/>
  <c r="DV75" i="51"/>
  <c r="DW75" i="51"/>
  <c r="DX75" i="51"/>
  <c r="DY75" i="51"/>
  <c r="DZ75" i="51"/>
  <c r="EA75" i="51"/>
  <c r="EB75" i="51"/>
  <c r="EC75" i="51"/>
  <c r="ED75" i="51"/>
  <c r="EE75" i="51"/>
  <c r="EF75" i="51"/>
  <c r="EG75" i="51"/>
  <c r="EH75" i="51"/>
  <c r="EI75" i="51"/>
  <c r="EJ75" i="51"/>
  <c r="EK75" i="51"/>
  <c r="EL75" i="51"/>
  <c r="EM75" i="51"/>
  <c r="EN75" i="51"/>
  <c r="EO75" i="51"/>
  <c r="EP75" i="51"/>
  <c r="EQ75" i="51"/>
  <c r="ER75" i="51"/>
  <c r="ES75" i="51"/>
  <c r="ET75" i="51"/>
  <c r="EU75" i="51"/>
  <c r="EV75" i="51"/>
  <c r="EW75" i="51"/>
  <c r="CQ76" i="51"/>
  <c r="CR76" i="51"/>
  <c r="CT76" i="51"/>
  <c r="CU76" i="51"/>
  <c r="CZ76" i="51"/>
  <c r="DA76" i="51"/>
  <c r="DB76" i="51"/>
  <c r="DC76" i="51"/>
  <c r="DD76" i="51"/>
  <c r="DE76" i="51"/>
  <c r="DF76" i="51"/>
  <c r="DG76" i="51"/>
  <c r="DH76" i="51"/>
  <c r="DI76" i="51"/>
  <c r="DJ76" i="51"/>
  <c r="DK76" i="51"/>
  <c r="DL76" i="51"/>
  <c r="DM76" i="51"/>
  <c r="DN76" i="51"/>
  <c r="DO76" i="51"/>
  <c r="DP76" i="51"/>
  <c r="DQ76" i="51"/>
  <c r="DR76" i="51"/>
  <c r="DS76" i="51"/>
  <c r="DT76" i="51"/>
  <c r="DU76" i="51"/>
  <c r="DV76" i="51"/>
  <c r="DW76" i="51"/>
  <c r="DX76" i="51"/>
  <c r="DY76" i="51"/>
  <c r="DZ76" i="51"/>
  <c r="EA76" i="51"/>
  <c r="EB76" i="51"/>
  <c r="EC76" i="51"/>
  <c r="ED76" i="51"/>
  <c r="EE76" i="51"/>
  <c r="EF76" i="51"/>
  <c r="EG76" i="51"/>
  <c r="EH76" i="51"/>
  <c r="EI76" i="51"/>
  <c r="EJ76" i="51"/>
  <c r="EK76" i="51"/>
  <c r="EL76" i="51"/>
  <c r="EM76" i="51"/>
  <c r="EN76" i="51"/>
  <c r="EO76" i="51"/>
  <c r="EP76" i="51"/>
  <c r="EQ76" i="51"/>
  <c r="ER76" i="51"/>
  <c r="ES76" i="51"/>
  <c r="ET76" i="51"/>
  <c r="EU76" i="51"/>
  <c r="EV76" i="51"/>
  <c r="EW76" i="51"/>
  <c r="CQ77" i="51"/>
  <c r="CR77" i="51"/>
  <c r="CT77" i="51"/>
  <c r="CU77" i="51"/>
  <c r="CZ77" i="51"/>
  <c r="DA77" i="51"/>
  <c r="DB77" i="51"/>
  <c r="DC77" i="51"/>
  <c r="DD77" i="51"/>
  <c r="DE77" i="51"/>
  <c r="DF77" i="51"/>
  <c r="DG77" i="51"/>
  <c r="DH77" i="51"/>
  <c r="DI77" i="51"/>
  <c r="DJ77" i="51"/>
  <c r="DK77" i="51"/>
  <c r="DL77" i="51"/>
  <c r="DM77" i="51"/>
  <c r="DN77" i="51"/>
  <c r="DO77" i="51"/>
  <c r="DP77" i="51"/>
  <c r="DQ77" i="51"/>
  <c r="DR77" i="51"/>
  <c r="DS77" i="51"/>
  <c r="DT77" i="51"/>
  <c r="DU77" i="51"/>
  <c r="DV77" i="51"/>
  <c r="DW77" i="51"/>
  <c r="DX77" i="51"/>
  <c r="DY77" i="51"/>
  <c r="DZ77" i="51"/>
  <c r="EA77" i="51"/>
  <c r="EB77" i="51"/>
  <c r="EC77" i="51"/>
  <c r="ED77" i="51"/>
  <c r="EE77" i="51"/>
  <c r="EF77" i="51"/>
  <c r="EG77" i="51"/>
  <c r="EH77" i="51"/>
  <c r="EI77" i="51"/>
  <c r="EJ77" i="51"/>
  <c r="EK77" i="51"/>
  <c r="EL77" i="51"/>
  <c r="EM77" i="51"/>
  <c r="EN77" i="51"/>
  <c r="EO77" i="51"/>
  <c r="EP77" i="51"/>
  <c r="EQ77" i="51"/>
  <c r="ER77" i="51"/>
  <c r="ES77" i="51"/>
  <c r="ET77" i="51"/>
  <c r="EU77" i="51"/>
  <c r="EV77" i="51"/>
  <c r="EW77" i="51"/>
  <c r="CQ78" i="51"/>
  <c r="CR78" i="51"/>
  <c r="CT78" i="51"/>
  <c r="CU78" i="51"/>
  <c r="CZ78" i="51"/>
  <c r="DA78" i="51"/>
  <c r="DB78" i="51"/>
  <c r="DC78" i="51"/>
  <c r="DD78" i="51"/>
  <c r="DE78" i="51"/>
  <c r="DF78" i="51"/>
  <c r="DG78" i="51"/>
  <c r="DH78" i="51"/>
  <c r="DI78" i="51"/>
  <c r="DJ78" i="51"/>
  <c r="DK78" i="51"/>
  <c r="DL78" i="51"/>
  <c r="DM78" i="51"/>
  <c r="DN78" i="51"/>
  <c r="DO78" i="51"/>
  <c r="DP78" i="51"/>
  <c r="DQ78" i="51"/>
  <c r="DR78" i="51"/>
  <c r="DS78" i="51"/>
  <c r="DT78" i="51"/>
  <c r="DU78" i="51"/>
  <c r="DV78" i="51"/>
  <c r="DW78" i="51"/>
  <c r="DX78" i="51"/>
  <c r="DY78" i="51"/>
  <c r="DZ78" i="51"/>
  <c r="EA78" i="51"/>
  <c r="EB78" i="51"/>
  <c r="EC78" i="51"/>
  <c r="ED78" i="51"/>
  <c r="EE78" i="51"/>
  <c r="EF78" i="51"/>
  <c r="EG78" i="51"/>
  <c r="EH78" i="51"/>
  <c r="EI78" i="51"/>
  <c r="EJ78" i="51"/>
  <c r="EK78" i="51"/>
  <c r="EL78" i="51"/>
  <c r="EM78" i="51"/>
  <c r="EN78" i="51"/>
  <c r="EO78" i="51"/>
  <c r="EP78" i="51"/>
  <c r="EQ78" i="51"/>
  <c r="ER78" i="51"/>
  <c r="ES78" i="51"/>
  <c r="ET78" i="51"/>
  <c r="EU78" i="51"/>
  <c r="EV78" i="51"/>
  <c r="EW78" i="51"/>
  <c r="CQ79" i="51"/>
  <c r="CR79" i="51"/>
  <c r="CT79" i="51"/>
  <c r="CU79" i="51"/>
  <c r="CZ79" i="51"/>
  <c r="DA79" i="51"/>
  <c r="DB79" i="51"/>
  <c r="DC79" i="51"/>
  <c r="DD79" i="51"/>
  <c r="DE79" i="51"/>
  <c r="DF79" i="51"/>
  <c r="DG79" i="51"/>
  <c r="DH79" i="51"/>
  <c r="DI79" i="51"/>
  <c r="DJ79" i="51"/>
  <c r="DK79" i="51"/>
  <c r="DL79" i="51"/>
  <c r="DM79" i="51"/>
  <c r="DN79" i="51"/>
  <c r="DO79" i="51"/>
  <c r="DP79" i="51"/>
  <c r="DQ79" i="51"/>
  <c r="DR79" i="51"/>
  <c r="DS79" i="51"/>
  <c r="DT79" i="51"/>
  <c r="DU79" i="51"/>
  <c r="DV79" i="51"/>
  <c r="DW79" i="51"/>
  <c r="DX79" i="51"/>
  <c r="DY79" i="51"/>
  <c r="DZ79" i="51"/>
  <c r="EA79" i="51"/>
  <c r="EB79" i="51"/>
  <c r="EC79" i="51"/>
  <c r="ED79" i="51"/>
  <c r="EE79" i="51"/>
  <c r="EF79" i="51"/>
  <c r="EG79" i="51"/>
  <c r="EH79" i="51"/>
  <c r="EI79" i="51"/>
  <c r="EJ79" i="51"/>
  <c r="EK79" i="51"/>
  <c r="EL79" i="51"/>
  <c r="EM79" i="51"/>
  <c r="EN79" i="51"/>
  <c r="EO79" i="51"/>
  <c r="EP79" i="51"/>
  <c r="EQ79" i="51"/>
  <c r="ER79" i="51"/>
  <c r="ES79" i="51"/>
  <c r="ET79" i="51"/>
  <c r="EU79" i="51"/>
  <c r="EV79" i="51"/>
  <c r="EW79" i="51"/>
  <c r="CQ80" i="51"/>
  <c r="CR80" i="51"/>
  <c r="CT80" i="51"/>
  <c r="CU80" i="51"/>
  <c r="CZ80" i="51"/>
  <c r="DA80" i="51"/>
  <c r="DB80" i="51"/>
  <c r="DC80" i="51"/>
  <c r="DD80" i="51"/>
  <c r="DE80" i="51"/>
  <c r="DF80" i="51"/>
  <c r="DG80" i="51"/>
  <c r="DH80" i="51"/>
  <c r="DI80" i="51"/>
  <c r="DJ80" i="51"/>
  <c r="DK80" i="51"/>
  <c r="DL80" i="51"/>
  <c r="DM80" i="51"/>
  <c r="DN80" i="51"/>
  <c r="DO80" i="51"/>
  <c r="DP80" i="51"/>
  <c r="DQ80" i="51"/>
  <c r="DR80" i="51"/>
  <c r="DS80" i="51"/>
  <c r="DT80" i="51"/>
  <c r="DU80" i="51"/>
  <c r="DV80" i="51"/>
  <c r="DW80" i="51"/>
  <c r="DX80" i="51"/>
  <c r="DY80" i="51"/>
  <c r="DZ80" i="51"/>
  <c r="EA80" i="51"/>
  <c r="EB80" i="51"/>
  <c r="EC80" i="51"/>
  <c r="ED80" i="51"/>
  <c r="EE80" i="51"/>
  <c r="EF80" i="51"/>
  <c r="EG80" i="51"/>
  <c r="EH80" i="51"/>
  <c r="EI80" i="51"/>
  <c r="EJ80" i="51"/>
  <c r="EK80" i="51"/>
  <c r="EL80" i="51"/>
  <c r="EM80" i="51"/>
  <c r="EN80" i="51"/>
  <c r="EO80" i="51"/>
  <c r="EP80" i="51"/>
  <c r="EQ80" i="51"/>
  <c r="ER80" i="51"/>
  <c r="ES80" i="51"/>
  <c r="ET80" i="51"/>
  <c r="EU80" i="51"/>
  <c r="EV80" i="51"/>
  <c r="EW80" i="51"/>
  <c r="CQ81" i="51"/>
  <c r="CR81" i="51"/>
  <c r="CT81" i="51"/>
  <c r="CU81" i="51"/>
  <c r="CZ81" i="51"/>
  <c r="DA81" i="51"/>
  <c r="DB81" i="51"/>
  <c r="DC81" i="51"/>
  <c r="DD81" i="51"/>
  <c r="DE81" i="51"/>
  <c r="DF81" i="51"/>
  <c r="DG81" i="51"/>
  <c r="DH81" i="51"/>
  <c r="DI81" i="51"/>
  <c r="DJ81" i="51"/>
  <c r="DK81" i="51"/>
  <c r="DL81" i="51"/>
  <c r="DM81" i="51"/>
  <c r="DN81" i="51"/>
  <c r="DO81" i="51"/>
  <c r="DP81" i="51"/>
  <c r="DQ81" i="51"/>
  <c r="DR81" i="51"/>
  <c r="DS81" i="51"/>
  <c r="DT81" i="51"/>
  <c r="DU81" i="51"/>
  <c r="DV81" i="51"/>
  <c r="DW81" i="51"/>
  <c r="DX81" i="51"/>
  <c r="DY81" i="51"/>
  <c r="DZ81" i="51"/>
  <c r="EA81" i="51"/>
  <c r="EB81" i="51"/>
  <c r="EC81" i="51"/>
  <c r="ED81" i="51"/>
  <c r="EE81" i="51"/>
  <c r="EF81" i="51"/>
  <c r="EG81" i="51"/>
  <c r="EH81" i="51"/>
  <c r="EI81" i="51"/>
  <c r="EJ81" i="51"/>
  <c r="EK81" i="51"/>
  <c r="EL81" i="51"/>
  <c r="EM81" i="51"/>
  <c r="EN81" i="51"/>
  <c r="EO81" i="51"/>
  <c r="EP81" i="51"/>
  <c r="EQ81" i="51"/>
  <c r="ER81" i="51"/>
  <c r="ES81" i="51"/>
  <c r="ET81" i="51"/>
  <c r="EU81" i="51"/>
  <c r="EV81" i="51"/>
  <c r="EW81" i="51"/>
  <c r="CQ82" i="51"/>
  <c r="CR82" i="51"/>
  <c r="CT82" i="51"/>
  <c r="CU82" i="51"/>
  <c r="CZ82" i="51"/>
  <c r="DA82" i="51"/>
  <c r="DB82" i="51"/>
  <c r="DC82" i="51"/>
  <c r="DD82" i="51"/>
  <c r="DE82" i="51"/>
  <c r="DF82" i="51"/>
  <c r="DG82" i="51"/>
  <c r="DH82" i="51"/>
  <c r="DI82" i="51"/>
  <c r="DJ82" i="51"/>
  <c r="DK82" i="51"/>
  <c r="DL82" i="51"/>
  <c r="DM82" i="51"/>
  <c r="DN82" i="51"/>
  <c r="DO82" i="51"/>
  <c r="DP82" i="51"/>
  <c r="DQ82" i="51"/>
  <c r="DR82" i="51"/>
  <c r="DS82" i="51"/>
  <c r="DT82" i="51"/>
  <c r="DU82" i="51"/>
  <c r="DV82" i="51"/>
  <c r="DW82" i="51"/>
  <c r="DX82" i="51"/>
  <c r="DY82" i="51"/>
  <c r="DZ82" i="51"/>
  <c r="EA82" i="51"/>
  <c r="EB82" i="51"/>
  <c r="EC82" i="51"/>
  <c r="ED82" i="51"/>
  <c r="EE82" i="51"/>
  <c r="EF82" i="51"/>
  <c r="EG82" i="51"/>
  <c r="EH82" i="51"/>
  <c r="EI82" i="51"/>
  <c r="EJ82" i="51"/>
  <c r="EK82" i="51"/>
  <c r="EL82" i="51"/>
  <c r="EM82" i="51"/>
  <c r="EN82" i="51"/>
  <c r="EO82" i="51"/>
  <c r="EP82" i="51"/>
  <c r="EQ82" i="51"/>
  <c r="ER82" i="51"/>
  <c r="ES82" i="51"/>
  <c r="ET82" i="51"/>
  <c r="EU82" i="51"/>
  <c r="EV82" i="51"/>
  <c r="EW82" i="51"/>
  <c r="CQ83" i="51"/>
  <c r="CR83" i="51"/>
  <c r="CT83" i="51"/>
  <c r="CU83" i="51"/>
  <c r="CZ83" i="51"/>
  <c r="DA83" i="51"/>
  <c r="DB83" i="51"/>
  <c r="DC83" i="51"/>
  <c r="DD83" i="51"/>
  <c r="DE83" i="51"/>
  <c r="DF83" i="51"/>
  <c r="DG83" i="51"/>
  <c r="DH83" i="51"/>
  <c r="DI83" i="51"/>
  <c r="DJ83" i="51"/>
  <c r="DK83" i="51"/>
  <c r="DL83" i="51"/>
  <c r="DM83" i="51"/>
  <c r="DN83" i="51"/>
  <c r="DO83" i="51"/>
  <c r="DP83" i="51"/>
  <c r="DQ83" i="51"/>
  <c r="DR83" i="51"/>
  <c r="DS83" i="51"/>
  <c r="DT83" i="51"/>
  <c r="DU83" i="51"/>
  <c r="DV83" i="51"/>
  <c r="DW83" i="51"/>
  <c r="DX83" i="51"/>
  <c r="DY83" i="51"/>
  <c r="DZ83" i="51"/>
  <c r="EA83" i="51"/>
  <c r="EB83" i="51"/>
  <c r="EC83" i="51"/>
  <c r="ED83" i="51"/>
  <c r="EE83" i="51"/>
  <c r="EF83" i="51"/>
  <c r="EG83" i="51"/>
  <c r="EH83" i="51"/>
  <c r="EI83" i="51"/>
  <c r="EJ83" i="51"/>
  <c r="EK83" i="51"/>
  <c r="EL83" i="51"/>
  <c r="EM83" i="51"/>
  <c r="EN83" i="51"/>
  <c r="EO83" i="51"/>
  <c r="EP83" i="51"/>
  <c r="EQ83" i="51"/>
  <c r="ER83" i="51"/>
  <c r="ES83" i="51"/>
  <c r="ET83" i="51"/>
  <c r="EU83" i="51"/>
  <c r="EV83" i="51"/>
  <c r="EW83" i="51"/>
  <c r="CQ84" i="51"/>
  <c r="CR84" i="51"/>
  <c r="CT84" i="51"/>
  <c r="CU84" i="51"/>
  <c r="CZ84" i="51"/>
  <c r="DA84" i="51"/>
  <c r="DB84" i="51"/>
  <c r="DC84" i="51"/>
  <c r="DD84" i="51"/>
  <c r="DE84" i="51"/>
  <c r="DF84" i="51"/>
  <c r="DG84" i="51"/>
  <c r="DH84" i="51"/>
  <c r="DI84" i="51"/>
  <c r="DJ84" i="51"/>
  <c r="DK84" i="51"/>
  <c r="DL84" i="51"/>
  <c r="DM84" i="51"/>
  <c r="DN84" i="51"/>
  <c r="DO84" i="51"/>
  <c r="DP84" i="51"/>
  <c r="DQ84" i="51"/>
  <c r="DR84" i="51"/>
  <c r="DS84" i="51"/>
  <c r="DT84" i="51"/>
  <c r="DU84" i="51"/>
  <c r="DV84" i="51"/>
  <c r="DW84" i="51"/>
  <c r="DX84" i="51"/>
  <c r="DY84" i="51"/>
  <c r="DZ84" i="51"/>
  <c r="EA84" i="51"/>
  <c r="EB84" i="51"/>
  <c r="EC84" i="51"/>
  <c r="ED84" i="51"/>
  <c r="EE84" i="51"/>
  <c r="EF84" i="51"/>
  <c r="EG84" i="51"/>
  <c r="EH84" i="51"/>
  <c r="EI84" i="51"/>
  <c r="EJ84" i="51"/>
  <c r="EK84" i="51"/>
  <c r="EL84" i="51"/>
  <c r="EM84" i="51"/>
  <c r="EN84" i="51"/>
  <c r="EO84" i="51"/>
  <c r="EP84" i="51"/>
  <c r="EQ84" i="51"/>
  <c r="ER84" i="51"/>
  <c r="ES84" i="51"/>
  <c r="ET84" i="51"/>
  <c r="EU84" i="51"/>
  <c r="EV84" i="51"/>
  <c r="EW84" i="51"/>
  <c r="CQ85" i="51"/>
  <c r="CR85" i="51"/>
  <c r="CT85" i="51"/>
  <c r="CU85" i="51"/>
  <c r="CZ85" i="51"/>
  <c r="DA85" i="51"/>
  <c r="DB85" i="51"/>
  <c r="DC85" i="51"/>
  <c r="DD85" i="51"/>
  <c r="DE85" i="51"/>
  <c r="DF85" i="51"/>
  <c r="DG85" i="51"/>
  <c r="DH85" i="51"/>
  <c r="DI85" i="51"/>
  <c r="DJ85" i="51"/>
  <c r="DK85" i="51"/>
  <c r="DL85" i="51"/>
  <c r="DM85" i="51"/>
  <c r="DN85" i="51"/>
  <c r="DO85" i="51"/>
  <c r="DP85" i="51"/>
  <c r="DQ85" i="51"/>
  <c r="DR85" i="51"/>
  <c r="DS85" i="51"/>
  <c r="DT85" i="51"/>
  <c r="DU85" i="51"/>
  <c r="DV85" i="51"/>
  <c r="DW85" i="51"/>
  <c r="DX85" i="51"/>
  <c r="DY85" i="51"/>
  <c r="DZ85" i="51"/>
  <c r="EA85" i="51"/>
  <c r="EB85" i="51"/>
  <c r="EC85" i="51"/>
  <c r="ED85" i="51"/>
  <c r="EE85" i="51"/>
  <c r="EF85" i="51"/>
  <c r="EG85" i="51"/>
  <c r="EH85" i="51"/>
  <c r="EI85" i="51"/>
  <c r="EJ85" i="51"/>
  <c r="EK85" i="51"/>
  <c r="EL85" i="51"/>
  <c r="EM85" i="51"/>
  <c r="EN85" i="51"/>
  <c r="EO85" i="51"/>
  <c r="EP85" i="51"/>
  <c r="EQ85" i="51"/>
  <c r="ER85" i="51"/>
  <c r="ES85" i="51"/>
  <c r="ET85" i="51"/>
  <c r="EU85" i="51"/>
  <c r="EV85" i="51"/>
  <c r="EW85" i="51"/>
  <c r="CQ86" i="51"/>
  <c r="CR86" i="51"/>
  <c r="CT86" i="51"/>
  <c r="CU86" i="51"/>
  <c r="CZ86" i="51"/>
  <c r="DA86" i="51"/>
  <c r="DB86" i="51"/>
  <c r="DC86" i="51"/>
  <c r="DD86" i="51"/>
  <c r="DE86" i="51"/>
  <c r="DF86" i="51"/>
  <c r="DG86" i="51"/>
  <c r="DH86" i="51"/>
  <c r="DI86" i="51"/>
  <c r="DJ86" i="51"/>
  <c r="DK86" i="51"/>
  <c r="DL86" i="51"/>
  <c r="DM86" i="51"/>
  <c r="DN86" i="51"/>
  <c r="DO86" i="51"/>
  <c r="DP86" i="51"/>
  <c r="DQ86" i="51"/>
  <c r="DR86" i="51"/>
  <c r="DS86" i="51"/>
  <c r="DT86" i="51"/>
  <c r="DU86" i="51"/>
  <c r="DV86" i="51"/>
  <c r="DW86" i="51"/>
  <c r="DX86" i="51"/>
  <c r="DY86" i="51"/>
  <c r="DZ86" i="51"/>
  <c r="EA86" i="51"/>
  <c r="EB86" i="51"/>
  <c r="EC86" i="51"/>
  <c r="ED86" i="51"/>
  <c r="EE86" i="51"/>
  <c r="EF86" i="51"/>
  <c r="EG86" i="51"/>
  <c r="EH86" i="51"/>
  <c r="EI86" i="51"/>
  <c r="EJ86" i="51"/>
  <c r="EK86" i="51"/>
  <c r="EL86" i="51"/>
  <c r="EM86" i="51"/>
  <c r="EN86" i="51"/>
  <c r="EO86" i="51"/>
  <c r="EP86" i="51"/>
  <c r="EQ86" i="51"/>
  <c r="ER86" i="51"/>
  <c r="ES86" i="51"/>
  <c r="ET86" i="51"/>
  <c r="EU86" i="51"/>
  <c r="EV86" i="51"/>
  <c r="EW86" i="51"/>
  <c r="CQ87" i="51"/>
  <c r="CR87" i="51"/>
  <c r="CT87" i="51"/>
  <c r="CU87" i="51"/>
  <c r="CZ87" i="51"/>
  <c r="DA87" i="51"/>
  <c r="DB87" i="51"/>
  <c r="DC87" i="51"/>
  <c r="DD87" i="51"/>
  <c r="DE87" i="51"/>
  <c r="DF87" i="51"/>
  <c r="DG87" i="51"/>
  <c r="DH87" i="51"/>
  <c r="DI87" i="51"/>
  <c r="DJ87" i="51"/>
  <c r="DK87" i="51"/>
  <c r="DL87" i="51"/>
  <c r="DM87" i="51"/>
  <c r="DN87" i="51"/>
  <c r="DO87" i="51"/>
  <c r="DP87" i="51"/>
  <c r="DQ87" i="51"/>
  <c r="DR87" i="51"/>
  <c r="DS87" i="51"/>
  <c r="DT87" i="51"/>
  <c r="DU87" i="51"/>
  <c r="DV87" i="51"/>
  <c r="DW87" i="51"/>
  <c r="DX87" i="51"/>
  <c r="DY87" i="51"/>
  <c r="DZ87" i="51"/>
  <c r="EA87" i="51"/>
  <c r="EB87" i="51"/>
  <c r="EC87" i="51"/>
  <c r="ED87" i="51"/>
  <c r="EE87" i="51"/>
  <c r="EF87" i="51"/>
  <c r="EG87" i="51"/>
  <c r="EH87" i="51"/>
  <c r="EI87" i="51"/>
  <c r="EJ87" i="51"/>
  <c r="EK87" i="51"/>
  <c r="EL87" i="51"/>
  <c r="EM87" i="51"/>
  <c r="EN87" i="51"/>
  <c r="EO87" i="51"/>
  <c r="EP87" i="51"/>
  <c r="EQ87" i="51"/>
  <c r="ER87" i="51"/>
  <c r="ES87" i="51"/>
  <c r="ET87" i="51"/>
  <c r="EU87" i="51"/>
  <c r="EV87" i="51"/>
  <c r="EW87" i="51"/>
  <c r="CQ88" i="51"/>
  <c r="CR88" i="51"/>
  <c r="CT88" i="51"/>
  <c r="CU88" i="51"/>
  <c r="CZ88" i="51"/>
  <c r="DA88" i="51"/>
  <c r="DB88" i="51"/>
  <c r="DC88" i="51"/>
  <c r="DD88" i="51"/>
  <c r="DE88" i="51"/>
  <c r="DF88" i="51"/>
  <c r="DG88" i="51"/>
  <c r="DH88" i="51"/>
  <c r="DI88" i="51"/>
  <c r="DJ88" i="51"/>
  <c r="DK88" i="51"/>
  <c r="DL88" i="51"/>
  <c r="DM88" i="51"/>
  <c r="DN88" i="51"/>
  <c r="DO88" i="51"/>
  <c r="DP88" i="51"/>
  <c r="DQ88" i="51"/>
  <c r="DR88" i="51"/>
  <c r="DS88" i="51"/>
  <c r="DT88" i="51"/>
  <c r="DU88" i="51"/>
  <c r="DV88" i="51"/>
  <c r="DW88" i="51"/>
  <c r="DX88" i="51"/>
  <c r="DY88" i="51"/>
  <c r="DZ88" i="51"/>
  <c r="EA88" i="51"/>
  <c r="EB88" i="51"/>
  <c r="EC88" i="51"/>
  <c r="ED88" i="51"/>
  <c r="EE88" i="51"/>
  <c r="EF88" i="51"/>
  <c r="EG88" i="51"/>
  <c r="EH88" i="51"/>
  <c r="EI88" i="51"/>
  <c r="EJ88" i="51"/>
  <c r="EK88" i="51"/>
  <c r="EL88" i="51"/>
  <c r="EM88" i="51"/>
  <c r="EN88" i="51"/>
  <c r="EO88" i="51"/>
  <c r="EP88" i="51"/>
  <c r="EQ88" i="51"/>
  <c r="ER88" i="51"/>
  <c r="ES88" i="51"/>
  <c r="ET88" i="51"/>
  <c r="EU88" i="51"/>
  <c r="EV88" i="51"/>
  <c r="EW88" i="51"/>
  <c r="CQ89" i="51"/>
  <c r="CR89" i="51"/>
  <c r="CT89" i="51"/>
  <c r="CU89" i="51"/>
  <c r="CZ89" i="51"/>
  <c r="DA89" i="51"/>
  <c r="DB89" i="51"/>
  <c r="DC89" i="51"/>
  <c r="DD89" i="51"/>
  <c r="DE89" i="51"/>
  <c r="DF89" i="51"/>
  <c r="DG89" i="51"/>
  <c r="DH89" i="51"/>
  <c r="DI89" i="51"/>
  <c r="DJ89" i="51"/>
  <c r="DK89" i="51"/>
  <c r="DL89" i="51"/>
  <c r="DM89" i="51"/>
  <c r="DN89" i="51"/>
  <c r="DO89" i="51"/>
  <c r="DP89" i="51"/>
  <c r="DQ89" i="51"/>
  <c r="DR89" i="51"/>
  <c r="DS89" i="51"/>
  <c r="DT89" i="51"/>
  <c r="DU89" i="51"/>
  <c r="DV89" i="51"/>
  <c r="DW89" i="51"/>
  <c r="DX89" i="51"/>
  <c r="DY89" i="51"/>
  <c r="DZ89" i="51"/>
  <c r="EA89" i="51"/>
  <c r="EB89" i="51"/>
  <c r="EC89" i="51"/>
  <c r="ED89" i="51"/>
  <c r="EE89" i="51"/>
  <c r="EF89" i="51"/>
  <c r="EG89" i="51"/>
  <c r="EH89" i="51"/>
  <c r="EI89" i="51"/>
  <c r="EJ89" i="51"/>
  <c r="EK89" i="51"/>
  <c r="EL89" i="51"/>
  <c r="EM89" i="51"/>
  <c r="EN89" i="51"/>
  <c r="EO89" i="51"/>
  <c r="EP89" i="51"/>
  <c r="EQ89" i="51"/>
  <c r="ER89" i="51"/>
  <c r="ES89" i="51"/>
  <c r="ET89" i="51"/>
  <c r="EU89" i="51"/>
  <c r="EV89" i="51"/>
  <c r="EW89" i="51"/>
  <c r="CQ90" i="51"/>
  <c r="CR90" i="51"/>
  <c r="CT90" i="51"/>
  <c r="CU90" i="51"/>
  <c r="CZ90" i="51"/>
  <c r="DA90" i="51"/>
  <c r="DB90" i="51"/>
  <c r="DC90" i="51"/>
  <c r="DD90" i="51"/>
  <c r="DE90" i="51"/>
  <c r="DF90" i="51"/>
  <c r="DG90" i="51"/>
  <c r="DH90" i="51"/>
  <c r="DI90" i="51"/>
  <c r="DJ90" i="51"/>
  <c r="DK90" i="51"/>
  <c r="DL90" i="51"/>
  <c r="DM90" i="51"/>
  <c r="DN90" i="51"/>
  <c r="DO90" i="51"/>
  <c r="DP90" i="51"/>
  <c r="DQ90" i="51"/>
  <c r="DR90" i="51"/>
  <c r="DS90" i="51"/>
  <c r="DT90" i="51"/>
  <c r="DU90" i="51"/>
  <c r="DV90" i="51"/>
  <c r="DW90" i="51"/>
  <c r="DX90" i="51"/>
  <c r="DY90" i="51"/>
  <c r="DZ90" i="51"/>
  <c r="EA90" i="51"/>
  <c r="EB90" i="51"/>
  <c r="EC90" i="51"/>
  <c r="ED90" i="51"/>
  <c r="EE90" i="51"/>
  <c r="EF90" i="51"/>
  <c r="EG90" i="51"/>
  <c r="EH90" i="51"/>
  <c r="EI90" i="51"/>
  <c r="EJ90" i="51"/>
  <c r="EK90" i="51"/>
  <c r="EL90" i="51"/>
  <c r="EM90" i="51"/>
  <c r="EN90" i="51"/>
  <c r="EO90" i="51"/>
  <c r="EP90" i="51"/>
  <c r="EQ90" i="51"/>
  <c r="ER90" i="51"/>
  <c r="ES90" i="51"/>
  <c r="ET90" i="51"/>
  <c r="EU90" i="51"/>
  <c r="EV90" i="51"/>
  <c r="EW90" i="51"/>
  <c r="CQ91" i="51"/>
  <c r="CR91" i="51"/>
  <c r="CT91" i="51"/>
  <c r="CU91" i="51"/>
  <c r="CZ91" i="51"/>
  <c r="DA91" i="51"/>
  <c r="DB91" i="51"/>
  <c r="DC91" i="51"/>
  <c r="DD91" i="51"/>
  <c r="DE91" i="51"/>
  <c r="DF91" i="51"/>
  <c r="DG91" i="51"/>
  <c r="DH91" i="51"/>
  <c r="DI91" i="51"/>
  <c r="DJ91" i="51"/>
  <c r="DK91" i="51"/>
  <c r="DL91" i="51"/>
  <c r="DM91" i="51"/>
  <c r="DN91" i="51"/>
  <c r="DO91" i="51"/>
  <c r="DP91" i="51"/>
  <c r="DQ91" i="51"/>
  <c r="DR91" i="51"/>
  <c r="DS91" i="51"/>
  <c r="DT91" i="51"/>
  <c r="DU91" i="51"/>
  <c r="DV91" i="51"/>
  <c r="DW91" i="51"/>
  <c r="DX91" i="51"/>
  <c r="DY91" i="51"/>
  <c r="DZ91" i="51"/>
  <c r="EA91" i="51"/>
  <c r="EB91" i="51"/>
  <c r="EC91" i="51"/>
  <c r="ED91" i="51"/>
  <c r="EE91" i="51"/>
  <c r="EF91" i="51"/>
  <c r="EG91" i="51"/>
  <c r="EH91" i="51"/>
  <c r="EI91" i="51"/>
  <c r="EJ91" i="51"/>
  <c r="EK91" i="51"/>
  <c r="EL91" i="51"/>
  <c r="EM91" i="51"/>
  <c r="EN91" i="51"/>
  <c r="EO91" i="51"/>
  <c r="EP91" i="51"/>
  <c r="EQ91" i="51"/>
  <c r="ER91" i="51"/>
  <c r="ES91" i="51"/>
  <c r="ET91" i="51"/>
  <c r="EU91" i="51"/>
  <c r="EV91" i="51"/>
  <c r="EW91" i="51"/>
  <c r="CQ92" i="51"/>
  <c r="CR92" i="51"/>
  <c r="CT92" i="51"/>
  <c r="CU92" i="51"/>
  <c r="CZ92" i="51"/>
  <c r="DA92" i="51"/>
  <c r="DB92" i="51"/>
  <c r="DC92" i="51"/>
  <c r="DD92" i="51"/>
  <c r="DE92" i="51"/>
  <c r="DF92" i="51"/>
  <c r="DG92" i="51"/>
  <c r="DH92" i="51"/>
  <c r="DI92" i="51"/>
  <c r="DJ92" i="51"/>
  <c r="DK92" i="51"/>
  <c r="DL92" i="51"/>
  <c r="DM92" i="51"/>
  <c r="DN92" i="51"/>
  <c r="DO92" i="51"/>
  <c r="DP92" i="51"/>
  <c r="DQ92" i="51"/>
  <c r="DR92" i="51"/>
  <c r="DS92" i="51"/>
  <c r="DT92" i="51"/>
  <c r="DU92" i="51"/>
  <c r="DV92" i="51"/>
  <c r="DW92" i="51"/>
  <c r="DX92" i="51"/>
  <c r="DY92" i="51"/>
  <c r="DZ92" i="51"/>
  <c r="EA92" i="51"/>
  <c r="EB92" i="51"/>
  <c r="EC92" i="51"/>
  <c r="ED92" i="51"/>
  <c r="EE92" i="51"/>
  <c r="EF92" i="51"/>
  <c r="EG92" i="51"/>
  <c r="EH92" i="51"/>
  <c r="EI92" i="51"/>
  <c r="EJ92" i="51"/>
  <c r="EK92" i="51"/>
  <c r="EL92" i="51"/>
  <c r="EM92" i="51"/>
  <c r="EN92" i="51"/>
  <c r="EO92" i="51"/>
  <c r="EP92" i="51"/>
  <c r="EQ92" i="51"/>
  <c r="ER92" i="51"/>
  <c r="ES92" i="51"/>
  <c r="ET92" i="51"/>
  <c r="EU92" i="51"/>
  <c r="EV92" i="51"/>
  <c r="EW92" i="51"/>
  <c r="CQ93" i="51"/>
  <c r="CR93" i="51"/>
  <c r="CT93" i="51"/>
  <c r="CU93" i="51"/>
  <c r="CZ93" i="51"/>
  <c r="DA93" i="51"/>
  <c r="DB93" i="51"/>
  <c r="DC93" i="51"/>
  <c r="DD93" i="51"/>
  <c r="DE93" i="51"/>
  <c r="DF93" i="51"/>
  <c r="DG93" i="51"/>
  <c r="DH93" i="51"/>
  <c r="DI93" i="51"/>
  <c r="DJ93" i="51"/>
  <c r="DK93" i="51"/>
  <c r="DL93" i="51"/>
  <c r="DM93" i="51"/>
  <c r="DN93" i="51"/>
  <c r="DO93" i="51"/>
  <c r="DP93" i="51"/>
  <c r="DQ93" i="51"/>
  <c r="DR93" i="51"/>
  <c r="DS93" i="51"/>
  <c r="DT93" i="51"/>
  <c r="DU93" i="51"/>
  <c r="DV93" i="51"/>
  <c r="DW93" i="51"/>
  <c r="DX93" i="51"/>
  <c r="DY93" i="51"/>
  <c r="DZ93" i="51"/>
  <c r="EA93" i="51"/>
  <c r="EB93" i="51"/>
  <c r="EC93" i="51"/>
  <c r="ED93" i="51"/>
  <c r="EE93" i="51"/>
  <c r="EF93" i="51"/>
  <c r="EG93" i="51"/>
  <c r="EH93" i="51"/>
  <c r="EI93" i="51"/>
  <c r="EJ93" i="51"/>
  <c r="EK93" i="51"/>
  <c r="EL93" i="51"/>
  <c r="EM93" i="51"/>
  <c r="EN93" i="51"/>
  <c r="EO93" i="51"/>
  <c r="EP93" i="51"/>
  <c r="EQ93" i="51"/>
  <c r="ER93" i="51"/>
  <c r="ES93" i="51"/>
  <c r="ET93" i="51"/>
  <c r="EU93" i="51"/>
  <c r="EV93" i="51"/>
  <c r="EW93" i="51"/>
  <c r="CQ94" i="51"/>
  <c r="CR94" i="51"/>
  <c r="CT94" i="51"/>
  <c r="CU94" i="51"/>
  <c r="CZ94" i="51"/>
  <c r="DA94" i="51"/>
  <c r="DB94" i="51"/>
  <c r="DC94" i="51"/>
  <c r="DD94" i="51"/>
  <c r="DE94" i="51"/>
  <c r="DF94" i="51"/>
  <c r="DG94" i="51"/>
  <c r="DH94" i="51"/>
  <c r="DI94" i="51"/>
  <c r="DJ94" i="51"/>
  <c r="DK94" i="51"/>
  <c r="DL94" i="51"/>
  <c r="DM94" i="51"/>
  <c r="DN94" i="51"/>
  <c r="DO94" i="51"/>
  <c r="DP94" i="51"/>
  <c r="DQ94" i="51"/>
  <c r="DR94" i="51"/>
  <c r="DS94" i="51"/>
  <c r="DT94" i="51"/>
  <c r="DU94" i="51"/>
  <c r="DV94" i="51"/>
  <c r="DW94" i="51"/>
  <c r="DX94" i="51"/>
  <c r="DY94" i="51"/>
  <c r="DZ94" i="51"/>
  <c r="EA94" i="51"/>
  <c r="EB94" i="51"/>
  <c r="EC94" i="51"/>
  <c r="ED94" i="51"/>
  <c r="EE94" i="51"/>
  <c r="EF94" i="51"/>
  <c r="EG94" i="51"/>
  <c r="EH94" i="51"/>
  <c r="EI94" i="51"/>
  <c r="EJ94" i="51"/>
  <c r="EK94" i="51"/>
  <c r="EL94" i="51"/>
  <c r="EM94" i="51"/>
  <c r="EN94" i="51"/>
  <c r="EO94" i="51"/>
  <c r="EP94" i="51"/>
  <c r="EQ94" i="51"/>
  <c r="ER94" i="51"/>
  <c r="ES94" i="51"/>
  <c r="ET94" i="51"/>
  <c r="EU94" i="51"/>
  <c r="EV94" i="51"/>
  <c r="EW94" i="51"/>
  <c r="CQ95" i="51"/>
  <c r="CR95" i="51"/>
  <c r="CT95" i="51"/>
  <c r="CU95" i="51"/>
  <c r="CZ95" i="51"/>
  <c r="DA95" i="51"/>
  <c r="DB95" i="51"/>
  <c r="DC95" i="51"/>
  <c r="DD95" i="51"/>
  <c r="DE95" i="51"/>
  <c r="DF95" i="51"/>
  <c r="DG95" i="51"/>
  <c r="DH95" i="51"/>
  <c r="DI95" i="51"/>
  <c r="DJ95" i="51"/>
  <c r="DK95" i="51"/>
  <c r="DL95" i="51"/>
  <c r="DM95" i="51"/>
  <c r="DN95" i="51"/>
  <c r="DO95" i="51"/>
  <c r="DP95" i="51"/>
  <c r="DQ95" i="51"/>
  <c r="DR95" i="51"/>
  <c r="DS95" i="51"/>
  <c r="DT95" i="51"/>
  <c r="DU95" i="51"/>
  <c r="DV95" i="51"/>
  <c r="DW95" i="51"/>
  <c r="DX95" i="51"/>
  <c r="DY95" i="51"/>
  <c r="DZ95" i="51"/>
  <c r="EA95" i="51"/>
  <c r="EB95" i="51"/>
  <c r="EC95" i="51"/>
  <c r="ED95" i="51"/>
  <c r="EE95" i="51"/>
  <c r="EF95" i="51"/>
  <c r="EG95" i="51"/>
  <c r="EH95" i="51"/>
  <c r="EI95" i="51"/>
  <c r="EJ95" i="51"/>
  <c r="EK95" i="51"/>
  <c r="EL95" i="51"/>
  <c r="EM95" i="51"/>
  <c r="EN95" i="51"/>
  <c r="EO95" i="51"/>
  <c r="EP95" i="51"/>
  <c r="EQ95" i="51"/>
  <c r="ER95" i="51"/>
  <c r="ES95" i="51"/>
  <c r="ET95" i="51"/>
  <c r="EU95" i="51"/>
  <c r="EV95" i="51"/>
  <c r="EW95" i="51"/>
  <c r="AC43" i="51"/>
  <c r="AD43" i="51"/>
  <c r="AF43" i="51"/>
  <c r="AG43" i="51"/>
  <c r="AL43" i="51"/>
  <c r="AM43" i="51"/>
  <c r="AN43" i="51"/>
  <c r="AO43" i="51"/>
  <c r="AP43" i="51"/>
  <c r="AQ43" i="51"/>
  <c r="AR43" i="51"/>
  <c r="AS43" i="51"/>
  <c r="AT43" i="51"/>
  <c r="AU43" i="51"/>
  <c r="AV43" i="51"/>
  <c r="AW43" i="51"/>
  <c r="AX43" i="51"/>
  <c r="AY43" i="51"/>
  <c r="AZ43" i="51"/>
  <c r="BA43" i="51"/>
  <c r="BB43" i="51"/>
  <c r="BC43" i="51"/>
  <c r="BD43" i="51"/>
  <c r="BE43" i="51"/>
  <c r="BF43" i="51"/>
  <c r="BG43" i="51"/>
  <c r="BH43" i="51"/>
  <c r="BI43" i="51"/>
  <c r="BJ43" i="51"/>
  <c r="BK43" i="51"/>
  <c r="BL43" i="51"/>
  <c r="BM43" i="51"/>
  <c r="BN43" i="51"/>
  <c r="BO43" i="51"/>
  <c r="BP43" i="51"/>
  <c r="BQ43" i="51"/>
  <c r="BR43" i="51"/>
  <c r="BS43" i="51"/>
  <c r="BT43" i="51"/>
  <c r="BU43" i="51"/>
  <c r="BV43" i="51"/>
  <c r="BW43" i="51"/>
  <c r="BX43" i="51"/>
  <c r="BY43" i="51"/>
  <c r="BZ43" i="51"/>
  <c r="CA43" i="51"/>
  <c r="CB43" i="51"/>
  <c r="CC43" i="51"/>
  <c r="CD43" i="51"/>
  <c r="CE43" i="51"/>
  <c r="CF43" i="51"/>
  <c r="CG43" i="51"/>
  <c r="CH43" i="51"/>
  <c r="CI43" i="51"/>
  <c r="AC44" i="51"/>
  <c r="AD44" i="51"/>
  <c r="AF44" i="51"/>
  <c r="AG44" i="51"/>
  <c r="AL44" i="51"/>
  <c r="AM44" i="51"/>
  <c r="AN44" i="51"/>
  <c r="AO44" i="51"/>
  <c r="AP44" i="51"/>
  <c r="AQ44" i="51"/>
  <c r="AR44" i="51"/>
  <c r="AS44" i="51"/>
  <c r="AT44" i="51"/>
  <c r="AU44" i="51"/>
  <c r="AV44" i="51"/>
  <c r="AW44" i="51"/>
  <c r="AX44" i="51"/>
  <c r="AY44" i="51"/>
  <c r="AZ44" i="51"/>
  <c r="BA44" i="51"/>
  <c r="BB44" i="51"/>
  <c r="BC44" i="51"/>
  <c r="BD44" i="51"/>
  <c r="BE44" i="51"/>
  <c r="BF44" i="51"/>
  <c r="BG44" i="51"/>
  <c r="BH44" i="51"/>
  <c r="BI44" i="51"/>
  <c r="BJ44" i="51"/>
  <c r="BK44" i="51"/>
  <c r="BL44" i="51"/>
  <c r="BM44" i="51"/>
  <c r="BN44" i="51"/>
  <c r="BO44" i="51"/>
  <c r="BP44" i="51"/>
  <c r="BQ44" i="51"/>
  <c r="BR44" i="51"/>
  <c r="BS44" i="51"/>
  <c r="BT44" i="51"/>
  <c r="BU44" i="51"/>
  <c r="BV44" i="51"/>
  <c r="BW44" i="51"/>
  <c r="BX44" i="51"/>
  <c r="BY44" i="51"/>
  <c r="BZ44" i="51"/>
  <c r="CA44" i="51"/>
  <c r="CB44" i="51"/>
  <c r="CC44" i="51"/>
  <c r="CD44" i="51"/>
  <c r="CE44" i="51"/>
  <c r="CF44" i="51"/>
  <c r="CG44" i="51"/>
  <c r="CH44" i="51"/>
  <c r="CI44" i="51"/>
  <c r="AC45" i="51"/>
  <c r="AD45" i="51"/>
  <c r="AF45" i="51"/>
  <c r="AG45" i="51"/>
  <c r="AL45" i="51"/>
  <c r="AM45" i="51"/>
  <c r="AN45" i="51"/>
  <c r="AO45" i="51"/>
  <c r="AP45" i="51"/>
  <c r="AQ45" i="51"/>
  <c r="AR45" i="51"/>
  <c r="AS45" i="51"/>
  <c r="AT45" i="51"/>
  <c r="AU45" i="51"/>
  <c r="AV45" i="51"/>
  <c r="AW45" i="51"/>
  <c r="AX45" i="51"/>
  <c r="AY45" i="51"/>
  <c r="AZ45" i="51"/>
  <c r="BA45" i="51"/>
  <c r="BB45" i="51"/>
  <c r="BC45" i="51"/>
  <c r="BD45" i="51"/>
  <c r="BE45" i="51"/>
  <c r="BF45" i="51"/>
  <c r="BG45" i="51"/>
  <c r="BH45" i="51"/>
  <c r="BI45" i="51"/>
  <c r="BJ45" i="51"/>
  <c r="BK45" i="51"/>
  <c r="BL45" i="51"/>
  <c r="BM45" i="51"/>
  <c r="BN45" i="51"/>
  <c r="BO45" i="51"/>
  <c r="BP45" i="51"/>
  <c r="BQ45" i="51"/>
  <c r="BR45" i="51"/>
  <c r="BS45" i="51"/>
  <c r="BT45" i="51"/>
  <c r="BU45" i="51"/>
  <c r="BV45" i="51"/>
  <c r="BW45" i="51"/>
  <c r="BX45" i="51"/>
  <c r="BY45" i="51"/>
  <c r="BZ45" i="51"/>
  <c r="CA45" i="51"/>
  <c r="CB45" i="51"/>
  <c r="CC45" i="51"/>
  <c r="CD45" i="51"/>
  <c r="CE45" i="51"/>
  <c r="CF45" i="51"/>
  <c r="CG45" i="51"/>
  <c r="CH45" i="51"/>
  <c r="CI45" i="51"/>
  <c r="AC46" i="51"/>
  <c r="AD46" i="51"/>
  <c r="AF46" i="51"/>
  <c r="AG46" i="51"/>
  <c r="AL46" i="51"/>
  <c r="AM46" i="51"/>
  <c r="AN46" i="51"/>
  <c r="AO46" i="51"/>
  <c r="AP46" i="51"/>
  <c r="AQ46" i="51"/>
  <c r="AR46" i="51"/>
  <c r="AS46" i="51"/>
  <c r="AT46" i="51"/>
  <c r="AU46" i="51"/>
  <c r="AV46" i="51"/>
  <c r="AW46" i="51"/>
  <c r="AX46" i="51"/>
  <c r="AY46" i="51"/>
  <c r="AZ46" i="51"/>
  <c r="BA46" i="51"/>
  <c r="BB46" i="51"/>
  <c r="BC46" i="51"/>
  <c r="BD46" i="51"/>
  <c r="BE46" i="51"/>
  <c r="BF46" i="51"/>
  <c r="BG46" i="51"/>
  <c r="BH46" i="51"/>
  <c r="BI46" i="51"/>
  <c r="BJ46" i="51"/>
  <c r="BK46" i="51"/>
  <c r="BL46" i="51"/>
  <c r="BM46" i="51"/>
  <c r="BN46" i="51"/>
  <c r="BO46" i="51"/>
  <c r="BP46" i="51"/>
  <c r="BQ46" i="51"/>
  <c r="BR46" i="51"/>
  <c r="BS46" i="51"/>
  <c r="BT46" i="51"/>
  <c r="BU46" i="51"/>
  <c r="BV46" i="51"/>
  <c r="BW46" i="51"/>
  <c r="BX46" i="51"/>
  <c r="BY46" i="51"/>
  <c r="BZ46" i="51"/>
  <c r="CA46" i="51"/>
  <c r="CB46" i="51"/>
  <c r="CC46" i="51"/>
  <c r="CD46" i="51"/>
  <c r="CE46" i="51"/>
  <c r="CF46" i="51"/>
  <c r="CG46" i="51"/>
  <c r="CH46" i="51"/>
  <c r="CI46" i="51"/>
  <c r="AC47" i="51"/>
  <c r="AD47" i="51"/>
  <c r="AF47" i="51"/>
  <c r="AG47" i="51"/>
  <c r="AL47" i="51"/>
  <c r="AM47" i="51"/>
  <c r="AN47" i="51"/>
  <c r="AO47" i="51"/>
  <c r="AP47" i="51"/>
  <c r="AQ47" i="51"/>
  <c r="AR47" i="51"/>
  <c r="AS47" i="51"/>
  <c r="AT47" i="51"/>
  <c r="AU47" i="51"/>
  <c r="AV47" i="51"/>
  <c r="AW47" i="51"/>
  <c r="AX47" i="51"/>
  <c r="AY47" i="51"/>
  <c r="AZ47" i="51"/>
  <c r="BA47" i="51"/>
  <c r="BB47" i="51"/>
  <c r="BC47" i="51"/>
  <c r="BD47" i="51"/>
  <c r="BE47" i="51"/>
  <c r="BF47" i="51"/>
  <c r="BG47" i="51"/>
  <c r="BH47" i="51"/>
  <c r="BI47" i="51"/>
  <c r="BJ47" i="51"/>
  <c r="BK47" i="51"/>
  <c r="BL47" i="51"/>
  <c r="BM47" i="51"/>
  <c r="BN47" i="51"/>
  <c r="BO47" i="51"/>
  <c r="BP47" i="51"/>
  <c r="BQ47" i="51"/>
  <c r="BR47" i="51"/>
  <c r="BS47" i="51"/>
  <c r="BT47" i="51"/>
  <c r="BU47" i="51"/>
  <c r="BV47" i="51"/>
  <c r="BW47" i="51"/>
  <c r="BX47" i="51"/>
  <c r="BY47" i="51"/>
  <c r="BZ47" i="51"/>
  <c r="CA47" i="51"/>
  <c r="CB47" i="51"/>
  <c r="CC47" i="51"/>
  <c r="CD47" i="51"/>
  <c r="CE47" i="51"/>
  <c r="CF47" i="51"/>
  <c r="CG47" i="51"/>
  <c r="CH47" i="51"/>
  <c r="CI47" i="51"/>
  <c r="AC48" i="51"/>
  <c r="AD48" i="51"/>
  <c r="AF48" i="51"/>
  <c r="AG48" i="51"/>
  <c r="AL48" i="51"/>
  <c r="AM48" i="51"/>
  <c r="AN48" i="51"/>
  <c r="AO48" i="51"/>
  <c r="AP48" i="51"/>
  <c r="AQ48" i="51"/>
  <c r="AR48" i="51"/>
  <c r="AS48" i="51"/>
  <c r="AT48" i="51"/>
  <c r="AU48" i="51"/>
  <c r="AV48" i="51"/>
  <c r="AW48" i="51"/>
  <c r="AX48" i="51"/>
  <c r="AY48" i="51"/>
  <c r="AZ48" i="51"/>
  <c r="BA48" i="51"/>
  <c r="BB48" i="51"/>
  <c r="BC48" i="51"/>
  <c r="BD48" i="51"/>
  <c r="BE48" i="51"/>
  <c r="BF48" i="51"/>
  <c r="BG48" i="51"/>
  <c r="BH48" i="51"/>
  <c r="BI48" i="51"/>
  <c r="BJ48" i="51"/>
  <c r="BK48" i="51"/>
  <c r="BL48" i="51"/>
  <c r="BM48" i="51"/>
  <c r="BN48" i="51"/>
  <c r="BO48" i="51"/>
  <c r="BP48" i="51"/>
  <c r="BQ48" i="51"/>
  <c r="BR48" i="51"/>
  <c r="BS48" i="51"/>
  <c r="BT48" i="51"/>
  <c r="BU48" i="51"/>
  <c r="BV48" i="51"/>
  <c r="BW48" i="51"/>
  <c r="BX48" i="51"/>
  <c r="BY48" i="51"/>
  <c r="BZ48" i="51"/>
  <c r="CA48" i="51"/>
  <c r="CB48" i="51"/>
  <c r="CC48" i="51"/>
  <c r="CD48" i="51"/>
  <c r="CE48" i="51"/>
  <c r="CF48" i="51"/>
  <c r="CG48" i="51"/>
  <c r="CH48" i="51"/>
  <c r="CI48" i="51"/>
  <c r="AC49" i="51"/>
  <c r="AD49" i="51"/>
  <c r="AF49" i="51"/>
  <c r="AG49" i="51"/>
  <c r="AL49" i="51"/>
  <c r="AM49" i="51"/>
  <c r="AN49" i="51"/>
  <c r="AO49" i="51"/>
  <c r="AP49" i="51"/>
  <c r="AQ49" i="51"/>
  <c r="AR49" i="51"/>
  <c r="AS49" i="51"/>
  <c r="AT49" i="51"/>
  <c r="AU49" i="51"/>
  <c r="AV49" i="51"/>
  <c r="AW49" i="51"/>
  <c r="AX49" i="51"/>
  <c r="AY49" i="51"/>
  <c r="AZ49" i="51"/>
  <c r="BA49" i="51"/>
  <c r="BB49" i="51"/>
  <c r="BC49" i="51"/>
  <c r="BD49" i="51"/>
  <c r="BE49" i="51"/>
  <c r="BF49" i="51"/>
  <c r="BG49" i="51"/>
  <c r="BH49" i="51"/>
  <c r="BI49" i="51"/>
  <c r="BJ49" i="51"/>
  <c r="BK49" i="51"/>
  <c r="BL49" i="51"/>
  <c r="BM49" i="51"/>
  <c r="BN49" i="51"/>
  <c r="BO49" i="51"/>
  <c r="BP49" i="51"/>
  <c r="BQ49" i="51"/>
  <c r="BR49" i="51"/>
  <c r="BS49" i="51"/>
  <c r="BT49" i="51"/>
  <c r="BU49" i="51"/>
  <c r="BV49" i="51"/>
  <c r="BW49" i="51"/>
  <c r="BX49" i="51"/>
  <c r="BY49" i="51"/>
  <c r="BZ49" i="51"/>
  <c r="CA49" i="51"/>
  <c r="CB49" i="51"/>
  <c r="CC49" i="51"/>
  <c r="CD49" i="51"/>
  <c r="CE49" i="51"/>
  <c r="CF49" i="51"/>
  <c r="CG49" i="51"/>
  <c r="CH49" i="51"/>
  <c r="CI49" i="51"/>
  <c r="AC50" i="51"/>
  <c r="AD50" i="51"/>
  <c r="AF50" i="51"/>
  <c r="AG50" i="51"/>
  <c r="AL50" i="51"/>
  <c r="AM50" i="51"/>
  <c r="AN50" i="51"/>
  <c r="AO50" i="51"/>
  <c r="AP50" i="51"/>
  <c r="AQ50" i="51"/>
  <c r="AR50" i="51"/>
  <c r="AS50" i="51"/>
  <c r="AT50" i="51"/>
  <c r="AU50" i="51"/>
  <c r="AV50" i="51"/>
  <c r="AW50" i="51"/>
  <c r="AX50" i="51"/>
  <c r="AY50" i="51"/>
  <c r="AZ50" i="51"/>
  <c r="BA50" i="51"/>
  <c r="BB50" i="51"/>
  <c r="BC50" i="51"/>
  <c r="BD50" i="51"/>
  <c r="BE50" i="51"/>
  <c r="BF50" i="51"/>
  <c r="BG50" i="51"/>
  <c r="BH50" i="51"/>
  <c r="BI50" i="51"/>
  <c r="BJ50" i="51"/>
  <c r="BK50" i="51"/>
  <c r="BL50" i="51"/>
  <c r="BM50" i="51"/>
  <c r="BN50" i="51"/>
  <c r="BO50" i="51"/>
  <c r="BP50" i="51"/>
  <c r="BQ50" i="51"/>
  <c r="BR50" i="51"/>
  <c r="BS50" i="51"/>
  <c r="BT50" i="51"/>
  <c r="BU50" i="51"/>
  <c r="BV50" i="51"/>
  <c r="BW50" i="51"/>
  <c r="BX50" i="51"/>
  <c r="BY50" i="51"/>
  <c r="BZ50" i="51"/>
  <c r="CA50" i="51"/>
  <c r="CB50" i="51"/>
  <c r="CC50" i="51"/>
  <c r="CD50" i="51"/>
  <c r="CE50" i="51"/>
  <c r="CF50" i="51"/>
  <c r="CG50" i="51"/>
  <c r="CH50" i="51"/>
  <c r="CI50" i="51"/>
  <c r="AC51" i="51"/>
  <c r="AD51" i="51"/>
  <c r="AF51" i="51"/>
  <c r="AG51" i="51"/>
  <c r="AL51" i="51"/>
  <c r="AM51" i="51"/>
  <c r="AN51" i="51"/>
  <c r="AO51" i="51"/>
  <c r="AP51" i="51"/>
  <c r="AQ51" i="51"/>
  <c r="AR51" i="51"/>
  <c r="AS51" i="51"/>
  <c r="AT51" i="51"/>
  <c r="AU51" i="51"/>
  <c r="AV51" i="51"/>
  <c r="AW51" i="51"/>
  <c r="AX51" i="51"/>
  <c r="AY51" i="51"/>
  <c r="AZ51" i="51"/>
  <c r="BA51" i="51"/>
  <c r="BB51" i="51"/>
  <c r="BC51" i="51"/>
  <c r="BD51" i="51"/>
  <c r="BE51" i="51"/>
  <c r="BF51" i="51"/>
  <c r="BG51" i="51"/>
  <c r="BH51" i="51"/>
  <c r="BI51" i="51"/>
  <c r="BJ51" i="51"/>
  <c r="BK51" i="51"/>
  <c r="BL51" i="51"/>
  <c r="BM51" i="51"/>
  <c r="BN51" i="51"/>
  <c r="BO51" i="51"/>
  <c r="BP51" i="51"/>
  <c r="BQ51" i="51"/>
  <c r="BR51" i="51"/>
  <c r="BS51" i="51"/>
  <c r="BT51" i="51"/>
  <c r="BU51" i="51"/>
  <c r="BV51" i="51"/>
  <c r="BW51" i="51"/>
  <c r="BX51" i="51"/>
  <c r="BY51" i="51"/>
  <c r="BZ51" i="51"/>
  <c r="CA51" i="51"/>
  <c r="CB51" i="51"/>
  <c r="CC51" i="51"/>
  <c r="CD51" i="51"/>
  <c r="CE51" i="51"/>
  <c r="CF51" i="51"/>
  <c r="CG51" i="51"/>
  <c r="CH51" i="51"/>
  <c r="CI51" i="51"/>
  <c r="AC52" i="51"/>
  <c r="AD52" i="51"/>
  <c r="AF52" i="51"/>
  <c r="AG52" i="51"/>
  <c r="AL52" i="51"/>
  <c r="AM52" i="51"/>
  <c r="AN52" i="51"/>
  <c r="AO52" i="51"/>
  <c r="AP52" i="51"/>
  <c r="AQ52" i="51"/>
  <c r="AR52" i="51"/>
  <c r="AS52" i="51"/>
  <c r="AT52" i="51"/>
  <c r="AU52" i="51"/>
  <c r="AV52" i="51"/>
  <c r="AW52" i="51"/>
  <c r="AX52" i="51"/>
  <c r="AY52" i="51"/>
  <c r="AZ52" i="51"/>
  <c r="BA52" i="51"/>
  <c r="BB52" i="51"/>
  <c r="BC52" i="51"/>
  <c r="BD52" i="51"/>
  <c r="BE52" i="51"/>
  <c r="BF52" i="51"/>
  <c r="BG52" i="51"/>
  <c r="BH52" i="51"/>
  <c r="BI52" i="51"/>
  <c r="BJ52" i="51"/>
  <c r="BK52" i="51"/>
  <c r="BL52" i="51"/>
  <c r="BM52" i="51"/>
  <c r="BN52" i="51"/>
  <c r="BO52" i="51"/>
  <c r="BP52" i="51"/>
  <c r="BQ52" i="51"/>
  <c r="BR52" i="51"/>
  <c r="BS52" i="51"/>
  <c r="BT52" i="51"/>
  <c r="BU52" i="51"/>
  <c r="BV52" i="51"/>
  <c r="BW52" i="51"/>
  <c r="BX52" i="51"/>
  <c r="BY52" i="51"/>
  <c r="BZ52" i="51"/>
  <c r="CA52" i="51"/>
  <c r="CB52" i="51"/>
  <c r="CC52" i="51"/>
  <c r="CD52" i="51"/>
  <c r="CE52" i="51"/>
  <c r="CF52" i="51"/>
  <c r="CG52" i="51"/>
  <c r="CH52" i="51"/>
  <c r="CI52" i="51"/>
  <c r="AC53" i="51"/>
  <c r="AD53" i="51"/>
  <c r="AF53" i="51"/>
  <c r="AG53" i="51"/>
  <c r="AL53" i="51"/>
  <c r="AM53" i="51"/>
  <c r="AN53" i="51"/>
  <c r="AO53" i="51"/>
  <c r="AP53" i="51"/>
  <c r="AQ53" i="51"/>
  <c r="AR53" i="51"/>
  <c r="AS53" i="51"/>
  <c r="AT53" i="51"/>
  <c r="AU53" i="51"/>
  <c r="AV53" i="51"/>
  <c r="AW53" i="51"/>
  <c r="AX53" i="51"/>
  <c r="AY53" i="51"/>
  <c r="AZ53" i="51"/>
  <c r="BA53" i="51"/>
  <c r="BB53" i="51"/>
  <c r="BC53" i="51"/>
  <c r="BD53" i="51"/>
  <c r="BE53" i="51"/>
  <c r="BF53" i="51"/>
  <c r="BG53" i="51"/>
  <c r="BH53" i="51"/>
  <c r="BI53" i="51"/>
  <c r="BJ53" i="51"/>
  <c r="BK53" i="51"/>
  <c r="BL53" i="51"/>
  <c r="BM53" i="51"/>
  <c r="BN53" i="51"/>
  <c r="BO53" i="51"/>
  <c r="BP53" i="51"/>
  <c r="BQ53" i="51"/>
  <c r="BR53" i="51"/>
  <c r="BS53" i="51"/>
  <c r="BT53" i="51"/>
  <c r="BU53" i="51"/>
  <c r="BV53" i="51"/>
  <c r="BW53" i="51"/>
  <c r="BX53" i="51"/>
  <c r="BY53" i="51"/>
  <c r="BZ53" i="51"/>
  <c r="CA53" i="51"/>
  <c r="CB53" i="51"/>
  <c r="CC53" i="51"/>
  <c r="CD53" i="51"/>
  <c r="CE53" i="51"/>
  <c r="CF53" i="51"/>
  <c r="CG53" i="51"/>
  <c r="CH53" i="51"/>
  <c r="CI53" i="51"/>
  <c r="AC54" i="51"/>
  <c r="AD54" i="51"/>
  <c r="AF54" i="51"/>
  <c r="AG54" i="51"/>
  <c r="AL54" i="51"/>
  <c r="AM54" i="51"/>
  <c r="AN54" i="51"/>
  <c r="AO54" i="51"/>
  <c r="AP54" i="51"/>
  <c r="AQ54" i="51"/>
  <c r="AR54" i="51"/>
  <c r="AS54" i="51"/>
  <c r="AT54" i="51"/>
  <c r="AU54" i="51"/>
  <c r="AV54" i="51"/>
  <c r="AW54" i="51"/>
  <c r="AX54" i="51"/>
  <c r="AY54" i="51"/>
  <c r="AZ54" i="51"/>
  <c r="BA54" i="51"/>
  <c r="BB54" i="51"/>
  <c r="BC54" i="51"/>
  <c r="BD54" i="51"/>
  <c r="BE54" i="51"/>
  <c r="BF54" i="51"/>
  <c r="BG54" i="51"/>
  <c r="BH54" i="51"/>
  <c r="BI54" i="51"/>
  <c r="BJ54" i="51"/>
  <c r="BK54" i="51"/>
  <c r="BL54" i="51"/>
  <c r="BM54" i="51"/>
  <c r="BN54" i="51"/>
  <c r="BO54" i="51"/>
  <c r="BP54" i="51"/>
  <c r="BQ54" i="51"/>
  <c r="BR54" i="51"/>
  <c r="BS54" i="51"/>
  <c r="BT54" i="51"/>
  <c r="BU54" i="51"/>
  <c r="BV54" i="51"/>
  <c r="BW54" i="51"/>
  <c r="BX54" i="51"/>
  <c r="BY54" i="51"/>
  <c r="BZ54" i="51"/>
  <c r="CA54" i="51"/>
  <c r="CB54" i="51"/>
  <c r="CC54" i="51"/>
  <c r="CD54" i="51"/>
  <c r="CE54" i="51"/>
  <c r="CF54" i="51"/>
  <c r="CG54" i="51"/>
  <c r="CH54" i="51"/>
  <c r="CI54" i="51"/>
  <c r="AC55" i="51"/>
  <c r="AD55" i="51"/>
  <c r="AF55" i="51"/>
  <c r="AG55" i="51"/>
  <c r="AL55" i="51"/>
  <c r="AM55" i="51"/>
  <c r="AN55" i="51"/>
  <c r="AO55" i="51"/>
  <c r="AP55" i="51"/>
  <c r="AQ55" i="51"/>
  <c r="AR55" i="51"/>
  <c r="AS55" i="51"/>
  <c r="AT55" i="51"/>
  <c r="AU55" i="51"/>
  <c r="AV55" i="51"/>
  <c r="AW55" i="51"/>
  <c r="AX55" i="51"/>
  <c r="AY55" i="51"/>
  <c r="AZ55" i="51"/>
  <c r="BA55" i="51"/>
  <c r="BB55" i="51"/>
  <c r="BC55" i="51"/>
  <c r="BD55" i="51"/>
  <c r="BE55" i="51"/>
  <c r="BF55" i="51"/>
  <c r="BG55" i="51"/>
  <c r="BH55" i="51"/>
  <c r="BI55" i="51"/>
  <c r="BJ55" i="51"/>
  <c r="BK55" i="51"/>
  <c r="BL55" i="51"/>
  <c r="BM55" i="51"/>
  <c r="BN55" i="51"/>
  <c r="BO55" i="51"/>
  <c r="BP55" i="51"/>
  <c r="BQ55" i="51"/>
  <c r="BR55" i="51"/>
  <c r="BS55" i="51"/>
  <c r="BT55" i="51"/>
  <c r="BU55" i="51"/>
  <c r="BV55" i="51"/>
  <c r="BW55" i="51"/>
  <c r="BX55" i="51"/>
  <c r="BY55" i="51"/>
  <c r="BZ55" i="51"/>
  <c r="CA55" i="51"/>
  <c r="CB55" i="51"/>
  <c r="CC55" i="51"/>
  <c r="CD55" i="51"/>
  <c r="CE55" i="51"/>
  <c r="CF55" i="51"/>
  <c r="CG55" i="51"/>
  <c r="CH55" i="51"/>
  <c r="CI55" i="51"/>
  <c r="AC56" i="51"/>
  <c r="AD56" i="51"/>
  <c r="AF56" i="51"/>
  <c r="AG56" i="51"/>
  <c r="AL56" i="51"/>
  <c r="AM56" i="51"/>
  <c r="AN56" i="51"/>
  <c r="AO56" i="51"/>
  <c r="AP56" i="51"/>
  <c r="AQ56" i="51"/>
  <c r="AR56" i="51"/>
  <c r="AS56" i="51"/>
  <c r="AT56" i="51"/>
  <c r="AU56" i="51"/>
  <c r="AV56" i="51"/>
  <c r="AW56" i="51"/>
  <c r="AX56" i="51"/>
  <c r="AY56" i="51"/>
  <c r="AZ56" i="51"/>
  <c r="BA56" i="51"/>
  <c r="BB56" i="51"/>
  <c r="BC56" i="51"/>
  <c r="BD56" i="51"/>
  <c r="BE56" i="51"/>
  <c r="BF56" i="51"/>
  <c r="BG56" i="51"/>
  <c r="BH56" i="51"/>
  <c r="BI56" i="51"/>
  <c r="BJ56" i="51"/>
  <c r="BK56" i="51"/>
  <c r="BL56" i="51"/>
  <c r="BM56" i="51"/>
  <c r="BN56" i="51"/>
  <c r="BO56" i="51"/>
  <c r="BP56" i="51"/>
  <c r="BQ56" i="51"/>
  <c r="BR56" i="51"/>
  <c r="BS56" i="51"/>
  <c r="BT56" i="51"/>
  <c r="BU56" i="51"/>
  <c r="BV56" i="51"/>
  <c r="BW56" i="51"/>
  <c r="BX56" i="51"/>
  <c r="BY56" i="51"/>
  <c r="BZ56" i="51"/>
  <c r="CA56" i="51"/>
  <c r="CB56" i="51"/>
  <c r="CC56" i="51"/>
  <c r="CD56" i="51"/>
  <c r="CE56" i="51"/>
  <c r="CF56" i="51"/>
  <c r="CG56" i="51"/>
  <c r="CH56" i="51"/>
  <c r="CI56" i="51"/>
  <c r="AC57" i="51"/>
  <c r="AD57" i="51"/>
  <c r="AF57" i="51"/>
  <c r="AG57" i="51"/>
  <c r="AL57" i="51"/>
  <c r="AM57" i="51"/>
  <c r="AN57" i="51"/>
  <c r="AO57" i="51"/>
  <c r="AP57" i="51"/>
  <c r="AQ57" i="51"/>
  <c r="AR57" i="51"/>
  <c r="AS57" i="51"/>
  <c r="AT57" i="51"/>
  <c r="AU57" i="51"/>
  <c r="AV57" i="51"/>
  <c r="AW57" i="51"/>
  <c r="AX57" i="51"/>
  <c r="AY57" i="51"/>
  <c r="AZ57" i="51"/>
  <c r="BA57" i="51"/>
  <c r="BB57" i="51"/>
  <c r="BC57" i="51"/>
  <c r="BD57" i="51"/>
  <c r="BE57" i="51"/>
  <c r="BF57" i="51"/>
  <c r="BG57" i="51"/>
  <c r="BH57" i="51"/>
  <c r="BI57" i="51"/>
  <c r="BJ57" i="51"/>
  <c r="BK57" i="51"/>
  <c r="BL57" i="51"/>
  <c r="BM57" i="51"/>
  <c r="BN57" i="51"/>
  <c r="BO57" i="51"/>
  <c r="BP57" i="51"/>
  <c r="BQ57" i="51"/>
  <c r="BR57" i="51"/>
  <c r="BS57" i="51"/>
  <c r="BT57" i="51"/>
  <c r="BU57" i="51"/>
  <c r="BV57" i="51"/>
  <c r="BW57" i="51"/>
  <c r="BX57" i="51"/>
  <c r="BY57" i="51"/>
  <c r="BZ57" i="51"/>
  <c r="CA57" i="51"/>
  <c r="CB57" i="51"/>
  <c r="CC57" i="51"/>
  <c r="CD57" i="51"/>
  <c r="CE57" i="51"/>
  <c r="CF57" i="51"/>
  <c r="CG57" i="51"/>
  <c r="CH57" i="51"/>
  <c r="CI57" i="51"/>
  <c r="AC58" i="51"/>
  <c r="AD58" i="51"/>
  <c r="AF58" i="51"/>
  <c r="AG58" i="51"/>
  <c r="AL58" i="51"/>
  <c r="AM58" i="51"/>
  <c r="AN58" i="51"/>
  <c r="AO58" i="51"/>
  <c r="AP58" i="51"/>
  <c r="AQ58" i="51"/>
  <c r="AR58" i="51"/>
  <c r="AS58" i="51"/>
  <c r="AT58" i="51"/>
  <c r="AU58" i="51"/>
  <c r="AV58" i="51"/>
  <c r="AW58" i="51"/>
  <c r="AX58" i="51"/>
  <c r="AY58" i="51"/>
  <c r="AZ58" i="51"/>
  <c r="BA58" i="51"/>
  <c r="BB58" i="51"/>
  <c r="BC58" i="51"/>
  <c r="BD58" i="51"/>
  <c r="BE58" i="51"/>
  <c r="BF58" i="51"/>
  <c r="BG58" i="51"/>
  <c r="BH58" i="51"/>
  <c r="BI58" i="51"/>
  <c r="BJ58" i="51"/>
  <c r="BK58" i="51"/>
  <c r="BL58" i="51"/>
  <c r="BM58" i="51"/>
  <c r="BN58" i="51"/>
  <c r="BO58" i="51"/>
  <c r="BP58" i="51"/>
  <c r="BQ58" i="51"/>
  <c r="BR58" i="51"/>
  <c r="BS58" i="51"/>
  <c r="BT58" i="51"/>
  <c r="BU58" i="51"/>
  <c r="BV58" i="51"/>
  <c r="BW58" i="51"/>
  <c r="BX58" i="51"/>
  <c r="BY58" i="51"/>
  <c r="BZ58" i="51"/>
  <c r="CA58" i="51"/>
  <c r="CB58" i="51"/>
  <c r="CC58" i="51"/>
  <c r="CD58" i="51"/>
  <c r="CE58" i="51"/>
  <c r="CF58" i="51"/>
  <c r="CG58" i="51"/>
  <c r="CH58" i="51"/>
  <c r="CI58" i="51"/>
  <c r="AC59" i="51"/>
  <c r="AD59" i="51"/>
  <c r="AF59" i="51"/>
  <c r="AG59" i="51"/>
  <c r="AL59" i="51"/>
  <c r="AM59" i="51"/>
  <c r="AN59" i="51"/>
  <c r="AO59" i="51"/>
  <c r="AP59" i="51"/>
  <c r="AQ59" i="51"/>
  <c r="AR59" i="51"/>
  <c r="AS59" i="51"/>
  <c r="AT59" i="51"/>
  <c r="AU59" i="51"/>
  <c r="AV59" i="51"/>
  <c r="AW59" i="51"/>
  <c r="AX59" i="51"/>
  <c r="AY59" i="51"/>
  <c r="AZ59" i="51"/>
  <c r="BA59" i="51"/>
  <c r="BB59" i="51"/>
  <c r="BC59" i="51"/>
  <c r="BD59" i="51"/>
  <c r="BE59" i="51"/>
  <c r="BF59" i="51"/>
  <c r="BG59" i="51"/>
  <c r="BH59" i="51"/>
  <c r="BI59" i="51"/>
  <c r="BJ59" i="51"/>
  <c r="BK59" i="51"/>
  <c r="BL59" i="51"/>
  <c r="BM59" i="51"/>
  <c r="BN59" i="51"/>
  <c r="BO59" i="51"/>
  <c r="BP59" i="51"/>
  <c r="BQ59" i="51"/>
  <c r="BR59" i="51"/>
  <c r="BS59" i="51"/>
  <c r="BT59" i="51"/>
  <c r="BU59" i="51"/>
  <c r="BV59" i="51"/>
  <c r="BW59" i="51"/>
  <c r="BX59" i="51"/>
  <c r="BY59" i="51"/>
  <c r="BZ59" i="51"/>
  <c r="CA59" i="51"/>
  <c r="CB59" i="51"/>
  <c r="CC59" i="51"/>
  <c r="CD59" i="51"/>
  <c r="CE59" i="51"/>
  <c r="CF59" i="51"/>
  <c r="CG59" i="51"/>
  <c r="CH59" i="51"/>
  <c r="CI59" i="51"/>
  <c r="AC60" i="51"/>
  <c r="AD60" i="51"/>
  <c r="AF60" i="51"/>
  <c r="AG60" i="51"/>
  <c r="AL60" i="51"/>
  <c r="AM60" i="51"/>
  <c r="AN60" i="51"/>
  <c r="AO60" i="51"/>
  <c r="AP60" i="51"/>
  <c r="AQ60" i="51"/>
  <c r="AR60" i="51"/>
  <c r="AS60" i="51"/>
  <c r="AT60" i="51"/>
  <c r="AU60" i="51"/>
  <c r="AV60" i="51"/>
  <c r="AW60" i="51"/>
  <c r="AX60" i="51"/>
  <c r="AY60" i="51"/>
  <c r="AZ60" i="51"/>
  <c r="BA60" i="51"/>
  <c r="BB60" i="51"/>
  <c r="BC60" i="51"/>
  <c r="BD60" i="51"/>
  <c r="BE60" i="51"/>
  <c r="BF60" i="51"/>
  <c r="BG60" i="51"/>
  <c r="BH60" i="51"/>
  <c r="BI60" i="51"/>
  <c r="BJ60" i="51"/>
  <c r="BK60" i="51"/>
  <c r="BL60" i="51"/>
  <c r="BM60" i="51"/>
  <c r="BN60" i="51"/>
  <c r="BO60" i="51"/>
  <c r="BP60" i="51"/>
  <c r="BQ60" i="51"/>
  <c r="BR60" i="51"/>
  <c r="BS60" i="51"/>
  <c r="BT60" i="51"/>
  <c r="BU60" i="51"/>
  <c r="BV60" i="51"/>
  <c r="BW60" i="51"/>
  <c r="BX60" i="51"/>
  <c r="BY60" i="51"/>
  <c r="BZ60" i="51"/>
  <c r="CA60" i="51"/>
  <c r="CB60" i="51"/>
  <c r="CC60" i="51"/>
  <c r="CD60" i="51"/>
  <c r="CE60" i="51"/>
  <c r="CF60" i="51"/>
  <c r="CG60" i="51"/>
  <c r="CH60" i="51"/>
  <c r="CI60" i="51"/>
  <c r="AC61" i="51"/>
  <c r="AD61" i="51"/>
  <c r="AF61" i="51"/>
  <c r="AG61" i="51"/>
  <c r="AL61" i="51"/>
  <c r="AM61" i="51"/>
  <c r="AN61" i="51"/>
  <c r="AO61" i="51"/>
  <c r="AP61" i="51"/>
  <c r="AQ61" i="51"/>
  <c r="AR61" i="51"/>
  <c r="AS61" i="51"/>
  <c r="AT61" i="51"/>
  <c r="AU61" i="51"/>
  <c r="AV61" i="51"/>
  <c r="AW61" i="51"/>
  <c r="AX61" i="51"/>
  <c r="AY61" i="51"/>
  <c r="AZ61" i="51"/>
  <c r="BA61" i="51"/>
  <c r="BB61" i="51"/>
  <c r="BC61" i="51"/>
  <c r="BD61" i="51"/>
  <c r="BE61" i="51"/>
  <c r="BF61" i="51"/>
  <c r="BG61" i="51"/>
  <c r="BH61" i="51"/>
  <c r="BI61" i="51"/>
  <c r="BJ61" i="51"/>
  <c r="BK61" i="51"/>
  <c r="BL61" i="51"/>
  <c r="BM61" i="51"/>
  <c r="BN61" i="51"/>
  <c r="BO61" i="51"/>
  <c r="BP61" i="51"/>
  <c r="BQ61" i="51"/>
  <c r="BR61" i="51"/>
  <c r="BS61" i="51"/>
  <c r="BT61" i="51"/>
  <c r="BU61" i="51"/>
  <c r="BV61" i="51"/>
  <c r="BW61" i="51"/>
  <c r="BX61" i="51"/>
  <c r="BY61" i="51"/>
  <c r="BZ61" i="51"/>
  <c r="CA61" i="51"/>
  <c r="CB61" i="51"/>
  <c r="CC61" i="51"/>
  <c r="CD61" i="51"/>
  <c r="CE61" i="51"/>
  <c r="CF61" i="51"/>
  <c r="CG61" i="51"/>
  <c r="CH61" i="51"/>
  <c r="CI61" i="51"/>
  <c r="AC62" i="51"/>
  <c r="AD62" i="51"/>
  <c r="AF62" i="51"/>
  <c r="AG62" i="51"/>
  <c r="AL62" i="51"/>
  <c r="AM62" i="51"/>
  <c r="AN62" i="51"/>
  <c r="AO62" i="51"/>
  <c r="AP62" i="51"/>
  <c r="AQ62" i="51"/>
  <c r="AR62" i="51"/>
  <c r="AS62" i="51"/>
  <c r="AT62" i="51"/>
  <c r="AU62" i="51"/>
  <c r="AV62" i="51"/>
  <c r="AW62" i="51"/>
  <c r="AX62" i="51"/>
  <c r="AY62" i="51"/>
  <c r="AZ62" i="51"/>
  <c r="BA62" i="51"/>
  <c r="BB62" i="51"/>
  <c r="BC62" i="51"/>
  <c r="BD62" i="51"/>
  <c r="BE62" i="51"/>
  <c r="BF62" i="51"/>
  <c r="BG62" i="51"/>
  <c r="BH62" i="51"/>
  <c r="BI62" i="51"/>
  <c r="BJ62" i="51"/>
  <c r="BK62" i="51"/>
  <c r="BL62" i="51"/>
  <c r="BM62" i="51"/>
  <c r="BN62" i="51"/>
  <c r="BO62" i="51"/>
  <c r="BP62" i="51"/>
  <c r="BQ62" i="51"/>
  <c r="BR62" i="51"/>
  <c r="BS62" i="51"/>
  <c r="BT62" i="51"/>
  <c r="BU62" i="51"/>
  <c r="BV62" i="51"/>
  <c r="BW62" i="51"/>
  <c r="BX62" i="51"/>
  <c r="BY62" i="51"/>
  <c r="BZ62" i="51"/>
  <c r="CA62" i="51"/>
  <c r="CB62" i="51"/>
  <c r="CC62" i="51"/>
  <c r="CD62" i="51"/>
  <c r="CE62" i="51"/>
  <c r="CF62" i="51"/>
  <c r="CG62" i="51"/>
  <c r="CH62" i="51"/>
  <c r="CI62" i="51"/>
  <c r="AC63" i="51"/>
  <c r="AD63" i="51"/>
  <c r="AF63" i="51"/>
  <c r="AG63" i="51"/>
  <c r="AL63" i="51"/>
  <c r="AM63" i="51"/>
  <c r="AN63" i="51"/>
  <c r="AO63" i="51"/>
  <c r="AP63" i="51"/>
  <c r="AQ63" i="51"/>
  <c r="AR63" i="51"/>
  <c r="AS63" i="51"/>
  <c r="AT63" i="51"/>
  <c r="AU63" i="51"/>
  <c r="AV63" i="51"/>
  <c r="AW63" i="51"/>
  <c r="AX63" i="51"/>
  <c r="AY63" i="51"/>
  <c r="AZ63" i="51"/>
  <c r="BA63" i="51"/>
  <c r="BB63" i="51"/>
  <c r="BC63" i="51"/>
  <c r="BD63" i="51"/>
  <c r="BE63" i="51"/>
  <c r="BF63" i="51"/>
  <c r="BG63" i="51"/>
  <c r="BH63" i="51"/>
  <c r="BI63" i="51"/>
  <c r="BJ63" i="51"/>
  <c r="BK63" i="51"/>
  <c r="BL63" i="51"/>
  <c r="BM63" i="51"/>
  <c r="BN63" i="51"/>
  <c r="BO63" i="51"/>
  <c r="BP63" i="51"/>
  <c r="BQ63" i="51"/>
  <c r="BR63" i="51"/>
  <c r="BS63" i="51"/>
  <c r="BT63" i="51"/>
  <c r="BU63" i="51"/>
  <c r="BV63" i="51"/>
  <c r="BW63" i="51"/>
  <c r="BX63" i="51"/>
  <c r="BY63" i="51"/>
  <c r="BZ63" i="51"/>
  <c r="CA63" i="51"/>
  <c r="CB63" i="51"/>
  <c r="CC63" i="51"/>
  <c r="CD63" i="51"/>
  <c r="CE63" i="51"/>
  <c r="CF63" i="51"/>
  <c r="CG63" i="51"/>
  <c r="CH63" i="51"/>
  <c r="CI63" i="51"/>
  <c r="AC64" i="51"/>
  <c r="AD64" i="51"/>
  <c r="AF64" i="51"/>
  <c r="AG64" i="51"/>
  <c r="AL64" i="51"/>
  <c r="AM64" i="51"/>
  <c r="AN64" i="51"/>
  <c r="AO64" i="51"/>
  <c r="AP64" i="51"/>
  <c r="AQ64" i="51"/>
  <c r="AR64" i="51"/>
  <c r="AS64" i="51"/>
  <c r="AT64" i="51"/>
  <c r="AU64" i="51"/>
  <c r="AV64" i="51"/>
  <c r="AW64" i="51"/>
  <c r="AX64" i="51"/>
  <c r="AY64" i="51"/>
  <c r="AZ64" i="51"/>
  <c r="BA64" i="51"/>
  <c r="BB64" i="51"/>
  <c r="BC64" i="51"/>
  <c r="BD64" i="51"/>
  <c r="BE64" i="51"/>
  <c r="BF64" i="51"/>
  <c r="BG64" i="51"/>
  <c r="BH64" i="51"/>
  <c r="BI64" i="51"/>
  <c r="BJ64" i="51"/>
  <c r="BK64" i="51"/>
  <c r="BL64" i="51"/>
  <c r="BM64" i="51"/>
  <c r="BN64" i="51"/>
  <c r="BO64" i="51"/>
  <c r="BP64" i="51"/>
  <c r="BQ64" i="51"/>
  <c r="BR64" i="51"/>
  <c r="BS64" i="51"/>
  <c r="BT64" i="51"/>
  <c r="BU64" i="51"/>
  <c r="BV64" i="51"/>
  <c r="BW64" i="51"/>
  <c r="BX64" i="51"/>
  <c r="BY64" i="51"/>
  <c r="BZ64" i="51"/>
  <c r="CA64" i="51"/>
  <c r="CB64" i="51"/>
  <c r="CC64" i="51"/>
  <c r="CD64" i="51"/>
  <c r="CE64" i="51"/>
  <c r="CF64" i="51"/>
  <c r="CG64" i="51"/>
  <c r="CH64" i="51"/>
  <c r="CI64" i="51"/>
  <c r="AC65" i="51"/>
  <c r="AD65" i="51"/>
  <c r="AF65" i="51"/>
  <c r="AG65" i="51"/>
  <c r="AL65" i="51"/>
  <c r="AM65" i="51"/>
  <c r="AN65" i="51"/>
  <c r="AO65" i="51"/>
  <c r="AP65" i="51"/>
  <c r="AQ65" i="51"/>
  <c r="AR65" i="51"/>
  <c r="AS65" i="51"/>
  <c r="AT65" i="51"/>
  <c r="AU65" i="51"/>
  <c r="AV65" i="51"/>
  <c r="AW65" i="51"/>
  <c r="AX65" i="51"/>
  <c r="AY65" i="51"/>
  <c r="AZ65" i="51"/>
  <c r="BA65" i="51"/>
  <c r="BB65" i="51"/>
  <c r="BC65" i="51"/>
  <c r="BD65" i="51"/>
  <c r="BE65" i="51"/>
  <c r="BF65" i="51"/>
  <c r="BG65" i="51"/>
  <c r="BH65" i="51"/>
  <c r="BI65" i="51"/>
  <c r="BJ65" i="51"/>
  <c r="BK65" i="51"/>
  <c r="BL65" i="51"/>
  <c r="BM65" i="51"/>
  <c r="BN65" i="51"/>
  <c r="BO65" i="51"/>
  <c r="BP65" i="51"/>
  <c r="BQ65" i="51"/>
  <c r="BR65" i="51"/>
  <c r="BS65" i="51"/>
  <c r="BT65" i="51"/>
  <c r="BU65" i="51"/>
  <c r="BV65" i="51"/>
  <c r="BW65" i="51"/>
  <c r="BX65" i="51"/>
  <c r="BY65" i="51"/>
  <c r="BZ65" i="51"/>
  <c r="CA65" i="51"/>
  <c r="CB65" i="51"/>
  <c r="CC65" i="51"/>
  <c r="CD65" i="51"/>
  <c r="CE65" i="51"/>
  <c r="CF65" i="51"/>
  <c r="CG65" i="51"/>
  <c r="CH65" i="51"/>
  <c r="CI65" i="51"/>
  <c r="AC66" i="51"/>
  <c r="AD66" i="51"/>
  <c r="AF66" i="51"/>
  <c r="AG66" i="51"/>
  <c r="AL66" i="51"/>
  <c r="AM66" i="51"/>
  <c r="AN66" i="51"/>
  <c r="AO66" i="51"/>
  <c r="AP66" i="51"/>
  <c r="AQ66" i="51"/>
  <c r="AR66" i="51"/>
  <c r="AS66" i="51"/>
  <c r="AT66" i="51"/>
  <c r="AU66" i="51"/>
  <c r="AV66" i="51"/>
  <c r="AW66" i="51"/>
  <c r="AX66" i="51"/>
  <c r="AY66" i="51"/>
  <c r="AZ66" i="51"/>
  <c r="BA66" i="51"/>
  <c r="BB66" i="51"/>
  <c r="BC66" i="51"/>
  <c r="BD66" i="51"/>
  <c r="BE66" i="51"/>
  <c r="BF66" i="51"/>
  <c r="BG66" i="51"/>
  <c r="BH66" i="51"/>
  <c r="BI66" i="51"/>
  <c r="BJ66" i="51"/>
  <c r="BK66" i="51"/>
  <c r="BL66" i="51"/>
  <c r="BM66" i="51"/>
  <c r="BN66" i="51"/>
  <c r="BO66" i="51"/>
  <c r="BP66" i="51"/>
  <c r="BQ66" i="51"/>
  <c r="BR66" i="51"/>
  <c r="BS66" i="51"/>
  <c r="BT66" i="51"/>
  <c r="BU66" i="51"/>
  <c r="BV66" i="51"/>
  <c r="BW66" i="51"/>
  <c r="BX66" i="51"/>
  <c r="BY66" i="51"/>
  <c r="BZ66" i="51"/>
  <c r="CA66" i="51"/>
  <c r="CB66" i="51"/>
  <c r="CC66" i="51"/>
  <c r="CD66" i="51"/>
  <c r="CE66" i="51"/>
  <c r="CF66" i="51"/>
  <c r="CG66" i="51"/>
  <c r="CH66" i="51"/>
  <c r="CI66" i="51"/>
  <c r="AC67" i="51"/>
  <c r="AD67" i="51"/>
  <c r="AF67" i="51"/>
  <c r="AG67" i="51"/>
  <c r="AL67" i="51"/>
  <c r="AM67" i="51"/>
  <c r="AN67" i="51"/>
  <c r="AO67" i="51"/>
  <c r="AP67" i="51"/>
  <c r="AQ67" i="51"/>
  <c r="AR67" i="51"/>
  <c r="AS67" i="51"/>
  <c r="AT67" i="51"/>
  <c r="AU67" i="51"/>
  <c r="AV67" i="51"/>
  <c r="AW67" i="51"/>
  <c r="AX67" i="51"/>
  <c r="AY67" i="51"/>
  <c r="AZ67" i="51"/>
  <c r="BA67" i="51"/>
  <c r="BB67" i="51"/>
  <c r="BC67" i="51"/>
  <c r="BD67" i="51"/>
  <c r="BE67" i="51"/>
  <c r="BF67" i="51"/>
  <c r="BG67" i="51"/>
  <c r="BH67" i="51"/>
  <c r="BI67" i="51"/>
  <c r="BJ67" i="51"/>
  <c r="BK67" i="51"/>
  <c r="BL67" i="51"/>
  <c r="BM67" i="51"/>
  <c r="BN67" i="51"/>
  <c r="BO67" i="51"/>
  <c r="BP67" i="51"/>
  <c r="BQ67" i="51"/>
  <c r="BR67" i="51"/>
  <c r="BS67" i="51"/>
  <c r="BT67" i="51"/>
  <c r="BU67" i="51"/>
  <c r="BV67" i="51"/>
  <c r="BW67" i="51"/>
  <c r="BX67" i="51"/>
  <c r="BY67" i="51"/>
  <c r="BZ67" i="51"/>
  <c r="CA67" i="51"/>
  <c r="CB67" i="51"/>
  <c r="CC67" i="51"/>
  <c r="CD67" i="51"/>
  <c r="CE67" i="51"/>
  <c r="CF67" i="51"/>
  <c r="CG67" i="51"/>
  <c r="CH67" i="51"/>
  <c r="CI67" i="51"/>
  <c r="AC68" i="51"/>
  <c r="AD68" i="51"/>
  <c r="AF68" i="51"/>
  <c r="AG68" i="51"/>
  <c r="AL68" i="51"/>
  <c r="AM68" i="51"/>
  <c r="AN68" i="51"/>
  <c r="AO68" i="51"/>
  <c r="AP68" i="51"/>
  <c r="AQ68" i="51"/>
  <c r="AR68" i="51"/>
  <c r="AS68" i="51"/>
  <c r="AT68" i="51"/>
  <c r="AU68" i="51"/>
  <c r="AV68" i="51"/>
  <c r="AW68" i="51"/>
  <c r="AX68" i="51"/>
  <c r="AY68" i="51"/>
  <c r="AZ68" i="51"/>
  <c r="BA68" i="51"/>
  <c r="BB68" i="51"/>
  <c r="BC68" i="51"/>
  <c r="BD68" i="51"/>
  <c r="BE68" i="51"/>
  <c r="BF68" i="51"/>
  <c r="BG68" i="51"/>
  <c r="BH68" i="51"/>
  <c r="BI68" i="51"/>
  <c r="BJ68" i="51"/>
  <c r="BK68" i="51"/>
  <c r="BL68" i="51"/>
  <c r="BM68" i="51"/>
  <c r="BN68" i="51"/>
  <c r="BO68" i="51"/>
  <c r="BP68" i="51"/>
  <c r="BQ68" i="51"/>
  <c r="BR68" i="51"/>
  <c r="BS68" i="51"/>
  <c r="BT68" i="51"/>
  <c r="BU68" i="51"/>
  <c r="BV68" i="51"/>
  <c r="BW68" i="51"/>
  <c r="BX68" i="51"/>
  <c r="BY68" i="51"/>
  <c r="BZ68" i="51"/>
  <c r="CA68" i="51"/>
  <c r="CB68" i="51"/>
  <c r="CC68" i="51"/>
  <c r="CD68" i="51"/>
  <c r="CE68" i="51"/>
  <c r="CF68" i="51"/>
  <c r="CG68" i="51"/>
  <c r="CH68" i="51"/>
  <c r="CI68" i="51"/>
  <c r="AC69" i="51"/>
  <c r="AD69" i="51"/>
  <c r="AF69" i="51"/>
  <c r="AG69" i="51"/>
  <c r="AL69" i="51"/>
  <c r="AM69" i="51"/>
  <c r="AN69" i="51"/>
  <c r="AO69" i="51"/>
  <c r="AP69" i="51"/>
  <c r="AQ69" i="51"/>
  <c r="AR69" i="51"/>
  <c r="AS69" i="51"/>
  <c r="AT69" i="51"/>
  <c r="AU69" i="51"/>
  <c r="AV69" i="51"/>
  <c r="AW69" i="51"/>
  <c r="AX69" i="51"/>
  <c r="AY69" i="51"/>
  <c r="AZ69" i="51"/>
  <c r="BA69" i="51"/>
  <c r="BB69" i="51"/>
  <c r="BC69" i="51"/>
  <c r="BD69" i="51"/>
  <c r="BE69" i="51"/>
  <c r="BF69" i="51"/>
  <c r="BG69" i="51"/>
  <c r="BH69" i="51"/>
  <c r="BI69" i="51"/>
  <c r="BJ69" i="51"/>
  <c r="BK69" i="51"/>
  <c r="BL69" i="51"/>
  <c r="BM69" i="51"/>
  <c r="BN69" i="51"/>
  <c r="BO69" i="51"/>
  <c r="BP69" i="51"/>
  <c r="BQ69" i="51"/>
  <c r="BR69" i="51"/>
  <c r="BS69" i="51"/>
  <c r="BT69" i="51"/>
  <c r="BU69" i="51"/>
  <c r="BV69" i="51"/>
  <c r="BW69" i="51"/>
  <c r="BX69" i="51"/>
  <c r="BY69" i="51"/>
  <c r="BZ69" i="51"/>
  <c r="CA69" i="51"/>
  <c r="CB69" i="51"/>
  <c r="CC69" i="51"/>
  <c r="CD69" i="51"/>
  <c r="CE69" i="51"/>
  <c r="CF69" i="51"/>
  <c r="CG69" i="51"/>
  <c r="CH69" i="51"/>
  <c r="CI69" i="51"/>
  <c r="AC70" i="51"/>
  <c r="AD70" i="51"/>
  <c r="AF70" i="51"/>
  <c r="AG70" i="51"/>
  <c r="AL70" i="51"/>
  <c r="AM70" i="51"/>
  <c r="AN70" i="51"/>
  <c r="AO70" i="51"/>
  <c r="AP70" i="51"/>
  <c r="AQ70" i="51"/>
  <c r="AR70" i="51"/>
  <c r="AS70" i="51"/>
  <c r="AT70" i="51"/>
  <c r="AU70" i="51"/>
  <c r="AV70" i="51"/>
  <c r="AW70" i="51"/>
  <c r="AX70" i="51"/>
  <c r="AY70" i="51"/>
  <c r="AZ70" i="51"/>
  <c r="BA70" i="51"/>
  <c r="BB70" i="51"/>
  <c r="BC70" i="51"/>
  <c r="BD70" i="51"/>
  <c r="BE70" i="51"/>
  <c r="BF70" i="51"/>
  <c r="BG70" i="51"/>
  <c r="BH70" i="51"/>
  <c r="BI70" i="51"/>
  <c r="BJ70" i="51"/>
  <c r="BK70" i="51"/>
  <c r="BL70" i="51"/>
  <c r="BM70" i="51"/>
  <c r="BN70" i="51"/>
  <c r="BO70" i="51"/>
  <c r="BP70" i="51"/>
  <c r="BQ70" i="51"/>
  <c r="BR70" i="51"/>
  <c r="BS70" i="51"/>
  <c r="BT70" i="51"/>
  <c r="BU70" i="51"/>
  <c r="BV70" i="51"/>
  <c r="BW70" i="51"/>
  <c r="BX70" i="51"/>
  <c r="BY70" i="51"/>
  <c r="BZ70" i="51"/>
  <c r="CA70" i="51"/>
  <c r="CB70" i="51"/>
  <c r="CC70" i="51"/>
  <c r="CD70" i="51"/>
  <c r="CE70" i="51"/>
  <c r="CF70" i="51"/>
  <c r="CG70" i="51"/>
  <c r="CH70" i="51"/>
  <c r="CI70" i="51"/>
  <c r="AC71" i="51"/>
  <c r="AD71" i="51"/>
  <c r="AF71" i="51"/>
  <c r="AG71" i="51"/>
  <c r="AL71" i="51"/>
  <c r="AM71" i="51"/>
  <c r="AN71" i="51"/>
  <c r="AO71" i="51"/>
  <c r="AP71" i="51"/>
  <c r="AQ71" i="51"/>
  <c r="AR71" i="51"/>
  <c r="AS71" i="51"/>
  <c r="AT71" i="51"/>
  <c r="AU71" i="51"/>
  <c r="AV71" i="51"/>
  <c r="AW71" i="51"/>
  <c r="AX71" i="51"/>
  <c r="AY71" i="51"/>
  <c r="AZ71" i="51"/>
  <c r="BA71" i="51"/>
  <c r="BB71" i="51"/>
  <c r="BC71" i="51"/>
  <c r="BD71" i="51"/>
  <c r="BE71" i="51"/>
  <c r="BF71" i="51"/>
  <c r="BG71" i="51"/>
  <c r="BH71" i="51"/>
  <c r="BI71" i="51"/>
  <c r="BJ71" i="51"/>
  <c r="BK71" i="51"/>
  <c r="BL71" i="51"/>
  <c r="BM71" i="51"/>
  <c r="BN71" i="51"/>
  <c r="BO71" i="51"/>
  <c r="BP71" i="51"/>
  <c r="BQ71" i="51"/>
  <c r="BR71" i="51"/>
  <c r="BS71" i="51"/>
  <c r="BT71" i="51"/>
  <c r="BU71" i="51"/>
  <c r="BV71" i="51"/>
  <c r="BW71" i="51"/>
  <c r="BX71" i="51"/>
  <c r="BY71" i="51"/>
  <c r="BZ71" i="51"/>
  <c r="CA71" i="51"/>
  <c r="CB71" i="51"/>
  <c r="CC71" i="51"/>
  <c r="CD71" i="51"/>
  <c r="CE71" i="51"/>
  <c r="CF71" i="51"/>
  <c r="CG71" i="51"/>
  <c r="CH71" i="51"/>
  <c r="CI71" i="51"/>
  <c r="AC72" i="51"/>
  <c r="AD72" i="51"/>
  <c r="AF72" i="51"/>
  <c r="AG72" i="51"/>
  <c r="AL72" i="51"/>
  <c r="AM72" i="51"/>
  <c r="AN72" i="51"/>
  <c r="AO72" i="51"/>
  <c r="AP72" i="51"/>
  <c r="AQ72" i="51"/>
  <c r="AR72" i="51"/>
  <c r="AS72" i="51"/>
  <c r="AT72" i="51"/>
  <c r="AU72" i="51"/>
  <c r="AV72" i="51"/>
  <c r="AW72" i="51"/>
  <c r="AX72" i="51"/>
  <c r="AY72" i="51"/>
  <c r="AZ72" i="51"/>
  <c r="BA72" i="51"/>
  <c r="BB72" i="51"/>
  <c r="BC72" i="51"/>
  <c r="BD72" i="51"/>
  <c r="BE72" i="51"/>
  <c r="BF72" i="51"/>
  <c r="BG72" i="51"/>
  <c r="BH72" i="51"/>
  <c r="BI72" i="51"/>
  <c r="BJ72" i="51"/>
  <c r="BK72" i="51"/>
  <c r="BL72" i="51"/>
  <c r="BM72" i="51"/>
  <c r="BN72" i="51"/>
  <c r="BO72" i="51"/>
  <c r="BP72" i="51"/>
  <c r="BQ72" i="51"/>
  <c r="BR72" i="51"/>
  <c r="BS72" i="51"/>
  <c r="BT72" i="51"/>
  <c r="BU72" i="51"/>
  <c r="BV72" i="51"/>
  <c r="BW72" i="51"/>
  <c r="BX72" i="51"/>
  <c r="BY72" i="51"/>
  <c r="BZ72" i="51"/>
  <c r="CA72" i="51"/>
  <c r="CB72" i="51"/>
  <c r="CC72" i="51"/>
  <c r="CD72" i="51"/>
  <c r="CE72" i="51"/>
  <c r="CF72" i="51"/>
  <c r="CG72" i="51"/>
  <c r="CH72" i="51"/>
  <c r="CI72" i="51"/>
  <c r="AC73" i="51"/>
  <c r="AD73" i="51"/>
  <c r="AF73" i="51"/>
  <c r="AG73" i="51"/>
  <c r="AL73" i="51"/>
  <c r="AM73" i="51"/>
  <c r="AN73" i="51"/>
  <c r="AO73" i="51"/>
  <c r="AP73" i="51"/>
  <c r="AQ73" i="51"/>
  <c r="AR73" i="51"/>
  <c r="AS73" i="51"/>
  <c r="AT73" i="51"/>
  <c r="AU73" i="51"/>
  <c r="AV73" i="51"/>
  <c r="AW73" i="51"/>
  <c r="AX73" i="51"/>
  <c r="AY73" i="51"/>
  <c r="AZ73" i="51"/>
  <c r="BA73" i="51"/>
  <c r="BB73" i="51"/>
  <c r="BC73" i="51"/>
  <c r="BD73" i="51"/>
  <c r="BE73" i="51"/>
  <c r="BF73" i="51"/>
  <c r="BG73" i="51"/>
  <c r="BH73" i="51"/>
  <c r="BI73" i="51"/>
  <c r="BJ73" i="51"/>
  <c r="BK73" i="51"/>
  <c r="BL73" i="51"/>
  <c r="BM73" i="51"/>
  <c r="BN73" i="51"/>
  <c r="BO73" i="51"/>
  <c r="BP73" i="51"/>
  <c r="BQ73" i="51"/>
  <c r="BR73" i="51"/>
  <c r="BS73" i="51"/>
  <c r="BT73" i="51"/>
  <c r="BU73" i="51"/>
  <c r="BV73" i="51"/>
  <c r="BW73" i="51"/>
  <c r="BX73" i="51"/>
  <c r="BY73" i="51"/>
  <c r="BZ73" i="51"/>
  <c r="CA73" i="51"/>
  <c r="CB73" i="51"/>
  <c r="CC73" i="51"/>
  <c r="CD73" i="51"/>
  <c r="CE73" i="51"/>
  <c r="CF73" i="51"/>
  <c r="CG73" i="51"/>
  <c r="CH73" i="51"/>
  <c r="CI73" i="51"/>
  <c r="AC74" i="51"/>
  <c r="AD74" i="51"/>
  <c r="AF74" i="51"/>
  <c r="AG74" i="51"/>
  <c r="AL74" i="51"/>
  <c r="AM74" i="51"/>
  <c r="AN74" i="51"/>
  <c r="AO74" i="51"/>
  <c r="AP74" i="51"/>
  <c r="AQ74" i="51"/>
  <c r="AR74" i="51"/>
  <c r="AS74" i="51"/>
  <c r="AT74" i="51"/>
  <c r="AU74" i="51"/>
  <c r="AV74" i="51"/>
  <c r="AW74" i="51"/>
  <c r="AX74" i="51"/>
  <c r="AY74" i="51"/>
  <c r="AZ74" i="51"/>
  <c r="BA74" i="51"/>
  <c r="BB74" i="51"/>
  <c r="BC74" i="51"/>
  <c r="BD74" i="51"/>
  <c r="BE74" i="51"/>
  <c r="BF74" i="51"/>
  <c r="BG74" i="51"/>
  <c r="BH74" i="51"/>
  <c r="BI74" i="51"/>
  <c r="BJ74" i="51"/>
  <c r="BK74" i="51"/>
  <c r="BL74" i="51"/>
  <c r="BM74" i="51"/>
  <c r="BN74" i="51"/>
  <c r="BO74" i="51"/>
  <c r="BP74" i="51"/>
  <c r="BQ74" i="51"/>
  <c r="BR74" i="51"/>
  <c r="BS74" i="51"/>
  <c r="BT74" i="51"/>
  <c r="BU74" i="51"/>
  <c r="BV74" i="51"/>
  <c r="BW74" i="51"/>
  <c r="BX74" i="51"/>
  <c r="BY74" i="51"/>
  <c r="BZ74" i="51"/>
  <c r="CA74" i="51"/>
  <c r="CB74" i="51"/>
  <c r="CC74" i="51"/>
  <c r="CD74" i="51"/>
  <c r="CE74" i="51"/>
  <c r="CF74" i="51"/>
  <c r="CG74" i="51"/>
  <c r="CH74" i="51"/>
  <c r="CI74" i="51"/>
  <c r="AC75" i="51"/>
  <c r="AD75" i="51"/>
  <c r="AF75" i="51"/>
  <c r="AG75" i="51"/>
  <c r="AL75" i="51"/>
  <c r="AM75" i="51"/>
  <c r="AN75" i="51"/>
  <c r="AO75" i="51"/>
  <c r="AP75" i="51"/>
  <c r="AQ75" i="51"/>
  <c r="AR75" i="51"/>
  <c r="AS75" i="51"/>
  <c r="AT75" i="51"/>
  <c r="AU75" i="51"/>
  <c r="AV75" i="51"/>
  <c r="AW75" i="51"/>
  <c r="AX75" i="51"/>
  <c r="AY75" i="51"/>
  <c r="AZ75" i="51"/>
  <c r="BA75" i="51"/>
  <c r="BB75" i="51"/>
  <c r="BC75" i="51"/>
  <c r="BD75" i="51"/>
  <c r="BE75" i="51"/>
  <c r="BF75" i="51"/>
  <c r="BG75" i="51"/>
  <c r="BH75" i="51"/>
  <c r="BI75" i="51"/>
  <c r="BJ75" i="51"/>
  <c r="BK75" i="51"/>
  <c r="BL75" i="51"/>
  <c r="BM75" i="51"/>
  <c r="BN75" i="51"/>
  <c r="BO75" i="51"/>
  <c r="BP75" i="51"/>
  <c r="BQ75" i="51"/>
  <c r="BR75" i="51"/>
  <c r="BS75" i="51"/>
  <c r="BT75" i="51"/>
  <c r="BU75" i="51"/>
  <c r="BV75" i="51"/>
  <c r="BW75" i="51"/>
  <c r="BX75" i="51"/>
  <c r="BY75" i="51"/>
  <c r="BZ75" i="51"/>
  <c r="CA75" i="51"/>
  <c r="CB75" i="51"/>
  <c r="CC75" i="51"/>
  <c r="CD75" i="51"/>
  <c r="CE75" i="51"/>
  <c r="CF75" i="51"/>
  <c r="CG75" i="51"/>
  <c r="CH75" i="51"/>
  <c r="CI75" i="51"/>
  <c r="AC76" i="51"/>
  <c r="AD76" i="51"/>
  <c r="AF76" i="51"/>
  <c r="AG76" i="51"/>
  <c r="AL76" i="51"/>
  <c r="AM76" i="51"/>
  <c r="AN76" i="51"/>
  <c r="AO76" i="51"/>
  <c r="AP76" i="51"/>
  <c r="AQ76" i="51"/>
  <c r="AR76" i="51"/>
  <c r="AS76" i="51"/>
  <c r="AT76" i="51"/>
  <c r="AU76" i="51"/>
  <c r="AV76" i="51"/>
  <c r="AW76" i="51"/>
  <c r="AX76" i="51"/>
  <c r="AY76" i="51"/>
  <c r="AZ76" i="51"/>
  <c r="BA76" i="51"/>
  <c r="BB76" i="51"/>
  <c r="BC76" i="51"/>
  <c r="BD76" i="51"/>
  <c r="BE76" i="51"/>
  <c r="BF76" i="51"/>
  <c r="BG76" i="51"/>
  <c r="BH76" i="51"/>
  <c r="BI76" i="51"/>
  <c r="BJ76" i="51"/>
  <c r="BK76" i="51"/>
  <c r="BL76" i="51"/>
  <c r="BM76" i="51"/>
  <c r="BN76" i="51"/>
  <c r="BO76" i="51"/>
  <c r="BP76" i="51"/>
  <c r="BQ76" i="51"/>
  <c r="BR76" i="51"/>
  <c r="BS76" i="51"/>
  <c r="BT76" i="51"/>
  <c r="BU76" i="51"/>
  <c r="BV76" i="51"/>
  <c r="BW76" i="51"/>
  <c r="BX76" i="51"/>
  <c r="BY76" i="51"/>
  <c r="BZ76" i="51"/>
  <c r="CA76" i="51"/>
  <c r="CB76" i="51"/>
  <c r="CC76" i="51"/>
  <c r="CD76" i="51"/>
  <c r="CE76" i="51"/>
  <c r="CF76" i="51"/>
  <c r="CG76" i="51"/>
  <c r="CH76" i="51"/>
  <c r="CI76" i="51"/>
  <c r="AC77" i="51"/>
  <c r="AD77" i="51"/>
  <c r="AF77" i="51"/>
  <c r="AG77" i="51"/>
  <c r="AL77" i="51"/>
  <c r="AM77" i="51"/>
  <c r="AN77" i="51"/>
  <c r="AO77" i="51"/>
  <c r="AP77" i="51"/>
  <c r="AQ77" i="51"/>
  <c r="AR77" i="51"/>
  <c r="AS77" i="51"/>
  <c r="AT77" i="51"/>
  <c r="AU77" i="51"/>
  <c r="AV77" i="51"/>
  <c r="AW77" i="51"/>
  <c r="AX77" i="51"/>
  <c r="AY77" i="51"/>
  <c r="AZ77" i="51"/>
  <c r="BA77" i="51"/>
  <c r="BB77" i="51"/>
  <c r="BC77" i="51"/>
  <c r="BD77" i="51"/>
  <c r="BE77" i="51"/>
  <c r="BF77" i="51"/>
  <c r="BG77" i="51"/>
  <c r="BH77" i="51"/>
  <c r="BI77" i="51"/>
  <c r="BJ77" i="51"/>
  <c r="BK77" i="51"/>
  <c r="BL77" i="51"/>
  <c r="BM77" i="51"/>
  <c r="BN77" i="51"/>
  <c r="BO77" i="51"/>
  <c r="BP77" i="51"/>
  <c r="BQ77" i="51"/>
  <c r="BR77" i="51"/>
  <c r="BS77" i="51"/>
  <c r="BT77" i="51"/>
  <c r="BU77" i="51"/>
  <c r="BV77" i="51"/>
  <c r="BW77" i="51"/>
  <c r="BX77" i="51"/>
  <c r="BY77" i="51"/>
  <c r="BZ77" i="51"/>
  <c r="CA77" i="51"/>
  <c r="CB77" i="51"/>
  <c r="CC77" i="51"/>
  <c r="CD77" i="51"/>
  <c r="CE77" i="51"/>
  <c r="CF77" i="51"/>
  <c r="CG77" i="51"/>
  <c r="CH77" i="51"/>
  <c r="CI77" i="51"/>
  <c r="AC78" i="51"/>
  <c r="AD78" i="51"/>
  <c r="AF78" i="51"/>
  <c r="AG78" i="51"/>
  <c r="AL78" i="51"/>
  <c r="AM78" i="51"/>
  <c r="AN78" i="51"/>
  <c r="AO78" i="51"/>
  <c r="AP78" i="51"/>
  <c r="AQ78" i="51"/>
  <c r="AR78" i="51"/>
  <c r="AS78" i="51"/>
  <c r="AT78" i="51"/>
  <c r="AU78" i="51"/>
  <c r="AV78" i="51"/>
  <c r="AW78" i="51"/>
  <c r="AX78" i="51"/>
  <c r="AY78" i="51"/>
  <c r="AZ78" i="51"/>
  <c r="BA78" i="51"/>
  <c r="BB78" i="51"/>
  <c r="BC78" i="51"/>
  <c r="BD78" i="51"/>
  <c r="BE78" i="51"/>
  <c r="BF78" i="51"/>
  <c r="BG78" i="51"/>
  <c r="BH78" i="51"/>
  <c r="BI78" i="51"/>
  <c r="BJ78" i="51"/>
  <c r="BK78" i="51"/>
  <c r="BL78" i="51"/>
  <c r="BM78" i="51"/>
  <c r="BN78" i="51"/>
  <c r="BO78" i="51"/>
  <c r="BP78" i="51"/>
  <c r="BQ78" i="51"/>
  <c r="BR78" i="51"/>
  <c r="BS78" i="51"/>
  <c r="BT78" i="51"/>
  <c r="BU78" i="51"/>
  <c r="BV78" i="51"/>
  <c r="BW78" i="51"/>
  <c r="BX78" i="51"/>
  <c r="BY78" i="51"/>
  <c r="BZ78" i="51"/>
  <c r="CA78" i="51"/>
  <c r="CB78" i="51"/>
  <c r="CC78" i="51"/>
  <c r="CD78" i="51"/>
  <c r="CE78" i="51"/>
  <c r="CF78" i="51"/>
  <c r="CG78" i="51"/>
  <c r="CH78" i="51"/>
  <c r="CI78" i="51"/>
  <c r="AC79" i="51"/>
  <c r="AD79" i="51"/>
  <c r="AF79" i="51"/>
  <c r="AG79" i="51"/>
  <c r="AL79" i="51"/>
  <c r="AM79" i="51"/>
  <c r="AN79" i="51"/>
  <c r="AO79" i="51"/>
  <c r="AP79" i="51"/>
  <c r="AQ79" i="51"/>
  <c r="AR79" i="51"/>
  <c r="AS79" i="51"/>
  <c r="AT79" i="51"/>
  <c r="AU79" i="51"/>
  <c r="AV79" i="51"/>
  <c r="AW79" i="51"/>
  <c r="AX79" i="51"/>
  <c r="AY79" i="51"/>
  <c r="AZ79" i="51"/>
  <c r="BA79" i="51"/>
  <c r="BB79" i="51"/>
  <c r="BC79" i="51"/>
  <c r="BD79" i="51"/>
  <c r="BE79" i="51"/>
  <c r="BF79" i="51"/>
  <c r="BG79" i="51"/>
  <c r="BH79" i="51"/>
  <c r="BI79" i="51"/>
  <c r="BJ79" i="51"/>
  <c r="BK79" i="51"/>
  <c r="BL79" i="51"/>
  <c r="BM79" i="51"/>
  <c r="BN79" i="51"/>
  <c r="BO79" i="51"/>
  <c r="BP79" i="51"/>
  <c r="BQ79" i="51"/>
  <c r="BR79" i="51"/>
  <c r="BS79" i="51"/>
  <c r="BT79" i="51"/>
  <c r="BU79" i="51"/>
  <c r="BV79" i="51"/>
  <c r="BW79" i="51"/>
  <c r="BX79" i="51"/>
  <c r="BY79" i="51"/>
  <c r="BZ79" i="51"/>
  <c r="CA79" i="51"/>
  <c r="CB79" i="51"/>
  <c r="CC79" i="51"/>
  <c r="CD79" i="51"/>
  <c r="CE79" i="51"/>
  <c r="CF79" i="51"/>
  <c r="CG79" i="51"/>
  <c r="CH79" i="51"/>
  <c r="CI79" i="51"/>
  <c r="AC80" i="51"/>
  <c r="AD80" i="51"/>
  <c r="AF80" i="51"/>
  <c r="AG80" i="51"/>
  <c r="AL80" i="51"/>
  <c r="AM80" i="51"/>
  <c r="AN80" i="51"/>
  <c r="AO80" i="51"/>
  <c r="AP80" i="51"/>
  <c r="AQ80" i="51"/>
  <c r="AR80" i="51"/>
  <c r="AS80" i="51"/>
  <c r="AT80" i="51"/>
  <c r="AU80" i="51"/>
  <c r="AV80" i="51"/>
  <c r="AW80" i="51"/>
  <c r="AX80" i="51"/>
  <c r="AY80" i="51"/>
  <c r="AZ80" i="51"/>
  <c r="BA80" i="51"/>
  <c r="BB80" i="51"/>
  <c r="BC80" i="51"/>
  <c r="BD80" i="51"/>
  <c r="BE80" i="51"/>
  <c r="BF80" i="51"/>
  <c r="BG80" i="51"/>
  <c r="BH80" i="51"/>
  <c r="BI80" i="51"/>
  <c r="BJ80" i="51"/>
  <c r="BK80" i="51"/>
  <c r="BL80" i="51"/>
  <c r="BM80" i="51"/>
  <c r="BN80" i="51"/>
  <c r="BO80" i="51"/>
  <c r="BP80" i="51"/>
  <c r="BQ80" i="51"/>
  <c r="BR80" i="51"/>
  <c r="BS80" i="51"/>
  <c r="BT80" i="51"/>
  <c r="BU80" i="51"/>
  <c r="BV80" i="51"/>
  <c r="BW80" i="51"/>
  <c r="BX80" i="51"/>
  <c r="BY80" i="51"/>
  <c r="BZ80" i="51"/>
  <c r="CA80" i="51"/>
  <c r="CB80" i="51"/>
  <c r="CC80" i="51"/>
  <c r="CD80" i="51"/>
  <c r="CE80" i="51"/>
  <c r="CF80" i="51"/>
  <c r="CG80" i="51"/>
  <c r="CH80" i="51"/>
  <c r="CI80" i="51"/>
  <c r="AC81" i="51"/>
  <c r="AD81" i="51"/>
  <c r="AF81" i="51"/>
  <c r="AG81" i="51"/>
  <c r="AL81" i="51"/>
  <c r="AM81" i="51"/>
  <c r="AN81" i="51"/>
  <c r="AO81" i="51"/>
  <c r="AP81" i="51"/>
  <c r="AQ81" i="51"/>
  <c r="AR81" i="51"/>
  <c r="AS81" i="51"/>
  <c r="AT81" i="51"/>
  <c r="AU81" i="51"/>
  <c r="AV81" i="51"/>
  <c r="AW81" i="51"/>
  <c r="AX81" i="51"/>
  <c r="AY81" i="51"/>
  <c r="AZ81" i="51"/>
  <c r="BA81" i="51"/>
  <c r="BB81" i="51"/>
  <c r="BC81" i="51"/>
  <c r="BD81" i="51"/>
  <c r="BE81" i="51"/>
  <c r="BF81" i="51"/>
  <c r="BG81" i="51"/>
  <c r="BH81" i="51"/>
  <c r="BI81" i="51"/>
  <c r="BJ81" i="51"/>
  <c r="BK81" i="51"/>
  <c r="BL81" i="51"/>
  <c r="BM81" i="51"/>
  <c r="BN81" i="51"/>
  <c r="BO81" i="51"/>
  <c r="BP81" i="51"/>
  <c r="BQ81" i="51"/>
  <c r="BR81" i="51"/>
  <c r="BS81" i="51"/>
  <c r="BT81" i="51"/>
  <c r="BU81" i="51"/>
  <c r="BV81" i="51"/>
  <c r="BW81" i="51"/>
  <c r="BX81" i="51"/>
  <c r="BY81" i="51"/>
  <c r="BZ81" i="51"/>
  <c r="CA81" i="51"/>
  <c r="CB81" i="51"/>
  <c r="CC81" i="51"/>
  <c r="CD81" i="51"/>
  <c r="CE81" i="51"/>
  <c r="CF81" i="51"/>
  <c r="CG81" i="51"/>
  <c r="CH81" i="51"/>
  <c r="CI81" i="51"/>
  <c r="AC82" i="51"/>
  <c r="AD82" i="51"/>
  <c r="AF82" i="51"/>
  <c r="AG82" i="51"/>
  <c r="AL82" i="51"/>
  <c r="AM82" i="51"/>
  <c r="AN82" i="51"/>
  <c r="AO82" i="51"/>
  <c r="AP82" i="51"/>
  <c r="AQ82" i="51"/>
  <c r="AR82" i="51"/>
  <c r="AS82" i="51"/>
  <c r="AT82" i="51"/>
  <c r="AU82" i="51"/>
  <c r="AV82" i="51"/>
  <c r="AW82" i="51"/>
  <c r="AX82" i="51"/>
  <c r="AY82" i="51"/>
  <c r="AZ82" i="51"/>
  <c r="BA82" i="51"/>
  <c r="BB82" i="51"/>
  <c r="BC82" i="51"/>
  <c r="BD82" i="51"/>
  <c r="BE82" i="51"/>
  <c r="BF82" i="51"/>
  <c r="BG82" i="51"/>
  <c r="BH82" i="51"/>
  <c r="BI82" i="51"/>
  <c r="BJ82" i="51"/>
  <c r="BK82" i="51"/>
  <c r="BL82" i="51"/>
  <c r="BM82" i="51"/>
  <c r="BN82" i="51"/>
  <c r="BO82" i="51"/>
  <c r="BP82" i="51"/>
  <c r="BQ82" i="51"/>
  <c r="BR82" i="51"/>
  <c r="BS82" i="51"/>
  <c r="BT82" i="51"/>
  <c r="BU82" i="51"/>
  <c r="BV82" i="51"/>
  <c r="BW82" i="51"/>
  <c r="BX82" i="51"/>
  <c r="BY82" i="51"/>
  <c r="BZ82" i="51"/>
  <c r="CA82" i="51"/>
  <c r="CB82" i="51"/>
  <c r="CC82" i="51"/>
  <c r="CD82" i="51"/>
  <c r="CE82" i="51"/>
  <c r="CF82" i="51"/>
  <c r="CG82" i="51"/>
  <c r="CH82" i="51"/>
  <c r="CI82" i="51"/>
  <c r="AC83" i="51"/>
  <c r="AD83" i="51"/>
  <c r="AF83" i="51"/>
  <c r="AG83" i="51"/>
  <c r="AL83" i="51"/>
  <c r="AM83" i="51"/>
  <c r="AN83" i="51"/>
  <c r="AO83" i="51"/>
  <c r="AP83" i="51"/>
  <c r="AQ83" i="51"/>
  <c r="AR83" i="51"/>
  <c r="AS83" i="51"/>
  <c r="AT83" i="51"/>
  <c r="AU83" i="51"/>
  <c r="AV83" i="51"/>
  <c r="AW83" i="51"/>
  <c r="AX83" i="51"/>
  <c r="AY83" i="51"/>
  <c r="AZ83" i="51"/>
  <c r="BA83" i="51"/>
  <c r="BB83" i="51"/>
  <c r="BC83" i="51"/>
  <c r="BD83" i="51"/>
  <c r="BE83" i="51"/>
  <c r="BF83" i="51"/>
  <c r="BG83" i="51"/>
  <c r="BH83" i="51"/>
  <c r="BI83" i="51"/>
  <c r="BJ83" i="51"/>
  <c r="BK83" i="51"/>
  <c r="BL83" i="51"/>
  <c r="BM83" i="51"/>
  <c r="BN83" i="51"/>
  <c r="BO83" i="51"/>
  <c r="BP83" i="51"/>
  <c r="BQ83" i="51"/>
  <c r="BR83" i="51"/>
  <c r="BS83" i="51"/>
  <c r="BT83" i="51"/>
  <c r="BU83" i="51"/>
  <c r="BV83" i="51"/>
  <c r="BW83" i="51"/>
  <c r="BX83" i="51"/>
  <c r="BY83" i="51"/>
  <c r="BZ83" i="51"/>
  <c r="CA83" i="51"/>
  <c r="CB83" i="51"/>
  <c r="CC83" i="51"/>
  <c r="CD83" i="51"/>
  <c r="CE83" i="51"/>
  <c r="CF83" i="51"/>
  <c r="CG83" i="51"/>
  <c r="CH83" i="51"/>
  <c r="CI83" i="51"/>
  <c r="AC84" i="51"/>
  <c r="AD84" i="51"/>
  <c r="AF84" i="51"/>
  <c r="AG84" i="51"/>
  <c r="AL84" i="51"/>
  <c r="AM84" i="51"/>
  <c r="AN84" i="51"/>
  <c r="AO84" i="51"/>
  <c r="AP84" i="51"/>
  <c r="AQ84" i="51"/>
  <c r="AR84" i="51"/>
  <c r="AS84" i="51"/>
  <c r="AT84" i="51"/>
  <c r="AU84" i="51"/>
  <c r="AV84" i="51"/>
  <c r="AW84" i="51"/>
  <c r="AX84" i="51"/>
  <c r="AY84" i="51"/>
  <c r="AZ84" i="51"/>
  <c r="BA84" i="51"/>
  <c r="BB84" i="51"/>
  <c r="BC84" i="51"/>
  <c r="BD84" i="51"/>
  <c r="BE84" i="51"/>
  <c r="BF84" i="51"/>
  <c r="BG84" i="51"/>
  <c r="BH84" i="51"/>
  <c r="BI84" i="51"/>
  <c r="BJ84" i="51"/>
  <c r="BK84" i="51"/>
  <c r="BL84" i="51"/>
  <c r="BM84" i="51"/>
  <c r="BN84" i="51"/>
  <c r="BO84" i="51"/>
  <c r="BP84" i="51"/>
  <c r="BQ84" i="51"/>
  <c r="BR84" i="51"/>
  <c r="BS84" i="51"/>
  <c r="BT84" i="51"/>
  <c r="BU84" i="51"/>
  <c r="BV84" i="51"/>
  <c r="BW84" i="51"/>
  <c r="BX84" i="51"/>
  <c r="BY84" i="51"/>
  <c r="BZ84" i="51"/>
  <c r="CA84" i="51"/>
  <c r="CB84" i="51"/>
  <c r="CC84" i="51"/>
  <c r="CD84" i="51"/>
  <c r="CE84" i="51"/>
  <c r="CF84" i="51"/>
  <c r="CG84" i="51"/>
  <c r="CH84" i="51"/>
  <c r="CI84" i="51"/>
  <c r="AC85" i="51"/>
  <c r="AD85" i="51"/>
  <c r="AF85" i="51"/>
  <c r="AG85" i="51"/>
  <c r="AL85" i="51"/>
  <c r="AM85" i="51"/>
  <c r="AN85" i="51"/>
  <c r="AO85" i="51"/>
  <c r="AP85" i="51"/>
  <c r="AQ85" i="51"/>
  <c r="AR85" i="51"/>
  <c r="AS85" i="51"/>
  <c r="AT85" i="51"/>
  <c r="AU85" i="51"/>
  <c r="AV85" i="51"/>
  <c r="AW85" i="51"/>
  <c r="AX85" i="51"/>
  <c r="AY85" i="51"/>
  <c r="AZ85" i="51"/>
  <c r="BA85" i="51"/>
  <c r="BB85" i="51"/>
  <c r="BC85" i="51"/>
  <c r="BD85" i="51"/>
  <c r="BE85" i="51"/>
  <c r="BF85" i="51"/>
  <c r="BG85" i="51"/>
  <c r="BH85" i="51"/>
  <c r="BI85" i="51"/>
  <c r="BJ85" i="51"/>
  <c r="BK85" i="51"/>
  <c r="BL85" i="51"/>
  <c r="BM85" i="51"/>
  <c r="BN85" i="51"/>
  <c r="BO85" i="51"/>
  <c r="BP85" i="51"/>
  <c r="BQ85" i="51"/>
  <c r="BR85" i="51"/>
  <c r="BS85" i="51"/>
  <c r="BT85" i="51"/>
  <c r="BU85" i="51"/>
  <c r="BV85" i="51"/>
  <c r="BW85" i="51"/>
  <c r="BX85" i="51"/>
  <c r="BY85" i="51"/>
  <c r="BZ85" i="51"/>
  <c r="CA85" i="51"/>
  <c r="CB85" i="51"/>
  <c r="CC85" i="51"/>
  <c r="CD85" i="51"/>
  <c r="CE85" i="51"/>
  <c r="CF85" i="51"/>
  <c r="CG85" i="51"/>
  <c r="CH85" i="51"/>
  <c r="CI85" i="51"/>
  <c r="AC86" i="51"/>
  <c r="AD86" i="51"/>
  <c r="AF86" i="51"/>
  <c r="AG86" i="51"/>
  <c r="AL86" i="51"/>
  <c r="AM86" i="51"/>
  <c r="AN86" i="51"/>
  <c r="AO86" i="51"/>
  <c r="AP86" i="51"/>
  <c r="AQ86" i="51"/>
  <c r="AR86" i="51"/>
  <c r="AS86" i="51"/>
  <c r="AT86" i="51"/>
  <c r="AU86" i="51"/>
  <c r="AV86" i="51"/>
  <c r="AW86" i="51"/>
  <c r="AX86" i="51"/>
  <c r="AY86" i="51"/>
  <c r="AZ86" i="51"/>
  <c r="BA86" i="51"/>
  <c r="BB86" i="51"/>
  <c r="BC86" i="51"/>
  <c r="BD86" i="51"/>
  <c r="BE86" i="51"/>
  <c r="BF86" i="51"/>
  <c r="BG86" i="51"/>
  <c r="BH86" i="51"/>
  <c r="BI86" i="51"/>
  <c r="BJ86" i="51"/>
  <c r="BK86" i="51"/>
  <c r="BL86" i="51"/>
  <c r="BM86" i="51"/>
  <c r="BN86" i="51"/>
  <c r="BO86" i="51"/>
  <c r="BP86" i="51"/>
  <c r="BQ86" i="51"/>
  <c r="BR86" i="51"/>
  <c r="BS86" i="51"/>
  <c r="BT86" i="51"/>
  <c r="BU86" i="51"/>
  <c r="BV86" i="51"/>
  <c r="BW86" i="51"/>
  <c r="BX86" i="51"/>
  <c r="BY86" i="51"/>
  <c r="BZ86" i="51"/>
  <c r="CA86" i="51"/>
  <c r="CB86" i="51"/>
  <c r="CC86" i="51"/>
  <c r="CD86" i="51"/>
  <c r="CE86" i="51"/>
  <c r="CF86" i="51"/>
  <c r="CG86" i="51"/>
  <c r="CH86" i="51"/>
  <c r="CI86" i="51"/>
  <c r="AC87" i="51"/>
  <c r="AD87" i="51"/>
  <c r="AF87" i="51"/>
  <c r="AG87" i="51"/>
  <c r="AL87" i="51"/>
  <c r="AM87" i="51"/>
  <c r="AN87" i="51"/>
  <c r="AO87" i="51"/>
  <c r="AP87" i="51"/>
  <c r="AQ87" i="51"/>
  <c r="AR87" i="51"/>
  <c r="AS87" i="51"/>
  <c r="AT87" i="51"/>
  <c r="AU87" i="51"/>
  <c r="AV87" i="51"/>
  <c r="AW87" i="51"/>
  <c r="AX87" i="51"/>
  <c r="AY87" i="51"/>
  <c r="AZ87" i="51"/>
  <c r="BA87" i="51"/>
  <c r="BB87" i="51"/>
  <c r="BC87" i="51"/>
  <c r="BD87" i="51"/>
  <c r="BE87" i="51"/>
  <c r="BF87" i="51"/>
  <c r="BG87" i="51"/>
  <c r="BH87" i="51"/>
  <c r="BI87" i="51"/>
  <c r="BJ87" i="51"/>
  <c r="BK87" i="51"/>
  <c r="BL87" i="51"/>
  <c r="BM87" i="51"/>
  <c r="BN87" i="51"/>
  <c r="BO87" i="51"/>
  <c r="BP87" i="51"/>
  <c r="BQ87" i="51"/>
  <c r="BR87" i="51"/>
  <c r="BS87" i="51"/>
  <c r="BT87" i="51"/>
  <c r="BU87" i="51"/>
  <c r="BV87" i="51"/>
  <c r="BW87" i="51"/>
  <c r="BX87" i="51"/>
  <c r="BY87" i="51"/>
  <c r="BZ87" i="51"/>
  <c r="CA87" i="51"/>
  <c r="CB87" i="51"/>
  <c r="CC87" i="51"/>
  <c r="CD87" i="51"/>
  <c r="CE87" i="51"/>
  <c r="CF87" i="51"/>
  <c r="CG87" i="51"/>
  <c r="CH87" i="51"/>
  <c r="CI87" i="51"/>
  <c r="AC88" i="51"/>
  <c r="AD88" i="51"/>
  <c r="AF88" i="51"/>
  <c r="AG88" i="51"/>
  <c r="AL88" i="51"/>
  <c r="AM88" i="51"/>
  <c r="AN88" i="51"/>
  <c r="AO88" i="51"/>
  <c r="AP88" i="51"/>
  <c r="AQ88" i="51"/>
  <c r="AR88" i="51"/>
  <c r="AS88" i="51"/>
  <c r="AT88" i="51"/>
  <c r="AU88" i="51"/>
  <c r="AV88" i="51"/>
  <c r="AW88" i="51"/>
  <c r="AX88" i="51"/>
  <c r="AY88" i="51"/>
  <c r="AZ88" i="51"/>
  <c r="BA88" i="51"/>
  <c r="BB88" i="51"/>
  <c r="BC88" i="51"/>
  <c r="BD88" i="51"/>
  <c r="BE88" i="51"/>
  <c r="BF88" i="51"/>
  <c r="BG88" i="51"/>
  <c r="BH88" i="51"/>
  <c r="BI88" i="51"/>
  <c r="BJ88" i="51"/>
  <c r="BK88" i="51"/>
  <c r="BL88" i="51"/>
  <c r="BM88" i="51"/>
  <c r="BN88" i="51"/>
  <c r="BO88" i="51"/>
  <c r="BP88" i="51"/>
  <c r="BQ88" i="51"/>
  <c r="BR88" i="51"/>
  <c r="BS88" i="51"/>
  <c r="BT88" i="51"/>
  <c r="BU88" i="51"/>
  <c r="BV88" i="51"/>
  <c r="BW88" i="51"/>
  <c r="BX88" i="51"/>
  <c r="BY88" i="51"/>
  <c r="BZ88" i="51"/>
  <c r="CA88" i="51"/>
  <c r="CB88" i="51"/>
  <c r="CC88" i="51"/>
  <c r="CD88" i="51"/>
  <c r="CE88" i="51"/>
  <c r="CF88" i="51"/>
  <c r="CG88" i="51"/>
  <c r="CH88" i="51"/>
  <c r="CI88" i="51"/>
  <c r="AC89" i="51"/>
  <c r="AD89" i="51"/>
  <c r="AF89" i="51"/>
  <c r="AG89" i="51"/>
  <c r="AL89" i="51"/>
  <c r="AM89" i="51"/>
  <c r="AN89" i="51"/>
  <c r="AO89" i="51"/>
  <c r="AP89" i="51"/>
  <c r="AQ89" i="51"/>
  <c r="AR89" i="51"/>
  <c r="AS89" i="51"/>
  <c r="AT89" i="51"/>
  <c r="AU89" i="51"/>
  <c r="AV89" i="51"/>
  <c r="AW89" i="51"/>
  <c r="AX89" i="51"/>
  <c r="AY89" i="51"/>
  <c r="AZ89" i="51"/>
  <c r="BA89" i="51"/>
  <c r="BB89" i="51"/>
  <c r="BC89" i="51"/>
  <c r="BD89" i="51"/>
  <c r="BE89" i="51"/>
  <c r="BF89" i="51"/>
  <c r="BG89" i="51"/>
  <c r="BH89" i="51"/>
  <c r="BI89" i="51"/>
  <c r="BJ89" i="51"/>
  <c r="BK89" i="51"/>
  <c r="BL89" i="51"/>
  <c r="BM89" i="51"/>
  <c r="BN89" i="51"/>
  <c r="BO89" i="51"/>
  <c r="BP89" i="51"/>
  <c r="BQ89" i="51"/>
  <c r="BR89" i="51"/>
  <c r="BS89" i="51"/>
  <c r="BT89" i="51"/>
  <c r="BU89" i="51"/>
  <c r="BV89" i="51"/>
  <c r="BW89" i="51"/>
  <c r="BX89" i="51"/>
  <c r="BY89" i="51"/>
  <c r="BZ89" i="51"/>
  <c r="CA89" i="51"/>
  <c r="CB89" i="51"/>
  <c r="CC89" i="51"/>
  <c r="CD89" i="51"/>
  <c r="CE89" i="51"/>
  <c r="CF89" i="51"/>
  <c r="CG89" i="51"/>
  <c r="CH89" i="51"/>
  <c r="CI89" i="51"/>
  <c r="AC90" i="51"/>
  <c r="AD90" i="51"/>
  <c r="AF90" i="51"/>
  <c r="AG90" i="51"/>
  <c r="AL90" i="51"/>
  <c r="AM90" i="51"/>
  <c r="AN90" i="51"/>
  <c r="AO90" i="51"/>
  <c r="AP90" i="51"/>
  <c r="AQ90" i="51"/>
  <c r="AR90" i="51"/>
  <c r="AS90" i="51"/>
  <c r="AT90" i="51"/>
  <c r="AU90" i="51"/>
  <c r="AV90" i="51"/>
  <c r="AW90" i="51"/>
  <c r="AX90" i="51"/>
  <c r="AY90" i="51"/>
  <c r="AZ90" i="51"/>
  <c r="BA90" i="51"/>
  <c r="BB90" i="51"/>
  <c r="BC90" i="51"/>
  <c r="BD90" i="51"/>
  <c r="BE90" i="51"/>
  <c r="BF90" i="51"/>
  <c r="BG90" i="51"/>
  <c r="BH90" i="51"/>
  <c r="BI90" i="51"/>
  <c r="BJ90" i="51"/>
  <c r="BK90" i="51"/>
  <c r="BL90" i="51"/>
  <c r="BM90" i="51"/>
  <c r="BN90" i="51"/>
  <c r="BO90" i="51"/>
  <c r="BP90" i="51"/>
  <c r="BQ90" i="51"/>
  <c r="BR90" i="51"/>
  <c r="BS90" i="51"/>
  <c r="BT90" i="51"/>
  <c r="BU90" i="51"/>
  <c r="BV90" i="51"/>
  <c r="BW90" i="51"/>
  <c r="BX90" i="51"/>
  <c r="BY90" i="51"/>
  <c r="BZ90" i="51"/>
  <c r="CA90" i="51"/>
  <c r="CB90" i="51"/>
  <c r="CC90" i="51"/>
  <c r="CD90" i="51"/>
  <c r="CE90" i="51"/>
  <c r="CF90" i="51"/>
  <c r="CG90" i="51"/>
  <c r="CH90" i="51"/>
  <c r="CI90" i="51"/>
  <c r="AC91" i="51"/>
  <c r="AD91" i="51"/>
  <c r="AF91" i="51"/>
  <c r="AG91" i="51"/>
  <c r="AL91" i="51"/>
  <c r="AM91" i="51"/>
  <c r="AN91" i="51"/>
  <c r="AO91" i="51"/>
  <c r="AP91" i="51"/>
  <c r="AQ91" i="51"/>
  <c r="AR91" i="51"/>
  <c r="AS91" i="51"/>
  <c r="AT91" i="51"/>
  <c r="AU91" i="51"/>
  <c r="AV91" i="51"/>
  <c r="AW91" i="51"/>
  <c r="AX91" i="51"/>
  <c r="AY91" i="51"/>
  <c r="AZ91" i="51"/>
  <c r="BA91" i="51"/>
  <c r="BB91" i="51"/>
  <c r="BC91" i="51"/>
  <c r="BD91" i="51"/>
  <c r="BE91" i="51"/>
  <c r="BF91" i="51"/>
  <c r="BG91" i="51"/>
  <c r="BH91" i="51"/>
  <c r="BI91" i="51"/>
  <c r="BJ91" i="51"/>
  <c r="BK91" i="51"/>
  <c r="BL91" i="51"/>
  <c r="BM91" i="51"/>
  <c r="BN91" i="51"/>
  <c r="BO91" i="51"/>
  <c r="BP91" i="51"/>
  <c r="BQ91" i="51"/>
  <c r="BR91" i="51"/>
  <c r="BS91" i="51"/>
  <c r="BT91" i="51"/>
  <c r="BU91" i="51"/>
  <c r="BV91" i="51"/>
  <c r="BW91" i="51"/>
  <c r="BX91" i="51"/>
  <c r="BY91" i="51"/>
  <c r="BZ91" i="51"/>
  <c r="CA91" i="51"/>
  <c r="CB91" i="51"/>
  <c r="CC91" i="51"/>
  <c r="CD91" i="51"/>
  <c r="CE91" i="51"/>
  <c r="CF91" i="51"/>
  <c r="CG91" i="51"/>
  <c r="CH91" i="51"/>
  <c r="CI91" i="51"/>
  <c r="AC92" i="51"/>
  <c r="AD92" i="51"/>
  <c r="AF92" i="51"/>
  <c r="AG92" i="51"/>
  <c r="AL92" i="51"/>
  <c r="AM92" i="51"/>
  <c r="AN92" i="51"/>
  <c r="AO92" i="51"/>
  <c r="AP92" i="51"/>
  <c r="AQ92" i="51"/>
  <c r="AR92" i="51"/>
  <c r="AS92" i="51"/>
  <c r="AT92" i="51"/>
  <c r="AU92" i="51"/>
  <c r="AV92" i="51"/>
  <c r="AW92" i="51"/>
  <c r="AX92" i="51"/>
  <c r="AY92" i="51"/>
  <c r="AZ92" i="51"/>
  <c r="BA92" i="51"/>
  <c r="BB92" i="51"/>
  <c r="BC92" i="51"/>
  <c r="BD92" i="51"/>
  <c r="BE92" i="51"/>
  <c r="BF92" i="51"/>
  <c r="BG92" i="51"/>
  <c r="BH92" i="51"/>
  <c r="BI92" i="51"/>
  <c r="BJ92" i="51"/>
  <c r="BK92" i="51"/>
  <c r="BL92" i="51"/>
  <c r="BM92" i="51"/>
  <c r="BN92" i="51"/>
  <c r="BO92" i="51"/>
  <c r="BP92" i="51"/>
  <c r="BQ92" i="51"/>
  <c r="BR92" i="51"/>
  <c r="BS92" i="51"/>
  <c r="BT92" i="51"/>
  <c r="BU92" i="51"/>
  <c r="BV92" i="51"/>
  <c r="BW92" i="51"/>
  <c r="BX92" i="51"/>
  <c r="BY92" i="51"/>
  <c r="BZ92" i="51"/>
  <c r="CA92" i="51"/>
  <c r="CB92" i="51"/>
  <c r="CC92" i="51"/>
  <c r="CD92" i="51"/>
  <c r="CE92" i="51"/>
  <c r="CF92" i="51"/>
  <c r="CG92" i="51"/>
  <c r="CH92" i="51"/>
  <c r="CI92" i="51"/>
  <c r="AC93" i="51"/>
  <c r="AD93" i="51"/>
  <c r="AF93" i="51"/>
  <c r="AG93" i="51"/>
  <c r="AL93" i="51"/>
  <c r="AM93" i="51"/>
  <c r="AN93" i="51"/>
  <c r="AO93" i="51"/>
  <c r="AP93" i="51"/>
  <c r="AQ93" i="51"/>
  <c r="AR93" i="51"/>
  <c r="AS93" i="51"/>
  <c r="AT93" i="51"/>
  <c r="AU93" i="51"/>
  <c r="AV93" i="51"/>
  <c r="AW93" i="51"/>
  <c r="AX93" i="51"/>
  <c r="AY93" i="51"/>
  <c r="AZ93" i="51"/>
  <c r="BA93" i="51"/>
  <c r="BB93" i="51"/>
  <c r="BC93" i="51"/>
  <c r="BD93" i="51"/>
  <c r="BE93" i="51"/>
  <c r="BF93" i="51"/>
  <c r="BG93" i="51"/>
  <c r="BH93" i="51"/>
  <c r="BI93" i="51"/>
  <c r="BJ93" i="51"/>
  <c r="BK93" i="51"/>
  <c r="BL93" i="51"/>
  <c r="BM93" i="51"/>
  <c r="BN93" i="51"/>
  <c r="BO93" i="51"/>
  <c r="BP93" i="51"/>
  <c r="BQ93" i="51"/>
  <c r="BR93" i="51"/>
  <c r="BS93" i="51"/>
  <c r="BT93" i="51"/>
  <c r="BU93" i="51"/>
  <c r="BV93" i="51"/>
  <c r="BW93" i="51"/>
  <c r="BX93" i="51"/>
  <c r="BY93" i="51"/>
  <c r="BZ93" i="51"/>
  <c r="CA93" i="51"/>
  <c r="CB93" i="51"/>
  <c r="CC93" i="51"/>
  <c r="CD93" i="51"/>
  <c r="CE93" i="51"/>
  <c r="CF93" i="51"/>
  <c r="CG93" i="51"/>
  <c r="CH93" i="51"/>
  <c r="CI93" i="51"/>
  <c r="AC94" i="51"/>
  <c r="AD94" i="51"/>
  <c r="AF94" i="51"/>
  <c r="AG94" i="51"/>
  <c r="AL94" i="51"/>
  <c r="AM94" i="51"/>
  <c r="AN94" i="51"/>
  <c r="AO94" i="51"/>
  <c r="AP94" i="51"/>
  <c r="AQ94" i="51"/>
  <c r="AR94" i="51"/>
  <c r="AS94" i="51"/>
  <c r="AT94" i="51"/>
  <c r="AU94" i="51"/>
  <c r="AV94" i="51"/>
  <c r="AW94" i="51"/>
  <c r="AX94" i="51"/>
  <c r="AY94" i="51"/>
  <c r="AZ94" i="51"/>
  <c r="BA94" i="51"/>
  <c r="BB94" i="51"/>
  <c r="BC94" i="51"/>
  <c r="BD94" i="51"/>
  <c r="BE94" i="51"/>
  <c r="BF94" i="51"/>
  <c r="BG94" i="51"/>
  <c r="BH94" i="51"/>
  <c r="BI94" i="51"/>
  <c r="BJ94" i="51"/>
  <c r="BK94" i="51"/>
  <c r="BL94" i="51"/>
  <c r="BM94" i="51"/>
  <c r="BN94" i="51"/>
  <c r="BO94" i="51"/>
  <c r="BP94" i="51"/>
  <c r="BQ94" i="51"/>
  <c r="BR94" i="51"/>
  <c r="BS94" i="51"/>
  <c r="BT94" i="51"/>
  <c r="BU94" i="51"/>
  <c r="BV94" i="51"/>
  <c r="BW94" i="51"/>
  <c r="BX94" i="51"/>
  <c r="BY94" i="51"/>
  <c r="BZ94" i="51"/>
  <c r="CA94" i="51"/>
  <c r="CB94" i="51"/>
  <c r="CC94" i="51"/>
  <c r="CD94" i="51"/>
  <c r="CE94" i="51"/>
  <c r="CF94" i="51"/>
  <c r="CG94" i="51"/>
  <c r="CH94" i="51"/>
  <c r="CI94" i="51"/>
  <c r="AC95" i="51"/>
  <c r="AD95" i="51"/>
  <c r="AF95" i="51"/>
  <c r="AG95" i="51"/>
  <c r="AL95" i="51"/>
  <c r="AM95" i="51"/>
  <c r="AN95" i="51"/>
  <c r="AO95" i="51"/>
  <c r="AP95" i="51"/>
  <c r="AQ95" i="51"/>
  <c r="AR95" i="51"/>
  <c r="AS95" i="51"/>
  <c r="AT95" i="51"/>
  <c r="AU95" i="51"/>
  <c r="AV95" i="51"/>
  <c r="AW95" i="51"/>
  <c r="AX95" i="51"/>
  <c r="AY95" i="51"/>
  <c r="AZ95" i="51"/>
  <c r="BA95" i="51"/>
  <c r="BB95" i="51"/>
  <c r="BC95" i="51"/>
  <c r="BD95" i="51"/>
  <c r="BE95" i="51"/>
  <c r="BF95" i="51"/>
  <c r="BG95" i="51"/>
  <c r="BH95" i="51"/>
  <c r="BI95" i="51"/>
  <c r="BJ95" i="51"/>
  <c r="BK95" i="51"/>
  <c r="BL95" i="51"/>
  <c r="BM95" i="51"/>
  <c r="BN95" i="51"/>
  <c r="BO95" i="51"/>
  <c r="BP95" i="51"/>
  <c r="BQ95" i="51"/>
  <c r="BR95" i="51"/>
  <c r="BS95" i="51"/>
  <c r="BT95" i="51"/>
  <c r="BU95" i="51"/>
  <c r="BV95" i="51"/>
  <c r="BW95" i="51"/>
  <c r="BX95" i="51"/>
  <c r="BY95" i="51"/>
  <c r="BZ95" i="51"/>
  <c r="CA95" i="51"/>
  <c r="CB95" i="51"/>
  <c r="CC95" i="51"/>
  <c r="CD95" i="51"/>
  <c r="CE95" i="51"/>
  <c r="CF95" i="51"/>
  <c r="CG95" i="51"/>
  <c r="CH95" i="51"/>
  <c r="CI95" i="51"/>
  <c r="AC40" i="51"/>
  <c r="AF40" i="51"/>
  <c r="AI40" i="51"/>
  <c r="AL40" i="51"/>
  <c r="AO40" i="51"/>
  <c r="AR40" i="51"/>
  <c r="AU40" i="51"/>
  <c r="AX40" i="51"/>
  <c r="BA40" i="51"/>
  <c r="BD40" i="51"/>
  <c r="BG40" i="51"/>
  <c r="BJ40" i="51"/>
  <c r="BM40" i="51"/>
  <c r="BP40" i="51"/>
  <c r="BS40" i="51"/>
  <c r="BV40" i="51"/>
  <c r="BY40" i="51"/>
  <c r="CB40" i="51"/>
  <c r="CE40" i="51"/>
  <c r="CH40" i="51"/>
  <c r="DC98" i="51" l="1"/>
  <c r="EW98" i="51"/>
  <c r="EV98" i="51"/>
  <c r="CI98" i="51"/>
  <c r="EU98" i="51"/>
  <c r="CH98" i="51"/>
  <c r="CG98" i="51"/>
  <c r="CE98" i="51"/>
  <c r="CD98" i="51"/>
  <c r="ET98" i="51"/>
  <c r="ES98" i="51"/>
  <c r="CF98" i="51"/>
  <c r="ER98" i="51"/>
  <c r="EP98" i="51"/>
  <c r="CC98" i="51"/>
  <c r="EO98" i="51"/>
  <c r="CB98" i="51"/>
  <c r="CA98" i="51"/>
  <c r="EQ98" i="51"/>
  <c r="EN98" i="51"/>
  <c r="EM98" i="51"/>
  <c r="BZ98" i="51"/>
  <c r="EL98" i="51"/>
  <c r="BY98" i="51"/>
  <c r="BX98" i="51"/>
  <c r="BW98" i="51"/>
  <c r="BV98" i="51"/>
  <c r="BU98" i="51"/>
  <c r="EI98" i="51"/>
  <c r="EK98" i="51"/>
  <c r="EJ98" i="51"/>
  <c r="EH98" i="51"/>
  <c r="EG98" i="51"/>
  <c r="BT98" i="51"/>
  <c r="EF98" i="51"/>
  <c r="BS98" i="51"/>
  <c r="BR98" i="51"/>
  <c r="BO98" i="51"/>
  <c r="EE98" i="51"/>
  <c r="ED98" i="51"/>
  <c r="BQ98" i="51"/>
  <c r="EC98" i="51"/>
  <c r="BP98" i="51"/>
  <c r="EA98" i="51"/>
  <c r="BN98" i="51"/>
  <c r="DZ98" i="51"/>
  <c r="BM98" i="51"/>
  <c r="BL98" i="51"/>
  <c r="EB98" i="51"/>
  <c r="DY98" i="51"/>
  <c r="DX98" i="51"/>
  <c r="BK98" i="51"/>
  <c r="DW98" i="51"/>
  <c r="BJ98" i="51"/>
  <c r="BI98" i="51"/>
  <c r="BG98" i="51"/>
  <c r="BF98" i="51"/>
  <c r="DV98" i="51"/>
  <c r="DU98" i="51"/>
  <c r="BH98" i="51"/>
  <c r="DT98" i="51"/>
  <c r="DS98" i="51"/>
  <c r="DR98" i="51"/>
  <c r="BE98" i="51"/>
  <c r="DQ98" i="51"/>
  <c r="BD98" i="51"/>
  <c r="BC98" i="51"/>
  <c r="DP98" i="51"/>
  <c r="DO98" i="51"/>
  <c r="BB98" i="51"/>
  <c r="DN98" i="51"/>
  <c r="BA98" i="51"/>
  <c r="AZ98" i="51"/>
  <c r="AY98" i="51"/>
  <c r="DK98" i="51"/>
  <c r="AX98" i="51"/>
  <c r="AW98" i="51"/>
  <c r="DM98" i="51"/>
  <c r="DL98" i="51"/>
  <c r="DJ98" i="51"/>
  <c r="DI98" i="51"/>
  <c r="AV98" i="51"/>
  <c r="DH98" i="51"/>
  <c r="AU98" i="51"/>
  <c r="AT98" i="51"/>
  <c r="AQ98" i="51"/>
  <c r="DG98" i="51"/>
  <c r="DF98" i="51"/>
  <c r="AS98" i="51"/>
  <c r="DE98" i="51"/>
  <c r="AR98" i="51"/>
  <c r="AO98" i="51"/>
  <c r="DB98" i="51"/>
  <c r="AN98" i="51"/>
  <c r="AP98" i="51"/>
  <c r="DD98" i="51"/>
  <c r="DA98" i="51"/>
  <c r="AM98" i="51"/>
  <c r="CZ98" i="51"/>
  <c r="AL98" i="51"/>
  <c r="CU98" i="51"/>
  <c r="CT98" i="51"/>
  <c r="AG98" i="51"/>
  <c r="AF98" i="51"/>
  <c r="AD98" i="51"/>
  <c r="AC98" i="51"/>
  <c r="CR98" i="51"/>
  <c r="CQ98" i="51"/>
  <c r="CG97" i="51"/>
  <c r="BY97" i="51"/>
  <c r="BQ97" i="51"/>
  <c r="BI97" i="51"/>
  <c r="BA97" i="51"/>
  <c r="AS97" i="51"/>
  <c r="CF97" i="51"/>
  <c r="BX97" i="51"/>
  <c r="BP97" i="51"/>
  <c r="BH97" i="51"/>
  <c r="AZ97" i="51"/>
  <c r="AR97" i="51"/>
  <c r="AG97" i="51"/>
  <c r="EP97" i="51"/>
  <c r="EH97" i="51"/>
  <c r="DZ97" i="51"/>
  <c r="DR97" i="51"/>
  <c r="DJ97" i="51"/>
  <c r="DB97" i="51"/>
  <c r="EW97" i="51"/>
  <c r="EO97" i="51"/>
  <c r="EG97" i="51"/>
  <c r="DY97" i="51"/>
  <c r="DQ97" i="51"/>
  <c r="DI97" i="51"/>
  <c r="DA97" i="51"/>
  <c r="CE97" i="51"/>
  <c r="BW97" i="51"/>
  <c r="BO97" i="51"/>
  <c r="BG97" i="51"/>
  <c r="AY97" i="51"/>
  <c r="AQ97" i="51"/>
  <c r="AF97" i="51"/>
  <c r="EV97" i="51"/>
  <c r="EN97" i="51"/>
  <c r="EF97" i="51"/>
  <c r="DX97" i="51"/>
  <c r="DP97" i="51"/>
  <c r="DH97" i="51"/>
  <c r="CZ97" i="51"/>
  <c r="CD97" i="51"/>
  <c r="BV97" i="51"/>
  <c r="BN97" i="51"/>
  <c r="BF97" i="51"/>
  <c r="AX97" i="51"/>
  <c r="AP97" i="51"/>
  <c r="EU97" i="51"/>
  <c r="EM97" i="51"/>
  <c r="EE97" i="51"/>
  <c r="DW97" i="51"/>
  <c r="DO97" i="51"/>
  <c r="DG97" i="51"/>
  <c r="CC97" i="51"/>
  <c r="BU97" i="51"/>
  <c r="BM97" i="51"/>
  <c r="BE97" i="51"/>
  <c r="AW97" i="51"/>
  <c r="AO97" i="51"/>
  <c r="CB97" i="51"/>
  <c r="BT97" i="51"/>
  <c r="BL97" i="51"/>
  <c r="BD97" i="51"/>
  <c r="AV97" i="51"/>
  <c r="AN97" i="51"/>
  <c r="ET97" i="51"/>
  <c r="EL97" i="51"/>
  <c r="ED97" i="51"/>
  <c r="DV97" i="51"/>
  <c r="DN97" i="51"/>
  <c r="DF97" i="51"/>
  <c r="CU97" i="51"/>
  <c r="ES97" i="51"/>
  <c r="EK97" i="51"/>
  <c r="EC97" i="51"/>
  <c r="DU97" i="51"/>
  <c r="DM97" i="51"/>
  <c r="DE97" i="51"/>
  <c r="CT97" i="51"/>
  <c r="CI97" i="51"/>
  <c r="CA97" i="51"/>
  <c r="BS97" i="51"/>
  <c r="BK97" i="51"/>
  <c r="BC97" i="51"/>
  <c r="AU97" i="51"/>
  <c r="AM97" i="51"/>
  <c r="ER97" i="51"/>
  <c r="EJ97" i="51"/>
  <c r="EB97" i="51"/>
  <c r="DT97" i="51"/>
  <c r="DL97" i="51"/>
  <c r="DD97" i="51"/>
  <c r="CH97" i="51"/>
  <c r="BZ97" i="51"/>
  <c r="BR97" i="51"/>
  <c r="BJ97" i="51"/>
  <c r="BB97" i="51"/>
  <c r="AT97" i="51"/>
  <c r="AL97" i="51"/>
  <c r="EQ97" i="51"/>
  <c r="EI97" i="51"/>
  <c r="EA97" i="51"/>
  <c r="DS97" i="51"/>
  <c r="DK97" i="51"/>
  <c r="DC97" i="51"/>
  <c r="AD97" i="51"/>
  <c r="CR97" i="51"/>
  <c r="AC97" i="51"/>
  <c r="CQ97" i="51"/>
  <c r="C4" i="45"/>
  <c r="H16" i="6" l="1"/>
  <c r="H17" i="4"/>
  <c r="H16" i="4"/>
  <c r="H13" i="4"/>
  <c r="I9" i="53" s="1"/>
  <c r="G13" i="4"/>
  <c r="G10" i="4"/>
  <c r="H6" i="4"/>
  <c r="G9" i="53" s="1"/>
  <c r="H9" i="53" s="1"/>
  <c r="G6" i="4"/>
  <c r="H17" i="5"/>
  <c r="H16" i="5"/>
  <c r="H13" i="5"/>
  <c r="I10" i="53" s="1"/>
  <c r="G13" i="5"/>
  <c r="G10" i="5"/>
  <c r="H6" i="5"/>
  <c r="G10" i="53" s="1"/>
  <c r="H10" i="53" s="1"/>
  <c r="G6" i="5"/>
  <c r="AA7" i="53" l="1"/>
  <c r="H17" i="23"/>
  <c r="H16" i="23"/>
  <c r="H13" i="23"/>
  <c r="G13" i="23"/>
  <c r="G10" i="23"/>
  <c r="H6" i="23"/>
  <c r="G6" i="23"/>
  <c r="H17" i="22"/>
  <c r="H16" i="22"/>
  <c r="H13" i="22"/>
  <c r="G13" i="22"/>
  <c r="G10" i="22"/>
  <c r="H6" i="22"/>
  <c r="G6" i="22"/>
  <c r="H17" i="21"/>
  <c r="H16" i="21"/>
  <c r="H13" i="21"/>
  <c r="G13" i="21"/>
  <c r="G10" i="21"/>
  <c r="H6" i="21"/>
  <c r="G6" i="21"/>
  <c r="H17" i="20"/>
  <c r="H16" i="20"/>
  <c r="H13" i="20"/>
  <c r="G13" i="20"/>
  <c r="G10" i="20"/>
  <c r="H6" i="20"/>
  <c r="G6" i="20"/>
  <c r="H17" i="19"/>
  <c r="H16" i="19"/>
  <c r="H13" i="19"/>
  <c r="G13" i="19"/>
  <c r="G10" i="19"/>
  <c r="H6" i="19"/>
  <c r="G6" i="19"/>
  <c r="H17" i="18"/>
  <c r="H16" i="18"/>
  <c r="H13" i="18"/>
  <c r="G13" i="18"/>
  <c r="G10" i="18"/>
  <c r="H6" i="18"/>
  <c r="G6" i="18"/>
  <c r="H17" i="17"/>
  <c r="H16" i="17"/>
  <c r="H13" i="17"/>
  <c r="G13" i="17"/>
  <c r="G10" i="17"/>
  <c r="H6" i="17"/>
  <c r="G6" i="17"/>
  <c r="H17" i="16"/>
  <c r="H16" i="16"/>
  <c r="H13" i="16"/>
  <c r="G13" i="16"/>
  <c r="G10" i="16"/>
  <c r="H6" i="16"/>
  <c r="G6" i="16"/>
  <c r="H17" i="15"/>
  <c r="H16" i="15"/>
  <c r="H13" i="15"/>
  <c r="G13" i="15"/>
  <c r="G10" i="15"/>
  <c r="H6" i="15"/>
  <c r="G6" i="15"/>
  <c r="H17" i="14"/>
  <c r="H16" i="14"/>
  <c r="H13" i="14"/>
  <c r="G13" i="14"/>
  <c r="G10" i="14"/>
  <c r="H6" i="14"/>
  <c r="G6" i="14"/>
  <c r="H17" i="13"/>
  <c r="H16" i="13"/>
  <c r="H13" i="13"/>
  <c r="G13" i="13"/>
  <c r="G10" i="13"/>
  <c r="H6" i="13"/>
  <c r="G6" i="13"/>
  <c r="H17" i="12"/>
  <c r="H16" i="12"/>
  <c r="H13" i="12"/>
  <c r="G13" i="12"/>
  <c r="G10" i="12"/>
  <c r="H6" i="12"/>
  <c r="G6" i="12"/>
  <c r="H17" i="11"/>
  <c r="H16" i="11"/>
  <c r="H13" i="11"/>
  <c r="G13" i="11"/>
  <c r="G10" i="11"/>
  <c r="H6" i="11"/>
  <c r="G6" i="11"/>
  <c r="H17" i="10"/>
  <c r="H16" i="10"/>
  <c r="H13" i="10"/>
  <c r="G13" i="10"/>
  <c r="G10" i="10"/>
  <c r="H6" i="10"/>
  <c r="G6" i="10"/>
  <c r="H17" i="9"/>
  <c r="H16" i="9"/>
  <c r="H13" i="9"/>
  <c r="G13" i="9"/>
  <c r="G10" i="9"/>
  <c r="H6" i="9"/>
  <c r="G6" i="9"/>
  <c r="H17" i="8"/>
  <c r="H16" i="8"/>
  <c r="H13" i="8"/>
  <c r="G13" i="8"/>
  <c r="G10" i="8"/>
  <c r="H6" i="8"/>
  <c r="G6" i="8"/>
  <c r="H17" i="6"/>
  <c r="H13" i="6"/>
  <c r="G13" i="6"/>
  <c r="G10" i="6"/>
  <c r="H6" i="6"/>
  <c r="G6" i="6"/>
  <c r="G10" i="7" l="1"/>
  <c r="H17" i="7"/>
  <c r="H16" i="7"/>
  <c r="H13" i="7"/>
  <c r="G13" i="7"/>
  <c r="H6" i="7"/>
  <c r="G12" i="53" s="1"/>
  <c r="H12" i="53" s="1"/>
  <c r="G6" i="7"/>
  <c r="P52" i="7" l="1"/>
  <c r="K10" i="23" l="1"/>
  <c r="C10" i="23"/>
  <c r="K10" i="22"/>
  <c r="C10" i="22"/>
  <c r="K10" i="21"/>
  <c r="C10" i="21"/>
  <c r="K10" i="20"/>
  <c r="C10" i="20"/>
  <c r="K10" i="19"/>
  <c r="C10" i="19"/>
  <c r="K10" i="18"/>
  <c r="C10" i="18"/>
  <c r="K10" i="17"/>
  <c r="C10" i="17"/>
  <c r="K10" i="16"/>
  <c r="C10" i="16"/>
  <c r="K10" i="15"/>
  <c r="C10" i="15"/>
  <c r="K10" i="14"/>
  <c r="C10" i="14"/>
  <c r="K10" i="13"/>
  <c r="C10" i="13"/>
  <c r="K10" i="12"/>
  <c r="C10" i="12"/>
  <c r="K10" i="11"/>
  <c r="C10" i="11"/>
  <c r="K10" i="10"/>
  <c r="C10" i="10"/>
  <c r="K10" i="9"/>
  <c r="C10" i="9"/>
  <c r="K10" i="8"/>
  <c r="C10" i="8"/>
  <c r="K10" i="7"/>
  <c r="C10" i="7"/>
  <c r="K10" i="6"/>
  <c r="C10" i="6"/>
  <c r="K10" i="5"/>
  <c r="C10" i="5"/>
  <c r="K10" i="4"/>
  <c r="C10" i="4"/>
  <c r="AB54" i="23" l="1"/>
  <c r="M28" i="53" s="1"/>
  <c r="AA54" i="23"/>
  <c r="I28" i="53" s="1"/>
  <c r="Z54" i="23"/>
  <c r="S54" i="23"/>
  <c r="R54" i="23"/>
  <c r="Q54" i="23"/>
  <c r="Z52" i="23"/>
  <c r="J37" i="23"/>
  <c r="F37" i="23"/>
  <c r="B37" i="23"/>
  <c r="B30" i="23"/>
  <c r="J27" i="23"/>
  <c r="F27" i="23"/>
  <c r="B27" i="23"/>
  <c r="J26" i="23"/>
  <c r="F26" i="23"/>
  <c r="B26" i="23"/>
  <c r="K25" i="23"/>
  <c r="J51" i="23" s="1"/>
  <c r="K51" i="23" s="1"/>
  <c r="L51" i="23" s="1"/>
  <c r="B25" i="23"/>
  <c r="B46" i="23" s="1"/>
  <c r="L17" i="23"/>
  <c r="G23" i="45" s="1"/>
  <c r="D17" i="23"/>
  <c r="E23" i="45" s="1"/>
  <c r="L16" i="23"/>
  <c r="D23" i="45" s="1"/>
  <c r="D16" i="23"/>
  <c r="L13" i="23"/>
  <c r="K13" i="23"/>
  <c r="D13" i="23"/>
  <c r="D7" i="23"/>
  <c r="L6" i="23"/>
  <c r="K6" i="23"/>
  <c r="D6" i="23"/>
  <c r="C5" i="23"/>
  <c r="D5" i="23" s="1"/>
  <c r="AB54" i="22"/>
  <c r="M27" i="53" s="1"/>
  <c r="AA54" i="22"/>
  <c r="I27" i="53" s="1"/>
  <c r="Z54" i="22"/>
  <c r="S54" i="22"/>
  <c r="R54" i="22"/>
  <c r="Q54" i="22"/>
  <c r="Z52" i="22"/>
  <c r="J37" i="22"/>
  <c r="F37" i="22"/>
  <c r="B37" i="22"/>
  <c r="B30" i="22"/>
  <c r="J27" i="22"/>
  <c r="F27" i="22"/>
  <c r="F38" i="22" s="1"/>
  <c r="F40" i="22" s="1"/>
  <c r="H40" i="22" s="1"/>
  <c r="B27" i="22"/>
  <c r="J26" i="22"/>
  <c r="F26" i="22"/>
  <c r="B26" i="22"/>
  <c r="K25" i="22"/>
  <c r="J51" i="22" s="1"/>
  <c r="K51" i="22" s="1"/>
  <c r="L51" i="22" s="1"/>
  <c r="B25" i="22"/>
  <c r="B46" i="22" s="1"/>
  <c r="L17" i="22"/>
  <c r="G22" i="45" s="1"/>
  <c r="D17" i="22"/>
  <c r="E22" i="45" s="1"/>
  <c r="L16" i="22"/>
  <c r="D22" i="45" s="1"/>
  <c r="D16" i="22"/>
  <c r="L13" i="22"/>
  <c r="K13" i="22"/>
  <c r="D13" i="22"/>
  <c r="D7" i="22"/>
  <c r="L6" i="22"/>
  <c r="K6" i="22"/>
  <c r="D6" i="22"/>
  <c r="C5" i="22"/>
  <c r="D5" i="22" s="1"/>
  <c r="AB54" i="21"/>
  <c r="M26" i="53" s="1"/>
  <c r="AA54" i="21"/>
  <c r="I26" i="53" s="1"/>
  <c r="Z54" i="21"/>
  <c r="S54" i="21"/>
  <c r="R54" i="21"/>
  <c r="Q54" i="21"/>
  <c r="Z52" i="21"/>
  <c r="J37" i="21"/>
  <c r="F37" i="21"/>
  <c r="B37" i="21"/>
  <c r="B30" i="21"/>
  <c r="J27" i="21"/>
  <c r="F27" i="21"/>
  <c r="B27" i="21"/>
  <c r="J26" i="21"/>
  <c r="F26" i="21"/>
  <c r="B26" i="21"/>
  <c r="K25" i="21"/>
  <c r="J51" i="21" s="1"/>
  <c r="K51" i="21" s="1"/>
  <c r="L51" i="21" s="1"/>
  <c r="B25" i="21"/>
  <c r="B46" i="21" s="1"/>
  <c r="L17" i="21"/>
  <c r="G21" i="45" s="1"/>
  <c r="D17" i="21"/>
  <c r="E21" i="45" s="1"/>
  <c r="L16" i="21"/>
  <c r="D21" i="45" s="1"/>
  <c r="D16" i="21"/>
  <c r="B21" i="45" s="1"/>
  <c r="L13" i="21"/>
  <c r="K13" i="21"/>
  <c r="D13" i="21"/>
  <c r="D7" i="21"/>
  <c r="L6" i="21"/>
  <c r="K6" i="21"/>
  <c r="D6" i="21"/>
  <c r="C5" i="21"/>
  <c r="D5" i="21" s="1"/>
  <c r="AB54" i="20"/>
  <c r="M25" i="53" s="1"/>
  <c r="AA54" i="20"/>
  <c r="I25" i="53" s="1"/>
  <c r="Z54" i="20"/>
  <c r="S54" i="20"/>
  <c r="R54" i="20"/>
  <c r="Q54" i="20"/>
  <c r="Z52" i="20"/>
  <c r="J37" i="20"/>
  <c r="F37" i="20"/>
  <c r="B37" i="20"/>
  <c r="B30" i="20"/>
  <c r="J27" i="20"/>
  <c r="F27" i="20"/>
  <c r="B27" i="20"/>
  <c r="J26" i="20"/>
  <c r="F26" i="20"/>
  <c r="B26" i="20"/>
  <c r="K25" i="20"/>
  <c r="J51" i="20" s="1"/>
  <c r="K51" i="20" s="1"/>
  <c r="L51" i="20" s="1"/>
  <c r="B25" i="20"/>
  <c r="B46" i="20" s="1"/>
  <c r="L17" i="20"/>
  <c r="G20" i="45" s="1"/>
  <c r="D17" i="20"/>
  <c r="E20" i="45" s="1"/>
  <c r="L16" i="20"/>
  <c r="D20" i="45" s="1"/>
  <c r="D16" i="20"/>
  <c r="B20" i="45" s="1"/>
  <c r="L13" i="20"/>
  <c r="K13" i="20"/>
  <c r="D13" i="20"/>
  <c r="D7" i="20"/>
  <c r="L6" i="20"/>
  <c r="K6" i="20"/>
  <c r="D6" i="20"/>
  <c r="C5" i="20"/>
  <c r="D5" i="20" s="1"/>
  <c r="AB54" i="19"/>
  <c r="M24" i="53" s="1"/>
  <c r="AA54" i="19"/>
  <c r="I24" i="53" s="1"/>
  <c r="Z54" i="19"/>
  <c r="S54" i="19"/>
  <c r="R54" i="19"/>
  <c r="Q54" i="19"/>
  <c r="Z52" i="19"/>
  <c r="J37" i="19"/>
  <c r="F37" i="19"/>
  <c r="B37" i="19"/>
  <c r="B30" i="19"/>
  <c r="J27" i="19"/>
  <c r="F27" i="19"/>
  <c r="B27" i="19"/>
  <c r="J26" i="19"/>
  <c r="F26" i="19"/>
  <c r="B26" i="19"/>
  <c r="K25" i="19"/>
  <c r="J51" i="19" s="1"/>
  <c r="K51" i="19" s="1"/>
  <c r="L51" i="19" s="1"/>
  <c r="B25" i="19"/>
  <c r="B46" i="19" s="1"/>
  <c r="L17" i="19"/>
  <c r="G19" i="45" s="1"/>
  <c r="D17" i="19"/>
  <c r="E19" i="45" s="1"/>
  <c r="L16" i="19"/>
  <c r="D19" i="45" s="1"/>
  <c r="D16" i="19"/>
  <c r="B19" i="45" s="1"/>
  <c r="L13" i="19"/>
  <c r="K13" i="19"/>
  <c r="D13" i="19"/>
  <c r="D7" i="19"/>
  <c r="L6" i="19"/>
  <c r="K6" i="19"/>
  <c r="D6" i="19"/>
  <c r="C5" i="19"/>
  <c r="D5" i="19" s="1"/>
  <c r="AB54" i="18"/>
  <c r="M23" i="53" s="1"/>
  <c r="AA54" i="18"/>
  <c r="I23" i="53" s="1"/>
  <c r="Z54" i="18"/>
  <c r="S54" i="18"/>
  <c r="R54" i="18"/>
  <c r="Q54" i="18"/>
  <c r="Z52" i="18"/>
  <c r="J37" i="18"/>
  <c r="F37" i="18"/>
  <c r="B37" i="18"/>
  <c r="B30" i="18"/>
  <c r="J27" i="18"/>
  <c r="F27" i="18"/>
  <c r="B27" i="18"/>
  <c r="J26" i="18"/>
  <c r="F26" i="18"/>
  <c r="B26" i="18"/>
  <c r="B31" i="18" s="1"/>
  <c r="B33" i="18" s="1"/>
  <c r="C33" i="18" s="1"/>
  <c r="D33" i="18" s="1"/>
  <c r="K25" i="18"/>
  <c r="J51" i="18" s="1"/>
  <c r="K51" i="18" s="1"/>
  <c r="L51" i="18" s="1"/>
  <c r="B25" i="18"/>
  <c r="L17" i="18"/>
  <c r="G18" i="45" s="1"/>
  <c r="D17" i="18"/>
  <c r="E18" i="45" s="1"/>
  <c r="L16" i="18"/>
  <c r="D18" i="45" s="1"/>
  <c r="D16" i="18"/>
  <c r="B18" i="45" s="1"/>
  <c r="L13" i="18"/>
  <c r="K13" i="18"/>
  <c r="D13" i="18"/>
  <c r="D7" i="18"/>
  <c r="L6" i="18"/>
  <c r="K6" i="18"/>
  <c r="D6" i="18"/>
  <c r="C5" i="18"/>
  <c r="D5" i="18" s="1"/>
  <c r="AB54" i="17"/>
  <c r="M22" i="53" s="1"/>
  <c r="AA54" i="17"/>
  <c r="I22" i="53" s="1"/>
  <c r="Z54" i="17"/>
  <c r="S54" i="17"/>
  <c r="R54" i="17"/>
  <c r="Q54" i="17"/>
  <c r="Z52" i="17"/>
  <c r="J37" i="17"/>
  <c r="F37" i="17"/>
  <c r="B37" i="17"/>
  <c r="B30" i="17"/>
  <c r="J27" i="17"/>
  <c r="F27" i="17"/>
  <c r="B27" i="17"/>
  <c r="J26" i="17"/>
  <c r="F26" i="17"/>
  <c r="B26" i="17"/>
  <c r="K25" i="17"/>
  <c r="J51" i="17" s="1"/>
  <c r="K51" i="17" s="1"/>
  <c r="L51" i="17" s="1"/>
  <c r="B25" i="17"/>
  <c r="B46" i="17" s="1"/>
  <c r="L17" i="17"/>
  <c r="G17" i="45" s="1"/>
  <c r="D17" i="17"/>
  <c r="E17" i="45" s="1"/>
  <c r="L16" i="17"/>
  <c r="D17" i="45" s="1"/>
  <c r="D16" i="17"/>
  <c r="B17" i="45" s="1"/>
  <c r="L13" i="17"/>
  <c r="K13" i="17"/>
  <c r="D13" i="17"/>
  <c r="D7" i="17"/>
  <c r="L6" i="17"/>
  <c r="K6" i="17"/>
  <c r="D6" i="17"/>
  <c r="C5" i="17"/>
  <c r="D5" i="17" s="1"/>
  <c r="AB54" i="16"/>
  <c r="M21" i="53" s="1"/>
  <c r="AA54" i="16"/>
  <c r="I21" i="53" s="1"/>
  <c r="Z54" i="16"/>
  <c r="S54" i="16"/>
  <c r="R54" i="16"/>
  <c r="Q54" i="16"/>
  <c r="Z52" i="16"/>
  <c r="J37" i="16"/>
  <c r="F37" i="16"/>
  <c r="B37" i="16"/>
  <c r="B30" i="16"/>
  <c r="J27" i="16"/>
  <c r="F27" i="16"/>
  <c r="B27" i="16"/>
  <c r="J26" i="16"/>
  <c r="F26" i="16"/>
  <c r="B26" i="16"/>
  <c r="K25" i="16"/>
  <c r="J51" i="16" s="1"/>
  <c r="K51" i="16" s="1"/>
  <c r="L51" i="16" s="1"/>
  <c r="B25" i="16"/>
  <c r="B46" i="16" s="1"/>
  <c r="L17" i="16"/>
  <c r="G16" i="45" s="1"/>
  <c r="D17" i="16"/>
  <c r="E16" i="45" s="1"/>
  <c r="L16" i="16"/>
  <c r="D16" i="45" s="1"/>
  <c r="D16" i="16"/>
  <c r="B16" i="45" s="1"/>
  <c r="L13" i="16"/>
  <c r="K13" i="16"/>
  <c r="D13" i="16"/>
  <c r="D7" i="16"/>
  <c r="L6" i="16"/>
  <c r="K6" i="16"/>
  <c r="D6" i="16"/>
  <c r="C5" i="16"/>
  <c r="D5" i="16" s="1"/>
  <c r="AB54" i="15"/>
  <c r="M20" i="53" s="1"/>
  <c r="AA54" i="15"/>
  <c r="I20" i="53" s="1"/>
  <c r="Z54" i="15"/>
  <c r="S54" i="15"/>
  <c r="R54" i="15"/>
  <c r="Q54" i="15"/>
  <c r="Z52" i="15"/>
  <c r="J37" i="15"/>
  <c r="F37" i="15"/>
  <c r="B37" i="15"/>
  <c r="B30" i="15"/>
  <c r="J27" i="15"/>
  <c r="F27" i="15"/>
  <c r="F38" i="15" s="1"/>
  <c r="F40" i="15" s="1"/>
  <c r="H40" i="15" s="1"/>
  <c r="B27" i="15"/>
  <c r="J26" i="15"/>
  <c r="F26" i="15"/>
  <c r="B26" i="15"/>
  <c r="K25" i="15"/>
  <c r="J51" i="15" s="1"/>
  <c r="K51" i="15" s="1"/>
  <c r="L51" i="15" s="1"/>
  <c r="B25" i="15"/>
  <c r="B46" i="15" s="1"/>
  <c r="L17" i="15"/>
  <c r="G15" i="45" s="1"/>
  <c r="D17" i="15"/>
  <c r="E15" i="45" s="1"/>
  <c r="L16" i="15"/>
  <c r="D15" i="45" s="1"/>
  <c r="D16" i="15"/>
  <c r="B15" i="45" s="1"/>
  <c r="L13" i="15"/>
  <c r="K13" i="15"/>
  <c r="D13" i="15"/>
  <c r="D7" i="15"/>
  <c r="L6" i="15"/>
  <c r="K6" i="15"/>
  <c r="D6" i="15"/>
  <c r="C5" i="15"/>
  <c r="D5" i="15" s="1"/>
  <c r="AB54" i="14"/>
  <c r="M19" i="53" s="1"/>
  <c r="AA54" i="14"/>
  <c r="I19" i="53" s="1"/>
  <c r="Z54" i="14"/>
  <c r="S54" i="14"/>
  <c r="R54" i="14"/>
  <c r="Q54" i="14"/>
  <c r="Z52" i="14"/>
  <c r="J37" i="14"/>
  <c r="F37" i="14"/>
  <c r="B37" i="14"/>
  <c r="B30" i="14"/>
  <c r="J27" i="14"/>
  <c r="F27" i="14"/>
  <c r="B27" i="14"/>
  <c r="J26" i="14"/>
  <c r="F26" i="14"/>
  <c r="B26" i="14"/>
  <c r="K25" i="14"/>
  <c r="J51" i="14" s="1"/>
  <c r="K51" i="14" s="1"/>
  <c r="L51" i="14" s="1"/>
  <c r="B25" i="14"/>
  <c r="B46" i="14" s="1"/>
  <c r="L17" i="14"/>
  <c r="G14" i="45" s="1"/>
  <c r="D17" i="14"/>
  <c r="E14" i="45" s="1"/>
  <c r="L16" i="14"/>
  <c r="D14" i="45" s="1"/>
  <c r="D16" i="14"/>
  <c r="B14" i="45" s="1"/>
  <c r="L13" i="14"/>
  <c r="K13" i="14"/>
  <c r="D13" i="14"/>
  <c r="D7" i="14"/>
  <c r="L6" i="14"/>
  <c r="K6" i="14"/>
  <c r="D6" i="14"/>
  <c r="C5" i="14"/>
  <c r="D5" i="14" s="1"/>
  <c r="AB54" i="13"/>
  <c r="M18" i="53" s="1"/>
  <c r="AA54" i="13"/>
  <c r="I18" i="53" s="1"/>
  <c r="Z54" i="13"/>
  <c r="S54" i="13"/>
  <c r="R54" i="13"/>
  <c r="Q54" i="13"/>
  <c r="Z52" i="13"/>
  <c r="J37" i="13"/>
  <c r="F37" i="13"/>
  <c r="B37" i="13"/>
  <c r="B30" i="13"/>
  <c r="J27" i="13"/>
  <c r="F27" i="13"/>
  <c r="B27" i="13"/>
  <c r="J26" i="13"/>
  <c r="F26" i="13"/>
  <c r="B26" i="13"/>
  <c r="K25" i="13"/>
  <c r="J51" i="13" s="1"/>
  <c r="K51" i="13" s="1"/>
  <c r="L51" i="13" s="1"/>
  <c r="B25" i="13"/>
  <c r="L17" i="13"/>
  <c r="G13" i="45" s="1"/>
  <c r="D17" i="13"/>
  <c r="E13" i="45" s="1"/>
  <c r="L16" i="13"/>
  <c r="D13" i="45" s="1"/>
  <c r="D16" i="13"/>
  <c r="B13" i="45" s="1"/>
  <c r="L13" i="13"/>
  <c r="K13" i="13"/>
  <c r="D13" i="13"/>
  <c r="D7" i="13"/>
  <c r="L6" i="13"/>
  <c r="K6" i="13"/>
  <c r="D6" i="13"/>
  <c r="C5" i="13"/>
  <c r="D5" i="13" s="1"/>
  <c r="AB54" i="12"/>
  <c r="M17" i="53" s="1"/>
  <c r="AA54" i="12"/>
  <c r="I17" i="53" s="1"/>
  <c r="Z54" i="12"/>
  <c r="S54" i="12"/>
  <c r="R54" i="12"/>
  <c r="Q54" i="12"/>
  <c r="Z52" i="12"/>
  <c r="J37" i="12"/>
  <c r="F37" i="12"/>
  <c r="B37" i="12"/>
  <c r="B30" i="12"/>
  <c r="J27" i="12"/>
  <c r="F27" i="12"/>
  <c r="B27" i="12"/>
  <c r="J26" i="12"/>
  <c r="F26" i="12"/>
  <c r="B26" i="12"/>
  <c r="K25" i="12"/>
  <c r="J51" i="12" s="1"/>
  <c r="K51" i="12" s="1"/>
  <c r="L51" i="12" s="1"/>
  <c r="B25" i="12"/>
  <c r="B46" i="12" s="1"/>
  <c r="L17" i="12"/>
  <c r="G12" i="45" s="1"/>
  <c r="D17" i="12"/>
  <c r="E12" i="45" s="1"/>
  <c r="L16" i="12"/>
  <c r="D12" i="45" s="1"/>
  <c r="D16" i="12"/>
  <c r="B12" i="45" s="1"/>
  <c r="L13" i="12"/>
  <c r="K13" i="12"/>
  <c r="D13" i="12"/>
  <c r="D7" i="12"/>
  <c r="L6" i="12"/>
  <c r="K6" i="12"/>
  <c r="D6" i="12"/>
  <c r="C5" i="12"/>
  <c r="D5" i="12" s="1"/>
  <c r="AB54" i="11"/>
  <c r="M16" i="53" s="1"/>
  <c r="AA54" i="11"/>
  <c r="I16" i="53" s="1"/>
  <c r="Z54" i="11"/>
  <c r="S54" i="11"/>
  <c r="R54" i="11"/>
  <c r="Q54" i="11"/>
  <c r="Z52" i="11"/>
  <c r="J37" i="11"/>
  <c r="F37" i="11"/>
  <c r="B37" i="11"/>
  <c r="B30" i="11"/>
  <c r="J27" i="11"/>
  <c r="F27" i="11"/>
  <c r="B27" i="11"/>
  <c r="J26" i="11"/>
  <c r="F26" i="11"/>
  <c r="B26" i="11"/>
  <c r="K25" i="11"/>
  <c r="J51" i="11" s="1"/>
  <c r="K51" i="11" s="1"/>
  <c r="L51" i="11" s="1"/>
  <c r="B25" i="11"/>
  <c r="B46" i="11" s="1"/>
  <c r="L17" i="11"/>
  <c r="G11" i="45" s="1"/>
  <c r="D17" i="11"/>
  <c r="E11" i="45" s="1"/>
  <c r="L16" i="11"/>
  <c r="D11" i="45" s="1"/>
  <c r="D16" i="11"/>
  <c r="B11" i="45" s="1"/>
  <c r="L13" i="11"/>
  <c r="K13" i="11"/>
  <c r="D13" i="11"/>
  <c r="D7" i="11"/>
  <c r="L6" i="11"/>
  <c r="K6" i="11"/>
  <c r="D6" i="11"/>
  <c r="C5" i="11"/>
  <c r="D5" i="11" s="1"/>
  <c r="AB54" i="10"/>
  <c r="M15" i="53" s="1"/>
  <c r="AA54" i="10"/>
  <c r="I15" i="53" s="1"/>
  <c r="Z54" i="10"/>
  <c r="S54" i="10"/>
  <c r="R54" i="10"/>
  <c r="Q54" i="10"/>
  <c r="Z52" i="10"/>
  <c r="J37" i="10"/>
  <c r="F37" i="10"/>
  <c r="B37" i="10"/>
  <c r="B30" i="10"/>
  <c r="J27" i="10"/>
  <c r="F27" i="10"/>
  <c r="B27" i="10"/>
  <c r="J26" i="10"/>
  <c r="F26" i="10"/>
  <c r="B26" i="10"/>
  <c r="K25" i="10"/>
  <c r="J51" i="10" s="1"/>
  <c r="K51" i="10" s="1"/>
  <c r="L51" i="10" s="1"/>
  <c r="B25" i="10"/>
  <c r="B46" i="10" s="1"/>
  <c r="L17" i="10"/>
  <c r="G10" i="45" s="1"/>
  <c r="D17" i="10"/>
  <c r="E10" i="45" s="1"/>
  <c r="L16" i="10"/>
  <c r="D10" i="45" s="1"/>
  <c r="D16" i="10"/>
  <c r="B10" i="45" s="1"/>
  <c r="L13" i="10"/>
  <c r="K13" i="10"/>
  <c r="D13" i="10"/>
  <c r="D7" i="10"/>
  <c r="L6" i="10"/>
  <c r="K6" i="10"/>
  <c r="D6" i="10"/>
  <c r="C5" i="10"/>
  <c r="D5" i="10" s="1"/>
  <c r="AB54" i="9"/>
  <c r="M14" i="53" s="1"/>
  <c r="AA54" i="9"/>
  <c r="I14" i="53" s="1"/>
  <c r="Z54" i="9"/>
  <c r="S54" i="9"/>
  <c r="R54" i="9"/>
  <c r="Q54" i="9"/>
  <c r="Z52" i="9"/>
  <c r="J37" i="9"/>
  <c r="F37" i="9"/>
  <c r="B37" i="9"/>
  <c r="B30" i="9"/>
  <c r="J27" i="9"/>
  <c r="F27" i="9"/>
  <c r="B27" i="9"/>
  <c r="J26" i="9"/>
  <c r="F26" i="9"/>
  <c r="B26" i="9"/>
  <c r="K25" i="9"/>
  <c r="J51" i="9" s="1"/>
  <c r="K51" i="9" s="1"/>
  <c r="L51" i="9" s="1"/>
  <c r="B25" i="9"/>
  <c r="B46" i="9" s="1"/>
  <c r="L17" i="9"/>
  <c r="G9" i="45" s="1"/>
  <c r="D17" i="9"/>
  <c r="E9" i="45" s="1"/>
  <c r="L16" i="9"/>
  <c r="D9" i="45" s="1"/>
  <c r="D16" i="9"/>
  <c r="L13" i="9"/>
  <c r="K13" i="9"/>
  <c r="D13" i="9"/>
  <c r="D7" i="9"/>
  <c r="L6" i="9"/>
  <c r="K6" i="9"/>
  <c r="D6" i="9"/>
  <c r="C5" i="9"/>
  <c r="D5" i="9" s="1"/>
  <c r="AB54" i="8"/>
  <c r="M13" i="53" s="1"/>
  <c r="AA54" i="8"/>
  <c r="I13" i="53" s="1"/>
  <c r="Z54" i="8"/>
  <c r="S54" i="8"/>
  <c r="R54" i="8"/>
  <c r="Q54" i="8"/>
  <c r="Z52" i="8"/>
  <c r="J37" i="8"/>
  <c r="F37" i="8"/>
  <c r="B37" i="8"/>
  <c r="B30" i="8"/>
  <c r="J27" i="8"/>
  <c r="F27" i="8"/>
  <c r="B27" i="8"/>
  <c r="J26" i="8"/>
  <c r="F26" i="8"/>
  <c r="B26" i="8"/>
  <c r="K25" i="8"/>
  <c r="J51" i="8" s="1"/>
  <c r="K51" i="8" s="1"/>
  <c r="L51" i="8" s="1"/>
  <c r="B25" i="8"/>
  <c r="B46" i="8" s="1"/>
  <c r="L17" i="8"/>
  <c r="G8" i="45" s="1"/>
  <c r="D17" i="8"/>
  <c r="E8" i="45" s="1"/>
  <c r="L16" i="8"/>
  <c r="D8" i="45" s="1"/>
  <c r="D16" i="8"/>
  <c r="B8" i="45" s="1"/>
  <c r="L13" i="8"/>
  <c r="K13" i="8"/>
  <c r="D13" i="8"/>
  <c r="D7" i="8"/>
  <c r="L6" i="8"/>
  <c r="K6" i="8"/>
  <c r="D6" i="8"/>
  <c r="C5" i="8"/>
  <c r="D5" i="8" s="1"/>
  <c r="I12" i="53"/>
  <c r="Z52" i="7"/>
  <c r="J37" i="7"/>
  <c r="F37" i="7"/>
  <c r="B37" i="7"/>
  <c r="B30" i="7"/>
  <c r="J27" i="7"/>
  <c r="F27" i="7"/>
  <c r="B27" i="7"/>
  <c r="J26" i="7"/>
  <c r="F26" i="7"/>
  <c r="B26" i="7"/>
  <c r="K25" i="7"/>
  <c r="J51" i="7" s="1"/>
  <c r="K51" i="7" s="1"/>
  <c r="L51" i="7" s="1"/>
  <c r="B25" i="7"/>
  <c r="B46" i="7" s="1"/>
  <c r="L17" i="7"/>
  <c r="G7" i="45" s="1"/>
  <c r="D17" i="7"/>
  <c r="E7" i="45" s="1"/>
  <c r="L16" i="7"/>
  <c r="D7" i="45" s="1"/>
  <c r="D16" i="7"/>
  <c r="B7" i="45" s="1"/>
  <c r="L13" i="7"/>
  <c r="M12" i="53" s="1"/>
  <c r="K13" i="7"/>
  <c r="D13" i="7"/>
  <c r="D7" i="7"/>
  <c r="L6" i="7"/>
  <c r="K12" i="53" s="1"/>
  <c r="L12" i="53" s="1"/>
  <c r="K6" i="7"/>
  <c r="D6" i="7"/>
  <c r="C5" i="7"/>
  <c r="D5" i="7" s="1"/>
  <c r="Z52" i="6"/>
  <c r="J37" i="6"/>
  <c r="F37" i="6"/>
  <c r="B37" i="6"/>
  <c r="B30" i="6"/>
  <c r="J27" i="6"/>
  <c r="F27" i="6"/>
  <c r="B27" i="6"/>
  <c r="J26" i="6"/>
  <c r="F26" i="6"/>
  <c r="B26" i="6"/>
  <c r="K25" i="6"/>
  <c r="J51" i="6" s="1"/>
  <c r="K51" i="6" s="1"/>
  <c r="L51" i="6" s="1"/>
  <c r="L17" i="6"/>
  <c r="G6" i="45" s="1"/>
  <c r="D17" i="6"/>
  <c r="E6" i="45" s="1"/>
  <c r="L16" i="6"/>
  <c r="D6" i="45" s="1"/>
  <c r="L13" i="6"/>
  <c r="K13" i="6"/>
  <c r="D13" i="6"/>
  <c r="D7" i="6"/>
  <c r="L6" i="6"/>
  <c r="K6" i="6"/>
  <c r="D6" i="6"/>
  <c r="C5" i="6"/>
  <c r="D5" i="6" s="1"/>
  <c r="Z52" i="5"/>
  <c r="J37" i="5"/>
  <c r="F37" i="5"/>
  <c r="B37" i="5"/>
  <c r="B30" i="5"/>
  <c r="J27" i="5"/>
  <c r="F27" i="5"/>
  <c r="B27" i="5"/>
  <c r="J26" i="5"/>
  <c r="F26" i="5"/>
  <c r="B26" i="5"/>
  <c r="K25" i="5"/>
  <c r="J51" i="5" s="1"/>
  <c r="K51" i="5" s="1"/>
  <c r="L51" i="5" s="1"/>
  <c r="B25" i="5"/>
  <c r="J25" i="5" s="1"/>
  <c r="K13" i="5"/>
  <c r="L6" i="5"/>
  <c r="K10" i="53" s="1"/>
  <c r="L10" i="53" s="1"/>
  <c r="K6" i="5"/>
  <c r="C5" i="5"/>
  <c r="J38" i="11" l="1"/>
  <c r="D25" i="13"/>
  <c r="B31" i="15"/>
  <c r="B33" i="15" s="1"/>
  <c r="C33" i="15" s="1"/>
  <c r="D33" i="15" s="1"/>
  <c r="F25" i="23"/>
  <c r="D25" i="21"/>
  <c r="J25" i="23"/>
  <c r="J46" i="23" s="1"/>
  <c r="B31" i="10"/>
  <c r="J38" i="13"/>
  <c r="J40" i="13" s="1"/>
  <c r="L40" i="13" s="1"/>
  <c r="D25" i="18"/>
  <c r="B31" i="20"/>
  <c r="B33" i="20" s="1"/>
  <c r="C33" i="20" s="1"/>
  <c r="D33" i="20" s="1"/>
  <c r="B31" i="21"/>
  <c r="H22" i="19"/>
  <c r="Y86" i="44" s="1"/>
  <c r="L22" i="19"/>
  <c r="Y87" i="44" s="1"/>
  <c r="AA85" i="44"/>
  <c r="L22" i="23"/>
  <c r="Y103" i="44" s="1"/>
  <c r="H22" i="23"/>
  <c r="Y102" i="44" s="1"/>
  <c r="AA101" i="44"/>
  <c r="L22" i="16"/>
  <c r="Y75" i="44" s="1"/>
  <c r="H22" i="16"/>
  <c r="Y74" i="44" s="1"/>
  <c r="AA73" i="44"/>
  <c r="D25" i="9"/>
  <c r="B9" i="45"/>
  <c r="FN49" i="51"/>
  <c r="FN57" i="51"/>
  <c r="FN48" i="51"/>
  <c r="FN56" i="51"/>
  <c r="FN47" i="51"/>
  <c r="FN55" i="51"/>
  <c r="FN46" i="51"/>
  <c r="FN54" i="51"/>
  <c r="FN45" i="51"/>
  <c r="FN53" i="51"/>
  <c r="FN50" i="51"/>
  <c r="FN51" i="51"/>
  <c r="FN64" i="51"/>
  <c r="FN62" i="51"/>
  <c r="FN44" i="51"/>
  <c r="FN61" i="51"/>
  <c r="FN58" i="51"/>
  <c r="FN67" i="51"/>
  <c r="FN60" i="51"/>
  <c r="FN63" i="51"/>
  <c r="FN52" i="51"/>
  <c r="FN69" i="51"/>
  <c r="FN65" i="51"/>
  <c r="FN79" i="51"/>
  <c r="FN77" i="51"/>
  <c r="FN59" i="51"/>
  <c r="FN68" i="51"/>
  <c r="FN76" i="51"/>
  <c r="FN72" i="51"/>
  <c r="FN87" i="51"/>
  <c r="FN66" i="51"/>
  <c r="FN75" i="51"/>
  <c r="FN78" i="51"/>
  <c r="FN85" i="51"/>
  <c r="FN84" i="51"/>
  <c r="FN81" i="51"/>
  <c r="FN80" i="51"/>
  <c r="FN93" i="51"/>
  <c r="FN82" i="51"/>
  <c r="FN92" i="51"/>
  <c r="FN71" i="51"/>
  <c r="FN91" i="51"/>
  <c r="FN74" i="51"/>
  <c r="FN89" i="51"/>
  <c r="FN83" i="51"/>
  <c r="FN86" i="51"/>
  <c r="FN90" i="51"/>
  <c r="FN88" i="51"/>
  <c r="FN73" i="51"/>
  <c r="FN43" i="51"/>
  <c r="FN70" i="51"/>
  <c r="FN94" i="51"/>
  <c r="FO50" i="51"/>
  <c r="FO49" i="51"/>
  <c r="FO57" i="51"/>
  <c r="FO48" i="51"/>
  <c r="FO56" i="51"/>
  <c r="FO47" i="51"/>
  <c r="FO55" i="51"/>
  <c r="FO46" i="51"/>
  <c r="FO54" i="51"/>
  <c r="FO51" i="51"/>
  <c r="FO65" i="51"/>
  <c r="FO52" i="51"/>
  <c r="FO63" i="51"/>
  <c r="FO53" i="51"/>
  <c r="FO62" i="51"/>
  <c r="FO59" i="51"/>
  <c r="FO61" i="51"/>
  <c r="FO68" i="51"/>
  <c r="FO44" i="51"/>
  <c r="FO60" i="51"/>
  <c r="FO45" i="51"/>
  <c r="FO70" i="51"/>
  <c r="FO80" i="51"/>
  <c r="FO66" i="51"/>
  <c r="FO78" i="51"/>
  <c r="FO77" i="51"/>
  <c r="FO67" i="51"/>
  <c r="FO72" i="51"/>
  <c r="FO74" i="51"/>
  <c r="FO76" i="51"/>
  <c r="FO79" i="51"/>
  <c r="FO73" i="51"/>
  <c r="FO86" i="51"/>
  <c r="FO69" i="51"/>
  <c r="FO75" i="51"/>
  <c r="FO85" i="51"/>
  <c r="FO64" i="51"/>
  <c r="FO71" i="51"/>
  <c r="FO82" i="51"/>
  <c r="FO93" i="51"/>
  <c r="FO92" i="51"/>
  <c r="FO84" i="51"/>
  <c r="FO90" i="51"/>
  <c r="FO88" i="51"/>
  <c r="FO94" i="51"/>
  <c r="FO58" i="51"/>
  <c r="FO81" i="51"/>
  <c r="FO87" i="51"/>
  <c r="FO83" i="51"/>
  <c r="FO91" i="51"/>
  <c r="FO43" i="51"/>
  <c r="FO89" i="51"/>
  <c r="B31" i="11"/>
  <c r="B33" i="11" s="1"/>
  <c r="C33" i="11" s="1"/>
  <c r="D33" i="11" s="1"/>
  <c r="H22" i="13"/>
  <c r="Y62" i="44" s="1"/>
  <c r="L22" i="13"/>
  <c r="Y63" i="44" s="1"/>
  <c r="AA61" i="44"/>
  <c r="L22" i="14"/>
  <c r="Y67" i="44" s="1"/>
  <c r="H22" i="14"/>
  <c r="Y66" i="44" s="1"/>
  <c r="AA65" i="44"/>
  <c r="J38" i="14"/>
  <c r="J40" i="14" s="1"/>
  <c r="L40" i="14" s="1"/>
  <c r="Q111" i="15"/>
  <c r="GK48" i="51"/>
  <c r="GK56" i="51"/>
  <c r="GK47" i="51"/>
  <c r="GK55" i="51"/>
  <c r="GK46" i="51"/>
  <c r="GK54" i="51"/>
  <c r="GK45" i="51"/>
  <c r="GK53" i="51"/>
  <c r="GK44" i="51"/>
  <c r="GK52" i="51"/>
  <c r="GK49" i="51"/>
  <c r="GK63" i="51"/>
  <c r="GK61" i="51"/>
  <c r="GK60" i="51"/>
  <c r="GK57" i="51"/>
  <c r="GK59" i="51"/>
  <c r="GK65" i="51"/>
  <c r="GK66" i="51"/>
  <c r="GK58" i="51"/>
  <c r="GK50" i="51"/>
  <c r="GK71" i="51"/>
  <c r="GK51" i="51"/>
  <c r="GK68" i="51"/>
  <c r="GK64" i="51"/>
  <c r="GK73" i="51"/>
  <c r="GK78" i="51"/>
  <c r="GK62" i="51"/>
  <c r="GK70" i="51"/>
  <c r="GK76" i="51"/>
  <c r="GK75" i="51"/>
  <c r="GK67" i="51"/>
  <c r="GK69" i="51"/>
  <c r="GK74" i="51"/>
  <c r="GK86" i="51"/>
  <c r="GK84" i="51"/>
  <c r="GK83" i="51"/>
  <c r="GK92" i="51"/>
  <c r="GK72" i="51"/>
  <c r="GK87" i="51"/>
  <c r="GK91" i="51"/>
  <c r="GK80" i="51"/>
  <c r="GK90" i="51"/>
  <c r="GK82" i="51"/>
  <c r="GK88" i="51"/>
  <c r="GK81" i="51"/>
  <c r="GK89" i="51"/>
  <c r="GK77" i="51"/>
  <c r="GK93" i="51"/>
  <c r="GK94" i="51"/>
  <c r="GK79" i="51"/>
  <c r="GK85" i="51"/>
  <c r="GK43" i="51"/>
  <c r="B38" i="16"/>
  <c r="Q111" i="16"/>
  <c r="GN51" i="51"/>
  <c r="GN50" i="51"/>
  <c r="GN49" i="51"/>
  <c r="GN48" i="51"/>
  <c r="GN47" i="51"/>
  <c r="GN44" i="51"/>
  <c r="GN52" i="51"/>
  <c r="GN56" i="51"/>
  <c r="GN58" i="51"/>
  <c r="GN53" i="51"/>
  <c r="GN54" i="51"/>
  <c r="GN64" i="51"/>
  <c r="GN63" i="51"/>
  <c r="GN55" i="51"/>
  <c r="GN60" i="51"/>
  <c r="GN69" i="51"/>
  <c r="GN59" i="51"/>
  <c r="GN62" i="51"/>
  <c r="GN65" i="51"/>
  <c r="GN67" i="51"/>
  <c r="GN46" i="51"/>
  <c r="GN66" i="51"/>
  <c r="GN57" i="51"/>
  <c r="GN71" i="51"/>
  <c r="GN68" i="51"/>
  <c r="GN61" i="51"/>
  <c r="GN72" i="51"/>
  <c r="GN73" i="51"/>
  <c r="GN78" i="51"/>
  <c r="GN75" i="51"/>
  <c r="GN81" i="51"/>
  <c r="GN70" i="51"/>
  <c r="GN74" i="51"/>
  <c r="GN77" i="51"/>
  <c r="GN79" i="51"/>
  <c r="GN80" i="51"/>
  <c r="GN83" i="51"/>
  <c r="GN45" i="51"/>
  <c r="GN85" i="51"/>
  <c r="GN84" i="51"/>
  <c r="GN91" i="51"/>
  <c r="GN82" i="51"/>
  <c r="GN89" i="51"/>
  <c r="GN43" i="51"/>
  <c r="GN94" i="51"/>
  <c r="GN76" i="51"/>
  <c r="GN88" i="51"/>
  <c r="GN87" i="51"/>
  <c r="GN93" i="51"/>
  <c r="GN86" i="51"/>
  <c r="GN92" i="51"/>
  <c r="GN90" i="51"/>
  <c r="R111" i="17"/>
  <c r="GR47" i="51"/>
  <c r="GR55" i="51"/>
  <c r="GR46" i="51"/>
  <c r="GR54" i="51"/>
  <c r="GR45" i="51"/>
  <c r="GR53" i="51"/>
  <c r="GR44" i="51"/>
  <c r="GR52" i="51"/>
  <c r="GR51" i="51"/>
  <c r="GR48" i="51"/>
  <c r="GR62" i="51"/>
  <c r="GR60" i="51"/>
  <c r="GR59" i="51"/>
  <c r="GR57" i="51"/>
  <c r="GR73" i="51"/>
  <c r="GR49" i="51"/>
  <c r="GR71" i="51"/>
  <c r="GR70" i="51"/>
  <c r="GR65" i="51"/>
  <c r="GR67" i="51"/>
  <c r="GR58" i="51"/>
  <c r="GR77" i="51"/>
  <c r="GR56" i="51"/>
  <c r="GR68" i="51"/>
  <c r="GR75" i="51"/>
  <c r="GR61" i="51"/>
  <c r="GR64" i="51"/>
  <c r="GR74" i="51"/>
  <c r="GR85" i="51"/>
  <c r="GR69" i="51"/>
  <c r="GR83" i="51"/>
  <c r="GR82" i="51"/>
  <c r="GR91" i="51"/>
  <c r="GR50" i="51"/>
  <c r="GR66" i="51"/>
  <c r="GR81" i="51"/>
  <c r="GR90" i="51"/>
  <c r="GR72" i="51"/>
  <c r="GR79" i="51"/>
  <c r="GR89" i="51"/>
  <c r="GR76" i="51"/>
  <c r="GR63" i="51"/>
  <c r="GR84" i="51"/>
  <c r="GR93" i="51"/>
  <c r="GR86" i="51"/>
  <c r="GR80" i="51"/>
  <c r="GR78" i="51"/>
  <c r="GR88" i="51"/>
  <c r="GR92" i="51"/>
  <c r="GR43" i="51"/>
  <c r="GR87" i="51"/>
  <c r="GR94" i="51"/>
  <c r="GU50" i="51"/>
  <c r="GU49" i="51"/>
  <c r="GU48" i="51"/>
  <c r="GU56" i="51"/>
  <c r="GU47" i="51"/>
  <c r="GU46" i="51"/>
  <c r="GU54" i="51"/>
  <c r="GU51" i="51"/>
  <c r="GU57" i="51"/>
  <c r="GU65" i="51"/>
  <c r="GU52" i="51"/>
  <c r="GU55" i="51"/>
  <c r="GU63" i="51"/>
  <c r="GU53" i="51"/>
  <c r="GU62" i="51"/>
  <c r="GU59" i="51"/>
  <c r="GU61" i="51"/>
  <c r="GU68" i="51"/>
  <c r="GU45" i="51"/>
  <c r="GU66" i="51"/>
  <c r="GU60" i="51"/>
  <c r="GU64" i="51"/>
  <c r="GU70" i="51"/>
  <c r="GU72" i="51"/>
  <c r="GU80" i="51"/>
  <c r="GU78" i="51"/>
  <c r="GU77" i="51"/>
  <c r="GU67" i="51"/>
  <c r="GU74" i="51"/>
  <c r="GU58" i="51"/>
  <c r="GU73" i="51"/>
  <c r="GU76" i="51"/>
  <c r="GU69" i="51"/>
  <c r="GU75" i="51"/>
  <c r="GU71" i="51"/>
  <c r="GU82" i="51"/>
  <c r="GU86" i="51"/>
  <c r="GU87" i="51"/>
  <c r="GU92" i="51"/>
  <c r="GU44" i="51"/>
  <c r="GU84" i="51"/>
  <c r="GU90" i="51"/>
  <c r="GU88" i="51"/>
  <c r="GU81" i="51"/>
  <c r="GU94" i="51"/>
  <c r="GU83" i="51"/>
  <c r="GU91" i="51"/>
  <c r="GU89" i="51"/>
  <c r="GU79" i="51"/>
  <c r="GU85" i="51"/>
  <c r="GU43" i="51"/>
  <c r="GU93" i="51"/>
  <c r="Q111" i="19"/>
  <c r="GW44" i="51"/>
  <c r="GW52" i="51"/>
  <c r="GW51" i="51"/>
  <c r="GW50" i="51"/>
  <c r="GW49" i="51"/>
  <c r="GW48" i="51"/>
  <c r="GW45" i="51"/>
  <c r="GW53" i="51"/>
  <c r="GW59" i="51"/>
  <c r="GW57" i="51"/>
  <c r="GW47" i="51"/>
  <c r="GW56" i="51"/>
  <c r="GW61" i="51"/>
  <c r="GW58" i="51"/>
  <c r="GW70" i="51"/>
  <c r="GW65" i="51"/>
  <c r="GW68" i="51"/>
  <c r="GW67" i="51"/>
  <c r="GW63" i="51"/>
  <c r="GW55" i="51"/>
  <c r="GW74" i="51"/>
  <c r="GW69" i="51"/>
  <c r="GW72" i="51"/>
  <c r="GW73" i="51"/>
  <c r="GW71" i="51"/>
  <c r="GW76" i="51"/>
  <c r="GW82" i="51"/>
  <c r="GW66" i="51"/>
  <c r="GW64" i="51"/>
  <c r="GW78" i="51"/>
  <c r="GW79" i="51"/>
  <c r="GW80" i="51"/>
  <c r="GW54" i="51"/>
  <c r="GW60" i="51"/>
  <c r="GW84" i="51"/>
  <c r="GW83" i="51"/>
  <c r="GW88" i="51"/>
  <c r="GW81" i="51"/>
  <c r="GW92" i="51"/>
  <c r="GW77" i="51"/>
  <c r="GW90" i="51"/>
  <c r="GW85" i="51"/>
  <c r="GW75" i="51"/>
  <c r="GW46" i="51"/>
  <c r="GW91" i="51"/>
  <c r="GW93" i="51"/>
  <c r="GW62" i="51"/>
  <c r="GW89" i="51"/>
  <c r="GW43" i="51"/>
  <c r="GW87" i="51"/>
  <c r="GW86" i="51"/>
  <c r="GW94" i="51"/>
  <c r="F38" i="20"/>
  <c r="F40" i="20" s="1"/>
  <c r="H40" i="20" s="1"/>
  <c r="HA48" i="51"/>
  <c r="HA56" i="51"/>
  <c r="HA47" i="51"/>
  <c r="HA55" i="51"/>
  <c r="HA46" i="51"/>
  <c r="HA54" i="51"/>
  <c r="HA45" i="51"/>
  <c r="HA53" i="51"/>
  <c r="HA44" i="51"/>
  <c r="HA52" i="51"/>
  <c r="HA49" i="51"/>
  <c r="HA50" i="51"/>
  <c r="HA63" i="51"/>
  <c r="HA61" i="51"/>
  <c r="HA60" i="51"/>
  <c r="HA57" i="51"/>
  <c r="HA51" i="51"/>
  <c r="HA59" i="51"/>
  <c r="HA64" i="51"/>
  <c r="HA66" i="51"/>
  <c r="HA58" i="51"/>
  <c r="HA65" i="51"/>
  <c r="HA68" i="51"/>
  <c r="HA71" i="51"/>
  <c r="HA78" i="51"/>
  <c r="HA70" i="51"/>
  <c r="HA76" i="51"/>
  <c r="HA75" i="51"/>
  <c r="HA62" i="51"/>
  <c r="HA73" i="51"/>
  <c r="HA72" i="51"/>
  <c r="HA74" i="51"/>
  <c r="HA86" i="51"/>
  <c r="HA84" i="51"/>
  <c r="HA83" i="51"/>
  <c r="HA69" i="51"/>
  <c r="HA92" i="51"/>
  <c r="HA80" i="51"/>
  <c r="HA91" i="51"/>
  <c r="HA85" i="51"/>
  <c r="HA90" i="51"/>
  <c r="HA67" i="51"/>
  <c r="HA82" i="51"/>
  <c r="HA88" i="51"/>
  <c r="HA79" i="51"/>
  <c r="HA81" i="51"/>
  <c r="HA93" i="51"/>
  <c r="HA77" i="51"/>
  <c r="HA43" i="51"/>
  <c r="HA94" i="51"/>
  <c r="HA89" i="51"/>
  <c r="HA87" i="51"/>
  <c r="R111" i="21"/>
  <c r="HD51" i="51"/>
  <c r="HD50" i="51"/>
  <c r="HD49" i="51"/>
  <c r="HD48" i="51"/>
  <c r="HD47" i="51"/>
  <c r="HD44" i="51"/>
  <c r="HD52" i="51"/>
  <c r="HD45" i="51"/>
  <c r="HD46" i="51"/>
  <c r="HD55" i="51"/>
  <c r="HD58" i="51"/>
  <c r="HD56" i="51"/>
  <c r="HD64" i="51"/>
  <c r="HD63" i="51"/>
  <c r="HD53" i="51"/>
  <c r="HD54" i="51"/>
  <c r="HD60" i="51"/>
  <c r="HD65" i="51"/>
  <c r="HD69" i="51"/>
  <c r="HD59" i="51"/>
  <c r="HD62" i="51"/>
  <c r="HD67" i="51"/>
  <c r="HD66" i="51"/>
  <c r="HD57" i="51"/>
  <c r="HD68" i="51"/>
  <c r="HD72" i="51"/>
  <c r="HD71" i="51"/>
  <c r="HD78" i="51"/>
  <c r="HD61" i="51"/>
  <c r="HD75" i="51"/>
  <c r="HD81" i="51"/>
  <c r="HD74" i="51"/>
  <c r="HD77" i="51"/>
  <c r="HD70" i="51"/>
  <c r="HD83" i="51"/>
  <c r="HD84" i="51"/>
  <c r="HD86" i="51"/>
  <c r="HD87" i="51"/>
  <c r="HD80" i="51"/>
  <c r="HD73" i="51"/>
  <c r="HD85" i="51"/>
  <c r="HD91" i="51"/>
  <c r="HD82" i="51"/>
  <c r="HD89" i="51"/>
  <c r="HD79" i="51"/>
  <c r="HD90" i="51"/>
  <c r="HD43" i="51"/>
  <c r="HD88" i="51"/>
  <c r="HD92" i="51"/>
  <c r="HD94" i="51"/>
  <c r="HD76" i="51"/>
  <c r="HD93" i="51"/>
  <c r="B38" i="22"/>
  <c r="B40" i="22" s="1"/>
  <c r="C40" i="22" s="1"/>
  <c r="D40" i="22" s="1"/>
  <c r="Q111" i="22"/>
  <c r="HF45" i="51"/>
  <c r="HF53" i="51"/>
  <c r="HF44" i="51"/>
  <c r="HF52" i="51"/>
  <c r="HF51" i="51"/>
  <c r="HF50" i="51"/>
  <c r="HF49" i="51"/>
  <c r="HF46" i="51"/>
  <c r="HF54" i="51"/>
  <c r="HF48" i="51"/>
  <c r="HF60" i="51"/>
  <c r="HF55" i="51"/>
  <c r="HF58" i="51"/>
  <c r="HF57" i="51"/>
  <c r="HF62" i="51"/>
  <c r="HF47" i="51"/>
  <c r="HF71" i="51"/>
  <c r="HF65" i="51"/>
  <c r="HF69" i="51"/>
  <c r="HF59" i="51"/>
  <c r="HF64" i="51"/>
  <c r="HF68" i="51"/>
  <c r="HF61" i="51"/>
  <c r="HF75" i="51"/>
  <c r="HF72" i="51"/>
  <c r="HF67" i="51"/>
  <c r="HF73" i="51"/>
  <c r="HF66" i="51"/>
  <c r="HF77" i="51"/>
  <c r="HF78" i="51"/>
  <c r="HF83" i="51"/>
  <c r="HF81" i="51"/>
  <c r="HF74" i="51"/>
  <c r="HF79" i="51"/>
  <c r="HF80" i="51"/>
  <c r="HF76" i="51"/>
  <c r="HF89" i="51"/>
  <c r="HF88" i="51"/>
  <c r="HF84" i="51"/>
  <c r="HF85" i="51"/>
  <c r="HF91" i="51"/>
  <c r="HF56" i="51"/>
  <c r="HF70" i="51"/>
  <c r="HF82" i="51"/>
  <c r="HF90" i="51"/>
  <c r="HF87" i="51"/>
  <c r="HF94" i="51"/>
  <c r="HF63" i="51"/>
  <c r="HF93" i="51"/>
  <c r="HF86" i="51"/>
  <c r="HF92" i="51"/>
  <c r="HF43" i="51"/>
  <c r="GX45" i="51"/>
  <c r="GX53" i="51"/>
  <c r="GX44" i="51"/>
  <c r="GX52" i="51"/>
  <c r="GX51" i="51"/>
  <c r="GX50" i="51"/>
  <c r="GX49" i="51"/>
  <c r="GX46" i="51"/>
  <c r="GX54" i="51"/>
  <c r="GX60" i="51"/>
  <c r="GX58" i="51"/>
  <c r="GX57" i="51"/>
  <c r="GX48" i="51"/>
  <c r="GX62" i="51"/>
  <c r="GX55" i="51"/>
  <c r="GX71" i="51"/>
  <c r="GX61" i="51"/>
  <c r="GX69" i="51"/>
  <c r="GX56" i="51"/>
  <c r="GX65" i="51"/>
  <c r="GX68" i="51"/>
  <c r="GX75" i="51"/>
  <c r="GX66" i="51"/>
  <c r="GX47" i="51"/>
  <c r="GX72" i="51"/>
  <c r="GX77" i="51"/>
  <c r="GX63" i="51"/>
  <c r="GX83" i="51"/>
  <c r="GX76" i="51"/>
  <c r="GX81" i="51"/>
  <c r="GX59" i="51"/>
  <c r="GX67" i="51"/>
  <c r="GX85" i="51"/>
  <c r="GX89" i="51"/>
  <c r="GX88" i="51"/>
  <c r="GX70" i="51"/>
  <c r="GX79" i="51"/>
  <c r="GX86" i="51"/>
  <c r="GX87" i="51"/>
  <c r="GX64" i="51"/>
  <c r="GX78" i="51"/>
  <c r="GX84" i="51"/>
  <c r="GX91" i="51"/>
  <c r="GX74" i="51"/>
  <c r="GX80" i="51"/>
  <c r="GX94" i="51"/>
  <c r="GX90" i="51"/>
  <c r="GX92" i="51"/>
  <c r="GX93" i="51"/>
  <c r="GX82" i="51"/>
  <c r="GX73" i="51"/>
  <c r="GX43" i="51"/>
  <c r="H22" i="9"/>
  <c r="Y46" i="44" s="1"/>
  <c r="L22" i="9"/>
  <c r="Y47" i="44" s="1"/>
  <c r="AA45" i="44"/>
  <c r="R111" i="15"/>
  <c r="GL49" i="51"/>
  <c r="GL48" i="51"/>
  <c r="GL56" i="51"/>
  <c r="GL47" i="51"/>
  <c r="GL55" i="51"/>
  <c r="GL46" i="51"/>
  <c r="GL54" i="51"/>
  <c r="GL45" i="51"/>
  <c r="GL53" i="51"/>
  <c r="GL50" i="51"/>
  <c r="GL64" i="51"/>
  <c r="GL62" i="51"/>
  <c r="GL61" i="51"/>
  <c r="GL51" i="51"/>
  <c r="GL58" i="51"/>
  <c r="GL63" i="51"/>
  <c r="GL67" i="51"/>
  <c r="GL44" i="51"/>
  <c r="GL60" i="51"/>
  <c r="GL69" i="51"/>
  <c r="GL71" i="51"/>
  <c r="GL72" i="51"/>
  <c r="GL79" i="51"/>
  <c r="GL65" i="51"/>
  <c r="GL77" i="51"/>
  <c r="GL70" i="51"/>
  <c r="GL76" i="51"/>
  <c r="GL52" i="51"/>
  <c r="GL57" i="51"/>
  <c r="GL87" i="51"/>
  <c r="GL59" i="51"/>
  <c r="GL80" i="51"/>
  <c r="GL85" i="51"/>
  <c r="GL84" i="51"/>
  <c r="GL75" i="51"/>
  <c r="GL78" i="51"/>
  <c r="GL81" i="51"/>
  <c r="GL66" i="51"/>
  <c r="GL73" i="51"/>
  <c r="GL93" i="51"/>
  <c r="GL86" i="51"/>
  <c r="GL92" i="51"/>
  <c r="GL74" i="51"/>
  <c r="GL83" i="51"/>
  <c r="GL91" i="51"/>
  <c r="GL89" i="51"/>
  <c r="GL68" i="51"/>
  <c r="GL43" i="51"/>
  <c r="GL82" i="51"/>
  <c r="GL94" i="51"/>
  <c r="GL90" i="51"/>
  <c r="GL88" i="51"/>
  <c r="S111" i="17"/>
  <c r="GS48" i="51"/>
  <c r="GS56" i="51"/>
  <c r="GS47" i="51"/>
  <c r="GS55" i="51"/>
  <c r="GS46" i="51"/>
  <c r="GS54" i="51"/>
  <c r="GS45" i="51"/>
  <c r="GS53" i="51"/>
  <c r="GS44" i="51"/>
  <c r="GS52" i="51"/>
  <c r="GS49" i="51"/>
  <c r="GS63" i="51"/>
  <c r="GS61" i="51"/>
  <c r="GS60" i="51"/>
  <c r="GS50" i="51"/>
  <c r="GS57" i="51"/>
  <c r="GS66" i="51"/>
  <c r="GS64" i="51"/>
  <c r="GS71" i="51"/>
  <c r="GS58" i="51"/>
  <c r="GS68" i="51"/>
  <c r="GS69" i="51"/>
  <c r="GS78" i="51"/>
  <c r="GS59" i="51"/>
  <c r="GS76" i="51"/>
  <c r="GS75" i="51"/>
  <c r="GS70" i="51"/>
  <c r="GS72" i="51"/>
  <c r="GS79" i="51"/>
  <c r="GS80" i="51"/>
  <c r="GS86" i="51"/>
  <c r="GS51" i="51"/>
  <c r="GS65" i="51"/>
  <c r="GS67" i="51"/>
  <c r="GS84" i="51"/>
  <c r="GS83" i="51"/>
  <c r="GS82" i="51"/>
  <c r="GS87" i="51"/>
  <c r="GS92" i="51"/>
  <c r="GS91" i="51"/>
  <c r="GS73" i="51"/>
  <c r="GS81" i="51"/>
  <c r="GS90" i="51"/>
  <c r="GS85" i="51"/>
  <c r="GS88" i="51"/>
  <c r="GS62" i="51"/>
  <c r="GS74" i="51"/>
  <c r="GS93" i="51"/>
  <c r="GS77" i="51"/>
  <c r="GS89" i="51"/>
  <c r="GS94" i="51"/>
  <c r="GS43" i="51"/>
  <c r="L22" i="7"/>
  <c r="Y39" i="44" s="1"/>
  <c r="H22" i="7"/>
  <c r="Y38" i="44" s="1"/>
  <c r="AA37" i="44"/>
  <c r="L22" i="8"/>
  <c r="Y43" i="44" s="1"/>
  <c r="H22" i="8"/>
  <c r="Y42" i="44" s="1"/>
  <c r="AA41" i="44"/>
  <c r="J38" i="8"/>
  <c r="Q111" i="9"/>
  <c r="FS46" i="51"/>
  <c r="FS54" i="51"/>
  <c r="FS45" i="51"/>
  <c r="FS53" i="51"/>
  <c r="FS44" i="51"/>
  <c r="FS52" i="51"/>
  <c r="FS51" i="51"/>
  <c r="FS50" i="51"/>
  <c r="FS47" i="51"/>
  <c r="FS61" i="51"/>
  <c r="FS59" i="51"/>
  <c r="FS58" i="51"/>
  <c r="FS49" i="51"/>
  <c r="FS55" i="51"/>
  <c r="FS57" i="51"/>
  <c r="FS63" i="51"/>
  <c r="FS62" i="51"/>
  <c r="FS65" i="51"/>
  <c r="FS66" i="51"/>
  <c r="FS72" i="51"/>
  <c r="FS70" i="51"/>
  <c r="FS69" i="51"/>
  <c r="FS48" i="51"/>
  <c r="FS67" i="51"/>
  <c r="FS76" i="51"/>
  <c r="FS64" i="51"/>
  <c r="FS74" i="51"/>
  <c r="FS56" i="51"/>
  <c r="FS78" i="51"/>
  <c r="FS77" i="51"/>
  <c r="FS84" i="51"/>
  <c r="FS82" i="51"/>
  <c r="FS60" i="51"/>
  <c r="FS79" i="51"/>
  <c r="FS81" i="51"/>
  <c r="FS90" i="51"/>
  <c r="FS83" i="51"/>
  <c r="FS87" i="51"/>
  <c r="FS89" i="51"/>
  <c r="FS68" i="51"/>
  <c r="FS80" i="51"/>
  <c r="FS86" i="51"/>
  <c r="FS88" i="51"/>
  <c r="FS73" i="51"/>
  <c r="FS85" i="51"/>
  <c r="FS75" i="51"/>
  <c r="FS92" i="51"/>
  <c r="FS43" i="51"/>
  <c r="FS94" i="51"/>
  <c r="FS71" i="51"/>
  <c r="FS93" i="51"/>
  <c r="FS91" i="51"/>
  <c r="L22" i="11"/>
  <c r="Y55" i="44" s="1"/>
  <c r="H22" i="11"/>
  <c r="Y54" i="44" s="1"/>
  <c r="AA53" i="44"/>
  <c r="Q111" i="12"/>
  <c r="GB47" i="51"/>
  <c r="GB55" i="51"/>
  <c r="GB46" i="51"/>
  <c r="GB54" i="51"/>
  <c r="GB45" i="51"/>
  <c r="GB53" i="51"/>
  <c r="GB44" i="51"/>
  <c r="GB52" i="51"/>
  <c r="GB51" i="51"/>
  <c r="GB48" i="51"/>
  <c r="GB62" i="51"/>
  <c r="GB56" i="51"/>
  <c r="GB60" i="51"/>
  <c r="GB59" i="51"/>
  <c r="GB49" i="51"/>
  <c r="GB57" i="51"/>
  <c r="GB65" i="51"/>
  <c r="GB66" i="51"/>
  <c r="GB73" i="51"/>
  <c r="GB50" i="51"/>
  <c r="GB63" i="51"/>
  <c r="GB71" i="51"/>
  <c r="GB70" i="51"/>
  <c r="GB67" i="51"/>
  <c r="GB72" i="51"/>
  <c r="GB77" i="51"/>
  <c r="GB68" i="51"/>
  <c r="GB75" i="51"/>
  <c r="GB74" i="51"/>
  <c r="GB64" i="51"/>
  <c r="GB85" i="51"/>
  <c r="GB79" i="51"/>
  <c r="GB83" i="51"/>
  <c r="GB82" i="51"/>
  <c r="GB69" i="51"/>
  <c r="GB58" i="51"/>
  <c r="GB76" i="51"/>
  <c r="GB91" i="51"/>
  <c r="GB78" i="51"/>
  <c r="GB81" i="51"/>
  <c r="GB86" i="51"/>
  <c r="GB87" i="51"/>
  <c r="GB90" i="51"/>
  <c r="GB89" i="51"/>
  <c r="GB80" i="51"/>
  <c r="GB61" i="51"/>
  <c r="GB88" i="51"/>
  <c r="GB92" i="51"/>
  <c r="GB93" i="51"/>
  <c r="GB43" i="51"/>
  <c r="GB84" i="51"/>
  <c r="GB94" i="51"/>
  <c r="Q111" i="13"/>
  <c r="GE50" i="51"/>
  <c r="GE49" i="51"/>
  <c r="GE48" i="51"/>
  <c r="GE56" i="51"/>
  <c r="GE47" i="51"/>
  <c r="GE55" i="51"/>
  <c r="GE46" i="51"/>
  <c r="GE54" i="51"/>
  <c r="GE51" i="51"/>
  <c r="GE44" i="51"/>
  <c r="GE57" i="51"/>
  <c r="GE65" i="51"/>
  <c r="GE63" i="51"/>
  <c r="GE62" i="51"/>
  <c r="GE52" i="51"/>
  <c r="GE59" i="51"/>
  <c r="GE45" i="51"/>
  <c r="GE61" i="51"/>
  <c r="GE68" i="51"/>
  <c r="GE53" i="51"/>
  <c r="GE60" i="51"/>
  <c r="GE66" i="51"/>
  <c r="GE70" i="51"/>
  <c r="GE80" i="51"/>
  <c r="GE72" i="51"/>
  <c r="GE78" i="51"/>
  <c r="GE73" i="51"/>
  <c r="GE77" i="51"/>
  <c r="GE64" i="51"/>
  <c r="GE67" i="51"/>
  <c r="GE74" i="51"/>
  <c r="GE76" i="51"/>
  <c r="GE71" i="51"/>
  <c r="GE75" i="51"/>
  <c r="GE85" i="51"/>
  <c r="GE58" i="51"/>
  <c r="GE82" i="51"/>
  <c r="GE93" i="51"/>
  <c r="GE92" i="51"/>
  <c r="GE79" i="51"/>
  <c r="GE84" i="51"/>
  <c r="GE90" i="51"/>
  <c r="GE69" i="51"/>
  <c r="GE88" i="51"/>
  <c r="GE83" i="51"/>
  <c r="GE94" i="51"/>
  <c r="GE87" i="51"/>
  <c r="GE86" i="51"/>
  <c r="GE81" i="51"/>
  <c r="GE91" i="51"/>
  <c r="GE89" i="51"/>
  <c r="GE43" i="51"/>
  <c r="R111" i="14"/>
  <c r="GI46" i="51"/>
  <c r="GI54" i="51"/>
  <c r="GI45" i="51"/>
  <c r="GI53" i="51"/>
  <c r="GI44" i="51"/>
  <c r="GI52" i="51"/>
  <c r="GI51" i="51"/>
  <c r="GI50" i="51"/>
  <c r="GI47" i="51"/>
  <c r="GI61" i="51"/>
  <c r="GI49" i="51"/>
  <c r="GI59" i="51"/>
  <c r="GI48" i="51"/>
  <c r="GI58" i="51"/>
  <c r="GI56" i="51"/>
  <c r="GI62" i="51"/>
  <c r="GI72" i="51"/>
  <c r="GI64" i="51"/>
  <c r="GI70" i="51"/>
  <c r="GI57" i="51"/>
  <c r="GI69" i="51"/>
  <c r="GI63" i="51"/>
  <c r="GI65" i="51"/>
  <c r="GI66" i="51"/>
  <c r="GI67" i="51"/>
  <c r="GI76" i="51"/>
  <c r="GI74" i="51"/>
  <c r="GI55" i="51"/>
  <c r="GI78" i="51"/>
  <c r="GI68" i="51"/>
  <c r="GI77" i="51"/>
  <c r="GI84" i="51"/>
  <c r="GI82" i="51"/>
  <c r="GI71" i="51"/>
  <c r="GI73" i="51"/>
  <c r="GI81" i="51"/>
  <c r="GI60" i="51"/>
  <c r="GI90" i="51"/>
  <c r="GI80" i="51"/>
  <c r="GI83" i="51"/>
  <c r="GI89" i="51"/>
  <c r="GI75" i="51"/>
  <c r="GI88" i="51"/>
  <c r="GI79" i="51"/>
  <c r="GI85" i="51"/>
  <c r="GI87" i="51"/>
  <c r="GI43" i="51"/>
  <c r="GI94" i="51"/>
  <c r="GI86" i="51"/>
  <c r="GI91" i="51"/>
  <c r="GI92" i="51"/>
  <c r="GI93" i="51"/>
  <c r="S111" i="15"/>
  <c r="GM50" i="51"/>
  <c r="GM49" i="51"/>
  <c r="GM48" i="51"/>
  <c r="GM56" i="51"/>
  <c r="GM47" i="51"/>
  <c r="GM55" i="51"/>
  <c r="GM46" i="51"/>
  <c r="GM54" i="51"/>
  <c r="GM51" i="51"/>
  <c r="GM52" i="51"/>
  <c r="GM57" i="51"/>
  <c r="GM65" i="51"/>
  <c r="GM44" i="51"/>
  <c r="GM63" i="51"/>
  <c r="GM45" i="51"/>
  <c r="GM62" i="51"/>
  <c r="GM59" i="51"/>
  <c r="GM68" i="51"/>
  <c r="GM66" i="51"/>
  <c r="GM58" i="51"/>
  <c r="GM70" i="51"/>
  <c r="GM80" i="51"/>
  <c r="GM60" i="51"/>
  <c r="GM67" i="51"/>
  <c r="GM73" i="51"/>
  <c r="GM78" i="51"/>
  <c r="GM77" i="51"/>
  <c r="GM74" i="51"/>
  <c r="GM61" i="51"/>
  <c r="GM64" i="51"/>
  <c r="GM72" i="51"/>
  <c r="GM79" i="51"/>
  <c r="GM85" i="51"/>
  <c r="GM53" i="51"/>
  <c r="GM82" i="51"/>
  <c r="GM84" i="51"/>
  <c r="GM93" i="51"/>
  <c r="GM76" i="51"/>
  <c r="GM86" i="51"/>
  <c r="GM87" i="51"/>
  <c r="GM92" i="51"/>
  <c r="GM90" i="51"/>
  <c r="GM88" i="51"/>
  <c r="GM91" i="51"/>
  <c r="GM94" i="51"/>
  <c r="GM69" i="51"/>
  <c r="GM75" i="51"/>
  <c r="GM83" i="51"/>
  <c r="GM71" i="51"/>
  <c r="GM89" i="51"/>
  <c r="GM81" i="51"/>
  <c r="GM43" i="51"/>
  <c r="GP45" i="51"/>
  <c r="GP53" i="51"/>
  <c r="GP44" i="51"/>
  <c r="GP52" i="51"/>
  <c r="GP51" i="51"/>
  <c r="GP50" i="51"/>
  <c r="GP49" i="51"/>
  <c r="GP46" i="51"/>
  <c r="GP54" i="51"/>
  <c r="GP55" i="51"/>
  <c r="GP60" i="51"/>
  <c r="GP56" i="51"/>
  <c r="GP58" i="51"/>
  <c r="GP57" i="51"/>
  <c r="GP62" i="51"/>
  <c r="GP71" i="51"/>
  <c r="GP63" i="51"/>
  <c r="GP69" i="51"/>
  <c r="GP59" i="51"/>
  <c r="GP68" i="51"/>
  <c r="GP47" i="51"/>
  <c r="GP61" i="51"/>
  <c r="GP75" i="51"/>
  <c r="GP64" i="51"/>
  <c r="GP65" i="51"/>
  <c r="GP67" i="51"/>
  <c r="GP66" i="51"/>
  <c r="GP77" i="51"/>
  <c r="GP78" i="51"/>
  <c r="GP83" i="51"/>
  <c r="GP81" i="51"/>
  <c r="GP70" i="51"/>
  <c r="GP72" i="51"/>
  <c r="GP74" i="51"/>
  <c r="GP73" i="51"/>
  <c r="GP76" i="51"/>
  <c r="GP48" i="51"/>
  <c r="GP89" i="51"/>
  <c r="GP79" i="51"/>
  <c r="GP88" i="51"/>
  <c r="GP84" i="51"/>
  <c r="GP85" i="51"/>
  <c r="GP80" i="51"/>
  <c r="GP91" i="51"/>
  <c r="GP86" i="51"/>
  <c r="GP90" i="51"/>
  <c r="GP94" i="51"/>
  <c r="GP82" i="51"/>
  <c r="GP87" i="51"/>
  <c r="GP93" i="51"/>
  <c r="GP43" i="51"/>
  <c r="GP92" i="51"/>
  <c r="S111" i="19"/>
  <c r="GY46" i="51"/>
  <c r="GY54" i="51"/>
  <c r="GY45" i="51"/>
  <c r="GY53" i="51"/>
  <c r="GY44" i="51"/>
  <c r="GY52" i="51"/>
  <c r="GY51" i="51"/>
  <c r="GY50" i="51"/>
  <c r="GY47" i="51"/>
  <c r="GY56" i="51"/>
  <c r="GY61" i="51"/>
  <c r="GY59" i="51"/>
  <c r="GY58" i="51"/>
  <c r="GY49" i="51"/>
  <c r="GY55" i="51"/>
  <c r="GY62" i="51"/>
  <c r="GY63" i="51"/>
  <c r="GY72" i="51"/>
  <c r="GY70" i="51"/>
  <c r="GY57" i="51"/>
  <c r="GY69" i="51"/>
  <c r="GY64" i="51"/>
  <c r="GY66" i="51"/>
  <c r="GY67" i="51"/>
  <c r="GY76" i="51"/>
  <c r="GY48" i="51"/>
  <c r="GY74" i="51"/>
  <c r="GY78" i="51"/>
  <c r="GY77" i="51"/>
  <c r="GY84" i="51"/>
  <c r="GY73" i="51"/>
  <c r="GY82" i="51"/>
  <c r="GY65" i="51"/>
  <c r="GY81" i="51"/>
  <c r="GY80" i="51"/>
  <c r="GY90" i="51"/>
  <c r="GY60" i="51"/>
  <c r="GY83" i="51"/>
  <c r="GY85" i="51"/>
  <c r="GY89" i="51"/>
  <c r="GY88" i="51"/>
  <c r="GY68" i="51"/>
  <c r="GY75" i="51"/>
  <c r="GY87" i="51"/>
  <c r="GY86" i="51"/>
  <c r="GY43" i="51"/>
  <c r="GY93" i="51"/>
  <c r="GY94" i="51"/>
  <c r="GY91" i="51"/>
  <c r="GY71" i="51"/>
  <c r="GY79" i="51"/>
  <c r="GY92" i="51"/>
  <c r="F25" i="22"/>
  <c r="HH47" i="51"/>
  <c r="HH55" i="51"/>
  <c r="HH46" i="51"/>
  <c r="HH54" i="51"/>
  <c r="HH45" i="51"/>
  <c r="HH53" i="51"/>
  <c r="HH44" i="51"/>
  <c r="HH52" i="51"/>
  <c r="HH51" i="51"/>
  <c r="HH48" i="51"/>
  <c r="HH62" i="51"/>
  <c r="HH60" i="51"/>
  <c r="HH59" i="51"/>
  <c r="HH56" i="51"/>
  <c r="HH57" i="51"/>
  <c r="HH73" i="51"/>
  <c r="HH71" i="51"/>
  <c r="HH70" i="51"/>
  <c r="HH50" i="51"/>
  <c r="HH63" i="51"/>
  <c r="HH67" i="51"/>
  <c r="HH77" i="51"/>
  <c r="HH68" i="51"/>
  <c r="HH75" i="51"/>
  <c r="HH65" i="51"/>
  <c r="HH72" i="51"/>
  <c r="HH74" i="51"/>
  <c r="HH85" i="51"/>
  <c r="HH83" i="51"/>
  <c r="HH61" i="51"/>
  <c r="HH82" i="51"/>
  <c r="HH64" i="51"/>
  <c r="HH69" i="51"/>
  <c r="HH76" i="51"/>
  <c r="HH91" i="51"/>
  <c r="HH78" i="51"/>
  <c r="HH79" i="51"/>
  <c r="HH81" i="51"/>
  <c r="HH90" i="51"/>
  <c r="HH58" i="51"/>
  <c r="HH89" i="51"/>
  <c r="HH49" i="51"/>
  <c r="HH80" i="51"/>
  <c r="HH88" i="51"/>
  <c r="HH84" i="51"/>
  <c r="HH87" i="51"/>
  <c r="HH86" i="51"/>
  <c r="HH92" i="51"/>
  <c r="HH43" i="51"/>
  <c r="HH94" i="51"/>
  <c r="HH66" i="51"/>
  <c r="HH93" i="51"/>
  <c r="Q111" i="23"/>
  <c r="HI48" i="51"/>
  <c r="HI56" i="51"/>
  <c r="HI47" i="51"/>
  <c r="HI55" i="51"/>
  <c r="HI46" i="51"/>
  <c r="HI54" i="51"/>
  <c r="HI45" i="51"/>
  <c r="HI53" i="51"/>
  <c r="HI44" i="51"/>
  <c r="HI52" i="51"/>
  <c r="HI49" i="51"/>
  <c r="HI63" i="51"/>
  <c r="HI50" i="51"/>
  <c r="HI61" i="51"/>
  <c r="HI51" i="51"/>
  <c r="HI60" i="51"/>
  <c r="HI57" i="51"/>
  <c r="HI66" i="51"/>
  <c r="HI58" i="51"/>
  <c r="HI64" i="51"/>
  <c r="HI68" i="51"/>
  <c r="HI62" i="51"/>
  <c r="HI69" i="51"/>
  <c r="HI78" i="51"/>
  <c r="HI76" i="51"/>
  <c r="HI75" i="51"/>
  <c r="HI59" i="51"/>
  <c r="HI70" i="51"/>
  <c r="HI71" i="51"/>
  <c r="HI86" i="51"/>
  <c r="HI84" i="51"/>
  <c r="HI72" i="51"/>
  <c r="HI83" i="51"/>
  <c r="HI67" i="51"/>
  <c r="HI73" i="51"/>
  <c r="HI79" i="51"/>
  <c r="HI80" i="51"/>
  <c r="HI82" i="51"/>
  <c r="HI85" i="51"/>
  <c r="HI92" i="51"/>
  <c r="HI65" i="51"/>
  <c r="HI77" i="51"/>
  <c r="HI91" i="51"/>
  <c r="HI81" i="51"/>
  <c r="HI90" i="51"/>
  <c r="HI88" i="51"/>
  <c r="HI87" i="51"/>
  <c r="HI74" i="51"/>
  <c r="HI94" i="51"/>
  <c r="HI43" i="51"/>
  <c r="HI93" i="51"/>
  <c r="HI89" i="51"/>
  <c r="S111" i="20"/>
  <c r="HB49" i="51"/>
  <c r="HB48" i="51"/>
  <c r="HB56" i="51"/>
  <c r="HB47" i="51"/>
  <c r="HB55" i="51"/>
  <c r="HB46" i="51"/>
  <c r="HB54" i="51"/>
  <c r="HB45" i="51"/>
  <c r="HB53" i="51"/>
  <c r="HB50" i="51"/>
  <c r="HB64" i="51"/>
  <c r="HB51" i="51"/>
  <c r="HB62" i="51"/>
  <c r="HB52" i="51"/>
  <c r="HB61" i="51"/>
  <c r="HB58" i="51"/>
  <c r="HB44" i="51"/>
  <c r="HB67" i="51"/>
  <c r="HB63" i="51"/>
  <c r="HB60" i="51"/>
  <c r="HB69" i="51"/>
  <c r="HB79" i="51"/>
  <c r="HB57" i="51"/>
  <c r="HB77" i="51"/>
  <c r="HB70" i="51"/>
  <c r="HB76" i="51"/>
  <c r="HB72" i="51"/>
  <c r="HB71" i="51"/>
  <c r="HB80" i="51"/>
  <c r="HB87" i="51"/>
  <c r="HB85" i="51"/>
  <c r="HB66" i="51"/>
  <c r="HB73" i="51"/>
  <c r="HB84" i="51"/>
  <c r="HB75" i="51"/>
  <c r="HB78" i="51"/>
  <c r="HB81" i="51"/>
  <c r="HB65" i="51"/>
  <c r="HB93" i="51"/>
  <c r="HB59" i="51"/>
  <c r="HB92" i="51"/>
  <c r="HB83" i="51"/>
  <c r="HB91" i="51"/>
  <c r="HB89" i="51"/>
  <c r="HB74" i="51"/>
  <c r="HB88" i="51"/>
  <c r="HB68" i="51"/>
  <c r="HB86" i="51"/>
  <c r="HB43" i="51"/>
  <c r="HB82" i="51"/>
  <c r="HB90" i="51"/>
  <c r="HB94" i="51"/>
  <c r="S111" i="21"/>
  <c r="HE44" i="51"/>
  <c r="HE52" i="51"/>
  <c r="HE51" i="51"/>
  <c r="HE50" i="51"/>
  <c r="HE49" i="51"/>
  <c r="HE48" i="51"/>
  <c r="HE45" i="51"/>
  <c r="HE53" i="51"/>
  <c r="HE47" i="51"/>
  <c r="HE59" i="51"/>
  <c r="HE57" i="51"/>
  <c r="HE56" i="51"/>
  <c r="HE61" i="51"/>
  <c r="HE60" i="51"/>
  <c r="HE70" i="51"/>
  <c r="HE54" i="51"/>
  <c r="HE55" i="51"/>
  <c r="HE64" i="51"/>
  <c r="HE68" i="51"/>
  <c r="HE62" i="51"/>
  <c r="HE63" i="51"/>
  <c r="HE67" i="51"/>
  <c r="HE46" i="51"/>
  <c r="HE74" i="51"/>
  <c r="HE65" i="51"/>
  <c r="HE73" i="51"/>
  <c r="HE58" i="51"/>
  <c r="HE69" i="51"/>
  <c r="HE76" i="51"/>
  <c r="HE75" i="51"/>
  <c r="HE82" i="51"/>
  <c r="HE72" i="51"/>
  <c r="HE79" i="51"/>
  <c r="HE80" i="51"/>
  <c r="HE77" i="51"/>
  <c r="HE84" i="51"/>
  <c r="HE71" i="51"/>
  <c r="HE78" i="51"/>
  <c r="HE81" i="51"/>
  <c r="HE88" i="51"/>
  <c r="HE66" i="51"/>
  <c r="HE86" i="51"/>
  <c r="HE87" i="51"/>
  <c r="HE83" i="51"/>
  <c r="HE92" i="51"/>
  <c r="HE90" i="51"/>
  <c r="HE43" i="51"/>
  <c r="HE93" i="51"/>
  <c r="HE85" i="51"/>
  <c r="HE91" i="51"/>
  <c r="HE89" i="51"/>
  <c r="HE94" i="51"/>
  <c r="HG46" i="51"/>
  <c r="HG54" i="51"/>
  <c r="HG45" i="51"/>
  <c r="HG53" i="51"/>
  <c r="HG44" i="51"/>
  <c r="HG52" i="51"/>
  <c r="HG51" i="51"/>
  <c r="HG50" i="51"/>
  <c r="HG47" i="51"/>
  <c r="HG49" i="51"/>
  <c r="HG61" i="51"/>
  <c r="HG59" i="51"/>
  <c r="HG55" i="51"/>
  <c r="HG58" i="51"/>
  <c r="HG72" i="51"/>
  <c r="HG48" i="51"/>
  <c r="HG70" i="51"/>
  <c r="HG65" i="51"/>
  <c r="HG69" i="51"/>
  <c r="HG56" i="51"/>
  <c r="HG66" i="51"/>
  <c r="HG64" i="51"/>
  <c r="HG76" i="51"/>
  <c r="HG63" i="51"/>
  <c r="HG74" i="51"/>
  <c r="HG57" i="51"/>
  <c r="HG78" i="51"/>
  <c r="HG60" i="51"/>
  <c r="HG84" i="51"/>
  <c r="HG71" i="51"/>
  <c r="HG82" i="51"/>
  <c r="HG81" i="51"/>
  <c r="HG62" i="51"/>
  <c r="HG68" i="51"/>
  <c r="HG75" i="51"/>
  <c r="HG77" i="51"/>
  <c r="HG79" i="51"/>
  <c r="HG90" i="51"/>
  <c r="HG89" i="51"/>
  <c r="HG88" i="51"/>
  <c r="HG86" i="51"/>
  <c r="HG87" i="51"/>
  <c r="HG73" i="51"/>
  <c r="HG91" i="51"/>
  <c r="HG85" i="51"/>
  <c r="HG92" i="51"/>
  <c r="HG43" i="51"/>
  <c r="HG67" i="51"/>
  <c r="HG80" i="51"/>
  <c r="HG94" i="51"/>
  <c r="HG83" i="51"/>
  <c r="HG93" i="51"/>
  <c r="J38" i="7"/>
  <c r="J40" i="7" s="1"/>
  <c r="L40" i="7" s="1"/>
  <c r="B38" i="8"/>
  <c r="B40" i="8" s="1"/>
  <c r="C40" i="8" s="1"/>
  <c r="D40" i="8" s="1"/>
  <c r="Q111" i="8"/>
  <c r="FP51" i="51"/>
  <c r="FP50" i="51"/>
  <c r="FP49" i="51"/>
  <c r="FP57" i="51"/>
  <c r="FP48" i="51"/>
  <c r="FP47" i="51"/>
  <c r="FP55" i="51"/>
  <c r="FP44" i="51"/>
  <c r="FP52" i="51"/>
  <c r="FP58" i="51"/>
  <c r="FP66" i="51"/>
  <c r="FP64" i="51"/>
  <c r="FP63" i="51"/>
  <c r="FP45" i="51"/>
  <c r="FP46" i="51"/>
  <c r="FP60" i="51"/>
  <c r="FP56" i="51"/>
  <c r="FP69" i="51"/>
  <c r="FP67" i="51"/>
  <c r="FP59" i="51"/>
  <c r="FP62" i="51"/>
  <c r="FP65" i="51"/>
  <c r="FP71" i="51"/>
  <c r="FP70" i="51"/>
  <c r="FP79" i="51"/>
  <c r="FP78" i="51"/>
  <c r="FP73" i="51"/>
  <c r="FP75" i="51"/>
  <c r="FP81" i="51"/>
  <c r="FP68" i="51"/>
  <c r="FP74" i="51"/>
  <c r="FP77" i="51"/>
  <c r="FP80" i="51"/>
  <c r="FP83" i="51"/>
  <c r="FP53" i="51"/>
  <c r="FP82" i="51"/>
  <c r="FP85" i="51"/>
  <c r="FP91" i="51"/>
  <c r="FP54" i="51"/>
  <c r="FP61" i="51"/>
  <c r="FP87" i="51"/>
  <c r="FP89" i="51"/>
  <c r="FP76" i="51"/>
  <c r="FP86" i="51"/>
  <c r="FP43" i="51"/>
  <c r="FP90" i="51"/>
  <c r="FP84" i="51"/>
  <c r="FP92" i="51"/>
  <c r="FP72" i="51"/>
  <c r="FP88" i="51"/>
  <c r="FP94" i="51"/>
  <c r="FP93" i="51"/>
  <c r="FT47" i="51"/>
  <c r="FT55" i="51"/>
  <c r="FT46" i="51"/>
  <c r="FT54" i="51"/>
  <c r="FT45" i="51"/>
  <c r="FT53" i="51"/>
  <c r="FT44" i="51"/>
  <c r="FT52" i="51"/>
  <c r="FT51" i="51"/>
  <c r="FT48" i="51"/>
  <c r="FT62" i="51"/>
  <c r="FT60" i="51"/>
  <c r="FT59" i="51"/>
  <c r="FT64" i="51"/>
  <c r="FT73" i="51"/>
  <c r="FT56" i="51"/>
  <c r="FT71" i="51"/>
  <c r="FT61" i="51"/>
  <c r="FT70" i="51"/>
  <c r="FT67" i="51"/>
  <c r="FT77" i="51"/>
  <c r="FT57" i="51"/>
  <c r="FT58" i="51"/>
  <c r="FT65" i="51"/>
  <c r="FT72" i="51"/>
  <c r="FT75" i="51"/>
  <c r="FT69" i="51"/>
  <c r="FT74" i="51"/>
  <c r="FT50" i="51"/>
  <c r="FT63" i="51"/>
  <c r="FT68" i="51"/>
  <c r="FT85" i="51"/>
  <c r="FT80" i="51"/>
  <c r="FT83" i="51"/>
  <c r="FT66" i="51"/>
  <c r="FT76" i="51"/>
  <c r="FT82" i="51"/>
  <c r="FT49" i="51"/>
  <c r="FT79" i="51"/>
  <c r="FT91" i="51"/>
  <c r="FT90" i="51"/>
  <c r="FT87" i="51"/>
  <c r="FT89" i="51"/>
  <c r="FT92" i="51"/>
  <c r="FT86" i="51"/>
  <c r="FT78" i="51"/>
  <c r="FT81" i="51"/>
  <c r="FT88" i="51"/>
  <c r="FT43" i="51"/>
  <c r="FT93" i="51"/>
  <c r="FT84" i="51"/>
  <c r="FT94" i="51"/>
  <c r="Q111" i="11"/>
  <c r="FY44" i="51"/>
  <c r="FY52" i="51"/>
  <c r="FY51" i="51"/>
  <c r="FY50" i="51"/>
  <c r="FY49" i="51"/>
  <c r="FY48" i="51"/>
  <c r="FY45" i="51"/>
  <c r="FY53" i="51"/>
  <c r="FY47" i="51"/>
  <c r="FY59" i="51"/>
  <c r="FY57" i="51"/>
  <c r="FY64" i="51"/>
  <c r="FY61" i="51"/>
  <c r="FY60" i="51"/>
  <c r="FY70" i="51"/>
  <c r="FY46" i="51"/>
  <c r="FY68" i="51"/>
  <c r="FY56" i="51"/>
  <c r="FY62" i="51"/>
  <c r="FY67" i="51"/>
  <c r="FY54" i="51"/>
  <c r="FY74" i="51"/>
  <c r="FY71" i="51"/>
  <c r="FY58" i="51"/>
  <c r="FY66" i="51"/>
  <c r="FY69" i="51"/>
  <c r="FY72" i="51"/>
  <c r="FY73" i="51"/>
  <c r="FY76" i="51"/>
  <c r="FY75" i="51"/>
  <c r="FY82" i="51"/>
  <c r="FY77" i="51"/>
  <c r="FY80" i="51"/>
  <c r="FY84" i="51"/>
  <c r="FY78" i="51"/>
  <c r="FY81" i="51"/>
  <c r="FY88" i="51"/>
  <c r="FY79" i="51"/>
  <c r="FY55" i="51"/>
  <c r="FY63" i="51"/>
  <c r="FY83" i="51"/>
  <c r="FY92" i="51"/>
  <c r="FY86" i="51"/>
  <c r="FY87" i="51"/>
  <c r="FY90" i="51"/>
  <c r="FY93" i="51"/>
  <c r="FY91" i="51"/>
  <c r="FY43" i="51"/>
  <c r="FY89" i="51"/>
  <c r="FY65" i="51"/>
  <c r="FY85" i="51"/>
  <c r="FY94" i="51"/>
  <c r="R111" i="12"/>
  <c r="GC48" i="51"/>
  <c r="GC56" i="51"/>
  <c r="GC47" i="51"/>
  <c r="GC55" i="51"/>
  <c r="GC46" i="51"/>
  <c r="GC54" i="51"/>
  <c r="GC45" i="51"/>
  <c r="GC53" i="51"/>
  <c r="GC44" i="51"/>
  <c r="GC52" i="51"/>
  <c r="GC49" i="51"/>
  <c r="GC63" i="51"/>
  <c r="GC50" i="51"/>
  <c r="GC61" i="51"/>
  <c r="GC51" i="51"/>
  <c r="GC60" i="51"/>
  <c r="GC57" i="51"/>
  <c r="GC72" i="51"/>
  <c r="GC71" i="51"/>
  <c r="GC58" i="51"/>
  <c r="GC64" i="51"/>
  <c r="GC68" i="51"/>
  <c r="GC62" i="51"/>
  <c r="GC66" i="51"/>
  <c r="GC69" i="51"/>
  <c r="GC78" i="51"/>
  <c r="GC76" i="51"/>
  <c r="GC75" i="51"/>
  <c r="GC59" i="51"/>
  <c r="GC65" i="51"/>
  <c r="GC70" i="51"/>
  <c r="GC73" i="51"/>
  <c r="GC86" i="51"/>
  <c r="GC80" i="51"/>
  <c r="GC84" i="51"/>
  <c r="GC79" i="51"/>
  <c r="GC83" i="51"/>
  <c r="GC67" i="51"/>
  <c r="GC82" i="51"/>
  <c r="GC92" i="51"/>
  <c r="GC77" i="51"/>
  <c r="GC91" i="51"/>
  <c r="GC81" i="51"/>
  <c r="GC85" i="51"/>
  <c r="GC87" i="51"/>
  <c r="GC90" i="51"/>
  <c r="GC88" i="51"/>
  <c r="GC89" i="51"/>
  <c r="GC93" i="51"/>
  <c r="GC43" i="51"/>
  <c r="GC94" i="51"/>
  <c r="GC74" i="51"/>
  <c r="R111" i="13"/>
  <c r="GF51" i="51"/>
  <c r="GF50" i="51"/>
  <c r="GF49" i="51"/>
  <c r="GF48" i="51"/>
  <c r="GF47" i="51"/>
  <c r="GF44" i="51"/>
  <c r="GF52" i="51"/>
  <c r="GF53" i="51"/>
  <c r="GF54" i="51"/>
  <c r="GF58" i="51"/>
  <c r="GF66" i="51"/>
  <c r="GF45" i="51"/>
  <c r="GF46" i="51"/>
  <c r="GF55" i="51"/>
  <c r="GF64" i="51"/>
  <c r="GF56" i="51"/>
  <c r="GF63" i="51"/>
  <c r="GF60" i="51"/>
  <c r="GF69" i="51"/>
  <c r="GF57" i="51"/>
  <c r="GF67" i="51"/>
  <c r="GF65" i="51"/>
  <c r="GF59" i="51"/>
  <c r="GF62" i="51"/>
  <c r="GF71" i="51"/>
  <c r="GF61" i="51"/>
  <c r="GF70" i="51"/>
  <c r="GF79" i="51"/>
  <c r="GF72" i="51"/>
  <c r="GF78" i="51"/>
  <c r="GF75" i="51"/>
  <c r="GF81" i="51"/>
  <c r="GF74" i="51"/>
  <c r="GF77" i="51"/>
  <c r="GF83" i="51"/>
  <c r="GF76" i="51"/>
  <c r="GF82" i="51"/>
  <c r="GF68" i="51"/>
  <c r="GF86" i="51"/>
  <c r="GF87" i="51"/>
  <c r="GF91" i="51"/>
  <c r="GF89" i="51"/>
  <c r="GF80" i="51"/>
  <c r="GF88" i="51"/>
  <c r="GF43" i="51"/>
  <c r="GF85" i="51"/>
  <c r="GF93" i="51"/>
  <c r="GF92" i="51"/>
  <c r="GF73" i="51"/>
  <c r="GF84" i="51"/>
  <c r="GF90" i="51"/>
  <c r="GF94" i="51"/>
  <c r="S111" i="14"/>
  <c r="GJ47" i="51"/>
  <c r="GJ55" i="51"/>
  <c r="GJ46" i="51"/>
  <c r="GJ54" i="51"/>
  <c r="GJ45" i="51"/>
  <c r="GJ53" i="51"/>
  <c r="GJ44" i="51"/>
  <c r="GJ52" i="51"/>
  <c r="GJ51" i="51"/>
  <c r="GJ48" i="51"/>
  <c r="GJ62" i="51"/>
  <c r="GJ60" i="51"/>
  <c r="GJ49" i="51"/>
  <c r="GJ50" i="51"/>
  <c r="GJ59" i="51"/>
  <c r="GJ73" i="51"/>
  <c r="GJ71" i="51"/>
  <c r="GJ61" i="51"/>
  <c r="GJ64" i="51"/>
  <c r="GJ70" i="51"/>
  <c r="GJ67" i="51"/>
  <c r="GJ77" i="51"/>
  <c r="GJ75" i="51"/>
  <c r="GJ63" i="51"/>
  <c r="GJ66" i="51"/>
  <c r="GJ69" i="51"/>
  <c r="GJ74" i="51"/>
  <c r="GJ58" i="51"/>
  <c r="GJ68" i="51"/>
  <c r="GJ72" i="51"/>
  <c r="GJ65" i="51"/>
  <c r="GJ79" i="51"/>
  <c r="GJ80" i="51"/>
  <c r="GJ85" i="51"/>
  <c r="GJ83" i="51"/>
  <c r="GJ76" i="51"/>
  <c r="GJ82" i="51"/>
  <c r="GJ57" i="51"/>
  <c r="GJ86" i="51"/>
  <c r="GJ87" i="51"/>
  <c r="GJ91" i="51"/>
  <c r="GJ90" i="51"/>
  <c r="GJ56" i="51"/>
  <c r="GJ89" i="51"/>
  <c r="GJ92" i="51"/>
  <c r="GJ88" i="51"/>
  <c r="GJ78" i="51"/>
  <c r="GJ43" i="51"/>
  <c r="GJ94" i="51"/>
  <c r="GJ81" i="51"/>
  <c r="GJ84" i="51"/>
  <c r="GJ93" i="51"/>
  <c r="F25" i="19"/>
  <c r="J25" i="22"/>
  <c r="J46" i="22" s="1"/>
  <c r="F38" i="23"/>
  <c r="F40" i="23" s="1"/>
  <c r="H40" i="23" s="1"/>
  <c r="R111" i="23"/>
  <c r="HJ49" i="51"/>
  <c r="HJ48" i="51"/>
  <c r="HJ56" i="51"/>
  <c r="HJ47" i="51"/>
  <c r="HJ55" i="51"/>
  <c r="HJ46" i="51"/>
  <c r="HJ54" i="51"/>
  <c r="HJ45" i="51"/>
  <c r="HJ53" i="51"/>
  <c r="HJ50" i="51"/>
  <c r="HJ64" i="51"/>
  <c r="HJ62" i="51"/>
  <c r="HJ61" i="51"/>
  <c r="HJ58" i="51"/>
  <c r="HJ67" i="51"/>
  <c r="HJ60" i="51"/>
  <c r="HJ65" i="51"/>
  <c r="HJ69" i="51"/>
  <c r="HJ51" i="51"/>
  <c r="HJ66" i="51"/>
  <c r="HJ79" i="51"/>
  <c r="HJ77" i="51"/>
  <c r="HJ63" i="51"/>
  <c r="HJ68" i="51"/>
  <c r="HJ76" i="51"/>
  <c r="HJ44" i="51"/>
  <c r="HJ73" i="51"/>
  <c r="HJ52" i="51"/>
  <c r="HJ70" i="51"/>
  <c r="HJ87" i="51"/>
  <c r="HJ75" i="51"/>
  <c r="HJ78" i="51"/>
  <c r="HJ85" i="51"/>
  <c r="HJ71" i="51"/>
  <c r="HJ84" i="51"/>
  <c r="HJ81" i="51"/>
  <c r="HJ74" i="51"/>
  <c r="HJ82" i="51"/>
  <c r="HJ92" i="51"/>
  <c r="HJ57" i="51"/>
  <c r="HJ59" i="51"/>
  <c r="HJ91" i="51"/>
  <c r="HJ89" i="51"/>
  <c r="HJ72" i="51"/>
  <c r="HJ83" i="51"/>
  <c r="HJ86" i="51"/>
  <c r="HJ93" i="51"/>
  <c r="HJ88" i="51"/>
  <c r="HJ80" i="51"/>
  <c r="HJ43" i="51"/>
  <c r="HJ94" i="51"/>
  <c r="HJ90" i="51"/>
  <c r="L22" i="10"/>
  <c r="Y51" i="44" s="1"/>
  <c r="H22" i="10"/>
  <c r="Y50" i="44" s="1"/>
  <c r="AA49" i="44"/>
  <c r="GO44" i="51"/>
  <c r="GO52" i="51"/>
  <c r="GO51" i="51"/>
  <c r="GO50" i="51"/>
  <c r="GO49" i="51"/>
  <c r="GO48" i="51"/>
  <c r="GO45" i="51"/>
  <c r="GO53" i="51"/>
  <c r="GO59" i="51"/>
  <c r="GO57" i="51"/>
  <c r="GO54" i="51"/>
  <c r="GO61" i="51"/>
  <c r="GO56" i="51"/>
  <c r="GO60" i="51"/>
  <c r="GO70" i="51"/>
  <c r="GO68" i="51"/>
  <c r="GO62" i="51"/>
  <c r="GO65" i="51"/>
  <c r="GO67" i="51"/>
  <c r="GO64" i="51"/>
  <c r="GO74" i="51"/>
  <c r="GO47" i="51"/>
  <c r="GO71" i="51"/>
  <c r="GO46" i="51"/>
  <c r="GO72" i="51"/>
  <c r="GO69" i="51"/>
  <c r="GO76" i="51"/>
  <c r="GO66" i="51"/>
  <c r="GO75" i="51"/>
  <c r="GO82" i="51"/>
  <c r="GO77" i="51"/>
  <c r="GO63" i="51"/>
  <c r="GO84" i="51"/>
  <c r="GO79" i="51"/>
  <c r="GO81" i="51"/>
  <c r="GO88" i="51"/>
  <c r="GO58" i="51"/>
  <c r="GO73" i="51"/>
  <c r="GO85" i="51"/>
  <c r="GO78" i="51"/>
  <c r="GO83" i="51"/>
  <c r="GO86" i="51"/>
  <c r="GO87" i="51"/>
  <c r="GO92" i="51"/>
  <c r="GO90" i="51"/>
  <c r="GO80" i="51"/>
  <c r="GO91" i="51"/>
  <c r="GO43" i="51"/>
  <c r="GO55" i="51"/>
  <c r="GO89" i="51"/>
  <c r="GO93" i="51"/>
  <c r="GO94" i="51"/>
  <c r="B38" i="7"/>
  <c r="B40" i="7" s="1"/>
  <c r="C40" i="7" s="1"/>
  <c r="D40" i="7" s="1"/>
  <c r="FM48" i="51"/>
  <c r="FM56" i="51"/>
  <c r="FM47" i="51"/>
  <c r="FM55" i="51"/>
  <c r="FM46" i="51"/>
  <c r="FM54" i="51"/>
  <c r="FM45" i="51"/>
  <c r="FM53" i="51"/>
  <c r="FM44" i="51"/>
  <c r="FM52" i="51"/>
  <c r="FM49" i="51"/>
  <c r="FM63" i="51"/>
  <c r="FM61" i="51"/>
  <c r="FM57" i="51"/>
  <c r="FM60" i="51"/>
  <c r="FM50" i="51"/>
  <c r="FM72" i="51"/>
  <c r="FM51" i="51"/>
  <c r="FM66" i="51"/>
  <c r="FM71" i="51"/>
  <c r="FM58" i="51"/>
  <c r="FM68" i="51"/>
  <c r="FM64" i="51"/>
  <c r="FM69" i="51"/>
  <c r="FM78" i="51"/>
  <c r="FM59" i="51"/>
  <c r="FM76" i="51"/>
  <c r="FM73" i="51"/>
  <c r="FM75" i="51"/>
  <c r="FM70" i="51"/>
  <c r="FM62" i="51"/>
  <c r="FM86" i="51"/>
  <c r="FM67" i="51"/>
  <c r="FM84" i="51"/>
  <c r="FM65" i="51"/>
  <c r="FM83" i="51"/>
  <c r="FM82" i="51"/>
  <c r="FM92" i="51"/>
  <c r="FM85" i="51"/>
  <c r="FM91" i="51"/>
  <c r="FM81" i="51"/>
  <c r="FM90" i="51"/>
  <c r="FM87" i="51"/>
  <c r="FM88" i="51"/>
  <c r="FM79" i="51"/>
  <c r="FM89" i="51"/>
  <c r="FM94" i="51"/>
  <c r="FM74" i="51"/>
  <c r="FM80" i="51"/>
  <c r="FM43" i="51"/>
  <c r="FM77" i="51"/>
  <c r="FM93" i="51"/>
  <c r="F38" i="8"/>
  <c r="F40" i="8" s="1"/>
  <c r="H40" i="8" s="1"/>
  <c r="R111" i="8"/>
  <c r="FQ44" i="51"/>
  <c r="FQ52" i="51"/>
  <c r="FQ51" i="51"/>
  <c r="FQ50" i="51"/>
  <c r="FQ49" i="51"/>
  <c r="FQ48" i="51"/>
  <c r="FQ45" i="51"/>
  <c r="FQ53" i="51"/>
  <c r="FQ59" i="51"/>
  <c r="FQ56" i="51"/>
  <c r="FQ65" i="51"/>
  <c r="FQ64" i="51"/>
  <c r="FQ47" i="51"/>
  <c r="FQ61" i="51"/>
  <c r="FQ58" i="51"/>
  <c r="FQ70" i="51"/>
  <c r="FQ68" i="51"/>
  <c r="FQ57" i="51"/>
  <c r="FQ63" i="51"/>
  <c r="FQ67" i="51"/>
  <c r="FQ66" i="51"/>
  <c r="FQ72" i="51"/>
  <c r="FQ74" i="51"/>
  <c r="FQ46" i="51"/>
  <c r="FQ69" i="51"/>
  <c r="FQ71" i="51"/>
  <c r="FQ76" i="51"/>
  <c r="FQ82" i="51"/>
  <c r="FQ60" i="51"/>
  <c r="FQ55" i="51"/>
  <c r="FQ73" i="51"/>
  <c r="FQ78" i="51"/>
  <c r="FQ84" i="51"/>
  <c r="FQ83" i="51"/>
  <c r="FQ86" i="51"/>
  <c r="FQ88" i="51"/>
  <c r="FQ80" i="51"/>
  <c r="FQ81" i="51"/>
  <c r="FQ92" i="51"/>
  <c r="FQ77" i="51"/>
  <c r="FQ90" i="51"/>
  <c r="FQ85" i="51"/>
  <c r="FQ91" i="51"/>
  <c r="FQ43" i="51"/>
  <c r="FQ79" i="51"/>
  <c r="FQ93" i="51"/>
  <c r="FQ89" i="51"/>
  <c r="FQ62" i="51"/>
  <c r="FQ87" i="51"/>
  <c r="FQ54" i="51"/>
  <c r="FQ75" i="51"/>
  <c r="FQ94" i="51"/>
  <c r="FU48" i="51"/>
  <c r="FU56" i="51"/>
  <c r="FU47" i="51"/>
  <c r="FU55" i="51"/>
  <c r="FU46" i="51"/>
  <c r="FU54" i="51"/>
  <c r="FU45" i="51"/>
  <c r="FU53" i="51"/>
  <c r="FU44" i="51"/>
  <c r="FU52" i="51"/>
  <c r="FU49" i="51"/>
  <c r="FU50" i="51"/>
  <c r="FU57" i="51"/>
  <c r="FU63" i="51"/>
  <c r="FU61" i="51"/>
  <c r="FU60" i="51"/>
  <c r="FU59" i="51"/>
  <c r="FU58" i="51"/>
  <c r="FU65" i="51"/>
  <c r="FU66" i="51"/>
  <c r="FU72" i="51"/>
  <c r="FU71" i="51"/>
  <c r="FU68" i="51"/>
  <c r="FU78" i="51"/>
  <c r="FU70" i="51"/>
  <c r="FU73" i="51"/>
  <c r="FU76" i="51"/>
  <c r="FU64" i="51"/>
  <c r="FU75" i="51"/>
  <c r="FU62" i="51"/>
  <c r="FU74" i="51"/>
  <c r="FU86" i="51"/>
  <c r="FU84" i="51"/>
  <c r="FU80" i="51"/>
  <c r="FU83" i="51"/>
  <c r="FU67" i="51"/>
  <c r="FU92" i="51"/>
  <c r="FU79" i="51"/>
  <c r="FU91" i="51"/>
  <c r="FU90" i="51"/>
  <c r="FU69" i="51"/>
  <c r="FU82" i="51"/>
  <c r="FU88" i="51"/>
  <c r="FU51" i="51"/>
  <c r="FU81" i="51"/>
  <c r="FU85" i="51"/>
  <c r="FU77" i="51"/>
  <c r="FU89" i="51"/>
  <c r="FU94" i="51"/>
  <c r="FU43" i="51"/>
  <c r="FU87" i="51"/>
  <c r="FU93" i="51"/>
  <c r="Q111" i="10"/>
  <c r="FV49" i="51"/>
  <c r="FV57" i="51"/>
  <c r="FV48" i="51"/>
  <c r="FV56" i="51"/>
  <c r="FV47" i="51"/>
  <c r="FV55" i="51"/>
  <c r="FV46" i="51"/>
  <c r="FV54" i="51"/>
  <c r="FV45" i="51"/>
  <c r="FV53" i="51"/>
  <c r="FV50" i="51"/>
  <c r="FV64" i="51"/>
  <c r="FV51" i="51"/>
  <c r="FV62" i="51"/>
  <c r="FV52" i="51"/>
  <c r="FV61" i="51"/>
  <c r="FV58" i="51"/>
  <c r="FV67" i="51"/>
  <c r="FV65" i="51"/>
  <c r="FV66" i="51"/>
  <c r="FV60" i="51"/>
  <c r="FV63" i="51"/>
  <c r="FV69" i="51"/>
  <c r="FV71" i="51"/>
  <c r="FV79" i="51"/>
  <c r="FV77" i="51"/>
  <c r="FV44" i="51"/>
  <c r="FV70" i="51"/>
  <c r="FV72" i="51"/>
  <c r="FV73" i="51"/>
  <c r="FV76" i="51"/>
  <c r="FV59" i="51"/>
  <c r="FV87" i="51"/>
  <c r="FV85" i="51"/>
  <c r="FV84" i="51"/>
  <c r="FV75" i="51"/>
  <c r="FV78" i="51"/>
  <c r="FV81" i="51"/>
  <c r="FV93" i="51"/>
  <c r="FV92" i="51"/>
  <c r="FV83" i="51"/>
  <c r="FV91" i="51"/>
  <c r="FV86" i="51"/>
  <c r="FV89" i="51"/>
  <c r="FV74" i="51"/>
  <c r="FV68" i="51"/>
  <c r="FV90" i="51"/>
  <c r="FV88" i="51"/>
  <c r="FV80" i="51"/>
  <c r="FV43" i="51"/>
  <c r="FV94" i="51"/>
  <c r="FV82" i="51"/>
  <c r="FZ45" i="51"/>
  <c r="FZ53" i="51"/>
  <c r="FZ44" i="51"/>
  <c r="FZ52" i="51"/>
  <c r="FZ51" i="51"/>
  <c r="FZ50" i="51"/>
  <c r="FZ49" i="51"/>
  <c r="FZ46" i="51"/>
  <c r="FZ54" i="51"/>
  <c r="FZ48" i="51"/>
  <c r="FZ55" i="51"/>
  <c r="FZ56" i="51"/>
  <c r="FZ60" i="51"/>
  <c r="FZ58" i="51"/>
  <c r="FZ57" i="51"/>
  <c r="FZ62" i="51"/>
  <c r="FZ63" i="51"/>
  <c r="FZ71" i="51"/>
  <c r="FZ69" i="51"/>
  <c r="FZ59" i="51"/>
  <c r="FZ64" i="51"/>
  <c r="FZ68" i="51"/>
  <c r="FZ61" i="51"/>
  <c r="FZ65" i="51"/>
  <c r="FZ66" i="51"/>
  <c r="FZ75" i="51"/>
  <c r="FZ67" i="51"/>
  <c r="FZ77" i="51"/>
  <c r="FZ78" i="51"/>
  <c r="FZ79" i="51"/>
  <c r="FZ83" i="51"/>
  <c r="FZ81" i="51"/>
  <c r="FZ74" i="51"/>
  <c r="FZ76" i="51"/>
  <c r="FZ85" i="51"/>
  <c r="FZ89" i="51"/>
  <c r="FZ70" i="51"/>
  <c r="FZ88" i="51"/>
  <c r="FZ47" i="51"/>
  <c r="FZ84" i="51"/>
  <c r="FZ73" i="51"/>
  <c r="FZ91" i="51"/>
  <c r="FZ87" i="51"/>
  <c r="FZ86" i="51"/>
  <c r="FZ94" i="51"/>
  <c r="FZ82" i="51"/>
  <c r="FZ72" i="51"/>
  <c r="FZ90" i="51"/>
  <c r="FZ80" i="51"/>
  <c r="FZ43" i="51"/>
  <c r="FZ92" i="51"/>
  <c r="FZ93" i="51"/>
  <c r="S111" i="12"/>
  <c r="GD49" i="51"/>
  <c r="GD48" i="51"/>
  <c r="GD56" i="51"/>
  <c r="GD47" i="51"/>
  <c r="GD55" i="51"/>
  <c r="GD46" i="51"/>
  <c r="GD54" i="51"/>
  <c r="GD45" i="51"/>
  <c r="GD53" i="51"/>
  <c r="GD50" i="51"/>
  <c r="GD64" i="51"/>
  <c r="GD62" i="51"/>
  <c r="GD61" i="51"/>
  <c r="GD58" i="51"/>
  <c r="GD52" i="51"/>
  <c r="GD67" i="51"/>
  <c r="GD60" i="51"/>
  <c r="GD65" i="51"/>
  <c r="GD66" i="51"/>
  <c r="GD63" i="51"/>
  <c r="GD69" i="51"/>
  <c r="GD79" i="51"/>
  <c r="GD73" i="51"/>
  <c r="GD77" i="51"/>
  <c r="GD68" i="51"/>
  <c r="GD76" i="51"/>
  <c r="GD51" i="51"/>
  <c r="GD70" i="51"/>
  <c r="GD87" i="51"/>
  <c r="GD75" i="51"/>
  <c r="GD78" i="51"/>
  <c r="GD85" i="51"/>
  <c r="GD44" i="51"/>
  <c r="GD57" i="51"/>
  <c r="GD80" i="51"/>
  <c r="GD84" i="51"/>
  <c r="GD72" i="51"/>
  <c r="GD81" i="51"/>
  <c r="GD59" i="51"/>
  <c r="GD74" i="51"/>
  <c r="GD93" i="51"/>
  <c r="GD82" i="51"/>
  <c r="GD92" i="51"/>
  <c r="GD86" i="51"/>
  <c r="GD91" i="51"/>
  <c r="GD71" i="51"/>
  <c r="GD89" i="51"/>
  <c r="GD83" i="51"/>
  <c r="GD43" i="51"/>
  <c r="GD90" i="51"/>
  <c r="GD88" i="51"/>
  <c r="GD94" i="51"/>
  <c r="S111" i="13"/>
  <c r="GG44" i="51"/>
  <c r="GG52" i="51"/>
  <c r="GG51" i="51"/>
  <c r="GG50" i="51"/>
  <c r="GG49" i="51"/>
  <c r="GG48" i="51"/>
  <c r="GG45" i="51"/>
  <c r="GG53" i="51"/>
  <c r="GG59" i="51"/>
  <c r="GG47" i="51"/>
  <c r="GG57" i="51"/>
  <c r="GG46" i="51"/>
  <c r="GG55" i="51"/>
  <c r="GG61" i="51"/>
  <c r="GG58" i="51"/>
  <c r="GG64" i="51"/>
  <c r="GG70" i="51"/>
  <c r="GG68" i="51"/>
  <c r="GG67" i="51"/>
  <c r="GG56" i="51"/>
  <c r="GG60" i="51"/>
  <c r="GG74" i="51"/>
  <c r="GG69" i="51"/>
  <c r="GG54" i="51"/>
  <c r="GG71" i="51"/>
  <c r="GG76" i="51"/>
  <c r="GG82" i="51"/>
  <c r="GG73" i="51"/>
  <c r="GG62" i="51"/>
  <c r="GG78" i="51"/>
  <c r="GG66" i="51"/>
  <c r="GG84" i="51"/>
  <c r="GG72" i="51"/>
  <c r="GG80" i="51"/>
  <c r="GG83" i="51"/>
  <c r="GG88" i="51"/>
  <c r="GG75" i="51"/>
  <c r="GG77" i="51"/>
  <c r="GG81" i="51"/>
  <c r="GG85" i="51"/>
  <c r="GG92" i="51"/>
  <c r="GG65" i="51"/>
  <c r="GG90" i="51"/>
  <c r="GG89" i="51"/>
  <c r="GG63" i="51"/>
  <c r="GG87" i="51"/>
  <c r="GG79" i="51"/>
  <c r="GG91" i="51"/>
  <c r="GG43" i="51"/>
  <c r="GG86" i="51"/>
  <c r="GG93" i="51"/>
  <c r="GG94" i="51"/>
  <c r="S111" i="23"/>
  <c r="HK50" i="51"/>
  <c r="HK49" i="51"/>
  <c r="HK48" i="51"/>
  <c r="HK56" i="51"/>
  <c r="HK47" i="51"/>
  <c r="HK46" i="51"/>
  <c r="HK54" i="51"/>
  <c r="HK51" i="51"/>
  <c r="HK44" i="51"/>
  <c r="HK57" i="51"/>
  <c r="HK65" i="51"/>
  <c r="HK63" i="51"/>
  <c r="HK62" i="51"/>
  <c r="HK52" i="51"/>
  <c r="HK59" i="51"/>
  <c r="HK61" i="51"/>
  <c r="HK68" i="51"/>
  <c r="HK66" i="51"/>
  <c r="HK55" i="51"/>
  <c r="HK60" i="51"/>
  <c r="HK70" i="51"/>
  <c r="HK71" i="51"/>
  <c r="HK64" i="51"/>
  <c r="HK78" i="51"/>
  <c r="HK77" i="51"/>
  <c r="HK67" i="51"/>
  <c r="HK72" i="51"/>
  <c r="HK74" i="51"/>
  <c r="HK76" i="51"/>
  <c r="HK80" i="51"/>
  <c r="HK45" i="51"/>
  <c r="HK58" i="51"/>
  <c r="HK75" i="51"/>
  <c r="HK82" i="51"/>
  <c r="HK53" i="51"/>
  <c r="HK85" i="51"/>
  <c r="HK69" i="51"/>
  <c r="HK79" i="51"/>
  <c r="HK92" i="51"/>
  <c r="HK84" i="51"/>
  <c r="HK90" i="51"/>
  <c r="HK73" i="51"/>
  <c r="HK88" i="51"/>
  <c r="HK94" i="51"/>
  <c r="HK93" i="51"/>
  <c r="HK81" i="51"/>
  <c r="HK89" i="51"/>
  <c r="HK87" i="51"/>
  <c r="HK83" i="51"/>
  <c r="HK86" i="51"/>
  <c r="HK43" i="51"/>
  <c r="HK91" i="51"/>
  <c r="L22" i="12"/>
  <c r="Y59" i="44" s="1"/>
  <c r="H22" i="12"/>
  <c r="Y58" i="44" s="1"/>
  <c r="AA57" i="44"/>
  <c r="S111" i="18"/>
  <c r="GV51" i="51"/>
  <c r="GV50" i="51"/>
  <c r="GV49" i="51"/>
  <c r="GV48" i="51"/>
  <c r="GV47" i="51"/>
  <c r="GV44" i="51"/>
  <c r="GV52" i="51"/>
  <c r="GV58" i="51"/>
  <c r="GV64" i="51"/>
  <c r="GV55" i="51"/>
  <c r="GV63" i="51"/>
  <c r="GV45" i="51"/>
  <c r="GV46" i="51"/>
  <c r="GV60" i="51"/>
  <c r="GV54" i="51"/>
  <c r="GV69" i="51"/>
  <c r="GV56" i="51"/>
  <c r="GV57" i="51"/>
  <c r="GV67" i="51"/>
  <c r="GV66" i="51"/>
  <c r="GV59" i="51"/>
  <c r="GV62" i="51"/>
  <c r="GV71" i="51"/>
  <c r="GV70" i="51"/>
  <c r="GV73" i="51"/>
  <c r="GV78" i="51"/>
  <c r="GV53" i="51"/>
  <c r="GV65" i="51"/>
  <c r="GV75" i="51"/>
  <c r="GV81" i="51"/>
  <c r="GV79" i="51"/>
  <c r="GV80" i="51"/>
  <c r="GV68" i="51"/>
  <c r="GV72" i="51"/>
  <c r="GV74" i="51"/>
  <c r="GV77" i="51"/>
  <c r="GV83" i="51"/>
  <c r="GV61" i="51"/>
  <c r="GV82" i="51"/>
  <c r="GV86" i="51"/>
  <c r="GV87" i="51"/>
  <c r="GV91" i="51"/>
  <c r="GV85" i="51"/>
  <c r="GV89" i="51"/>
  <c r="GV43" i="51"/>
  <c r="GV76" i="51"/>
  <c r="GV93" i="51"/>
  <c r="GV90" i="51"/>
  <c r="GV92" i="51"/>
  <c r="GV88" i="51"/>
  <c r="GV84" i="51"/>
  <c r="GV94" i="51"/>
  <c r="S111" i="8"/>
  <c r="FR45" i="51"/>
  <c r="FR53" i="51"/>
  <c r="FR44" i="51"/>
  <c r="FR52" i="51"/>
  <c r="FR51" i="51"/>
  <c r="FR50" i="51"/>
  <c r="FR49" i="51"/>
  <c r="FR46" i="51"/>
  <c r="FR54" i="51"/>
  <c r="FR60" i="51"/>
  <c r="FR58" i="51"/>
  <c r="FR56" i="51"/>
  <c r="FR48" i="51"/>
  <c r="FR62" i="51"/>
  <c r="FR55" i="51"/>
  <c r="FR71" i="51"/>
  <c r="FR61" i="51"/>
  <c r="FR69" i="51"/>
  <c r="FR47" i="51"/>
  <c r="FR68" i="51"/>
  <c r="FR64" i="51"/>
  <c r="FR73" i="51"/>
  <c r="FR75" i="51"/>
  <c r="FR66" i="51"/>
  <c r="FR77" i="51"/>
  <c r="FR80" i="51"/>
  <c r="FR83" i="51"/>
  <c r="FR57" i="51"/>
  <c r="FR72" i="51"/>
  <c r="FR76" i="51"/>
  <c r="FR79" i="51"/>
  <c r="FR81" i="51"/>
  <c r="FR63" i="51"/>
  <c r="FR67" i="51"/>
  <c r="FR85" i="51"/>
  <c r="FR70" i="51"/>
  <c r="FR87" i="51"/>
  <c r="FR89" i="51"/>
  <c r="FR86" i="51"/>
  <c r="FR88" i="51"/>
  <c r="FR65" i="51"/>
  <c r="FR78" i="51"/>
  <c r="FR84" i="51"/>
  <c r="FR91" i="51"/>
  <c r="FR82" i="51"/>
  <c r="FR94" i="51"/>
  <c r="FR74" i="51"/>
  <c r="FR90" i="51"/>
  <c r="FR93" i="51"/>
  <c r="FR59" i="51"/>
  <c r="FR92" i="51"/>
  <c r="FR43" i="51"/>
  <c r="R111" i="10"/>
  <c r="FW50" i="51"/>
  <c r="FW49" i="51"/>
  <c r="FW57" i="51"/>
  <c r="FW48" i="51"/>
  <c r="FW56" i="51"/>
  <c r="FW47" i="51"/>
  <c r="FW55" i="51"/>
  <c r="FW46" i="51"/>
  <c r="FW54" i="51"/>
  <c r="FW51" i="51"/>
  <c r="FW65" i="51"/>
  <c r="FW63" i="51"/>
  <c r="FW62" i="51"/>
  <c r="FW44" i="51"/>
  <c r="FW59" i="51"/>
  <c r="FW68" i="51"/>
  <c r="FW53" i="51"/>
  <c r="FW64" i="51"/>
  <c r="FW58" i="51"/>
  <c r="FW70" i="51"/>
  <c r="FW80" i="51"/>
  <c r="FW67" i="51"/>
  <c r="FW78" i="51"/>
  <c r="FW45" i="51"/>
  <c r="FW77" i="51"/>
  <c r="FW60" i="51"/>
  <c r="FW74" i="51"/>
  <c r="FW71" i="51"/>
  <c r="FW86" i="51"/>
  <c r="FW72" i="51"/>
  <c r="FW85" i="51"/>
  <c r="FW61" i="51"/>
  <c r="FW79" i="51"/>
  <c r="FW82" i="51"/>
  <c r="FW84" i="51"/>
  <c r="FW93" i="51"/>
  <c r="FW92" i="51"/>
  <c r="FW87" i="51"/>
  <c r="FW90" i="51"/>
  <c r="FW66" i="51"/>
  <c r="FW76" i="51"/>
  <c r="FW88" i="51"/>
  <c r="FW69" i="51"/>
  <c r="FW75" i="51"/>
  <c r="FW94" i="51"/>
  <c r="FW83" i="51"/>
  <c r="FW81" i="51"/>
  <c r="FW89" i="51"/>
  <c r="FW52" i="51"/>
  <c r="FW73" i="51"/>
  <c r="FW43" i="51"/>
  <c r="FW91" i="51"/>
  <c r="J40" i="11"/>
  <c r="L40" i="11" s="1"/>
  <c r="GA46" i="51"/>
  <c r="GA54" i="51"/>
  <c r="GA45" i="51"/>
  <c r="GA53" i="51"/>
  <c r="GA44" i="51"/>
  <c r="GA52" i="51"/>
  <c r="GA51" i="51"/>
  <c r="GA50" i="51"/>
  <c r="GA47" i="51"/>
  <c r="GA49" i="51"/>
  <c r="GA61" i="51"/>
  <c r="GA59" i="51"/>
  <c r="GA58" i="51"/>
  <c r="GA72" i="51"/>
  <c r="GA55" i="51"/>
  <c r="GA70" i="51"/>
  <c r="GA69" i="51"/>
  <c r="GA48" i="51"/>
  <c r="GA63" i="51"/>
  <c r="GA73" i="51"/>
  <c r="GA76" i="51"/>
  <c r="GA74" i="51"/>
  <c r="GA57" i="51"/>
  <c r="GA71" i="51"/>
  <c r="GA78" i="51"/>
  <c r="GA80" i="51"/>
  <c r="GA84" i="51"/>
  <c r="GA62" i="51"/>
  <c r="GA82" i="51"/>
  <c r="GA56" i="51"/>
  <c r="GA81" i="51"/>
  <c r="GA65" i="51"/>
  <c r="GA68" i="51"/>
  <c r="GA75" i="51"/>
  <c r="GA77" i="51"/>
  <c r="GA86" i="51"/>
  <c r="GA87" i="51"/>
  <c r="GA90" i="51"/>
  <c r="GA67" i="51"/>
  <c r="GA85" i="51"/>
  <c r="GA89" i="51"/>
  <c r="GA88" i="51"/>
  <c r="GA64" i="51"/>
  <c r="GA60" i="51"/>
  <c r="GA79" i="51"/>
  <c r="GA92" i="51"/>
  <c r="GA93" i="51"/>
  <c r="GA43" i="51"/>
  <c r="GA91" i="51"/>
  <c r="GA94" i="51"/>
  <c r="GA66" i="51"/>
  <c r="GA83" i="51"/>
  <c r="L22" i="18"/>
  <c r="Y83" i="44" s="1"/>
  <c r="H22" i="18"/>
  <c r="Y82" i="44" s="1"/>
  <c r="AA81" i="44"/>
  <c r="L22" i="21"/>
  <c r="Y95" i="44" s="1"/>
  <c r="H22" i="21"/>
  <c r="Y94" i="44" s="1"/>
  <c r="AA93" i="44"/>
  <c r="L22" i="22"/>
  <c r="Y99" i="44" s="1"/>
  <c r="H22" i="22"/>
  <c r="Y98" i="44" s="1"/>
  <c r="AA97" i="44"/>
  <c r="D25" i="22"/>
  <c r="B22" i="45"/>
  <c r="D25" i="10"/>
  <c r="S111" i="10"/>
  <c r="FX51" i="51"/>
  <c r="FX50" i="51"/>
  <c r="FX49" i="51"/>
  <c r="FX48" i="51"/>
  <c r="FX47" i="51"/>
  <c r="FX55" i="51"/>
  <c r="FX44" i="51"/>
  <c r="FX52" i="51"/>
  <c r="FX45" i="51"/>
  <c r="FX46" i="51"/>
  <c r="FX58" i="51"/>
  <c r="FX66" i="51"/>
  <c r="FX64" i="51"/>
  <c r="FX63" i="51"/>
  <c r="FX53" i="51"/>
  <c r="FX54" i="51"/>
  <c r="FX56" i="51"/>
  <c r="FX60" i="51"/>
  <c r="FX69" i="51"/>
  <c r="FX59" i="51"/>
  <c r="FX62" i="51"/>
  <c r="FX67" i="51"/>
  <c r="FX57" i="51"/>
  <c r="FX71" i="51"/>
  <c r="FX68" i="51"/>
  <c r="FX79" i="51"/>
  <c r="FX65" i="51"/>
  <c r="FX78" i="51"/>
  <c r="FX61" i="51"/>
  <c r="FX75" i="51"/>
  <c r="FX81" i="51"/>
  <c r="FX74" i="51"/>
  <c r="FX77" i="51"/>
  <c r="FX70" i="51"/>
  <c r="FX73" i="51"/>
  <c r="FX83" i="51"/>
  <c r="FX84" i="51"/>
  <c r="FX80" i="51"/>
  <c r="FX91" i="51"/>
  <c r="FX72" i="51"/>
  <c r="FX82" i="51"/>
  <c r="FX85" i="51"/>
  <c r="FX89" i="51"/>
  <c r="FX93" i="51"/>
  <c r="FX43" i="51"/>
  <c r="FX76" i="51"/>
  <c r="FX92" i="51"/>
  <c r="FX94" i="51"/>
  <c r="FX90" i="51"/>
  <c r="FX88" i="51"/>
  <c r="FX86" i="51"/>
  <c r="FX87" i="51"/>
  <c r="B31" i="14"/>
  <c r="B33" i="14" s="1"/>
  <c r="C33" i="14" s="1"/>
  <c r="D33" i="14" s="1"/>
  <c r="H22" i="17"/>
  <c r="Y78" i="44" s="1"/>
  <c r="L22" i="17"/>
  <c r="Y79" i="44" s="1"/>
  <c r="AA77" i="44"/>
  <c r="J38" i="17"/>
  <c r="H22" i="20"/>
  <c r="Y90" i="44" s="1"/>
  <c r="L22" i="20"/>
  <c r="Y91" i="44" s="1"/>
  <c r="AA89" i="44"/>
  <c r="J38" i="20"/>
  <c r="J40" i="20" s="1"/>
  <c r="L40" i="20" s="1"/>
  <c r="J38" i="21"/>
  <c r="J40" i="21" s="1"/>
  <c r="L40" i="21" s="1"/>
  <c r="Q111" i="14"/>
  <c r="GH45" i="51"/>
  <c r="GH53" i="51"/>
  <c r="GH44" i="51"/>
  <c r="GH52" i="51"/>
  <c r="GH51" i="51"/>
  <c r="GH50" i="51"/>
  <c r="GH49" i="51"/>
  <c r="GH46" i="51"/>
  <c r="GH54" i="51"/>
  <c r="GH60" i="51"/>
  <c r="GH48" i="51"/>
  <c r="GH58" i="51"/>
  <c r="GH47" i="51"/>
  <c r="GH57" i="51"/>
  <c r="GH62" i="51"/>
  <c r="GH71" i="51"/>
  <c r="GH61" i="51"/>
  <c r="GH69" i="51"/>
  <c r="GH55" i="51"/>
  <c r="GH68" i="51"/>
  <c r="GH56" i="51"/>
  <c r="GH59" i="51"/>
  <c r="GH65" i="51"/>
  <c r="GH75" i="51"/>
  <c r="GH63" i="51"/>
  <c r="GH66" i="51"/>
  <c r="GH73" i="51"/>
  <c r="GH77" i="51"/>
  <c r="GH72" i="51"/>
  <c r="GH83" i="51"/>
  <c r="GH76" i="51"/>
  <c r="GH81" i="51"/>
  <c r="GH79" i="51"/>
  <c r="GH80" i="51"/>
  <c r="GH89" i="51"/>
  <c r="GH74" i="51"/>
  <c r="GH88" i="51"/>
  <c r="GH67" i="51"/>
  <c r="GH70" i="51"/>
  <c r="GH78" i="51"/>
  <c r="GH84" i="51"/>
  <c r="GH86" i="51"/>
  <c r="GH87" i="51"/>
  <c r="GH91" i="51"/>
  <c r="GH90" i="51"/>
  <c r="GH93" i="51"/>
  <c r="GH64" i="51"/>
  <c r="GH82" i="51"/>
  <c r="GH94" i="51"/>
  <c r="GH85" i="51"/>
  <c r="GH92" i="51"/>
  <c r="GH43" i="51"/>
  <c r="D25" i="7"/>
  <c r="B31" i="9"/>
  <c r="F25" i="10"/>
  <c r="B31" i="13"/>
  <c r="B33" i="13" s="1"/>
  <c r="C33" i="13" s="1"/>
  <c r="D33" i="13" s="1"/>
  <c r="F38" i="14"/>
  <c r="F40" i="14" s="1"/>
  <c r="H40" i="14" s="1"/>
  <c r="L22" i="15"/>
  <c r="Y71" i="44" s="1"/>
  <c r="H22" i="15"/>
  <c r="Y70" i="44" s="1"/>
  <c r="AA69" i="44"/>
  <c r="B38" i="17"/>
  <c r="B40" i="17" s="1"/>
  <c r="C40" i="17" s="1"/>
  <c r="D40" i="17" s="1"/>
  <c r="Q111" i="17"/>
  <c r="GQ46" i="51"/>
  <c r="GQ54" i="51"/>
  <c r="GQ45" i="51"/>
  <c r="GQ53" i="51"/>
  <c r="GQ44" i="51"/>
  <c r="GQ52" i="51"/>
  <c r="GQ51" i="51"/>
  <c r="GQ50" i="51"/>
  <c r="GQ47" i="51"/>
  <c r="GQ61" i="51"/>
  <c r="GQ59" i="51"/>
  <c r="GQ56" i="51"/>
  <c r="GQ58" i="51"/>
  <c r="GQ48" i="51"/>
  <c r="GQ64" i="51"/>
  <c r="GQ72" i="51"/>
  <c r="GQ70" i="51"/>
  <c r="GQ63" i="51"/>
  <c r="GQ69" i="51"/>
  <c r="GQ55" i="51"/>
  <c r="GQ66" i="51"/>
  <c r="GQ49" i="51"/>
  <c r="GQ76" i="51"/>
  <c r="GQ74" i="51"/>
  <c r="GQ60" i="51"/>
  <c r="GQ62" i="51"/>
  <c r="GQ71" i="51"/>
  <c r="GQ73" i="51"/>
  <c r="GQ78" i="51"/>
  <c r="GQ84" i="51"/>
  <c r="GQ68" i="51"/>
  <c r="GQ82" i="51"/>
  <c r="GQ81" i="51"/>
  <c r="GQ79" i="51"/>
  <c r="GQ80" i="51"/>
  <c r="GQ90" i="51"/>
  <c r="GQ57" i="51"/>
  <c r="GQ89" i="51"/>
  <c r="GQ88" i="51"/>
  <c r="GQ75" i="51"/>
  <c r="GQ77" i="51"/>
  <c r="GQ86" i="51"/>
  <c r="GQ87" i="51"/>
  <c r="GQ65" i="51"/>
  <c r="GQ83" i="51"/>
  <c r="GQ67" i="51"/>
  <c r="GQ92" i="51"/>
  <c r="GQ43" i="51"/>
  <c r="GQ94" i="51"/>
  <c r="GQ85" i="51"/>
  <c r="GQ93" i="51"/>
  <c r="GQ91" i="51"/>
  <c r="Q111" i="18"/>
  <c r="GT49" i="51"/>
  <c r="GT48" i="51"/>
  <c r="GT56" i="51"/>
  <c r="GT47" i="51"/>
  <c r="GT55" i="51"/>
  <c r="GT46" i="51"/>
  <c r="GT54" i="51"/>
  <c r="GT45" i="51"/>
  <c r="GT53" i="51"/>
  <c r="GT50" i="51"/>
  <c r="GT51" i="51"/>
  <c r="GT64" i="51"/>
  <c r="GT62" i="51"/>
  <c r="GT44" i="51"/>
  <c r="GT61" i="51"/>
  <c r="GT58" i="51"/>
  <c r="GT65" i="51"/>
  <c r="GT67" i="51"/>
  <c r="GT52" i="51"/>
  <c r="GT60" i="51"/>
  <c r="GT69" i="51"/>
  <c r="GT57" i="51"/>
  <c r="GT66" i="51"/>
  <c r="GT73" i="51"/>
  <c r="GT79" i="51"/>
  <c r="GT77" i="51"/>
  <c r="GT59" i="51"/>
  <c r="GT68" i="51"/>
  <c r="GT76" i="51"/>
  <c r="GT63" i="51"/>
  <c r="GT87" i="51"/>
  <c r="GT75" i="51"/>
  <c r="GT78" i="51"/>
  <c r="GT85" i="51"/>
  <c r="GT84" i="51"/>
  <c r="GT81" i="51"/>
  <c r="GT86" i="51"/>
  <c r="GT93" i="51"/>
  <c r="GT82" i="51"/>
  <c r="GT92" i="51"/>
  <c r="GT91" i="51"/>
  <c r="GT74" i="51"/>
  <c r="GT89" i="51"/>
  <c r="GT71" i="51"/>
  <c r="GT80" i="51"/>
  <c r="GT83" i="51"/>
  <c r="GT90" i="51"/>
  <c r="GT88" i="51"/>
  <c r="GT72" i="51"/>
  <c r="GT43" i="51"/>
  <c r="GT70" i="51"/>
  <c r="GT94" i="51"/>
  <c r="Q111" i="20"/>
  <c r="GZ47" i="51"/>
  <c r="GZ55" i="51"/>
  <c r="GZ46" i="51"/>
  <c r="GZ54" i="51"/>
  <c r="GZ45" i="51"/>
  <c r="GZ53" i="51"/>
  <c r="GZ44" i="51"/>
  <c r="GZ52" i="51"/>
  <c r="GZ51" i="51"/>
  <c r="GZ48" i="51"/>
  <c r="GZ62" i="51"/>
  <c r="GZ60" i="51"/>
  <c r="GZ59" i="51"/>
  <c r="GZ73" i="51"/>
  <c r="GZ71" i="51"/>
  <c r="GZ49" i="51"/>
  <c r="GZ61" i="51"/>
  <c r="GZ70" i="51"/>
  <c r="GZ67" i="51"/>
  <c r="GZ50" i="51"/>
  <c r="GZ63" i="51"/>
  <c r="GZ65" i="51"/>
  <c r="GZ77" i="51"/>
  <c r="GZ58" i="51"/>
  <c r="GZ75" i="51"/>
  <c r="GZ56" i="51"/>
  <c r="GZ66" i="51"/>
  <c r="GZ69" i="51"/>
  <c r="GZ74" i="51"/>
  <c r="GZ64" i="51"/>
  <c r="GZ68" i="51"/>
  <c r="GZ85" i="51"/>
  <c r="GZ83" i="51"/>
  <c r="GZ76" i="51"/>
  <c r="GZ82" i="51"/>
  <c r="GZ57" i="51"/>
  <c r="GZ79" i="51"/>
  <c r="GZ80" i="51"/>
  <c r="GZ91" i="51"/>
  <c r="GZ90" i="51"/>
  <c r="GZ89" i="51"/>
  <c r="GZ72" i="51"/>
  <c r="GZ86" i="51"/>
  <c r="GZ87" i="51"/>
  <c r="GZ92" i="51"/>
  <c r="GZ81" i="51"/>
  <c r="GZ84" i="51"/>
  <c r="GZ43" i="51"/>
  <c r="GZ78" i="51"/>
  <c r="GZ94" i="51"/>
  <c r="GZ88" i="51"/>
  <c r="GZ93" i="51"/>
  <c r="Q111" i="21"/>
  <c r="HC50" i="51"/>
  <c r="HC49" i="51"/>
  <c r="HC48" i="51"/>
  <c r="HC56" i="51"/>
  <c r="HC47" i="51"/>
  <c r="HC46" i="51"/>
  <c r="HC54" i="51"/>
  <c r="HC51" i="51"/>
  <c r="HC57" i="51"/>
  <c r="HC65" i="51"/>
  <c r="HC63" i="51"/>
  <c r="HC62" i="51"/>
  <c r="HC44" i="51"/>
  <c r="HC59" i="51"/>
  <c r="HC68" i="51"/>
  <c r="HC66" i="51"/>
  <c r="HC45" i="51"/>
  <c r="HC52" i="51"/>
  <c r="HC58" i="51"/>
  <c r="HC53" i="51"/>
  <c r="HC70" i="51"/>
  <c r="HC73" i="51"/>
  <c r="HC80" i="51"/>
  <c r="HC67" i="51"/>
  <c r="HC71" i="51"/>
  <c r="HC78" i="51"/>
  <c r="HC77" i="51"/>
  <c r="HC60" i="51"/>
  <c r="HC74" i="51"/>
  <c r="HC79" i="51"/>
  <c r="HC61" i="51"/>
  <c r="HC55" i="51"/>
  <c r="HC82" i="51"/>
  <c r="HC84" i="51"/>
  <c r="HC86" i="51"/>
  <c r="HC87" i="51"/>
  <c r="HC69" i="51"/>
  <c r="HC92" i="51"/>
  <c r="HC90" i="51"/>
  <c r="HC76" i="51"/>
  <c r="HC88" i="51"/>
  <c r="HC89" i="51"/>
  <c r="HC94" i="51"/>
  <c r="HC64" i="51"/>
  <c r="HC75" i="51"/>
  <c r="HC83" i="51"/>
  <c r="HC91" i="51"/>
  <c r="HC72" i="51"/>
  <c r="HC43" i="51"/>
  <c r="HC85" i="51"/>
  <c r="HC93" i="51"/>
  <c r="HC81" i="51"/>
  <c r="D25" i="23"/>
  <c r="B23" i="45"/>
  <c r="B31" i="23"/>
  <c r="B33" i="23" s="1"/>
  <c r="C33" i="23" s="1"/>
  <c r="D33" i="23" s="1"/>
  <c r="L22" i="6"/>
  <c r="Y35" i="44" s="1"/>
  <c r="H22" i="6"/>
  <c r="Y34" i="44" s="1"/>
  <c r="G5" i="6"/>
  <c r="AA33" i="44"/>
  <c r="K5" i="8"/>
  <c r="G5" i="8"/>
  <c r="K5" i="18"/>
  <c r="G5" i="18"/>
  <c r="K5" i="22"/>
  <c r="G5" i="22"/>
  <c r="K5" i="20"/>
  <c r="G5" i="20"/>
  <c r="K5" i="15"/>
  <c r="G5" i="15"/>
  <c r="AD111" i="15"/>
  <c r="AE111" i="15"/>
  <c r="Z111" i="15"/>
  <c r="AA111" i="15"/>
  <c r="AB111" i="15"/>
  <c r="AC111" i="15"/>
  <c r="K5" i="16"/>
  <c r="G5" i="16"/>
  <c r="D25" i="16"/>
  <c r="J38" i="22"/>
  <c r="J40" i="22" s="1"/>
  <c r="L40" i="22" s="1"/>
  <c r="B38" i="23"/>
  <c r="B40" i="23" s="1"/>
  <c r="C40" i="23" s="1"/>
  <c r="D40" i="23" s="1"/>
  <c r="B31" i="8"/>
  <c r="B33" i="8" s="1"/>
  <c r="C33" i="8" s="1"/>
  <c r="D33" i="8" s="1"/>
  <c r="R111" i="9"/>
  <c r="J38" i="10"/>
  <c r="J40" i="10" s="1"/>
  <c r="L40" i="10" s="1"/>
  <c r="K5" i="11"/>
  <c r="G5" i="11"/>
  <c r="B31" i="12"/>
  <c r="B33" i="12" s="1"/>
  <c r="C33" i="12" s="1"/>
  <c r="D33" i="12" s="1"/>
  <c r="J38" i="16"/>
  <c r="J40" i="16" s="1"/>
  <c r="L40" i="16" s="1"/>
  <c r="B31" i="17"/>
  <c r="B33" i="17" s="1"/>
  <c r="C33" i="17" s="1"/>
  <c r="D33" i="17" s="1"/>
  <c r="B47" i="18"/>
  <c r="R111" i="18"/>
  <c r="AD111" i="19"/>
  <c r="AE111" i="19"/>
  <c r="Z111" i="19"/>
  <c r="AA111" i="19"/>
  <c r="AB111" i="19"/>
  <c r="AC111" i="19"/>
  <c r="J47" i="23"/>
  <c r="J49" i="23" s="1"/>
  <c r="K49" i="23" s="1"/>
  <c r="L49" i="23" s="1"/>
  <c r="AD111" i="23"/>
  <c r="AE111" i="23"/>
  <c r="Z111" i="23"/>
  <c r="AA111" i="23"/>
  <c r="AB111" i="23"/>
  <c r="AC111" i="23"/>
  <c r="F38" i="7"/>
  <c r="F40" i="7" s="1"/>
  <c r="H40" i="7" s="1"/>
  <c r="S111" i="9"/>
  <c r="B38" i="10"/>
  <c r="B40" i="10" s="1"/>
  <c r="C40" i="10" s="1"/>
  <c r="D40" i="10" s="1"/>
  <c r="AB111" i="10"/>
  <c r="AC111" i="10"/>
  <c r="AD111" i="10"/>
  <c r="AE111" i="10"/>
  <c r="Z111" i="10"/>
  <c r="AA111" i="10"/>
  <c r="K5" i="12"/>
  <c r="G5" i="12"/>
  <c r="B40" i="16"/>
  <c r="C40" i="16" s="1"/>
  <c r="D40" i="16" s="1"/>
  <c r="K5" i="17"/>
  <c r="G5" i="17"/>
  <c r="B33" i="21"/>
  <c r="C33" i="21" s="1"/>
  <c r="D33" i="21" s="1"/>
  <c r="J40" i="8"/>
  <c r="L40" i="8" s="1"/>
  <c r="B33" i="9"/>
  <c r="C33" i="9" s="1"/>
  <c r="D33" i="9" s="1"/>
  <c r="AD111" i="11"/>
  <c r="AE111" i="11"/>
  <c r="Z111" i="11"/>
  <c r="AA111" i="11"/>
  <c r="AB111" i="11"/>
  <c r="AC111" i="11"/>
  <c r="K5" i="13"/>
  <c r="G5" i="13"/>
  <c r="F38" i="16"/>
  <c r="F40" i="16" s="1"/>
  <c r="H40" i="16" s="1"/>
  <c r="Z111" i="16"/>
  <c r="AA111" i="16"/>
  <c r="AB111" i="16"/>
  <c r="AC111" i="16"/>
  <c r="AD111" i="16"/>
  <c r="AE111" i="16"/>
  <c r="J40" i="17"/>
  <c r="L40" i="17" s="1"/>
  <c r="J38" i="19"/>
  <c r="J40" i="19" s="1"/>
  <c r="L40" i="19" s="1"/>
  <c r="R111" i="19"/>
  <c r="B38" i="20"/>
  <c r="B40" i="20" s="1"/>
  <c r="C40" i="20" s="1"/>
  <c r="D40" i="20" s="1"/>
  <c r="K5" i="21"/>
  <c r="G5" i="21"/>
  <c r="J47" i="22"/>
  <c r="J49" i="22" s="1"/>
  <c r="K49" i="22" s="1"/>
  <c r="L49" i="22" s="1"/>
  <c r="AB111" i="22"/>
  <c r="AC111" i="22"/>
  <c r="AD111" i="22"/>
  <c r="AE111" i="22"/>
  <c r="Z111" i="22"/>
  <c r="AA111" i="22"/>
  <c r="K5" i="23"/>
  <c r="G5" i="23"/>
  <c r="K5" i="9"/>
  <c r="G5" i="9"/>
  <c r="Z111" i="12"/>
  <c r="AA111" i="12"/>
  <c r="AB111" i="12"/>
  <c r="AC111" i="12"/>
  <c r="AD111" i="12"/>
  <c r="AE111" i="12"/>
  <c r="K5" i="14"/>
  <c r="G5" i="14"/>
  <c r="D25" i="14"/>
  <c r="Z111" i="20"/>
  <c r="AA111" i="20"/>
  <c r="AB111" i="20"/>
  <c r="AC111" i="20"/>
  <c r="AD111" i="20"/>
  <c r="AE111" i="20"/>
  <c r="Z111" i="8"/>
  <c r="AA111" i="8"/>
  <c r="AB111" i="8"/>
  <c r="AC111" i="8"/>
  <c r="AD111" i="8"/>
  <c r="AE111" i="8"/>
  <c r="J38" i="9"/>
  <c r="J40" i="9" s="1"/>
  <c r="L40" i="9" s="1"/>
  <c r="R111" i="11"/>
  <c r="B38" i="13"/>
  <c r="B40" i="13" s="1"/>
  <c r="C40" i="13" s="1"/>
  <c r="D40" i="13" s="1"/>
  <c r="Z111" i="13"/>
  <c r="AA111" i="13"/>
  <c r="AB111" i="13"/>
  <c r="AC111" i="13"/>
  <c r="AD111" i="13"/>
  <c r="AE111" i="13"/>
  <c r="F25" i="16"/>
  <c r="F46" i="16" s="1"/>
  <c r="R111" i="16"/>
  <c r="F38" i="17"/>
  <c r="F40" i="17" s="1"/>
  <c r="H40" i="17" s="1"/>
  <c r="Z111" i="17"/>
  <c r="AA111" i="17"/>
  <c r="AB111" i="17"/>
  <c r="AC111" i="17"/>
  <c r="AD111" i="17"/>
  <c r="AE111" i="17"/>
  <c r="B38" i="21"/>
  <c r="B40" i="21" s="1"/>
  <c r="C40" i="21" s="1"/>
  <c r="D40" i="21" s="1"/>
  <c r="Z111" i="21"/>
  <c r="AA111" i="21"/>
  <c r="AB111" i="21"/>
  <c r="AC111" i="21"/>
  <c r="AD111" i="21"/>
  <c r="AE111" i="21"/>
  <c r="R111" i="22"/>
  <c r="B31" i="7"/>
  <c r="B33" i="7" s="1"/>
  <c r="C33" i="7" s="1"/>
  <c r="D33" i="7" s="1"/>
  <c r="B38" i="9"/>
  <c r="B40" i="9" s="1"/>
  <c r="C40" i="9" s="1"/>
  <c r="D40" i="9" s="1"/>
  <c r="D25" i="11"/>
  <c r="S111" i="11"/>
  <c r="J38" i="12"/>
  <c r="J40" i="12" s="1"/>
  <c r="L40" i="12" s="1"/>
  <c r="AB111" i="14"/>
  <c r="AC111" i="14"/>
  <c r="AD111" i="14"/>
  <c r="AE111" i="14"/>
  <c r="Z111" i="14"/>
  <c r="AA111" i="14"/>
  <c r="D25" i="15"/>
  <c r="J38" i="15"/>
  <c r="J40" i="15" s="1"/>
  <c r="L40" i="15" s="1"/>
  <c r="S111" i="16"/>
  <c r="J38" i="18"/>
  <c r="J40" i="18" s="1"/>
  <c r="L40" i="18" s="1"/>
  <c r="B31" i="19"/>
  <c r="B33" i="19" s="1"/>
  <c r="C33" i="19" s="1"/>
  <c r="D33" i="19" s="1"/>
  <c r="D25" i="20"/>
  <c r="R111" i="20"/>
  <c r="B31" i="22"/>
  <c r="B33" i="22" s="1"/>
  <c r="C33" i="22" s="1"/>
  <c r="D33" i="22" s="1"/>
  <c r="S111" i="22"/>
  <c r="J38" i="23"/>
  <c r="J40" i="23" s="1"/>
  <c r="L40" i="23" s="1"/>
  <c r="G5" i="7"/>
  <c r="K5" i="7"/>
  <c r="D25" i="8"/>
  <c r="F38" i="9"/>
  <c r="F40" i="9" s="1"/>
  <c r="H40" i="9" s="1"/>
  <c r="Z111" i="9"/>
  <c r="AA111" i="9"/>
  <c r="AB111" i="9"/>
  <c r="AC111" i="9"/>
  <c r="AD111" i="9"/>
  <c r="AE111" i="9"/>
  <c r="K5" i="10"/>
  <c r="G5" i="10"/>
  <c r="B33" i="10"/>
  <c r="C33" i="10" s="1"/>
  <c r="D33" i="10" s="1"/>
  <c r="D25" i="12"/>
  <c r="B47" i="13"/>
  <c r="B38" i="15"/>
  <c r="B40" i="15" s="1"/>
  <c r="C40" i="15" s="1"/>
  <c r="D40" i="15" s="1"/>
  <c r="B31" i="16"/>
  <c r="B33" i="16" s="1"/>
  <c r="C33" i="16" s="1"/>
  <c r="D33" i="16" s="1"/>
  <c r="D25" i="17"/>
  <c r="AB111" i="18"/>
  <c r="AC111" i="18"/>
  <c r="AD111" i="18"/>
  <c r="AE111" i="18"/>
  <c r="Z111" i="18"/>
  <c r="AA111" i="18"/>
  <c r="K5" i="19"/>
  <c r="G5" i="19"/>
  <c r="D25" i="19"/>
  <c r="K5" i="6"/>
  <c r="J38" i="6"/>
  <c r="J40" i="6" s="1"/>
  <c r="L40" i="6" s="1"/>
  <c r="B38" i="6"/>
  <c r="B40" i="6" s="1"/>
  <c r="C40" i="6" s="1"/>
  <c r="D40" i="6" s="1"/>
  <c r="F38" i="6"/>
  <c r="F40" i="6" s="1"/>
  <c r="H40" i="6" s="1"/>
  <c r="B31" i="6"/>
  <c r="B33" i="6" s="1"/>
  <c r="C33" i="6" s="1"/>
  <c r="D33" i="6" s="1"/>
  <c r="B38" i="5"/>
  <c r="B40" i="5" s="1"/>
  <c r="C40" i="5" s="1"/>
  <c r="J38" i="5"/>
  <c r="J40" i="5" s="1"/>
  <c r="L40" i="5" s="1"/>
  <c r="F25" i="5"/>
  <c r="F46" i="5" s="1"/>
  <c r="B31" i="5"/>
  <c r="B33" i="5" s="1"/>
  <c r="C33" i="5" s="1"/>
  <c r="B47" i="23"/>
  <c r="B49" i="23" s="1"/>
  <c r="C49" i="23" s="1"/>
  <c r="D49" i="23" s="1"/>
  <c r="F47" i="23"/>
  <c r="F46" i="23"/>
  <c r="B47" i="22"/>
  <c r="B49" i="22" s="1"/>
  <c r="C49" i="22" s="1"/>
  <c r="D49" i="22" s="1"/>
  <c r="F47" i="22"/>
  <c r="F46" i="22"/>
  <c r="F25" i="21"/>
  <c r="J25" i="21"/>
  <c r="F38" i="21"/>
  <c r="F40" i="21" s="1"/>
  <c r="H40" i="21" s="1"/>
  <c r="B47" i="21"/>
  <c r="B49" i="21" s="1"/>
  <c r="C49" i="21" s="1"/>
  <c r="D49" i="21" s="1"/>
  <c r="B47" i="20"/>
  <c r="B49" i="20" s="1"/>
  <c r="C49" i="20" s="1"/>
  <c r="D49" i="20" s="1"/>
  <c r="J25" i="20"/>
  <c r="F25" i="20"/>
  <c r="B47" i="19"/>
  <c r="B49" i="19" s="1"/>
  <c r="C49" i="19" s="1"/>
  <c r="D49" i="19" s="1"/>
  <c r="F47" i="19"/>
  <c r="J25" i="19"/>
  <c r="B38" i="19"/>
  <c r="B40" i="19" s="1"/>
  <c r="C40" i="19" s="1"/>
  <c r="D40" i="19" s="1"/>
  <c r="F38" i="19"/>
  <c r="F40" i="19" s="1"/>
  <c r="H40" i="19" s="1"/>
  <c r="F46" i="19"/>
  <c r="F25" i="18"/>
  <c r="J25" i="18"/>
  <c r="B38" i="18"/>
  <c r="B40" i="18" s="1"/>
  <c r="C40" i="18" s="1"/>
  <c r="D40" i="18" s="1"/>
  <c r="F38" i="18"/>
  <c r="F40" i="18" s="1"/>
  <c r="H40" i="18" s="1"/>
  <c r="B46" i="18"/>
  <c r="F25" i="17"/>
  <c r="J25" i="17"/>
  <c r="B47" i="17"/>
  <c r="B49" i="17" s="1"/>
  <c r="C49" i="17" s="1"/>
  <c r="D49" i="17" s="1"/>
  <c r="B47" i="16"/>
  <c r="B49" i="16" s="1"/>
  <c r="C49" i="16" s="1"/>
  <c r="D49" i="16" s="1"/>
  <c r="F47" i="16"/>
  <c r="J25" i="16"/>
  <c r="B47" i="15"/>
  <c r="B49" i="15" s="1"/>
  <c r="C49" i="15" s="1"/>
  <c r="D49" i="15" s="1"/>
  <c r="J25" i="15"/>
  <c r="F25" i="15"/>
  <c r="B47" i="14"/>
  <c r="B49" i="14" s="1"/>
  <c r="C49" i="14" s="1"/>
  <c r="D49" i="14" s="1"/>
  <c r="F25" i="14"/>
  <c r="J25" i="14"/>
  <c r="B38" i="14"/>
  <c r="B40" i="14" s="1"/>
  <c r="C40" i="14" s="1"/>
  <c r="D40" i="14" s="1"/>
  <c r="F25" i="13"/>
  <c r="J25" i="13"/>
  <c r="F38" i="13"/>
  <c r="F40" i="13" s="1"/>
  <c r="H40" i="13" s="1"/>
  <c r="B46" i="13"/>
  <c r="B47" i="12"/>
  <c r="B49" i="12" s="1"/>
  <c r="C49" i="12" s="1"/>
  <c r="D49" i="12" s="1"/>
  <c r="F25" i="12"/>
  <c r="J25" i="12"/>
  <c r="B38" i="12"/>
  <c r="B40" i="12" s="1"/>
  <c r="C40" i="12" s="1"/>
  <c r="D40" i="12" s="1"/>
  <c r="F38" i="12"/>
  <c r="F40" i="12" s="1"/>
  <c r="H40" i="12" s="1"/>
  <c r="F25" i="11"/>
  <c r="J25" i="11"/>
  <c r="B38" i="11"/>
  <c r="B40" i="11" s="1"/>
  <c r="C40" i="11" s="1"/>
  <c r="D40" i="11" s="1"/>
  <c r="B47" i="11"/>
  <c r="B49" i="11" s="1"/>
  <c r="C49" i="11" s="1"/>
  <c r="D49" i="11" s="1"/>
  <c r="F38" i="11"/>
  <c r="F40" i="11" s="1"/>
  <c r="H40" i="11" s="1"/>
  <c r="B47" i="10"/>
  <c r="B49" i="10" s="1"/>
  <c r="C49" i="10" s="1"/>
  <c r="D49" i="10" s="1"/>
  <c r="F47" i="10"/>
  <c r="J25" i="10"/>
  <c r="F38" i="10"/>
  <c r="F40" i="10" s="1"/>
  <c r="H40" i="10" s="1"/>
  <c r="F46" i="10"/>
  <c r="B47" i="9"/>
  <c r="B49" i="9" s="1"/>
  <c r="C49" i="9" s="1"/>
  <c r="D49" i="9" s="1"/>
  <c r="F25" i="9"/>
  <c r="J25" i="9"/>
  <c r="J25" i="8"/>
  <c r="F25" i="8"/>
  <c r="B47" i="8"/>
  <c r="B49" i="8" s="1"/>
  <c r="C49" i="8" s="1"/>
  <c r="D49" i="8" s="1"/>
  <c r="J25" i="7"/>
  <c r="B47" i="7"/>
  <c r="B49" i="7" s="1"/>
  <c r="C49" i="7" s="1"/>
  <c r="D49" i="7" s="1"/>
  <c r="F25" i="7"/>
  <c r="J46" i="5"/>
  <c r="J47" i="5"/>
  <c r="B47" i="5"/>
  <c r="B46" i="5"/>
  <c r="F38" i="5"/>
  <c r="F40" i="5" s="1"/>
  <c r="H40" i="5" s="1"/>
  <c r="B49" i="18" l="1"/>
  <c r="C49" i="18" s="1"/>
  <c r="D49" i="18" s="1"/>
  <c r="F49" i="23"/>
  <c r="G49" i="23" s="1"/>
  <c r="H49" i="23" s="1"/>
  <c r="HC98" i="51"/>
  <c r="FX98" i="51"/>
  <c r="GV98" i="51"/>
  <c r="GB98" i="51"/>
  <c r="GQ98" i="51"/>
  <c r="FW98" i="51"/>
  <c r="HE98" i="51"/>
  <c r="GM98" i="51"/>
  <c r="GX98" i="51"/>
  <c r="GK98" i="51"/>
  <c r="GT98" i="51"/>
  <c r="GG98" i="51"/>
  <c r="HJ98" i="51"/>
  <c r="GI98" i="51"/>
  <c r="GE98" i="51"/>
  <c r="HA98" i="51"/>
  <c r="GU98" i="51"/>
  <c r="GN98" i="51"/>
  <c r="GH98" i="51"/>
  <c r="HK98" i="51"/>
  <c r="FZ98" i="51"/>
  <c r="FY98" i="51"/>
  <c r="HB98" i="51"/>
  <c r="FS98" i="51"/>
  <c r="GS98" i="51"/>
  <c r="FN98" i="51"/>
  <c r="FU98" i="51"/>
  <c r="GJ98" i="51"/>
  <c r="GF98" i="51"/>
  <c r="GC98" i="51"/>
  <c r="HG98" i="51"/>
  <c r="GL98" i="51"/>
  <c r="HF98" i="51"/>
  <c r="FR98" i="51"/>
  <c r="GO98" i="51"/>
  <c r="HH98" i="51"/>
  <c r="GY98" i="51"/>
  <c r="GP98" i="51"/>
  <c r="FQ98" i="51"/>
  <c r="FM98" i="51"/>
  <c r="FO98" i="51"/>
  <c r="GZ98" i="51"/>
  <c r="GA98" i="51"/>
  <c r="GD98" i="51"/>
  <c r="FV98" i="51"/>
  <c r="FT98" i="51"/>
  <c r="FP98" i="51"/>
  <c r="HI98" i="51"/>
  <c r="HD98" i="51"/>
  <c r="GW98" i="51"/>
  <c r="GR98" i="51"/>
  <c r="L5" i="9"/>
  <c r="AA47" i="44"/>
  <c r="L5" i="12"/>
  <c r="AA59" i="44"/>
  <c r="H5" i="23"/>
  <c r="AA102" i="44"/>
  <c r="H5" i="18"/>
  <c r="AA82" i="44"/>
  <c r="GH96" i="51"/>
  <c r="GH97" i="51"/>
  <c r="HK97" i="51"/>
  <c r="HK96" i="51"/>
  <c r="FZ96" i="51"/>
  <c r="FZ97" i="51"/>
  <c r="HJ97" i="51"/>
  <c r="HJ96" i="51"/>
  <c r="GI97" i="51"/>
  <c r="GI96" i="51"/>
  <c r="GE97" i="51"/>
  <c r="GE96" i="51"/>
  <c r="HA97" i="51"/>
  <c r="HA96" i="51"/>
  <c r="GU97" i="51"/>
  <c r="GU96" i="51"/>
  <c r="GN96" i="51"/>
  <c r="GN97" i="51"/>
  <c r="L5" i="13"/>
  <c r="AA63" i="44"/>
  <c r="L5" i="22"/>
  <c r="AA99" i="44"/>
  <c r="F49" i="19"/>
  <c r="G49" i="19" s="1"/>
  <c r="H49" i="19" s="1"/>
  <c r="L5" i="23"/>
  <c r="AA103" i="44"/>
  <c r="H5" i="21"/>
  <c r="AA94" i="44"/>
  <c r="H5" i="17"/>
  <c r="AA78" i="44"/>
  <c r="H5" i="11"/>
  <c r="AA54" i="44"/>
  <c r="L5" i="18"/>
  <c r="AA83" i="44"/>
  <c r="FU96" i="51"/>
  <c r="FU97" i="51"/>
  <c r="FY96" i="51"/>
  <c r="FY97" i="51"/>
  <c r="HB97" i="51"/>
  <c r="HB96" i="51"/>
  <c r="FS97" i="51"/>
  <c r="FS96" i="51"/>
  <c r="GS97" i="51"/>
  <c r="GS96" i="51"/>
  <c r="B49" i="13"/>
  <c r="C49" i="13" s="1"/>
  <c r="D49" i="13" s="1"/>
  <c r="H5" i="10"/>
  <c r="F30" i="10" s="1"/>
  <c r="AA50" i="44"/>
  <c r="L5" i="21"/>
  <c r="AA95" i="44"/>
  <c r="L5" i="17"/>
  <c r="AA79" i="44"/>
  <c r="L5" i="11"/>
  <c r="AA55" i="44"/>
  <c r="H5" i="16"/>
  <c r="F31" i="16" s="1"/>
  <c r="AA74" i="44"/>
  <c r="H5" i="15"/>
  <c r="AA70" i="44"/>
  <c r="H5" i="8"/>
  <c r="AA42" i="44"/>
  <c r="FR96" i="51"/>
  <c r="FR97" i="51"/>
  <c r="GJ97" i="51"/>
  <c r="GJ96" i="51"/>
  <c r="GF96" i="51"/>
  <c r="GF97" i="51"/>
  <c r="GC97" i="51"/>
  <c r="GC96" i="51"/>
  <c r="HG97" i="51"/>
  <c r="HG96" i="51"/>
  <c r="GL97" i="51"/>
  <c r="GL96" i="51"/>
  <c r="HF96" i="51"/>
  <c r="HF97" i="51"/>
  <c r="FN97" i="51"/>
  <c r="FN96" i="51"/>
  <c r="L5" i="16"/>
  <c r="AA75" i="44"/>
  <c r="L5" i="15"/>
  <c r="AA71" i="44"/>
  <c r="L5" i="8"/>
  <c r="AA43" i="44"/>
  <c r="FQ96" i="51"/>
  <c r="FQ97" i="51"/>
  <c r="FM97" i="51"/>
  <c r="FM96" i="51"/>
  <c r="GO96" i="51"/>
  <c r="GO97" i="51"/>
  <c r="HH97" i="51"/>
  <c r="HH96" i="51"/>
  <c r="GY97" i="51"/>
  <c r="GY96" i="51"/>
  <c r="GP96" i="51"/>
  <c r="GP97" i="51"/>
  <c r="H5" i="19"/>
  <c r="F30" i="19" s="1"/>
  <c r="AA86" i="44"/>
  <c r="L5" i="7"/>
  <c r="J30" i="7" s="1"/>
  <c r="AA39" i="44"/>
  <c r="H5" i="20"/>
  <c r="AA90" i="44"/>
  <c r="GZ96" i="51"/>
  <c r="GZ97" i="51"/>
  <c r="GA97" i="51"/>
  <c r="GA96" i="51"/>
  <c r="GD97" i="51"/>
  <c r="GD96" i="51"/>
  <c r="FV97" i="51"/>
  <c r="FV96" i="51"/>
  <c r="FO97" i="51"/>
  <c r="FO96" i="51"/>
  <c r="L5" i="19"/>
  <c r="AA87" i="44"/>
  <c r="H5" i="7"/>
  <c r="F30" i="7" s="1"/>
  <c r="AA38" i="44"/>
  <c r="H5" i="14"/>
  <c r="AA66" i="44"/>
  <c r="L5" i="20"/>
  <c r="AA91" i="44"/>
  <c r="FT96" i="51"/>
  <c r="FT97" i="51"/>
  <c r="FP96" i="51"/>
  <c r="FP97" i="51"/>
  <c r="HI97" i="51"/>
  <c r="HI96" i="51"/>
  <c r="HD96" i="51"/>
  <c r="HD97" i="51"/>
  <c r="GW96" i="51"/>
  <c r="GW97" i="51"/>
  <c r="GR96" i="51"/>
  <c r="GR97" i="51"/>
  <c r="L5" i="10"/>
  <c r="AA51" i="44"/>
  <c r="L5" i="14"/>
  <c r="AA67" i="44"/>
  <c r="H5" i="9"/>
  <c r="F31" i="9" s="1"/>
  <c r="AA46" i="44"/>
  <c r="H5" i="13"/>
  <c r="AA62" i="44"/>
  <c r="H5" i="12"/>
  <c r="F30" i="12" s="1"/>
  <c r="AA58" i="44"/>
  <c r="H5" i="22"/>
  <c r="F31" i="22" s="1"/>
  <c r="AA98" i="44"/>
  <c r="HC97" i="51"/>
  <c r="HC96" i="51"/>
  <c r="GQ97" i="51"/>
  <c r="GQ96" i="51"/>
  <c r="FX96" i="51"/>
  <c r="FX97" i="51"/>
  <c r="FW97" i="51"/>
  <c r="FW96" i="51"/>
  <c r="GV96" i="51"/>
  <c r="GV97" i="51"/>
  <c r="HE96" i="51"/>
  <c r="HE97" i="51"/>
  <c r="GM97" i="51"/>
  <c r="GM96" i="51"/>
  <c r="GX96" i="51"/>
  <c r="GX97" i="51"/>
  <c r="GK96" i="51"/>
  <c r="GK97" i="51"/>
  <c r="GT97" i="51"/>
  <c r="GT96" i="51"/>
  <c r="GG97" i="51"/>
  <c r="GG96" i="51"/>
  <c r="GB97" i="51"/>
  <c r="GB96" i="51"/>
  <c r="L5" i="6"/>
  <c r="J30" i="6" s="1"/>
  <c r="AA35" i="44"/>
  <c r="H5" i="6"/>
  <c r="F31" i="6" s="1"/>
  <c r="AA34" i="44"/>
  <c r="F30" i="9"/>
  <c r="F31" i="10"/>
  <c r="F30" i="20"/>
  <c r="F31" i="20"/>
  <c r="F31" i="23"/>
  <c r="F30" i="23"/>
  <c r="F49" i="22"/>
  <c r="G49" i="22" s="1"/>
  <c r="H49" i="22" s="1"/>
  <c r="F49" i="16"/>
  <c r="G49" i="16" s="1"/>
  <c r="H49" i="16" s="1"/>
  <c r="F31" i="17"/>
  <c r="F30" i="17"/>
  <c r="F49" i="10"/>
  <c r="G49" i="10" s="1"/>
  <c r="H49" i="10" s="1"/>
  <c r="F30" i="16"/>
  <c r="F31" i="15"/>
  <c r="F30" i="15"/>
  <c r="F31" i="8"/>
  <c r="F30" i="8"/>
  <c r="F31" i="12"/>
  <c r="F47" i="5"/>
  <c r="F49" i="5" s="1"/>
  <c r="G49" i="5" s="1"/>
  <c r="H49" i="5" s="1"/>
  <c r="J49" i="5"/>
  <c r="K49" i="5" s="1"/>
  <c r="L49" i="5" s="1"/>
  <c r="B49" i="5"/>
  <c r="C49" i="5" s="1"/>
  <c r="F46" i="21"/>
  <c r="F47" i="21"/>
  <c r="F49" i="21" s="1"/>
  <c r="G49" i="21" s="1"/>
  <c r="H49" i="21" s="1"/>
  <c r="J46" i="21"/>
  <c r="J47" i="21"/>
  <c r="F46" i="20"/>
  <c r="F47" i="20"/>
  <c r="J46" i="20"/>
  <c r="J47" i="20"/>
  <c r="J49" i="20" s="1"/>
  <c r="K49" i="20" s="1"/>
  <c r="L49" i="20" s="1"/>
  <c r="J46" i="19"/>
  <c r="J47" i="19"/>
  <c r="J49" i="19" s="1"/>
  <c r="K49" i="19" s="1"/>
  <c r="L49" i="19" s="1"/>
  <c r="J46" i="18"/>
  <c r="J47" i="18"/>
  <c r="F46" i="18"/>
  <c r="F47" i="18"/>
  <c r="F46" i="17"/>
  <c r="F47" i="17"/>
  <c r="J46" i="17"/>
  <c r="J47" i="17"/>
  <c r="J46" i="16"/>
  <c r="J47" i="16"/>
  <c r="F46" i="15"/>
  <c r="F47" i="15"/>
  <c r="J46" i="15"/>
  <c r="J47" i="15"/>
  <c r="J49" i="15" s="1"/>
  <c r="K49" i="15" s="1"/>
  <c r="L49" i="15" s="1"/>
  <c r="F46" i="14"/>
  <c r="F47" i="14"/>
  <c r="J46" i="14"/>
  <c r="J47" i="14"/>
  <c r="J49" i="14" s="1"/>
  <c r="K49" i="14" s="1"/>
  <c r="L49" i="14" s="1"/>
  <c r="J46" i="13"/>
  <c r="J47" i="13"/>
  <c r="F46" i="13"/>
  <c r="F47" i="13"/>
  <c r="F46" i="12"/>
  <c r="F47" i="12"/>
  <c r="J46" i="12"/>
  <c r="J47" i="12"/>
  <c r="F46" i="11"/>
  <c r="F47" i="11"/>
  <c r="F49" i="11" s="1"/>
  <c r="G49" i="11" s="1"/>
  <c r="H49" i="11" s="1"/>
  <c r="J46" i="11"/>
  <c r="J47" i="11"/>
  <c r="J46" i="10"/>
  <c r="J47" i="10"/>
  <c r="J49" i="10" s="1"/>
  <c r="K49" i="10" s="1"/>
  <c r="L49" i="10" s="1"/>
  <c r="F46" i="9"/>
  <c r="F47" i="9"/>
  <c r="F49" i="9" s="1"/>
  <c r="G49" i="9" s="1"/>
  <c r="H49" i="9" s="1"/>
  <c r="J46" i="9"/>
  <c r="J47" i="9"/>
  <c r="J49" i="9" s="1"/>
  <c r="K49" i="9" s="1"/>
  <c r="L49" i="9" s="1"/>
  <c r="F46" i="8"/>
  <c r="F47" i="8"/>
  <c r="F49" i="8" s="1"/>
  <c r="G49" i="8" s="1"/>
  <c r="H49" i="8" s="1"/>
  <c r="J46" i="8"/>
  <c r="J47" i="8"/>
  <c r="J49" i="8" s="1"/>
  <c r="K49" i="8" s="1"/>
  <c r="L49" i="8" s="1"/>
  <c r="J46" i="7"/>
  <c r="J47" i="7"/>
  <c r="F46" i="7"/>
  <c r="F47" i="7"/>
  <c r="F30" i="22" l="1"/>
  <c r="J49" i="16"/>
  <c r="K49" i="16" s="1"/>
  <c r="L49" i="16" s="1"/>
  <c r="J49" i="21"/>
  <c r="K49" i="21" s="1"/>
  <c r="L49" i="21" s="1"/>
  <c r="F31" i="19"/>
  <c r="F31" i="7"/>
  <c r="H33" i="7" s="1"/>
  <c r="J31" i="7"/>
  <c r="J49" i="7"/>
  <c r="K49" i="7" s="1"/>
  <c r="L49" i="7" s="1"/>
  <c r="J30" i="18"/>
  <c r="J31" i="18"/>
  <c r="J30" i="23"/>
  <c r="J31" i="23"/>
  <c r="F30" i="13"/>
  <c r="F31" i="13"/>
  <c r="J30" i="8"/>
  <c r="J31" i="8"/>
  <c r="J30" i="21"/>
  <c r="J31" i="21"/>
  <c r="F30" i="18"/>
  <c r="F31" i="18"/>
  <c r="F30" i="11"/>
  <c r="F31" i="11"/>
  <c r="J49" i="18"/>
  <c r="K49" i="18" s="1"/>
  <c r="L49" i="18" s="1"/>
  <c r="J31" i="19"/>
  <c r="J30" i="19"/>
  <c r="J31" i="15"/>
  <c r="J30" i="15"/>
  <c r="J30" i="22"/>
  <c r="J31" i="22"/>
  <c r="F30" i="6"/>
  <c r="F33" i="6" s="1"/>
  <c r="J30" i="14"/>
  <c r="J31" i="14"/>
  <c r="J30" i="20"/>
  <c r="J31" i="20"/>
  <c r="J30" i="16"/>
  <c r="J31" i="16"/>
  <c r="J31" i="11"/>
  <c r="J30" i="11"/>
  <c r="J30" i="13"/>
  <c r="J31" i="13"/>
  <c r="J30" i="12"/>
  <c r="J31" i="12"/>
  <c r="J49" i="12"/>
  <c r="K49" i="12" s="1"/>
  <c r="L49" i="12" s="1"/>
  <c r="F30" i="21"/>
  <c r="F31" i="21"/>
  <c r="J49" i="11"/>
  <c r="K49" i="11" s="1"/>
  <c r="L49" i="11" s="1"/>
  <c r="J30" i="10"/>
  <c r="J31" i="10"/>
  <c r="F30" i="14"/>
  <c r="F31" i="14"/>
  <c r="J30" i="17"/>
  <c r="J31" i="17"/>
  <c r="J30" i="9"/>
  <c r="J31" i="9"/>
  <c r="J31" i="6"/>
  <c r="L33" i="6" s="1"/>
  <c r="F49" i="13"/>
  <c r="G49" i="13" s="1"/>
  <c r="H49" i="13" s="1"/>
  <c r="F49" i="14"/>
  <c r="G49" i="14" s="1"/>
  <c r="H49" i="14" s="1"/>
  <c r="J49" i="17"/>
  <c r="K49" i="17" s="1"/>
  <c r="L49" i="17" s="1"/>
  <c r="H33" i="8"/>
  <c r="F33" i="8"/>
  <c r="H33" i="23"/>
  <c r="F33" i="23"/>
  <c r="F33" i="20"/>
  <c r="H33" i="20"/>
  <c r="F49" i="7"/>
  <c r="G49" i="7" s="1"/>
  <c r="H49" i="7" s="1"/>
  <c r="J49" i="13"/>
  <c r="K49" i="13" s="1"/>
  <c r="L49" i="13" s="1"/>
  <c r="F49" i="17"/>
  <c r="G49" i="17" s="1"/>
  <c r="H49" i="17" s="1"/>
  <c r="H33" i="15"/>
  <c r="F33" i="15"/>
  <c r="H33" i="19"/>
  <c r="F33" i="19"/>
  <c r="H33" i="10"/>
  <c r="F33" i="10"/>
  <c r="F49" i="12"/>
  <c r="G49" i="12" s="1"/>
  <c r="H49" i="12" s="1"/>
  <c r="F49" i="20"/>
  <c r="G49" i="20" s="1"/>
  <c r="H49" i="20" s="1"/>
  <c r="H33" i="16"/>
  <c r="F33" i="16"/>
  <c r="F33" i="9"/>
  <c r="H33" i="9"/>
  <c r="F49" i="18"/>
  <c r="F33" i="12"/>
  <c r="H33" i="12"/>
  <c r="H33" i="22"/>
  <c r="F33" i="22"/>
  <c r="F49" i="15"/>
  <c r="G49" i="15" s="1"/>
  <c r="H49" i="15" s="1"/>
  <c r="H33" i="17"/>
  <c r="F33" i="17"/>
  <c r="G49" i="18"/>
  <c r="H49" i="18" s="1"/>
  <c r="F33" i="7" l="1"/>
  <c r="L33" i="7"/>
  <c r="J33" i="7"/>
  <c r="H33" i="6"/>
  <c r="L33" i="10"/>
  <c r="J33" i="10"/>
  <c r="L33" i="13"/>
  <c r="J33" i="13"/>
  <c r="L33" i="14"/>
  <c r="J33" i="14"/>
  <c r="J33" i="19"/>
  <c r="C1" i="19" s="1"/>
  <c r="L33" i="19"/>
  <c r="J33" i="8"/>
  <c r="L33" i="8"/>
  <c r="C1" i="8" s="1"/>
  <c r="C1" i="22"/>
  <c r="J33" i="9"/>
  <c r="L33" i="9"/>
  <c r="H33" i="11"/>
  <c r="F33" i="11"/>
  <c r="H33" i="13"/>
  <c r="F33" i="13"/>
  <c r="F33" i="21"/>
  <c r="H33" i="21"/>
  <c r="L33" i="11"/>
  <c r="J33" i="11"/>
  <c r="L33" i="22"/>
  <c r="J33" i="22"/>
  <c r="L33" i="17"/>
  <c r="J33" i="17"/>
  <c r="C1" i="17" s="1"/>
  <c r="L33" i="16"/>
  <c r="J33" i="16"/>
  <c r="C1" i="16" s="1"/>
  <c r="H33" i="18"/>
  <c r="F33" i="18"/>
  <c r="L33" i="23"/>
  <c r="J33" i="23"/>
  <c r="C1" i="20"/>
  <c r="H33" i="14"/>
  <c r="F33" i="14"/>
  <c r="J33" i="12"/>
  <c r="C1" i="12" s="1"/>
  <c r="L33" i="12"/>
  <c r="L33" i="20"/>
  <c r="J33" i="20"/>
  <c r="J33" i="15"/>
  <c r="L33" i="15"/>
  <c r="L33" i="21"/>
  <c r="J33" i="21"/>
  <c r="J33" i="18"/>
  <c r="C1" i="18" s="1"/>
  <c r="L33" i="18"/>
  <c r="J33" i="6"/>
  <c r="C1" i="10"/>
  <c r="J27" i="4"/>
  <c r="J26" i="4"/>
  <c r="F27" i="4"/>
  <c r="F26" i="4"/>
  <c r="C1" i="13" l="1"/>
  <c r="C1" i="15"/>
  <c r="C1" i="23"/>
  <c r="C1" i="7"/>
  <c r="C1" i="11"/>
  <c r="C1" i="14"/>
  <c r="C1" i="21"/>
  <c r="C1" i="9"/>
  <c r="D47" i="2"/>
  <c r="AH10" i="53" s="1"/>
  <c r="D48" i="2"/>
  <c r="AH11" i="53" s="1"/>
  <c r="D49" i="2"/>
  <c r="AH12" i="53" s="1"/>
  <c r="D50" i="2"/>
  <c r="AH13" i="53" s="1"/>
  <c r="C13" i="53" s="1"/>
  <c r="D13" i="53" s="1"/>
  <c r="D51" i="2"/>
  <c r="AH14" i="53" s="1"/>
  <c r="C14" i="53" s="1"/>
  <c r="D14" i="53" s="1"/>
  <c r="D52" i="2"/>
  <c r="AH15" i="53" s="1"/>
  <c r="C15" i="53" s="1"/>
  <c r="D15" i="53" s="1"/>
  <c r="D53" i="2"/>
  <c r="AH16" i="53" s="1"/>
  <c r="C16" i="53" s="1"/>
  <c r="D16" i="53" s="1"/>
  <c r="D54" i="2"/>
  <c r="AH17" i="53" s="1"/>
  <c r="C17" i="53" s="1"/>
  <c r="D17" i="53" s="1"/>
  <c r="D55" i="2"/>
  <c r="AH18" i="53" s="1"/>
  <c r="C18" i="53" s="1"/>
  <c r="D18" i="53" s="1"/>
  <c r="D56" i="2"/>
  <c r="AH19" i="53" s="1"/>
  <c r="C19" i="53" s="1"/>
  <c r="D19" i="53" s="1"/>
  <c r="D57" i="2"/>
  <c r="AH20" i="53" s="1"/>
  <c r="C20" i="53" s="1"/>
  <c r="D20" i="53" s="1"/>
  <c r="D58" i="2"/>
  <c r="AH21" i="53" s="1"/>
  <c r="C21" i="53" s="1"/>
  <c r="D21" i="53" s="1"/>
  <c r="D59" i="2"/>
  <c r="AH22" i="53" s="1"/>
  <c r="D60" i="2"/>
  <c r="AH23" i="53" s="1"/>
  <c r="D61" i="2"/>
  <c r="AH24" i="53" s="1"/>
  <c r="C24" i="53" s="1"/>
  <c r="D24" i="53" s="1"/>
  <c r="D62" i="2"/>
  <c r="AH25" i="53" s="1"/>
  <c r="C25" i="53" s="1"/>
  <c r="D25" i="53" s="1"/>
  <c r="D63" i="2"/>
  <c r="AH26" i="53" s="1"/>
  <c r="D64" i="2"/>
  <c r="AH27" i="53" s="1"/>
  <c r="D65" i="2"/>
  <c r="AH28" i="53" s="1"/>
  <c r="C28" i="53" s="1"/>
  <c r="D28" i="53" s="1"/>
  <c r="D46" i="2"/>
  <c r="AH9" i="53" s="1"/>
  <c r="B30" i="4"/>
  <c r="B27" i="4"/>
  <c r="B26" i="4"/>
  <c r="C27" i="53" l="1"/>
  <c r="D27" i="53" s="1"/>
  <c r="C23" i="53"/>
  <c r="D23" i="53" s="1"/>
  <c r="C26" i="53"/>
  <c r="D26" i="53" s="1"/>
  <c r="C22" i="53"/>
  <c r="D22" i="53" s="1"/>
  <c r="L17" i="4" l="1"/>
  <c r="G4" i="45" s="1"/>
  <c r="L16" i="4"/>
  <c r="D4" i="45" s="1"/>
  <c r="L13" i="4"/>
  <c r="M9" i="53" s="1"/>
  <c r="K13" i="4"/>
  <c r="L6" i="4"/>
  <c r="K9" i="53" s="1"/>
  <c r="L9" i="53" s="1"/>
  <c r="K6" i="4"/>
  <c r="D17" i="4"/>
  <c r="E4" i="45" s="1"/>
  <c r="D16" i="4"/>
  <c r="B4" i="45" s="1"/>
  <c r="D13" i="4"/>
  <c r="D7" i="4"/>
  <c r="D6" i="4"/>
  <c r="C5" i="4"/>
  <c r="D5" i="4" s="1"/>
  <c r="H22" i="4" l="1"/>
  <c r="Y26" i="44" s="1"/>
  <c r="L22" i="4"/>
  <c r="Y27" i="44" s="1"/>
  <c r="G5" i="4"/>
  <c r="AA25" i="44"/>
  <c r="K5" i="4"/>
  <c r="H5" i="4" l="1"/>
  <c r="AA26" i="44"/>
  <c r="L5" i="4"/>
  <c r="AA27" i="44"/>
  <c r="O20" i="44"/>
  <c r="A2" i="54"/>
  <c r="AA12" i="53"/>
  <c r="AA17" i="53"/>
  <c r="AA19" i="53"/>
  <c r="AB25" i="53"/>
  <c r="AA22" i="53"/>
  <c r="Z25" i="53"/>
  <c r="AB10" i="53"/>
  <c r="AB12" i="53"/>
  <c r="Z12" i="53"/>
  <c r="Z28" i="53"/>
  <c r="AB17" i="53"/>
  <c r="AB22" i="53"/>
  <c r="AB11" i="53"/>
  <c r="Z26" i="53"/>
  <c r="Z14" i="53"/>
  <c r="AA25" i="53"/>
  <c r="AB26" i="53"/>
  <c r="AB23" i="53"/>
  <c r="AA24" i="53"/>
  <c r="Z19" i="53"/>
  <c r="AA15" i="53"/>
  <c r="AA18" i="53"/>
  <c r="AA27" i="53"/>
  <c r="AB18" i="53"/>
  <c r="AA14" i="53"/>
  <c r="AB13" i="53"/>
  <c r="AB28" i="53"/>
  <c r="Z20" i="53"/>
  <c r="AA21" i="53"/>
  <c r="AB9" i="53"/>
  <c r="AA28" i="53"/>
  <c r="AA26" i="53"/>
  <c r="AB14" i="53"/>
  <c r="AA9" i="53"/>
  <c r="Z21" i="53"/>
  <c r="Z27" i="53"/>
  <c r="AA11" i="53"/>
  <c r="AB16" i="53"/>
  <c r="AB19" i="53"/>
  <c r="Z11" i="53"/>
  <c r="Z22" i="53"/>
  <c r="AB21" i="53"/>
  <c r="AA10" i="53"/>
  <c r="Z9" i="53"/>
  <c r="Z10" i="53"/>
  <c r="Z23" i="53"/>
  <c r="AA13" i="53"/>
  <c r="AB15" i="53"/>
  <c r="AA16" i="53"/>
  <c r="Z16" i="53"/>
  <c r="Z13" i="53"/>
  <c r="AB27" i="53"/>
  <c r="Z18" i="53"/>
  <c r="AB20" i="53"/>
  <c r="Z17" i="53"/>
  <c r="Z24" i="53"/>
  <c r="AA20" i="53"/>
  <c r="Z15" i="53"/>
  <c r="AA23" i="53"/>
  <c r="AB24" i="53"/>
  <c r="S47" i="54" l="1"/>
  <c r="I32" i="54"/>
  <c r="I49" i="54"/>
  <c r="S45" i="54"/>
  <c r="N43" i="54"/>
  <c r="I35" i="54"/>
  <c r="I37" i="54"/>
  <c r="N37" i="54"/>
  <c r="S36" i="54"/>
  <c r="S50" i="54"/>
  <c r="N38" i="54"/>
  <c r="N46" i="54"/>
  <c r="I47" i="54"/>
  <c r="N33" i="54"/>
  <c r="I41" i="54"/>
  <c r="N48" i="54"/>
  <c r="S37" i="54"/>
  <c r="S38" i="54"/>
  <c r="N36" i="54"/>
  <c r="S43" i="54"/>
  <c r="S46" i="54"/>
  <c r="I45" i="54"/>
  <c r="S44" i="54"/>
  <c r="N34" i="54"/>
  <c r="N44" i="54"/>
  <c r="S33" i="54"/>
  <c r="S39" i="54"/>
  <c r="I42" i="54"/>
  <c r="I48" i="54"/>
  <c r="I46" i="54"/>
  <c r="N49" i="54"/>
  <c r="I34" i="54"/>
  <c r="N45" i="54"/>
  <c r="N51" i="54"/>
  <c r="I39" i="54"/>
  <c r="S34" i="54"/>
  <c r="I36" i="54"/>
  <c r="I51" i="54"/>
  <c r="S32" i="54"/>
  <c r="I44" i="54"/>
  <c r="N50" i="54"/>
  <c r="N32" i="54"/>
  <c r="S35" i="54"/>
  <c r="S48" i="54"/>
  <c r="I40" i="54"/>
  <c r="I43" i="54"/>
  <c r="S40" i="54"/>
  <c r="I33" i="54"/>
  <c r="S41" i="54"/>
  <c r="S49" i="54"/>
  <c r="I38" i="54"/>
  <c r="N39" i="54"/>
  <c r="I50" i="54"/>
  <c r="N42" i="54"/>
  <c r="S51" i="54"/>
  <c r="N47" i="54"/>
  <c r="N40" i="54"/>
  <c r="N35" i="54"/>
  <c r="N41" i="54"/>
  <c r="S42" i="54"/>
  <c r="O18" i="44"/>
  <c r="B12" i="44"/>
  <c r="B10" i="44"/>
  <c r="B8" i="44"/>
  <c r="B6" i="44"/>
  <c r="G19" i="44" l="1"/>
  <c r="B29" i="31" s="1"/>
  <c r="G20" i="44" l="1"/>
  <c r="J104" i="51" s="1"/>
  <c r="G21" i="44"/>
  <c r="J105" i="51" l="1"/>
  <c r="B2" i="44"/>
  <c r="G17" i="44"/>
  <c r="J103" i="51" l="1"/>
  <c r="B55" i="22" l="1"/>
  <c r="M58" i="22" s="1"/>
  <c r="B55" i="20"/>
  <c r="M58" i="20" s="1"/>
  <c r="B55" i="19"/>
  <c r="M58" i="19" s="1"/>
  <c r="B55" i="18"/>
  <c r="M58" i="18" s="1"/>
  <c r="B55" i="21"/>
  <c r="M58" i="21" s="1"/>
  <c r="B55" i="23"/>
  <c r="M58" i="23" s="1"/>
  <c r="B55" i="13"/>
  <c r="M58" i="13" s="1"/>
  <c r="B55" i="8"/>
  <c r="M58" i="8" s="1"/>
  <c r="B55" i="7"/>
  <c r="M58" i="7" s="1"/>
  <c r="B55" i="6"/>
  <c r="M58" i="6" s="1"/>
  <c r="B55" i="17"/>
  <c r="M58" i="17" s="1"/>
  <c r="B55" i="12"/>
  <c r="M58" i="12" s="1"/>
  <c r="B55" i="11"/>
  <c r="M58" i="11" s="1"/>
  <c r="B55" i="5"/>
  <c r="M58" i="5" s="1"/>
  <c r="B55" i="15"/>
  <c r="M58" i="15" s="1"/>
  <c r="B55" i="16"/>
  <c r="M58" i="16" s="1"/>
  <c r="B55" i="10"/>
  <c r="M58" i="10" s="1"/>
  <c r="B55" i="9"/>
  <c r="M58" i="9" s="1"/>
  <c r="B55" i="14"/>
  <c r="M58" i="14" s="1"/>
  <c r="F40" i="51"/>
  <c r="N58" i="8" l="1"/>
  <c r="O58" i="8"/>
  <c r="O58" i="5"/>
  <c r="N58" i="5"/>
  <c r="O58" i="23"/>
  <c r="N58" i="23"/>
  <c r="O58" i="16"/>
  <c r="N58" i="16"/>
  <c r="O58" i="11"/>
  <c r="N58" i="11"/>
  <c r="O58" i="21"/>
  <c r="N58" i="21"/>
  <c r="O58" i="13"/>
  <c r="N58" i="13"/>
  <c r="O58" i="12"/>
  <c r="N58" i="12"/>
  <c r="O58" i="18"/>
  <c r="N58" i="18"/>
  <c r="N58" i="15"/>
  <c r="O58" i="15"/>
  <c r="N58" i="17"/>
  <c r="O58" i="17"/>
  <c r="O58" i="19"/>
  <c r="N58" i="19"/>
  <c r="O58" i="6"/>
  <c r="N58" i="6"/>
  <c r="O58" i="20"/>
  <c r="N58" i="20"/>
  <c r="O58" i="14"/>
  <c r="N58" i="14"/>
  <c r="N58" i="9"/>
  <c r="O58" i="9"/>
  <c r="O58" i="10"/>
  <c r="N58" i="10"/>
  <c r="N58" i="7"/>
  <c r="O58" i="7"/>
  <c r="N58" i="22"/>
  <c r="O58" i="22"/>
  <c r="U43" i="39"/>
  <c r="P51" i="39"/>
  <c r="P44" i="39"/>
  <c r="U50" i="39"/>
  <c r="U42" i="39"/>
  <c r="P50" i="39"/>
  <c r="P42" i="39"/>
  <c r="U49" i="39"/>
  <c r="U41" i="39"/>
  <c r="P45" i="39"/>
  <c r="P43" i="39"/>
  <c r="P41" i="39"/>
  <c r="U48" i="39"/>
  <c r="U40" i="39"/>
  <c r="U51" i="39"/>
  <c r="U47" i="39"/>
  <c r="U39" i="39"/>
  <c r="P37" i="39"/>
  <c r="P49" i="39"/>
  <c r="P39" i="39"/>
  <c r="U38" i="39"/>
  <c r="U44" i="39"/>
  <c r="P48" i="39"/>
  <c r="P40" i="39"/>
  <c r="P47" i="39"/>
  <c r="U46" i="39"/>
  <c r="P46" i="39"/>
  <c r="P38" i="39"/>
  <c r="U45" i="39"/>
  <c r="U37" i="39"/>
  <c r="C12" i="53" l="1"/>
  <c r="D12" i="53" s="1"/>
  <c r="K40" i="39"/>
  <c r="K48" i="39"/>
  <c r="K47" i="39"/>
  <c r="K39" i="39"/>
  <c r="K45" i="39"/>
  <c r="K37" i="39"/>
  <c r="K44" i="39"/>
  <c r="K51" i="39"/>
  <c r="K43" i="39"/>
  <c r="K46" i="39"/>
  <c r="K50" i="39"/>
  <c r="K38" i="39"/>
  <c r="K42" i="39"/>
  <c r="K49" i="39"/>
  <c r="K41" i="39"/>
  <c r="F37" i="4"/>
  <c r="B55" i="4"/>
  <c r="M58" i="4" s="1"/>
  <c r="B43" i="51"/>
  <c r="C43" i="51" s="1"/>
  <c r="G47" i="2"/>
  <c r="S55" i="5" s="1"/>
  <c r="AG42" i="51" s="1"/>
  <c r="L128" i="51" s="1"/>
  <c r="L326" i="51" s="1"/>
  <c r="L387" i="51" s="1"/>
  <c r="E47" i="2"/>
  <c r="A44" i="51"/>
  <c r="A45" i="51"/>
  <c r="A46" i="51"/>
  <c r="A47" i="51"/>
  <c r="A48" i="51"/>
  <c r="A49" i="51"/>
  <c r="A50" i="51"/>
  <c r="A51" i="51"/>
  <c r="A52" i="51"/>
  <c r="A53" i="51"/>
  <c r="A54" i="51"/>
  <c r="A55" i="51"/>
  <c r="A56" i="51"/>
  <c r="A57" i="51"/>
  <c r="A58" i="51"/>
  <c r="A59" i="51"/>
  <c r="A60" i="51"/>
  <c r="A61" i="51"/>
  <c r="A62" i="51"/>
  <c r="A63" i="51"/>
  <c r="A64" i="51"/>
  <c r="A65" i="51"/>
  <c r="A66" i="51"/>
  <c r="A67" i="51"/>
  <c r="A68" i="51"/>
  <c r="A69" i="51"/>
  <c r="A70" i="51"/>
  <c r="A71" i="51"/>
  <c r="A72" i="51"/>
  <c r="A73" i="51"/>
  <c r="A74" i="51"/>
  <c r="A75" i="51"/>
  <c r="A76" i="51"/>
  <c r="A77" i="51"/>
  <c r="A78" i="51"/>
  <c r="A79" i="51"/>
  <c r="A80" i="51"/>
  <c r="A81" i="51"/>
  <c r="A82" i="51"/>
  <c r="A83" i="51"/>
  <c r="A84" i="51"/>
  <c r="A85" i="51"/>
  <c r="A86" i="51"/>
  <c r="A87" i="51"/>
  <c r="A88" i="51"/>
  <c r="A89" i="51"/>
  <c r="A90" i="51"/>
  <c r="A91" i="51"/>
  <c r="A92" i="51"/>
  <c r="A93" i="51"/>
  <c r="A94" i="51"/>
  <c r="A95" i="51"/>
  <c r="A96" i="51"/>
  <c r="A97" i="51"/>
  <c r="A98" i="51"/>
  <c r="A99" i="51"/>
  <c r="A100" i="51"/>
  <c r="A101" i="51"/>
  <c r="A102" i="51"/>
  <c r="A103" i="51"/>
  <c r="A104" i="51"/>
  <c r="A105" i="51"/>
  <c r="A106" i="51"/>
  <c r="A107" i="51"/>
  <c r="A108" i="51"/>
  <c r="A109" i="51"/>
  <c r="A110" i="51"/>
  <c r="A111" i="51"/>
  <c r="A112" i="51"/>
  <c r="A113" i="51"/>
  <c r="A114" i="51"/>
  <c r="A115" i="51"/>
  <c r="A116" i="51"/>
  <c r="A117" i="51"/>
  <c r="A118" i="51"/>
  <c r="A119" i="51"/>
  <c r="A120" i="51"/>
  <c r="A121" i="51"/>
  <c r="A122" i="51"/>
  <c r="A123" i="51"/>
  <c r="A124" i="51"/>
  <c r="A125" i="51"/>
  <c r="A126" i="51"/>
  <c r="A127" i="51"/>
  <c r="A128" i="51"/>
  <c r="A129" i="51"/>
  <c r="A130" i="51"/>
  <c r="A131" i="51"/>
  <c r="A132" i="51"/>
  <c r="A133" i="51"/>
  <c r="A134" i="51"/>
  <c r="A135" i="51"/>
  <c r="A136" i="51"/>
  <c r="A137" i="51"/>
  <c r="A138" i="51"/>
  <c r="A139" i="51"/>
  <c r="A140" i="51"/>
  <c r="A141" i="51"/>
  <c r="A142" i="51"/>
  <c r="A143" i="51"/>
  <c r="A144" i="51"/>
  <c r="A145" i="51"/>
  <c r="A146" i="51"/>
  <c r="A147" i="51"/>
  <c r="A148" i="51"/>
  <c r="A149" i="51"/>
  <c r="A150" i="51"/>
  <c r="A151" i="51"/>
  <c r="A152" i="51"/>
  <c r="A153" i="51"/>
  <c r="A154" i="51"/>
  <c r="A155" i="51"/>
  <c r="A156" i="51"/>
  <c r="A157" i="51"/>
  <c r="A158" i="51"/>
  <c r="A159" i="51"/>
  <c r="A160" i="51"/>
  <c r="A161" i="51"/>
  <c r="A162" i="51"/>
  <c r="A163" i="51"/>
  <c r="A164" i="51"/>
  <c r="A165" i="51"/>
  <c r="A166" i="51"/>
  <c r="A167" i="51"/>
  <c r="A168" i="51"/>
  <c r="A169" i="51"/>
  <c r="A170" i="51"/>
  <c r="A171" i="51"/>
  <c r="A172" i="51"/>
  <c r="A173" i="51"/>
  <c r="A174" i="51"/>
  <c r="A175" i="51"/>
  <c r="A176" i="51"/>
  <c r="A177" i="51"/>
  <c r="A178" i="51"/>
  <c r="A179" i="51"/>
  <c r="A180" i="51"/>
  <c r="A181" i="51"/>
  <c r="A182" i="51"/>
  <c r="A183" i="51"/>
  <c r="A184" i="51"/>
  <c r="A185" i="51"/>
  <c r="A186" i="51"/>
  <c r="A187" i="51"/>
  <c r="A188" i="51"/>
  <c r="A189" i="51"/>
  <c r="A190" i="51"/>
  <c r="A191" i="51"/>
  <c r="A192" i="51"/>
  <c r="A193" i="51"/>
  <c r="A194" i="51"/>
  <c r="A195" i="51"/>
  <c r="A196" i="51"/>
  <c r="A197" i="51"/>
  <c r="A198" i="51"/>
  <c r="A199" i="51"/>
  <c r="A200" i="51"/>
  <c r="A201" i="51"/>
  <c r="A202" i="51"/>
  <c r="A203" i="51"/>
  <c r="A204" i="51"/>
  <c r="A205" i="51"/>
  <c r="A206" i="51"/>
  <c r="A207" i="51"/>
  <c r="A208" i="51"/>
  <c r="A209" i="51"/>
  <c r="A210" i="51"/>
  <c r="A211" i="51"/>
  <c r="A212" i="51"/>
  <c r="A213" i="51"/>
  <c r="A214" i="51"/>
  <c r="A215" i="51"/>
  <c r="A216" i="51"/>
  <c r="A217" i="51"/>
  <c r="A218" i="51"/>
  <c r="A219" i="51"/>
  <c r="A220" i="51"/>
  <c r="A221" i="51"/>
  <c r="A222" i="51"/>
  <c r="A223" i="51"/>
  <c r="A224" i="51"/>
  <c r="A225" i="51"/>
  <c r="A226" i="51"/>
  <c r="A227" i="51"/>
  <c r="A228" i="51"/>
  <c r="A229" i="51"/>
  <c r="A230" i="51"/>
  <c r="A231" i="51"/>
  <c r="A232" i="51"/>
  <c r="A233" i="51"/>
  <c r="A234" i="51"/>
  <c r="A235" i="51"/>
  <c r="A236" i="51"/>
  <c r="A237" i="51"/>
  <c r="A238" i="51"/>
  <c r="A239" i="51"/>
  <c r="A240" i="51"/>
  <c r="A241" i="51"/>
  <c r="A242" i="51"/>
  <c r="A243" i="51"/>
  <c r="A244" i="51"/>
  <c r="A245" i="51"/>
  <c r="A246" i="51"/>
  <c r="A247" i="51"/>
  <c r="A248" i="51"/>
  <c r="A249" i="51"/>
  <c r="A250" i="51"/>
  <c r="A251" i="51"/>
  <c r="A252" i="51"/>
  <c r="A253" i="51"/>
  <c r="A254" i="51"/>
  <c r="A255" i="51"/>
  <c r="A256" i="51"/>
  <c r="A257" i="51"/>
  <c r="A258" i="51"/>
  <c r="A259" i="51"/>
  <c r="A260" i="51"/>
  <c r="A261" i="51"/>
  <c r="A262" i="51"/>
  <c r="A263" i="51"/>
  <c r="A264" i="51"/>
  <c r="A265" i="51"/>
  <c r="A266" i="51"/>
  <c r="A267" i="51"/>
  <c r="A268" i="51"/>
  <c r="A269" i="51"/>
  <c r="A270" i="51"/>
  <c r="A271" i="51"/>
  <c r="A272" i="51"/>
  <c r="A273" i="51"/>
  <c r="A274" i="51"/>
  <c r="A275" i="51"/>
  <c r="A276" i="51"/>
  <c r="A277" i="51"/>
  <c r="A278" i="51"/>
  <c r="A279" i="51"/>
  <c r="A280" i="51"/>
  <c r="A281" i="51"/>
  <c r="A282" i="51"/>
  <c r="A283" i="51"/>
  <c r="A284" i="51"/>
  <c r="A285" i="51"/>
  <c r="A286" i="51"/>
  <c r="A287" i="51"/>
  <c r="A288" i="51"/>
  <c r="A289" i="51"/>
  <c r="A290" i="51"/>
  <c r="A291" i="51"/>
  <c r="A292" i="51"/>
  <c r="A293" i="51"/>
  <c r="A294" i="51"/>
  <c r="A295" i="51"/>
  <c r="A296" i="51"/>
  <c r="A297" i="51"/>
  <c r="A298" i="51"/>
  <c r="A299" i="51"/>
  <c r="A300" i="51"/>
  <c r="A301" i="51"/>
  <c r="A302" i="51"/>
  <c r="A303" i="51"/>
  <c r="A304" i="51"/>
  <c r="A305" i="51"/>
  <c r="A306" i="51"/>
  <c r="A307" i="51"/>
  <c r="A308" i="51"/>
  <c r="A309" i="51"/>
  <c r="A310" i="51"/>
  <c r="A311" i="51"/>
  <c r="A312" i="51"/>
  <c r="A313" i="51"/>
  <c r="A314" i="51"/>
  <c r="A315" i="51"/>
  <c r="A316" i="51"/>
  <c r="A317" i="51"/>
  <c r="A318" i="51"/>
  <c r="A319" i="51"/>
  <c r="A320" i="51"/>
  <c r="A321" i="51"/>
  <c r="A322" i="51"/>
  <c r="A323" i="51"/>
  <c r="A324" i="51"/>
  <c r="A325" i="51"/>
  <c r="A326" i="51"/>
  <c r="A327" i="51"/>
  <c r="A328" i="51"/>
  <c r="A329" i="51"/>
  <c r="A330" i="51"/>
  <c r="A331" i="51"/>
  <c r="A332" i="51"/>
  <c r="A333" i="51"/>
  <c r="A334" i="51"/>
  <c r="A335" i="51"/>
  <c r="A336" i="51"/>
  <c r="A337" i="51"/>
  <c r="A338" i="51"/>
  <c r="A339" i="51"/>
  <c r="A340" i="51"/>
  <c r="A341" i="51"/>
  <c r="A342" i="51"/>
  <c r="A343" i="51"/>
  <c r="A344" i="51"/>
  <c r="A345" i="51"/>
  <c r="A346" i="51"/>
  <c r="A347" i="51"/>
  <c r="A348" i="51"/>
  <c r="A349" i="51"/>
  <c r="A350" i="51"/>
  <c r="A351" i="51"/>
  <c r="A352" i="51"/>
  <c r="A353" i="51"/>
  <c r="A354" i="51"/>
  <c r="A355" i="51"/>
  <c r="A356" i="51"/>
  <c r="A357" i="51"/>
  <c r="A358" i="51"/>
  <c r="A359" i="51"/>
  <c r="A360" i="51"/>
  <c r="A361" i="51"/>
  <c r="A362" i="51"/>
  <c r="A363" i="51"/>
  <c r="A364" i="51"/>
  <c r="A365" i="51"/>
  <c r="A366" i="51"/>
  <c r="A367" i="51"/>
  <c r="A368" i="51"/>
  <c r="A369" i="51"/>
  <c r="A370" i="51"/>
  <c r="A371" i="51"/>
  <c r="A372" i="51"/>
  <c r="A373" i="51"/>
  <c r="A374" i="51"/>
  <c r="A375" i="51"/>
  <c r="A376" i="51"/>
  <c r="A377" i="51"/>
  <c r="A378" i="51"/>
  <c r="A379" i="51"/>
  <c r="A380" i="51"/>
  <c r="A381" i="51"/>
  <c r="A382" i="51"/>
  <c r="A383" i="51"/>
  <c r="A384" i="51"/>
  <c r="A385" i="51"/>
  <c r="A386" i="51"/>
  <c r="A387" i="51"/>
  <c r="A388" i="51"/>
  <c r="A389" i="51"/>
  <c r="A390" i="51"/>
  <c r="A391" i="51"/>
  <c r="A392" i="51"/>
  <c r="A393" i="51"/>
  <c r="A394" i="51"/>
  <c r="A395" i="51"/>
  <c r="A396" i="51"/>
  <c r="A397" i="51"/>
  <c r="A398" i="51"/>
  <c r="A399" i="51"/>
  <c r="A400" i="51"/>
  <c r="A401" i="51"/>
  <c r="A402" i="51"/>
  <c r="A403" i="51"/>
  <c r="A404" i="51"/>
  <c r="A405" i="51"/>
  <c r="A406" i="51"/>
  <c r="A407" i="51"/>
  <c r="A43" i="51"/>
  <c r="B1" i="49"/>
  <c r="B5" i="49" s="1"/>
  <c r="B6" i="49" s="1"/>
  <c r="B7" i="49" s="1"/>
  <c r="B8" i="49" s="1"/>
  <c r="B9" i="49" s="1"/>
  <c r="B10" i="49" s="1"/>
  <c r="B11" i="49" s="1"/>
  <c r="B12" i="49" s="1"/>
  <c r="B13" i="49" s="1"/>
  <c r="B14" i="49" s="1"/>
  <c r="B15" i="49" s="1"/>
  <c r="B16" i="49" s="1"/>
  <c r="B17" i="49" s="1"/>
  <c r="B18" i="49" s="1"/>
  <c r="B19" i="49" s="1"/>
  <c r="B20" i="49" s="1"/>
  <c r="B21" i="49" s="1"/>
  <c r="B22" i="49" s="1"/>
  <c r="B23" i="49" s="1"/>
  <c r="B24" i="49" s="1"/>
  <c r="B25" i="49" s="1"/>
  <c r="B26" i="49" s="1"/>
  <c r="B27" i="49" s="1"/>
  <c r="B28" i="49" s="1"/>
  <c r="B29" i="49" s="1"/>
  <c r="B30" i="49" s="1"/>
  <c r="B31" i="49" s="1"/>
  <c r="B32" i="49" s="1"/>
  <c r="B33" i="49" s="1"/>
  <c r="B34" i="49" s="1"/>
  <c r="B35" i="49" s="1"/>
  <c r="B36" i="49" s="1"/>
  <c r="B37" i="49" s="1"/>
  <c r="B38" i="49" s="1"/>
  <c r="B39" i="49" s="1"/>
  <c r="B40" i="49" s="1"/>
  <c r="B41" i="49" s="1"/>
  <c r="B42" i="49" s="1"/>
  <c r="B43" i="49" s="1"/>
  <c r="B44" i="49" s="1"/>
  <c r="B45" i="49" s="1"/>
  <c r="B46" i="49" s="1"/>
  <c r="B47" i="49" s="1"/>
  <c r="B48" i="49" s="1"/>
  <c r="B49" i="49" s="1"/>
  <c r="B50" i="49" s="1"/>
  <c r="B51" i="49" s="1"/>
  <c r="B52" i="49" s="1"/>
  <c r="B53" i="49" s="1"/>
  <c r="B54" i="49" s="1"/>
  <c r="B55" i="49" s="1"/>
  <c r="B56" i="49" s="1"/>
  <c r="H7" i="51"/>
  <c r="F7" i="51"/>
  <c r="G7" i="51"/>
  <c r="B7" i="51"/>
  <c r="J7" i="51"/>
  <c r="D7" i="51"/>
  <c r="E7" i="51" s="1"/>
  <c r="I7" i="51"/>
  <c r="A8" i="51"/>
  <c r="E46" i="2"/>
  <c r="F46" i="2"/>
  <c r="I32" i="43" s="1"/>
  <c r="G46" i="2"/>
  <c r="F47" i="2"/>
  <c r="E48" i="2"/>
  <c r="Q55" i="6" s="1"/>
  <c r="AH42" i="51" s="1"/>
  <c r="L129" i="51" s="1"/>
  <c r="L327" i="51" s="1"/>
  <c r="F48" i="2"/>
  <c r="R55" i="6" s="1"/>
  <c r="AI42" i="51" s="1"/>
  <c r="L130" i="51" s="1"/>
  <c r="L328" i="51" s="1"/>
  <c r="L389" i="51" s="1"/>
  <c r="G48" i="2"/>
  <c r="E49" i="2"/>
  <c r="F49" i="2"/>
  <c r="G49" i="2"/>
  <c r="S55" i="7" s="1"/>
  <c r="AM42" i="51" s="1"/>
  <c r="L134" i="51" s="1"/>
  <c r="L332" i="51" s="1"/>
  <c r="L393" i="51" s="1"/>
  <c r="E50" i="2"/>
  <c r="F50" i="2"/>
  <c r="G50" i="2"/>
  <c r="S55" i="8" s="1"/>
  <c r="AP42" i="51" s="1"/>
  <c r="L137" i="51" s="1"/>
  <c r="L335" i="51" s="1"/>
  <c r="L396" i="51" s="1"/>
  <c r="E51" i="2"/>
  <c r="F51" i="2"/>
  <c r="G51" i="2"/>
  <c r="R37" i="39" s="1"/>
  <c r="E52" i="2"/>
  <c r="D38" i="43" s="1"/>
  <c r="F52" i="2"/>
  <c r="I39" i="38" s="1"/>
  <c r="G52" i="2"/>
  <c r="S55" i="10" s="1"/>
  <c r="AV42" i="51" s="1"/>
  <c r="L143" i="51" s="1"/>
  <c r="L341" i="51" s="1"/>
  <c r="L402" i="51" s="1"/>
  <c r="E53" i="2"/>
  <c r="F53" i="2"/>
  <c r="M39" i="39" s="1"/>
  <c r="G53" i="2"/>
  <c r="S55" i="11" s="1"/>
  <c r="AY42" i="51" s="1"/>
  <c r="L146" i="51" s="1"/>
  <c r="L344" i="51" s="1"/>
  <c r="L405" i="51" s="1"/>
  <c r="E54" i="2"/>
  <c r="F54" i="2"/>
  <c r="G54" i="2"/>
  <c r="S55" i="12" s="1"/>
  <c r="BB42" i="51" s="1"/>
  <c r="L149" i="51" s="1"/>
  <c r="L347" i="51" s="1"/>
  <c r="L408" i="51" s="1"/>
  <c r="E55" i="2"/>
  <c r="F55" i="2"/>
  <c r="G55" i="2"/>
  <c r="S55" i="13" s="1"/>
  <c r="BE42" i="51" s="1"/>
  <c r="L152" i="51" s="1"/>
  <c r="L350" i="51" s="1"/>
  <c r="L411" i="51" s="1"/>
  <c r="E56" i="2"/>
  <c r="F56" i="2"/>
  <c r="G56" i="2"/>
  <c r="N42" i="43" s="1"/>
  <c r="Q42" i="43" s="1"/>
  <c r="E57" i="2"/>
  <c r="F57" i="2"/>
  <c r="I44" i="38" s="1"/>
  <c r="G57" i="2"/>
  <c r="S55" i="15" s="1"/>
  <c r="BK42" i="51" s="1"/>
  <c r="L158" i="51" s="1"/>
  <c r="L356" i="51" s="1"/>
  <c r="L417" i="51" s="1"/>
  <c r="E58" i="2"/>
  <c r="F58" i="2"/>
  <c r="I45" i="38" s="1"/>
  <c r="G58" i="2"/>
  <c r="S55" i="16" s="1"/>
  <c r="BN42" i="51" s="1"/>
  <c r="L161" i="51" s="1"/>
  <c r="L359" i="51" s="1"/>
  <c r="L420" i="51" s="1"/>
  <c r="E59" i="2"/>
  <c r="F59" i="2"/>
  <c r="G59" i="2"/>
  <c r="S55" i="17" s="1"/>
  <c r="BQ42" i="51" s="1"/>
  <c r="L164" i="51" s="1"/>
  <c r="L362" i="51" s="1"/>
  <c r="L423" i="51" s="1"/>
  <c r="E60" i="2"/>
  <c r="F60" i="2"/>
  <c r="I47" i="38" s="1"/>
  <c r="G60" i="2"/>
  <c r="S55" i="18" s="1"/>
  <c r="BT42" i="51" s="1"/>
  <c r="L167" i="51" s="1"/>
  <c r="L365" i="51" s="1"/>
  <c r="L426" i="51" s="1"/>
  <c r="E61" i="2"/>
  <c r="F61" i="2"/>
  <c r="G61" i="2"/>
  <c r="S55" i="19" s="1"/>
  <c r="BW42" i="51" s="1"/>
  <c r="L170" i="51" s="1"/>
  <c r="L368" i="51" s="1"/>
  <c r="L429" i="51" s="1"/>
  <c r="E62" i="2"/>
  <c r="F62" i="2"/>
  <c r="G62" i="2"/>
  <c r="S55" i="20" s="1"/>
  <c r="BZ42" i="51" s="1"/>
  <c r="L173" i="51" s="1"/>
  <c r="L371" i="51" s="1"/>
  <c r="L432" i="51" s="1"/>
  <c r="E63" i="2"/>
  <c r="F63" i="2"/>
  <c r="M49" i="39" s="1"/>
  <c r="G63" i="2"/>
  <c r="S55" i="21" s="1"/>
  <c r="CC42" i="51" s="1"/>
  <c r="L176" i="51" s="1"/>
  <c r="L374" i="51" s="1"/>
  <c r="L435" i="51" s="1"/>
  <c r="E64" i="2"/>
  <c r="F64" i="2"/>
  <c r="G64" i="2"/>
  <c r="N51" i="38" s="1"/>
  <c r="E65" i="2"/>
  <c r="F65" i="2"/>
  <c r="M51" i="39" s="1"/>
  <c r="G65" i="2"/>
  <c r="S55" i="23" s="1"/>
  <c r="CI42" i="51" s="1"/>
  <c r="L182" i="51" s="1"/>
  <c r="L380" i="51" s="1"/>
  <c r="L441" i="51" s="1"/>
  <c r="B2" i="31"/>
  <c r="A2" i="43"/>
  <c r="B2" i="24"/>
  <c r="A2" i="39"/>
  <c r="A2" i="38"/>
  <c r="A144" i="31"/>
  <c r="A145" i="31"/>
  <c r="A146" i="31"/>
  <c r="A147" i="31"/>
  <c r="A148" i="31"/>
  <c r="A149" i="31"/>
  <c r="A150" i="31"/>
  <c r="A151" i="31"/>
  <c r="A152" i="31"/>
  <c r="A153" i="31"/>
  <c r="A154" i="31"/>
  <c r="A155" i="31"/>
  <c r="A156" i="31"/>
  <c r="A157" i="31"/>
  <c r="A158" i="31"/>
  <c r="A159" i="31"/>
  <c r="A160" i="31"/>
  <c r="A161" i="31"/>
  <c r="A162" i="31"/>
  <c r="A163" i="31"/>
  <c r="A164" i="31"/>
  <c r="A165" i="31"/>
  <c r="A166" i="31"/>
  <c r="A167" i="31"/>
  <c r="A168" i="31"/>
  <c r="A169" i="31"/>
  <c r="A170" i="31"/>
  <c r="A171" i="31"/>
  <c r="A172" i="31"/>
  <c r="A173" i="31"/>
  <c r="A174" i="31"/>
  <c r="A175" i="31"/>
  <c r="A176" i="31"/>
  <c r="A177" i="31"/>
  <c r="A178" i="31"/>
  <c r="A179" i="31"/>
  <c r="A180" i="31"/>
  <c r="A181" i="31"/>
  <c r="A182" i="31"/>
  <c r="A183" i="31"/>
  <c r="A184" i="31"/>
  <c r="A185" i="31"/>
  <c r="A186" i="31"/>
  <c r="A187" i="31"/>
  <c r="A188" i="31"/>
  <c r="A189" i="31"/>
  <c r="A190" i="31"/>
  <c r="A191" i="31"/>
  <c r="A192" i="31"/>
  <c r="A193" i="31"/>
  <c r="A194" i="31"/>
  <c r="A195" i="31"/>
  <c r="A196" i="31"/>
  <c r="A197" i="31"/>
  <c r="A198" i="31"/>
  <c r="A199" i="31"/>
  <c r="A200" i="31"/>
  <c r="A201" i="31"/>
  <c r="A202" i="31"/>
  <c r="A143" i="31"/>
  <c r="A23" i="26"/>
  <c r="S127" i="55" s="1"/>
  <c r="A24" i="26"/>
  <c r="S133" i="55" s="1"/>
  <c r="A25" i="26"/>
  <c r="A42" i="38" s="1"/>
  <c r="A26" i="26"/>
  <c r="A27" i="26"/>
  <c r="S151" i="55" s="1"/>
  <c r="A28" i="26"/>
  <c r="A45" i="38" s="1"/>
  <c r="A29" i="26"/>
  <c r="A45" i="43" s="1"/>
  <c r="A30" i="26"/>
  <c r="S169" i="55" s="1"/>
  <c r="A31" i="26"/>
  <c r="S175" i="55" s="1"/>
  <c r="A32" i="26"/>
  <c r="A33" i="26"/>
  <c r="A34" i="26"/>
  <c r="A35" i="26"/>
  <c r="S199" i="55" s="1"/>
  <c r="K26" i="31"/>
  <c r="L19" i="44"/>
  <c r="G47" i="38"/>
  <c r="G52" i="38"/>
  <c r="G39" i="38"/>
  <c r="G48" i="38"/>
  <c r="G50" i="38"/>
  <c r="G41" i="38"/>
  <c r="G42" i="38"/>
  <c r="G46" i="38"/>
  <c r="G51" i="38"/>
  <c r="G49" i="38"/>
  <c r="G44" i="38"/>
  <c r="G45" i="38"/>
  <c r="G40" i="38"/>
  <c r="G43" i="38"/>
  <c r="P52" i="38"/>
  <c r="F41" i="38"/>
  <c r="Q41" i="38"/>
  <c r="F46" i="38"/>
  <c r="E50" i="38"/>
  <c r="F39" i="38"/>
  <c r="E42" i="38"/>
  <c r="Q47" i="38"/>
  <c r="A22" i="26"/>
  <c r="S121" i="55" s="1"/>
  <c r="B25" i="4"/>
  <c r="B46" i="4" s="1"/>
  <c r="A17" i="26"/>
  <c r="A18" i="26"/>
  <c r="A19" i="26"/>
  <c r="A20" i="26"/>
  <c r="A37" i="38" s="1"/>
  <c r="A21" i="26"/>
  <c r="S115" i="55" s="1"/>
  <c r="A16" i="26"/>
  <c r="K25" i="4"/>
  <c r="J51" i="4" s="1"/>
  <c r="K51" i="4" s="1"/>
  <c r="L51" i="4" s="1"/>
  <c r="C65" i="2"/>
  <c r="C64" i="2"/>
  <c r="C63" i="2"/>
  <c r="C62" i="2"/>
  <c r="C61" i="2"/>
  <c r="C60" i="2"/>
  <c r="C59" i="2"/>
  <c r="C58" i="2"/>
  <c r="C57" i="2"/>
  <c r="C56" i="2"/>
  <c r="C55" i="2"/>
  <c r="C54" i="2"/>
  <c r="C53" i="2"/>
  <c r="C52" i="2"/>
  <c r="C51" i="2"/>
  <c r="C50" i="2"/>
  <c r="C49" i="2"/>
  <c r="C48" i="2"/>
  <c r="C47" i="2"/>
  <c r="C46" i="2"/>
  <c r="B65" i="2"/>
  <c r="C101" i="44" s="1"/>
  <c r="B64" i="2"/>
  <c r="C111" i="53" s="1"/>
  <c r="B63" i="2"/>
  <c r="C107" i="53" s="1"/>
  <c r="B62" i="2"/>
  <c r="C103" i="53" s="1"/>
  <c r="B61" i="2"/>
  <c r="C99" i="53" s="1"/>
  <c r="B60" i="2"/>
  <c r="C81" i="44" s="1"/>
  <c r="B59" i="2"/>
  <c r="C91" i="53" s="1"/>
  <c r="B58" i="2"/>
  <c r="C87" i="53" s="1"/>
  <c r="B57" i="2"/>
  <c r="C69" i="44" s="1"/>
  <c r="B56" i="2"/>
  <c r="C79" i="53" s="1"/>
  <c r="B55" i="2"/>
  <c r="C75" i="53" s="1"/>
  <c r="B54" i="2"/>
  <c r="C71" i="53" s="1"/>
  <c r="B53" i="2"/>
  <c r="C67" i="53" s="1"/>
  <c r="B52" i="2"/>
  <c r="C52" i="45" s="1"/>
  <c r="B51" i="2"/>
  <c r="C59" i="53" s="1"/>
  <c r="B50" i="2"/>
  <c r="C55" i="53" s="1"/>
  <c r="B49" i="2"/>
  <c r="C40" i="45" s="1"/>
  <c r="B48" i="2"/>
  <c r="C36" i="45" s="1"/>
  <c r="B47" i="2"/>
  <c r="C43" i="53" s="1"/>
  <c r="B46" i="2"/>
  <c r="C39" i="53" s="1"/>
  <c r="E7" i="26"/>
  <c r="I42" i="38"/>
  <c r="N49" i="43"/>
  <c r="Q49" i="43" s="1"/>
  <c r="N43" i="43"/>
  <c r="Q43" i="43" s="1"/>
  <c r="E50" i="39"/>
  <c r="E51" i="39"/>
  <c r="F47" i="39"/>
  <c r="F50" i="39"/>
  <c r="F48" i="39"/>
  <c r="F49" i="39"/>
  <c r="E48" i="39"/>
  <c r="E49" i="39"/>
  <c r="E47" i="39"/>
  <c r="F51" i="39"/>
  <c r="E39" i="39"/>
  <c r="F39" i="39"/>
  <c r="F38" i="39"/>
  <c r="E46" i="39"/>
  <c r="F42" i="39"/>
  <c r="E42" i="39"/>
  <c r="F43" i="39"/>
  <c r="F46" i="39"/>
  <c r="E44" i="39"/>
  <c r="F40" i="39"/>
  <c r="F41" i="39"/>
  <c r="E40" i="39"/>
  <c r="E45" i="39"/>
  <c r="F44" i="39"/>
  <c r="E43" i="39"/>
  <c r="E41" i="39"/>
  <c r="F45" i="39"/>
  <c r="E38" i="39"/>
  <c r="B39" i="2"/>
  <c r="J37" i="4"/>
  <c r="B37" i="4"/>
  <c r="B38" i="2"/>
  <c r="B37" i="2"/>
  <c r="B36" i="2"/>
  <c r="B35" i="2"/>
  <c r="B34" i="2"/>
  <c r="G38" i="38"/>
  <c r="F38" i="38"/>
  <c r="P38" i="38"/>
  <c r="F37" i="39"/>
  <c r="E37" i="39"/>
  <c r="N39" i="38" l="1"/>
  <c r="R38" i="39"/>
  <c r="D1" i="49"/>
  <c r="G8" i="51"/>
  <c r="C40" i="51"/>
  <c r="A116" i="44"/>
  <c r="C116" i="44" s="1"/>
  <c r="N117" i="44"/>
  <c r="O117" i="44"/>
  <c r="A117" i="44"/>
  <c r="AK43" i="51"/>
  <c r="R48" i="39"/>
  <c r="A44" i="39"/>
  <c r="N50" i="38"/>
  <c r="R41" i="39"/>
  <c r="I50" i="38"/>
  <c r="H46" i="2"/>
  <c r="R40" i="39"/>
  <c r="I52" i="38"/>
  <c r="N40" i="43"/>
  <c r="Q40" i="43" s="1"/>
  <c r="N48" i="43"/>
  <c r="Q48" i="43" s="1"/>
  <c r="N41" i="38"/>
  <c r="N44" i="38"/>
  <c r="M46" i="39"/>
  <c r="B75" i="31"/>
  <c r="R51" i="39"/>
  <c r="R43" i="39"/>
  <c r="R36" i="39"/>
  <c r="N36" i="43"/>
  <c r="Q36" i="43" s="1"/>
  <c r="N37" i="38"/>
  <c r="N116" i="44"/>
  <c r="O116" i="44"/>
  <c r="L21" i="44"/>
  <c r="R55" i="5"/>
  <c r="AF42" i="51" s="1"/>
  <c r="L127" i="51" s="1"/>
  <c r="L325" i="51" s="1"/>
  <c r="L386" i="51" s="1"/>
  <c r="I33" i="43"/>
  <c r="L32" i="43"/>
  <c r="J32" i="43"/>
  <c r="K32" i="43"/>
  <c r="Q55" i="5"/>
  <c r="AE42" i="51" s="1"/>
  <c r="L126" i="51" s="1"/>
  <c r="L324" i="51" s="1"/>
  <c r="H47" i="2"/>
  <c r="J47" i="2" s="1"/>
  <c r="R55" i="19"/>
  <c r="BV42" i="51" s="1"/>
  <c r="L169" i="51" s="1"/>
  <c r="L367" i="51" s="1"/>
  <c r="L428" i="51" s="1"/>
  <c r="I47" i="43"/>
  <c r="Q55" i="19"/>
  <c r="BU42" i="51" s="1"/>
  <c r="L168" i="51" s="1"/>
  <c r="L366" i="51" s="1"/>
  <c r="H61" i="2"/>
  <c r="Q55" i="11"/>
  <c r="AW42" i="51" s="1"/>
  <c r="L144" i="51" s="1"/>
  <c r="L342" i="51" s="1"/>
  <c r="H53" i="2"/>
  <c r="J53" i="2" s="1"/>
  <c r="N41" i="43"/>
  <c r="Q41" i="43" s="1"/>
  <c r="D39" i="43"/>
  <c r="E39" i="43" s="1"/>
  <c r="R55" i="21"/>
  <c r="CB42" i="51" s="1"/>
  <c r="L175" i="51" s="1"/>
  <c r="L373" i="51" s="1"/>
  <c r="L434" i="51" s="1"/>
  <c r="I49" i="43"/>
  <c r="Q55" i="16"/>
  <c r="BL42" i="51" s="1"/>
  <c r="L159" i="51" s="1"/>
  <c r="L357" i="51" s="1"/>
  <c r="H58" i="2"/>
  <c r="R55" i="13"/>
  <c r="BD42" i="51" s="1"/>
  <c r="L151" i="51" s="1"/>
  <c r="L349" i="51" s="1"/>
  <c r="L410" i="51" s="1"/>
  <c r="I41" i="43"/>
  <c r="Q55" i="8"/>
  <c r="AN42" i="51" s="1"/>
  <c r="L135" i="51" s="1"/>
  <c r="L333" i="51" s="1"/>
  <c r="H50" i="2"/>
  <c r="A57" i="53" s="1"/>
  <c r="R55" i="22"/>
  <c r="CE42" i="51" s="1"/>
  <c r="L178" i="51" s="1"/>
  <c r="L376" i="51" s="1"/>
  <c r="L437" i="51" s="1"/>
  <c r="I50" i="43"/>
  <c r="Q55" i="9"/>
  <c r="AQ42" i="51" s="1"/>
  <c r="L138" i="51" s="1"/>
  <c r="L336" i="51" s="1"/>
  <c r="H51" i="2"/>
  <c r="R55" i="8"/>
  <c r="AO42" i="51" s="1"/>
  <c r="L136" i="51" s="1"/>
  <c r="L334" i="51" s="1"/>
  <c r="L395" i="51" s="1"/>
  <c r="I36" i="43"/>
  <c r="M36" i="39"/>
  <c r="I37" i="38"/>
  <c r="R49" i="39"/>
  <c r="N42" i="38"/>
  <c r="D47" i="43"/>
  <c r="F47" i="43" s="1"/>
  <c r="Q55" i="21"/>
  <c r="CA42" i="51" s="1"/>
  <c r="L174" i="51" s="1"/>
  <c r="L372" i="51" s="1"/>
  <c r="H63" i="2"/>
  <c r="R55" i="18"/>
  <c r="BS42" i="51" s="1"/>
  <c r="L166" i="51" s="1"/>
  <c r="L364" i="51" s="1"/>
  <c r="L425" i="51" s="1"/>
  <c r="I46" i="43"/>
  <c r="Q55" i="13"/>
  <c r="BC42" i="51" s="1"/>
  <c r="L150" i="51" s="1"/>
  <c r="L348" i="51" s="1"/>
  <c r="H55" i="2"/>
  <c r="R55" i="10"/>
  <c r="AU42" i="51" s="1"/>
  <c r="L142" i="51" s="1"/>
  <c r="L340" i="51" s="1"/>
  <c r="L401" i="51" s="1"/>
  <c r="I38" i="43"/>
  <c r="R55" i="14"/>
  <c r="BG42" i="51" s="1"/>
  <c r="L154" i="51" s="1"/>
  <c r="L352" i="51" s="1"/>
  <c r="L413" i="51" s="1"/>
  <c r="I42" i="43"/>
  <c r="Q55" i="22"/>
  <c r="CD42" i="51" s="1"/>
  <c r="L177" i="51" s="1"/>
  <c r="L375" i="51" s="1"/>
  <c r="H64" i="2"/>
  <c r="R55" i="16"/>
  <c r="BM42" i="51" s="1"/>
  <c r="L160" i="51" s="1"/>
  <c r="L358" i="51" s="1"/>
  <c r="L419" i="51" s="1"/>
  <c r="I44" i="43"/>
  <c r="R55" i="23"/>
  <c r="CH42" i="51" s="1"/>
  <c r="L181" i="51" s="1"/>
  <c r="L379" i="51" s="1"/>
  <c r="L440" i="51" s="1"/>
  <c r="I51" i="43"/>
  <c r="Q55" i="18"/>
  <c r="BR42" i="51" s="1"/>
  <c r="L165" i="51" s="1"/>
  <c r="L363" i="51" s="1"/>
  <c r="H60" i="2"/>
  <c r="P23" i="53" s="1"/>
  <c r="R55" i="15"/>
  <c r="BJ42" i="51" s="1"/>
  <c r="L157" i="51" s="1"/>
  <c r="L355" i="51" s="1"/>
  <c r="L416" i="51" s="1"/>
  <c r="I43" i="43"/>
  <c r="Q55" i="10"/>
  <c r="AT42" i="51" s="1"/>
  <c r="L141" i="51" s="1"/>
  <c r="L339" i="51" s="1"/>
  <c r="H52" i="2"/>
  <c r="R55" i="7"/>
  <c r="AL42" i="51" s="1"/>
  <c r="L133" i="51" s="1"/>
  <c r="L331" i="51" s="1"/>
  <c r="L392" i="51" s="1"/>
  <c r="I35" i="43"/>
  <c r="Q55" i="17"/>
  <c r="BO42" i="51" s="1"/>
  <c r="L162" i="51" s="1"/>
  <c r="L360" i="51" s="1"/>
  <c r="H59" i="2"/>
  <c r="R55" i="11"/>
  <c r="AX42" i="51" s="1"/>
  <c r="L145" i="51" s="1"/>
  <c r="L343" i="51" s="1"/>
  <c r="L404" i="51" s="1"/>
  <c r="I39" i="43"/>
  <c r="Q55" i="23"/>
  <c r="CG42" i="51" s="1"/>
  <c r="L180" i="51" s="1"/>
  <c r="H65" i="2"/>
  <c r="R55" i="20"/>
  <c r="BY42" i="51" s="1"/>
  <c r="L172" i="51" s="1"/>
  <c r="L370" i="51" s="1"/>
  <c r="L431" i="51" s="1"/>
  <c r="I48" i="43"/>
  <c r="Q55" i="15"/>
  <c r="BI42" i="51" s="1"/>
  <c r="L156" i="51" s="1"/>
  <c r="L354" i="51" s="1"/>
  <c r="H57" i="2"/>
  <c r="I41" i="38"/>
  <c r="I40" i="43"/>
  <c r="Q55" i="7"/>
  <c r="AK42" i="51" s="1"/>
  <c r="L132" i="51" s="1"/>
  <c r="L330" i="51" s="1"/>
  <c r="H49" i="2"/>
  <c r="Q55" i="14"/>
  <c r="BF42" i="51" s="1"/>
  <c r="L153" i="51" s="1"/>
  <c r="L351" i="51" s="1"/>
  <c r="H56" i="2"/>
  <c r="M44" i="39"/>
  <c r="Q55" i="20"/>
  <c r="BX42" i="51" s="1"/>
  <c r="L171" i="51" s="1"/>
  <c r="L369" i="51" s="1"/>
  <c r="H62" i="2"/>
  <c r="I46" i="38"/>
  <c r="I45" i="43"/>
  <c r="Q55" i="12"/>
  <c r="AZ42" i="51" s="1"/>
  <c r="L147" i="51" s="1"/>
  <c r="L345" i="51" s="1"/>
  <c r="H54" i="2"/>
  <c r="R55" i="9"/>
  <c r="AR42" i="51" s="1"/>
  <c r="L139" i="51" s="1"/>
  <c r="L337" i="51" s="1"/>
  <c r="L398" i="51" s="1"/>
  <c r="I37" i="43"/>
  <c r="A32" i="39"/>
  <c r="O114" i="44"/>
  <c r="A114" i="44"/>
  <c r="N115" i="44"/>
  <c r="O115" i="44"/>
  <c r="O113" i="44"/>
  <c r="N113" i="44"/>
  <c r="N114" i="44"/>
  <c r="A115" i="44"/>
  <c r="A113" i="44"/>
  <c r="B26" i="45"/>
  <c r="D26" i="45" s="1"/>
  <c r="S55" i="6"/>
  <c r="AJ42" i="51" s="1"/>
  <c r="L131" i="51" s="1"/>
  <c r="L329" i="51" s="1"/>
  <c r="L390" i="51" s="1"/>
  <c r="H48" i="2"/>
  <c r="P43" i="43"/>
  <c r="O43" i="43"/>
  <c r="P48" i="43"/>
  <c r="P49" i="43"/>
  <c r="O49" i="43"/>
  <c r="P42" i="43"/>
  <c r="O42" i="43"/>
  <c r="G38" i="43"/>
  <c r="F38" i="43"/>
  <c r="E38" i="43"/>
  <c r="L388" i="51"/>
  <c r="I43" i="51"/>
  <c r="N43" i="51" s="1"/>
  <c r="R15" i="53" s="1"/>
  <c r="S15" i="53" s="1"/>
  <c r="A18" i="56"/>
  <c r="A19" i="56" s="1"/>
  <c r="A20" i="56" s="1"/>
  <c r="A21" i="56" s="1"/>
  <c r="A22" i="56" s="1"/>
  <c r="A23" i="56" s="1"/>
  <c r="A24" i="56" s="1"/>
  <c r="A25" i="56" s="1"/>
  <c r="A26" i="56" s="1"/>
  <c r="A27" i="56" s="1"/>
  <c r="A28" i="56" s="1"/>
  <c r="A29" i="56" s="1"/>
  <c r="A30" i="56" s="1"/>
  <c r="A31" i="56" s="1"/>
  <c r="A32" i="56" s="1"/>
  <c r="A33" i="56" s="1"/>
  <c r="A34" i="56" s="1"/>
  <c r="A35" i="56" s="1"/>
  <c r="A36" i="56" s="1"/>
  <c r="A37" i="56" s="1"/>
  <c r="A38" i="56" s="1"/>
  <c r="A39" i="56" s="1"/>
  <c r="A40" i="56" s="1"/>
  <c r="A41" i="56" s="1"/>
  <c r="A42" i="56" s="1"/>
  <c r="A43" i="56" s="1"/>
  <c r="A44" i="56" s="1"/>
  <c r="A45" i="56" s="1"/>
  <c r="A46" i="56" s="1"/>
  <c r="A47" i="56" s="1"/>
  <c r="A48" i="56" s="1"/>
  <c r="A49" i="56" s="1"/>
  <c r="A50" i="56" s="1"/>
  <c r="A51" i="56" s="1"/>
  <c r="A52" i="56" s="1"/>
  <c r="A53" i="56" s="1"/>
  <c r="A54" i="56" s="1"/>
  <c r="A55" i="56" s="1"/>
  <c r="A56" i="56" s="1"/>
  <c r="A57" i="56" s="1"/>
  <c r="A58" i="56" s="1"/>
  <c r="A59" i="56" s="1"/>
  <c r="A60" i="56" s="1"/>
  <c r="A61" i="56" s="1"/>
  <c r="A62" i="56" s="1"/>
  <c r="A63" i="56" s="1"/>
  <c r="A64" i="56" s="1"/>
  <c r="A65" i="56" s="1"/>
  <c r="A66" i="56" s="1"/>
  <c r="A67" i="56" s="1"/>
  <c r="A68" i="56" s="1"/>
  <c r="A69" i="56" s="1"/>
  <c r="R41" i="38"/>
  <c r="R39" i="38"/>
  <c r="R38" i="38"/>
  <c r="R46" i="38"/>
  <c r="N37" i="43"/>
  <c r="Q37" i="43" s="1"/>
  <c r="I40" i="38"/>
  <c r="A47" i="39"/>
  <c r="A39" i="39"/>
  <c r="A48" i="38"/>
  <c r="M48" i="39"/>
  <c r="N38" i="38"/>
  <c r="B135" i="31"/>
  <c r="R45" i="39"/>
  <c r="I49" i="38"/>
  <c r="N45" i="43"/>
  <c r="Q45" i="43" s="1"/>
  <c r="D43" i="43"/>
  <c r="A43" i="43"/>
  <c r="M40" i="39"/>
  <c r="B95" i="31"/>
  <c r="A51" i="39"/>
  <c r="A52" i="38"/>
  <c r="S85" i="55"/>
  <c r="G18" i="44"/>
  <c r="N21" i="53"/>
  <c r="N14" i="53"/>
  <c r="N15" i="53"/>
  <c r="N16" i="53"/>
  <c r="N24" i="53"/>
  <c r="N23" i="53"/>
  <c r="N17" i="53"/>
  <c r="N25" i="53"/>
  <c r="N22" i="53"/>
  <c r="N18" i="53"/>
  <c r="N19" i="53"/>
  <c r="N27" i="53"/>
  <c r="N26" i="53"/>
  <c r="N20" i="53"/>
  <c r="N28" i="53"/>
  <c r="M50" i="39"/>
  <c r="R46" i="39"/>
  <c r="D51" i="43"/>
  <c r="M43" i="39"/>
  <c r="M38" i="39"/>
  <c r="N52" i="38"/>
  <c r="N46" i="38"/>
  <c r="N49" i="38"/>
  <c r="D41" i="43"/>
  <c r="D46" i="43"/>
  <c r="A43" i="39"/>
  <c r="B115" i="31"/>
  <c r="A44" i="38"/>
  <c r="A33" i="54"/>
  <c r="S91" i="55"/>
  <c r="N38" i="43"/>
  <c r="Q38" i="43" s="1"/>
  <c r="A51" i="43"/>
  <c r="N46" i="43"/>
  <c r="Q46" i="43" s="1"/>
  <c r="B110" i="31"/>
  <c r="D36" i="43"/>
  <c r="M41" i="39"/>
  <c r="N47" i="38"/>
  <c r="D44" i="43"/>
  <c r="B50" i="31"/>
  <c r="S97" i="55"/>
  <c r="A40" i="38"/>
  <c r="C80" i="45"/>
  <c r="D48" i="43"/>
  <c r="N43" i="38"/>
  <c r="A39" i="43"/>
  <c r="M45" i="39"/>
  <c r="A47" i="43"/>
  <c r="B130" i="31"/>
  <c r="S193" i="55"/>
  <c r="B90" i="31"/>
  <c r="S145" i="55"/>
  <c r="A49" i="43"/>
  <c r="S187" i="55"/>
  <c r="B85" i="31"/>
  <c r="S139" i="55"/>
  <c r="A36" i="39"/>
  <c r="S109" i="55"/>
  <c r="B120" i="31"/>
  <c r="S181" i="55"/>
  <c r="A36" i="38"/>
  <c r="S103" i="55"/>
  <c r="A46" i="38"/>
  <c r="S163" i="55"/>
  <c r="B100" i="31"/>
  <c r="S157" i="55"/>
  <c r="R50" i="39"/>
  <c r="N50" i="43"/>
  <c r="Q50" i="43" s="1"/>
  <c r="R42" i="39"/>
  <c r="A45" i="39"/>
  <c r="EK42" i="51"/>
  <c r="GY42" i="51"/>
  <c r="DM42" i="51"/>
  <c r="GA42" i="51"/>
  <c r="CW42" i="51"/>
  <c r="FK42" i="51"/>
  <c r="EB42" i="51"/>
  <c r="GP42" i="51"/>
  <c r="DD42" i="51"/>
  <c r="FR42" i="51"/>
  <c r="CV42" i="51"/>
  <c r="FJ42" i="51"/>
  <c r="CU42" i="51"/>
  <c r="FI42" i="51"/>
  <c r="EQ42" i="51"/>
  <c r="HE42" i="51"/>
  <c r="DS42" i="51"/>
  <c r="GG42" i="51"/>
  <c r="EH42" i="51"/>
  <c r="GV42" i="51"/>
  <c r="DJ42" i="51"/>
  <c r="FX42" i="51"/>
  <c r="EW42" i="51"/>
  <c r="HK42" i="51"/>
  <c r="DY42" i="51"/>
  <c r="GM42" i="51"/>
  <c r="DA42" i="51"/>
  <c r="FO42" i="51"/>
  <c r="EN42" i="51"/>
  <c r="HB42" i="51"/>
  <c r="DP42" i="51"/>
  <c r="GD42" i="51"/>
  <c r="EE42" i="51"/>
  <c r="GS42" i="51"/>
  <c r="N47" i="43"/>
  <c r="Q47" i="43" s="1"/>
  <c r="A41" i="39"/>
  <c r="D49" i="43"/>
  <c r="A41" i="43"/>
  <c r="N51" i="43"/>
  <c r="Q51" i="43" s="1"/>
  <c r="B125" i="31"/>
  <c r="B105" i="31"/>
  <c r="A50" i="38"/>
  <c r="B60" i="31"/>
  <c r="A50" i="39"/>
  <c r="M47" i="39"/>
  <c r="R44" i="39"/>
  <c r="I48" i="38"/>
  <c r="D37" i="43"/>
  <c r="D50" i="43"/>
  <c r="A43" i="38"/>
  <c r="N39" i="43"/>
  <c r="Q39" i="43" s="1"/>
  <c r="D42" i="43"/>
  <c r="A51" i="38"/>
  <c r="N40" i="38"/>
  <c r="A50" i="43"/>
  <c r="N44" i="43"/>
  <c r="Q44" i="43" s="1"/>
  <c r="A36" i="43"/>
  <c r="N45" i="38"/>
  <c r="A42" i="39"/>
  <c r="A42" i="43"/>
  <c r="R50" i="54"/>
  <c r="S55" i="22"/>
  <c r="CF42" i="51" s="1"/>
  <c r="L179" i="51" s="1"/>
  <c r="M45" i="54"/>
  <c r="R55" i="17"/>
  <c r="BP42" i="51" s="1"/>
  <c r="L163" i="51" s="1"/>
  <c r="R42" i="54"/>
  <c r="S55" i="14"/>
  <c r="BH42" i="51" s="1"/>
  <c r="L155" i="51" s="1"/>
  <c r="M40" i="54"/>
  <c r="R55" i="12"/>
  <c r="BA42" i="51" s="1"/>
  <c r="L148" i="51" s="1"/>
  <c r="R37" i="54"/>
  <c r="S55" i="9"/>
  <c r="AS42" i="51" s="1"/>
  <c r="L140" i="51" s="1"/>
  <c r="R39" i="39"/>
  <c r="A49" i="39"/>
  <c r="A48" i="39"/>
  <c r="A49" i="38"/>
  <c r="S55" i="4"/>
  <c r="AD42" i="51" s="1"/>
  <c r="L125" i="51" s="1"/>
  <c r="L323" i="51" s="1"/>
  <c r="Q55" i="4"/>
  <c r="AB42" i="51" s="1"/>
  <c r="L123" i="51" s="1"/>
  <c r="C37" i="44"/>
  <c r="A35" i="43"/>
  <c r="A35" i="54"/>
  <c r="A35" i="38"/>
  <c r="A34" i="54"/>
  <c r="A33" i="43"/>
  <c r="B45" i="31"/>
  <c r="A33" i="39"/>
  <c r="B143" i="31"/>
  <c r="A32" i="54"/>
  <c r="W4" i="53"/>
  <c r="B40" i="31"/>
  <c r="R55" i="4"/>
  <c r="AC42" i="51" s="1"/>
  <c r="L124" i="51" s="1"/>
  <c r="L322" i="51" s="1"/>
  <c r="L383" i="51" s="1"/>
  <c r="B167" i="31"/>
  <c r="A40" i="54"/>
  <c r="M50" i="54"/>
  <c r="M42" i="54"/>
  <c r="M37" i="54"/>
  <c r="N48" i="38"/>
  <c r="D45" i="43"/>
  <c r="A37" i="43"/>
  <c r="A37" i="54"/>
  <c r="A48" i="43"/>
  <c r="B161" i="31"/>
  <c r="A38" i="54"/>
  <c r="B188" i="31"/>
  <c r="A47" i="54"/>
  <c r="B164" i="31"/>
  <c r="A39" i="54"/>
  <c r="M47" i="54"/>
  <c r="R44" i="54"/>
  <c r="R39" i="54"/>
  <c r="D40" i="43"/>
  <c r="B155" i="31"/>
  <c r="A36" i="54"/>
  <c r="B185" i="31"/>
  <c r="A46" i="54"/>
  <c r="R49" i="54"/>
  <c r="M44" i="54"/>
  <c r="R41" i="54"/>
  <c r="M39" i="54"/>
  <c r="R36" i="54"/>
  <c r="R47" i="39"/>
  <c r="I38" i="38"/>
  <c r="I51" i="38"/>
  <c r="I43" i="38"/>
  <c r="B182" i="31"/>
  <c r="A45" i="54"/>
  <c r="M49" i="54"/>
  <c r="R46" i="54"/>
  <c r="M41" i="54"/>
  <c r="M36" i="54"/>
  <c r="M42" i="39"/>
  <c r="B179" i="31"/>
  <c r="A44" i="54"/>
  <c r="R51" i="54"/>
  <c r="M46" i="54"/>
  <c r="R43" i="54"/>
  <c r="R38" i="54"/>
  <c r="R47" i="54"/>
  <c r="B200" i="31"/>
  <c r="A51" i="54"/>
  <c r="B176" i="31"/>
  <c r="A43" i="54"/>
  <c r="M51" i="54"/>
  <c r="R48" i="54"/>
  <c r="M43" i="54"/>
  <c r="M38" i="54"/>
  <c r="B191" i="31"/>
  <c r="A48" i="54"/>
  <c r="M37" i="39"/>
  <c r="A40" i="43"/>
  <c r="B197" i="31"/>
  <c r="A50" i="54"/>
  <c r="B173" i="31"/>
  <c r="A42" i="54"/>
  <c r="M48" i="54"/>
  <c r="R45" i="54"/>
  <c r="R40" i="54"/>
  <c r="A40" i="39"/>
  <c r="B80" i="31"/>
  <c r="A41" i="38"/>
  <c r="B194" i="31"/>
  <c r="A49" i="54"/>
  <c r="B170" i="31"/>
  <c r="A41" i="54"/>
  <c r="I37" i="39"/>
  <c r="J37" i="39" s="1"/>
  <c r="I45" i="39"/>
  <c r="I38" i="39"/>
  <c r="I46" i="39"/>
  <c r="I47" i="39"/>
  <c r="J47" i="39" s="1"/>
  <c r="I40" i="39"/>
  <c r="I48" i="39"/>
  <c r="I41" i="39"/>
  <c r="J41" i="39" s="1"/>
  <c r="I49" i="39"/>
  <c r="J49" i="39" s="1"/>
  <c r="I39" i="39"/>
  <c r="I42" i="39"/>
  <c r="I50" i="39"/>
  <c r="J50" i="39" s="1"/>
  <c r="I43" i="39"/>
  <c r="I51" i="39"/>
  <c r="I44" i="39"/>
  <c r="J44" i="39" s="1"/>
  <c r="A27" i="44"/>
  <c r="A35" i="39"/>
  <c r="B152" i="31"/>
  <c r="B55" i="31"/>
  <c r="A34" i="43"/>
  <c r="A34" i="39"/>
  <c r="B149" i="31"/>
  <c r="A34" i="38"/>
  <c r="B146" i="31"/>
  <c r="A32" i="43"/>
  <c r="A33" i="38"/>
  <c r="A38" i="38"/>
  <c r="C64" i="45"/>
  <c r="C28" i="45"/>
  <c r="C7" i="51"/>
  <c r="A38" i="43"/>
  <c r="C97" i="44"/>
  <c r="C68" i="45"/>
  <c r="F43" i="51"/>
  <c r="O42" i="51"/>
  <c r="E43" i="51"/>
  <c r="H8" i="51"/>
  <c r="F8" i="51"/>
  <c r="A9" i="51"/>
  <c r="D8" i="51"/>
  <c r="I8" i="51"/>
  <c r="B8" i="51"/>
  <c r="K7" i="51" s="1"/>
  <c r="O58" i="4"/>
  <c r="N58" i="4"/>
  <c r="J8" i="51"/>
  <c r="B44" i="51"/>
  <c r="B38" i="4"/>
  <c r="B40" i="4" s="1"/>
  <c r="C40" i="4" s="1"/>
  <c r="D40" i="4" s="1"/>
  <c r="J38" i="4"/>
  <c r="J40" i="4" s="1"/>
  <c r="L40" i="4" s="1"/>
  <c r="D25" i="4"/>
  <c r="F38" i="4"/>
  <c r="F40" i="4" s="1"/>
  <c r="H40" i="4" s="1"/>
  <c r="A46" i="39"/>
  <c r="A38" i="39"/>
  <c r="A46" i="43"/>
  <c r="A44" i="43"/>
  <c r="A47" i="38"/>
  <c r="C100" i="45"/>
  <c r="B65" i="31"/>
  <c r="A39" i="38"/>
  <c r="C49" i="44"/>
  <c r="C73" i="44"/>
  <c r="C89" i="44"/>
  <c r="C25" i="44"/>
  <c r="C65" i="44"/>
  <c r="C44" i="45"/>
  <c r="C53" i="44"/>
  <c r="C93" i="44"/>
  <c r="C77" i="44"/>
  <c r="A37" i="39"/>
  <c r="B70" i="31"/>
  <c r="C61" i="44"/>
  <c r="B158" i="31"/>
  <c r="C88" i="45"/>
  <c r="C48" i="45"/>
  <c r="C85" i="44"/>
  <c r="C45" i="44"/>
  <c r="C56" i="45"/>
  <c r="C96" i="45"/>
  <c r="C47" i="53"/>
  <c r="C83" i="53"/>
  <c r="C115" i="53"/>
  <c r="C63" i="53"/>
  <c r="C95" i="53"/>
  <c r="C29" i="44"/>
  <c r="C104" i="45"/>
  <c r="C76" i="45"/>
  <c r="C32" i="45"/>
  <c r="C51" i="53"/>
  <c r="C33" i="44"/>
  <c r="C41" i="44"/>
  <c r="C92" i="45"/>
  <c r="C72" i="45"/>
  <c r="C84" i="45"/>
  <c r="C60" i="45"/>
  <c r="C57" i="44"/>
  <c r="O48" i="39"/>
  <c r="N48" i="39"/>
  <c r="O44" i="39"/>
  <c r="N44" i="39"/>
  <c r="O39" i="39"/>
  <c r="N39" i="39"/>
  <c r="O43" i="39"/>
  <c r="N43" i="39"/>
  <c r="O47" i="39"/>
  <c r="N47" i="39"/>
  <c r="O51" i="39"/>
  <c r="N51" i="39"/>
  <c r="O38" i="39"/>
  <c r="N38" i="39"/>
  <c r="O42" i="39"/>
  <c r="N42" i="39"/>
  <c r="O46" i="39"/>
  <c r="N46" i="39"/>
  <c r="O50" i="39"/>
  <c r="N50" i="39"/>
  <c r="O37" i="39"/>
  <c r="N37" i="39"/>
  <c r="O41" i="39"/>
  <c r="N41" i="39"/>
  <c r="O45" i="39"/>
  <c r="N45" i="39"/>
  <c r="N49" i="39"/>
  <c r="O49" i="39"/>
  <c r="O40" i="39"/>
  <c r="N40" i="39"/>
  <c r="T37" i="39"/>
  <c r="S37" i="39"/>
  <c r="S41" i="39"/>
  <c r="T41" i="39"/>
  <c r="T45" i="39"/>
  <c r="S45" i="39"/>
  <c r="S49" i="39"/>
  <c r="T49" i="39"/>
  <c r="T40" i="39"/>
  <c r="S40" i="39"/>
  <c r="T44" i="39"/>
  <c r="S44" i="39"/>
  <c r="T48" i="39"/>
  <c r="S48" i="39"/>
  <c r="S39" i="39"/>
  <c r="T39" i="39"/>
  <c r="T43" i="39"/>
  <c r="S43" i="39"/>
  <c r="T47" i="39"/>
  <c r="S47" i="39"/>
  <c r="T51" i="39"/>
  <c r="S51" i="39"/>
  <c r="T38" i="39"/>
  <c r="S38" i="39"/>
  <c r="T42" i="39"/>
  <c r="S42" i="39"/>
  <c r="S46" i="39"/>
  <c r="T46" i="39"/>
  <c r="T50" i="39"/>
  <c r="S50" i="39"/>
  <c r="B31" i="4"/>
  <c r="B33" i="4" s="1"/>
  <c r="C33" i="4" s="1"/>
  <c r="D33" i="4" s="1"/>
  <c r="J30" i="4"/>
  <c r="J31" i="4"/>
  <c r="J25" i="4"/>
  <c r="B47" i="4"/>
  <c r="B49" i="4" s="1"/>
  <c r="C49" i="4" s="1"/>
  <c r="D49" i="4" s="1"/>
  <c r="F25" i="4"/>
  <c r="E38" i="38"/>
  <c r="O41" i="38"/>
  <c r="F52" i="38"/>
  <c r="R52" i="38" s="1"/>
  <c r="E52" i="38"/>
  <c r="Q38" i="38"/>
  <c r="O38" i="38"/>
  <c r="F40" i="38"/>
  <c r="R40" i="38" s="1"/>
  <c r="E40" i="38"/>
  <c r="E44" i="38"/>
  <c r="F44" i="38"/>
  <c r="R44" i="38" s="1"/>
  <c r="Q43" i="38"/>
  <c r="P43" i="38"/>
  <c r="O43" i="38"/>
  <c r="E43" i="38"/>
  <c r="F43" i="38"/>
  <c r="R43" i="38" s="1"/>
  <c r="Q45" i="38"/>
  <c r="O45" i="38"/>
  <c r="P39" i="38"/>
  <c r="Q39" i="38"/>
  <c r="F42" i="38"/>
  <c r="R42" i="38" s="1"/>
  <c r="F51" i="38"/>
  <c r="R51" i="38" s="1"/>
  <c r="E51" i="38"/>
  <c r="E39" i="38"/>
  <c r="E46" i="38"/>
  <c r="P48" i="38"/>
  <c r="O48" i="38"/>
  <c r="Q48" i="38"/>
  <c r="F47" i="38"/>
  <c r="R47" i="38" s="1"/>
  <c r="E47" i="38"/>
  <c r="Q42" i="38"/>
  <c r="O42" i="38"/>
  <c r="P42" i="38"/>
  <c r="Q40" i="38"/>
  <c r="P40" i="38"/>
  <c r="O40" i="38"/>
  <c r="P41" i="38"/>
  <c r="F50" i="38"/>
  <c r="R50" i="38" s="1"/>
  <c r="Q51" i="38"/>
  <c r="P51" i="38"/>
  <c r="O51" i="38"/>
  <c r="O49" i="38"/>
  <c r="P49" i="38"/>
  <c r="Q49" i="38"/>
  <c r="P44" i="38"/>
  <c r="O44" i="38"/>
  <c r="Q44" i="38"/>
  <c r="F45" i="38"/>
  <c r="R45" i="38" s="1"/>
  <c r="E45" i="38"/>
  <c r="P50" i="38"/>
  <c r="Q50" i="38"/>
  <c r="E48" i="38"/>
  <c r="F48" i="38"/>
  <c r="R48" i="38" s="1"/>
  <c r="E41" i="38"/>
  <c r="O50" i="38"/>
  <c r="O52" i="38"/>
  <c r="F49" i="38"/>
  <c r="R49" i="38" s="1"/>
  <c r="E49" i="38"/>
  <c r="O39" i="38"/>
  <c r="P47" i="38"/>
  <c r="O47" i="38"/>
  <c r="Q52" i="38"/>
  <c r="P46" i="38"/>
  <c r="Q46" i="38"/>
  <c r="O46" i="38"/>
  <c r="P45" i="38"/>
  <c r="T58" i="4" l="1"/>
  <c r="AL58" i="4"/>
  <c r="W58" i="4"/>
  <c r="AI58" i="4"/>
  <c r="Q58" i="4"/>
  <c r="F116" i="44"/>
  <c r="C9" i="53"/>
  <c r="D9" i="53" s="1"/>
  <c r="AM248" i="51"/>
  <c r="AF249" i="51"/>
  <c r="AK251" i="51"/>
  <c r="AL248" i="51"/>
  <c r="AF248" i="51"/>
  <c r="AH248" i="51"/>
  <c r="AI248" i="51"/>
  <c r="AK248" i="51"/>
  <c r="AH249" i="51"/>
  <c r="AN248" i="51"/>
  <c r="AP248" i="51"/>
  <c r="AI249" i="51"/>
  <c r="AQ248" i="51"/>
  <c r="AG249" i="51"/>
  <c r="AP249" i="51"/>
  <c r="AJ249" i="51"/>
  <c r="AL249" i="51"/>
  <c r="AQ249" i="51"/>
  <c r="AM249" i="51"/>
  <c r="AO249" i="51"/>
  <c r="AG248" i="51"/>
  <c r="AF251" i="51"/>
  <c r="AH251" i="51"/>
  <c r="AN251" i="51"/>
  <c r="AO248" i="51"/>
  <c r="AK249" i="51"/>
  <c r="AG251" i="51"/>
  <c r="AP251" i="51"/>
  <c r="AJ251" i="51"/>
  <c r="AL251" i="51"/>
  <c r="AJ248" i="51"/>
  <c r="AI251" i="51"/>
  <c r="AM251" i="51"/>
  <c r="AO251" i="51"/>
  <c r="AQ251" i="51"/>
  <c r="AN249" i="51"/>
  <c r="L409" i="51"/>
  <c r="L394" i="51"/>
  <c r="L406" i="51"/>
  <c r="L436" i="51"/>
  <c r="L430" i="51"/>
  <c r="L403" i="51"/>
  <c r="L400" i="51"/>
  <c r="L415" i="51"/>
  <c r="AN296" i="51" s="1"/>
  <c r="L421" i="51"/>
  <c r="L424" i="51"/>
  <c r="AL312" i="51" s="1"/>
  <c r="L433" i="51"/>
  <c r="AQ323" i="51" s="1"/>
  <c r="L391" i="51"/>
  <c r="L397" i="51"/>
  <c r="L418" i="51"/>
  <c r="AL302" i="51" s="1"/>
  <c r="L427" i="51"/>
  <c r="AQ315" i="51" s="1"/>
  <c r="L385" i="51"/>
  <c r="L412" i="51"/>
  <c r="R16" i="53"/>
  <c r="R19" i="53" s="1"/>
  <c r="O40" i="43"/>
  <c r="H18" i="44"/>
  <c r="N27" i="44"/>
  <c r="O48" i="43"/>
  <c r="E116" i="44"/>
  <c r="E117" i="44"/>
  <c r="F117" i="44"/>
  <c r="C117" i="44"/>
  <c r="K39" i="53"/>
  <c r="K40" i="53" s="1"/>
  <c r="K41" i="53" s="1"/>
  <c r="K42" i="53" s="1"/>
  <c r="K43" i="53" s="1"/>
  <c r="K44" i="53" s="1"/>
  <c r="K45" i="53" s="1"/>
  <c r="K46" i="53" s="1"/>
  <c r="K47" i="53" s="1"/>
  <c r="K48" i="53" s="1"/>
  <c r="K49" i="53" s="1"/>
  <c r="K50" i="53" s="1"/>
  <c r="K51" i="53" s="1"/>
  <c r="K52" i="53" s="1"/>
  <c r="K53" i="53" s="1"/>
  <c r="K54" i="53" s="1"/>
  <c r="K55" i="53" s="1"/>
  <c r="K56" i="53" s="1"/>
  <c r="K57" i="53" s="1"/>
  <c r="K58" i="53" s="1"/>
  <c r="K59" i="53" s="1"/>
  <c r="K60" i="53" s="1"/>
  <c r="K61" i="53" s="1"/>
  <c r="K62" i="53" s="1"/>
  <c r="K63" i="53" s="1"/>
  <c r="K64" i="53" s="1"/>
  <c r="K65" i="53" s="1"/>
  <c r="K66" i="53" s="1"/>
  <c r="K67" i="53" s="1"/>
  <c r="K68" i="53" s="1"/>
  <c r="K69" i="53" s="1"/>
  <c r="K70" i="53" s="1"/>
  <c r="K71" i="53" s="1"/>
  <c r="K72" i="53" s="1"/>
  <c r="K73" i="53" s="1"/>
  <c r="K74" i="53" s="1"/>
  <c r="K75" i="53" s="1"/>
  <c r="K76" i="53" s="1"/>
  <c r="K77" i="53" s="1"/>
  <c r="K78" i="53" s="1"/>
  <c r="K79" i="53" s="1"/>
  <c r="K80" i="53" s="1"/>
  <c r="K81" i="53" s="1"/>
  <c r="K82" i="53" s="1"/>
  <c r="K83" i="53" s="1"/>
  <c r="K84" i="53" s="1"/>
  <c r="K85" i="53" s="1"/>
  <c r="K86" i="53" s="1"/>
  <c r="K87" i="53" s="1"/>
  <c r="K88" i="53" s="1"/>
  <c r="K89" i="53" s="1"/>
  <c r="K90" i="53" s="1"/>
  <c r="P40" i="43"/>
  <c r="A31" i="44"/>
  <c r="F39" i="43"/>
  <c r="O13" i="53"/>
  <c r="I53" i="2"/>
  <c r="P16" i="53"/>
  <c r="G47" i="43"/>
  <c r="E47" i="43"/>
  <c r="O41" i="43"/>
  <c r="AB43" i="51"/>
  <c r="O36" i="43"/>
  <c r="P36" i="43"/>
  <c r="A67" i="53"/>
  <c r="H67" i="53" s="1"/>
  <c r="D67" i="53" s="1"/>
  <c r="P41" i="43"/>
  <c r="A58" i="45"/>
  <c r="D58" i="45" s="1"/>
  <c r="A68" i="53"/>
  <c r="G68" i="53" s="1"/>
  <c r="O16" i="53"/>
  <c r="FH42" i="51"/>
  <c r="KJ42" i="51" s="1"/>
  <c r="CT42" i="51"/>
  <c r="FW42" i="51"/>
  <c r="IK42" i="51" s="1"/>
  <c r="DI42" i="51"/>
  <c r="EM42" i="51"/>
  <c r="H43" i="51"/>
  <c r="K33" i="43"/>
  <c r="J33" i="43"/>
  <c r="L33" i="43"/>
  <c r="HD42" i="51"/>
  <c r="JR42" i="51" s="1"/>
  <c r="GX42" i="51"/>
  <c r="JL42" i="51" s="1"/>
  <c r="ES42" i="51"/>
  <c r="X201" i="55"/>
  <c r="GN42" i="51"/>
  <c r="JB42" i="51" s="1"/>
  <c r="EI42" i="51"/>
  <c r="CS42" i="51"/>
  <c r="HC42" i="51"/>
  <c r="JQ42" i="51" s="1"/>
  <c r="GF42" i="51"/>
  <c r="IT42" i="51" s="1"/>
  <c r="FQ42" i="51"/>
  <c r="KS42" i="51" s="1"/>
  <c r="DR42" i="51"/>
  <c r="DC42" i="51"/>
  <c r="GZ42" i="51"/>
  <c r="JN42" i="51" s="1"/>
  <c r="FY42" i="51"/>
  <c r="LA42" i="51" s="1"/>
  <c r="DK42" i="51"/>
  <c r="CZ42" i="51"/>
  <c r="GK42" i="51"/>
  <c r="LM42" i="51" s="1"/>
  <c r="GT42" i="51"/>
  <c r="JH42" i="51" s="1"/>
  <c r="EO42" i="51"/>
  <c r="DT42" i="51"/>
  <c r="DU42" i="51"/>
  <c r="EL42" i="51"/>
  <c r="DZ42" i="51"/>
  <c r="FG42" i="51"/>
  <c r="HU42" i="51" s="1"/>
  <c r="FP42" i="51"/>
  <c r="ID42" i="51" s="1"/>
  <c r="DB42" i="51"/>
  <c r="GW42" i="51"/>
  <c r="JK42" i="51" s="1"/>
  <c r="FS42" i="51"/>
  <c r="IG42" i="51" s="1"/>
  <c r="FT42" i="51"/>
  <c r="KV42" i="51" s="1"/>
  <c r="DE42" i="51"/>
  <c r="DF42" i="51"/>
  <c r="DW42" i="51"/>
  <c r="EF42" i="51"/>
  <c r="EP42" i="51"/>
  <c r="EJ42" i="51"/>
  <c r="GI42" i="51"/>
  <c r="LK42" i="51" s="1"/>
  <c r="GQ42" i="51"/>
  <c r="JE42" i="51" s="1"/>
  <c r="GB42" i="51"/>
  <c r="IP42" i="51" s="1"/>
  <c r="ER42" i="51"/>
  <c r="DL42" i="51"/>
  <c r="EC42" i="51"/>
  <c r="HG42" i="51"/>
  <c r="JU42" i="51" s="1"/>
  <c r="FN42" i="51"/>
  <c r="IB42" i="51" s="1"/>
  <c r="GH42" i="51"/>
  <c r="IV42" i="51" s="1"/>
  <c r="HJ42" i="51"/>
  <c r="JX42" i="51" s="1"/>
  <c r="GU42" i="51"/>
  <c r="JI42" i="51" s="1"/>
  <c r="EV42" i="51"/>
  <c r="EG42" i="51"/>
  <c r="GL42" i="51"/>
  <c r="LN42" i="51" s="1"/>
  <c r="DX42" i="51"/>
  <c r="HA42" i="51"/>
  <c r="JO42" i="51" s="1"/>
  <c r="FZ42" i="51"/>
  <c r="IN42" i="51" s="1"/>
  <c r="HF42" i="51"/>
  <c r="JT42" i="51" s="1"/>
  <c r="AE201" i="55"/>
  <c r="DN42" i="51"/>
  <c r="AF201" i="55"/>
  <c r="EA42" i="51"/>
  <c r="Z199" i="55"/>
  <c r="W200" i="55"/>
  <c r="AF200" i="55"/>
  <c r="AC201" i="55"/>
  <c r="AD201" i="55"/>
  <c r="FV42" i="51"/>
  <c r="KX42" i="51" s="1"/>
  <c r="GE42" i="51"/>
  <c r="IS42" i="51" s="1"/>
  <c r="U199" i="55"/>
  <c r="Y199" i="55"/>
  <c r="V200" i="55"/>
  <c r="AE200" i="55"/>
  <c r="AB201" i="55"/>
  <c r="Y202" i="55"/>
  <c r="Z202" i="55"/>
  <c r="AA202" i="55"/>
  <c r="AB202" i="55"/>
  <c r="G39" i="43"/>
  <c r="J40" i="43"/>
  <c r="L40" i="43"/>
  <c r="K40" i="43"/>
  <c r="L39" i="43"/>
  <c r="J39" i="43"/>
  <c r="K39" i="43"/>
  <c r="K43" i="43"/>
  <c r="J43" i="43"/>
  <c r="L43" i="43"/>
  <c r="L46" i="43"/>
  <c r="J46" i="43"/>
  <c r="K46" i="43"/>
  <c r="DH42" i="51"/>
  <c r="DQ42" i="51"/>
  <c r="U200" i="55"/>
  <c r="AD200" i="55"/>
  <c r="AA201" i="55"/>
  <c r="X202" i="55"/>
  <c r="U203" i="55"/>
  <c r="V203" i="55"/>
  <c r="W203" i="55"/>
  <c r="X203" i="55"/>
  <c r="L36" i="43"/>
  <c r="K36" i="43"/>
  <c r="J36" i="43"/>
  <c r="J41" i="43"/>
  <c r="K41" i="43"/>
  <c r="L41" i="43"/>
  <c r="AC200" i="55"/>
  <c r="Z201" i="55"/>
  <c r="W202" i="55"/>
  <c r="AF202" i="55"/>
  <c r="AC203" i="55"/>
  <c r="AD203" i="55"/>
  <c r="AE203" i="55"/>
  <c r="AF203" i="55"/>
  <c r="K42" i="43"/>
  <c r="J42" i="43"/>
  <c r="L42" i="43"/>
  <c r="Y201" i="55"/>
  <c r="V202" i="55"/>
  <c r="AE202" i="55"/>
  <c r="AB203" i="55"/>
  <c r="V199" i="55"/>
  <c r="W199" i="55"/>
  <c r="X199" i="55"/>
  <c r="L378" i="51"/>
  <c r="L37" i="43"/>
  <c r="K37" i="43"/>
  <c r="J37" i="43"/>
  <c r="L45" i="43"/>
  <c r="K45" i="43"/>
  <c r="J45" i="43"/>
  <c r="FM42" i="51"/>
  <c r="KO42" i="51" s="1"/>
  <c r="HI42" i="51"/>
  <c r="JW42" i="51" s="1"/>
  <c r="U202" i="55"/>
  <c r="AD202" i="55"/>
  <c r="AA203" i="55"/>
  <c r="AC199" i="55"/>
  <c r="AD199" i="55"/>
  <c r="AE199" i="55"/>
  <c r="AF199" i="55"/>
  <c r="J48" i="43"/>
  <c r="L48" i="43"/>
  <c r="K48" i="43"/>
  <c r="K35" i="43"/>
  <c r="J35" i="43"/>
  <c r="L35" i="43"/>
  <c r="K51" i="43"/>
  <c r="J51" i="43"/>
  <c r="L51" i="43"/>
  <c r="L38" i="43"/>
  <c r="J38" i="43"/>
  <c r="K38" i="43"/>
  <c r="CY42" i="51"/>
  <c r="EU42" i="51"/>
  <c r="AC202" i="55"/>
  <c r="Z203" i="55"/>
  <c r="AB199" i="55"/>
  <c r="Y200" i="55"/>
  <c r="Z200" i="55"/>
  <c r="AA200" i="55"/>
  <c r="AB200" i="55"/>
  <c r="K50" i="43"/>
  <c r="L50" i="43"/>
  <c r="J50" i="43"/>
  <c r="J49" i="43"/>
  <c r="K49" i="43"/>
  <c r="L49" i="43"/>
  <c r="L47" i="43"/>
  <c r="J47" i="43"/>
  <c r="K47" i="43"/>
  <c r="GO42" i="51"/>
  <c r="JC42" i="51" s="1"/>
  <c r="Y203" i="55"/>
  <c r="AA199" i="55"/>
  <c r="X200" i="55"/>
  <c r="U201" i="55"/>
  <c r="V201" i="55"/>
  <c r="W201" i="55"/>
  <c r="L44" i="43"/>
  <c r="K44" i="43"/>
  <c r="J44" i="43"/>
  <c r="E113" i="44"/>
  <c r="K119" i="44"/>
  <c r="K134" i="44"/>
  <c r="K139" i="44"/>
  <c r="K150" i="44"/>
  <c r="K160" i="44"/>
  <c r="K163" i="44"/>
  <c r="K147" i="44"/>
  <c r="K115" i="44"/>
  <c r="K125" i="44"/>
  <c r="K131" i="44"/>
  <c r="K141" i="44"/>
  <c r="K122" i="44"/>
  <c r="K158" i="44"/>
  <c r="K169" i="44"/>
  <c r="K121" i="44"/>
  <c r="K144" i="44"/>
  <c r="K166" i="44"/>
  <c r="K168" i="44"/>
  <c r="K132" i="44"/>
  <c r="K130" i="44"/>
  <c r="K114" i="44"/>
  <c r="K117" i="44"/>
  <c r="K155" i="44"/>
  <c r="K151" i="44"/>
  <c r="K149" i="44"/>
  <c r="K126" i="44"/>
  <c r="K135" i="44"/>
  <c r="K153" i="44"/>
  <c r="K138" i="44"/>
  <c r="K113" i="44"/>
  <c r="K156" i="44"/>
  <c r="K152" i="44"/>
  <c r="K123" i="44"/>
  <c r="K164" i="44"/>
  <c r="K157" i="44"/>
  <c r="K136" i="44"/>
  <c r="K142" i="44"/>
  <c r="K146" i="44"/>
  <c r="K145" i="44"/>
  <c r="K129" i="44"/>
  <c r="K128" i="44"/>
  <c r="K159" i="44"/>
  <c r="K140" i="44"/>
  <c r="K127" i="44"/>
  <c r="K148" i="44"/>
  <c r="K124" i="44"/>
  <c r="K165" i="44"/>
  <c r="K170" i="44"/>
  <c r="K118" i="44"/>
  <c r="C113" i="44"/>
  <c r="K154" i="44"/>
  <c r="K172" i="44"/>
  <c r="F113" i="44"/>
  <c r="K167" i="44"/>
  <c r="K171" i="44"/>
  <c r="K120" i="44"/>
  <c r="K133" i="44"/>
  <c r="K162" i="44"/>
  <c r="K116" i="44"/>
  <c r="K161" i="44"/>
  <c r="K143" i="44"/>
  <c r="K137" i="44"/>
  <c r="F114" i="44"/>
  <c r="E114" i="44"/>
  <c r="C114" i="44"/>
  <c r="F115" i="44"/>
  <c r="E115" i="44"/>
  <c r="C115" i="44"/>
  <c r="CX42" i="51"/>
  <c r="FL42" i="51"/>
  <c r="HZ42" i="51" s="1"/>
  <c r="P51" i="43"/>
  <c r="O51" i="43"/>
  <c r="O46" i="43"/>
  <c r="P46" i="43"/>
  <c r="G46" i="43"/>
  <c r="F46" i="43"/>
  <c r="E46" i="43"/>
  <c r="G43" i="43"/>
  <c r="F43" i="43"/>
  <c r="E43" i="43"/>
  <c r="G51" i="43"/>
  <c r="F51" i="43"/>
  <c r="E51" i="43"/>
  <c r="G41" i="43"/>
  <c r="F41" i="43"/>
  <c r="E41" i="43"/>
  <c r="P45" i="43"/>
  <c r="O45" i="43"/>
  <c r="G42" i="43"/>
  <c r="F42" i="43"/>
  <c r="E42" i="43"/>
  <c r="G49" i="43"/>
  <c r="F49" i="43"/>
  <c r="E49" i="43"/>
  <c r="O38" i="43"/>
  <c r="P38" i="43"/>
  <c r="O39" i="43"/>
  <c r="P39" i="43"/>
  <c r="E44" i="43"/>
  <c r="G44" i="43"/>
  <c r="F44" i="43"/>
  <c r="F45" i="43"/>
  <c r="E45" i="43"/>
  <c r="G45" i="43"/>
  <c r="O47" i="43"/>
  <c r="P47" i="43"/>
  <c r="P37" i="43"/>
  <c r="O37" i="43"/>
  <c r="P44" i="43"/>
  <c r="O44" i="43"/>
  <c r="G50" i="43"/>
  <c r="F50" i="43"/>
  <c r="E50" i="43"/>
  <c r="G40" i="43"/>
  <c r="F40" i="43"/>
  <c r="E40" i="43"/>
  <c r="F37" i="43"/>
  <c r="E37" i="43"/>
  <c r="G37" i="43"/>
  <c r="P50" i="43"/>
  <c r="O50" i="43"/>
  <c r="G48" i="43"/>
  <c r="F48" i="43"/>
  <c r="E48" i="43"/>
  <c r="E36" i="43"/>
  <c r="G36" i="43"/>
  <c r="F36" i="43"/>
  <c r="J48" i="2"/>
  <c r="I34" i="43" s="1"/>
  <c r="G1" i="49"/>
  <c r="L384" i="51"/>
  <c r="L27" i="44"/>
  <c r="K27" i="44"/>
  <c r="L321" i="51"/>
  <c r="L377" i="51"/>
  <c r="L338" i="51"/>
  <c r="L361" i="51"/>
  <c r="L346" i="51"/>
  <c r="L353" i="51"/>
  <c r="JG42" i="51"/>
  <c r="LU42" i="51"/>
  <c r="JY42" i="51"/>
  <c r="MM42" i="51"/>
  <c r="IR42" i="51"/>
  <c r="LF42" i="51"/>
  <c r="JA42" i="51"/>
  <c r="LO42" i="51"/>
  <c r="JJ42" i="51"/>
  <c r="LX42" i="51"/>
  <c r="JS42" i="51"/>
  <c r="MG42" i="51"/>
  <c r="IC42" i="51"/>
  <c r="KQ42" i="51"/>
  <c r="IL42" i="51"/>
  <c r="KZ42" i="51"/>
  <c r="IU42" i="51"/>
  <c r="LI42" i="51"/>
  <c r="HW42" i="51"/>
  <c r="KK42" i="51"/>
  <c r="HY42" i="51"/>
  <c r="KM42" i="51"/>
  <c r="IF42" i="51"/>
  <c r="KT42" i="51"/>
  <c r="JP42" i="51"/>
  <c r="MD42" i="51"/>
  <c r="IO42" i="51"/>
  <c r="LC42" i="51"/>
  <c r="HX42" i="51"/>
  <c r="KL42" i="51"/>
  <c r="JD42" i="51"/>
  <c r="LR42" i="51"/>
  <c r="JM42" i="51"/>
  <c r="MA42" i="51"/>
  <c r="A46" i="45"/>
  <c r="I46" i="45" s="1"/>
  <c r="P13" i="53"/>
  <c r="A55" i="53"/>
  <c r="I55" i="53" s="1"/>
  <c r="A32" i="45"/>
  <c r="A44" i="53"/>
  <c r="A34" i="45"/>
  <c r="D34" i="45" s="1"/>
  <c r="A88" i="53"/>
  <c r="I88" i="53" s="1"/>
  <c r="C44" i="38"/>
  <c r="A75" i="44"/>
  <c r="A74" i="44"/>
  <c r="C44" i="39"/>
  <c r="A73" i="44"/>
  <c r="C38" i="38"/>
  <c r="C38" i="39"/>
  <c r="A50" i="44"/>
  <c r="A49" i="44"/>
  <c r="A51" i="44"/>
  <c r="A68" i="45"/>
  <c r="E68" i="45" s="1"/>
  <c r="G68" i="45" s="1"/>
  <c r="A66" i="44"/>
  <c r="A65" i="44"/>
  <c r="A67" i="44"/>
  <c r="C42" i="38"/>
  <c r="C42" i="39"/>
  <c r="I59" i="2"/>
  <c r="D46" i="38" s="1"/>
  <c r="C45" i="38"/>
  <c r="A77" i="44"/>
  <c r="A79" i="44"/>
  <c r="A78" i="44"/>
  <c r="C45" i="39"/>
  <c r="O25" i="53"/>
  <c r="C48" i="38"/>
  <c r="C48" i="39"/>
  <c r="A91" i="44"/>
  <c r="A90" i="44"/>
  <c r="A89" i="44"/>
  <c r="A107" i="53"/>
  <c r="G107" i="53" s="1"/>
  <c r="C49" i="38"/>
  <c r="C49" i="39"/>
  <c r="A93" i="44"/>
  <c r="A95" i="44"/>
  <c r="A94" i="44"/>
  <c r="P27" i="53"/>
  <c r="A98" i="44"/>
  <c r="A97" i="44"/>
  <c r="A99" i="44"/>
  <c r="C50" i="39"/>
  <c r="C50" i="38"/>
  <c r="U55" i="11"/>
  <c r="AX41" i="51" s="1"/>
  <c r="F16" i="53"/>
  <c r="P18" i="53"/>
  <c r="A61" i="44"/>
  <c r="A63" i="44"/>
  <c r="A62" i="44"/>
  <c r="C41" i="38"/>
  <c r="C41" i="39"/>
  <c r="A89" i="45"/>
  <c r="E89" i="45" s="1"/>
  <c r="G89" i="45" s="1"/>
  <c r="A87" i="44"/>
  <c r="A86" i="44"/>
  <c r="A85" i="44"/>
  <c r="C47" i="38"/>
  <c r="C47" i="39"/>
  <c r="A96" i="53"/>
  <c r="F96" i="53" s="1"/>
  <c r="C46" i="39"/>
  <c r="A82" i="44"/>
  <c r="A81" i="44"/>
  <c r="A83" i="44"/>
  <c r="C46" i="38"/>
  <c r="D33" i="31"/>
  <c r="D31" i="31"/>
  <c r="D32" i="31"/>
  <c r="D30" i="31"/>
  <c r="J102" i="51"/>
  <c r="B16" i="53"/>
  <c r="C51" i="38"/>
  <c r="C51" i="39"/>
  <c r="A103" i="44"/>
  <c r="A102" i="44"/>
  <c r="A101" i="44"/>
  <c r="O14" i="53"/>
  <c r="C37" i="39"/>
  <c r="A45" i="44"/>
  <c r="A46" i="44"/>
  <c r="A47" i="44"/>
  <c r="C37" i="38"/>
  <c r="A71" i="44"/>
  <c r="A70" i="44"/>
  <c r="A69" i="44"/>
  <c r="C43" i="38"/>
  <c r="C43" i="39"/>
  <c r="J54" i="2"/>
  <c r="F17" i="53" s="1"/>
  <c r="A59" i="44"/>
  <c r="A58" i="44"/>
  <c r="A57" i="44"/>
  <c r="C40" i="38"/>
  <c r="C40" i="39"/>
  <c r="A43" i="53"/>
  <c r="I43" i="53" s="1"/>
  <c r="A56" i="53"/>
  <c r="I56" i="53" s="1"/>
  <c r="C36" i="38"/>
  <c r="A43" i="44"/>
  <c r="A42" i="44"/>
  <c r="A41" i="44"/>
  <c r="C39" i="38"/>
  <c r="C39" i="39"/>
  <c r="A55" i="44"/>
  <c r="A54" i="44"/>
  <c r="A53" i="44"/>
  <c r="D44" i="39"/>
  <c r="J48" i="39"/>
  <c r="D48" i="39" s="1"/>
  <c r="J51" i="39"/>
  <c r="D51" i="39" s="1"/>
  <c r="J40" i="39"/>
  <c r="D40" i="39" s="1"/>
  <c r="J43" i="39"/>
  <c r="D43" i="39" s="1"/>
  <c r="D47" i="39"/>
  <c r="J46" i="39"/>
  <c r="D46" i="39" s="1"/>
  <c r="D50" i="39"/>
  <c r="J42" i="39"/>
  <c r="D42" i="39" s="1"/>
  <c r="J38" i="39"/>
  <c r="D38" i="39" s="1"/>
  <c r="D49" i="39"/>
  <c r="J39" i="39"/>
  <c r="D39" i="39" s="1"/>
  <c r="J45" i="39"/>
  <c r="D45" i="39" s="1"/>
  <c r="D41" i="39"/>
  <c r="D37" i="39"/>
  <c r="I58" i="2"/>
  <c r="H44" i="39" s="1"/>
  <c r="I64" i="2"/>
  <c r="H50" i="54" s="1"/>
  <c r="A87" i="53"/>
  <c r="G87" i="53" s="1"/>
  <c r="J58" i="2"/>
  <c r="F21" i="53" s="1"/>
  <c r="A103" i="53"/>
  <c r="G103" i="53" s="1"/>
  <c r="J62" i="2"/>
  <c r="F25" i="53" s="1"/>
  <c r="I50" i="2"/>
  <c r="D37" i="38" s="1"/>
  <c r="A99" i="53"/>
  <c r="G99" i="53" s="1"/>
  <c r="I62" i="2"/>
  <c r="H48" i="39" s="1"/>
  <c r="J61" i="2"/>
  <c r="F24" i="53" s="1"/>
  <c r="A88" i="45"/>
  <c r="I88" i="45" s="1"/>
  <c r="A104" i="53"/>
  <c r="H104" i="53" s="1"/>
  <c r="P24" i="53"/>
  <c r="A105" i="53"/>
  <c r="A94" i="45"/>
  <c r="E94" i="45" s="1"/>
  <c r="F94" i="45" s="1"/>
  <c r="A93" i="45"/>
  <c r="I93" i="45" s="1"/>
  <c r="P25" i="53"/>
  <c r="AK154" i="51"/>
  <c r="AN153" i="51"/>
  <c r="AQ152" i="51"/>
  <c r="AI152" i="51"/>
  <c r="AL151" i="51"/>
  <c r="AO150" i="51"/>
  <c r="AG150" i="51"/>
  <c r="AN154" i="51"/>
  <c r="AJ154" i="51"/>
  <c r="AM153" i="51"/>
  <c r="AP152" i="51"/>
  <c r="AH152" i="51"/>
  <c r="AK151" i="51"/>
  <c r="AN150" i="51"/>
  <c r="AQ154" i="51"/>
  <c r="AI154" i="51"/>
  <c r="AL153" i="51"/>
  <c r="AO152" i="51"/>
  <c r="AG152" i="51"/>
  <c r="AJ151" i="51"/>
  <c r="AM150" i="51"/>
  <c r="AQ153" i="51"/>
  <c r="AJ150" i="51"/>
  <c r="AP154" i="51"/>
  <c r="AH154" i="51"/>
  <c r="AK153" i="51"/>
  <c r="AN152" i="51"/>
  <c r="AQ151" i="51"/>
  <c r="AI151" i="51"/>
  <c r="AL150" i="51"/>
  <c r="AI153" i="51"/>
  <c r="AO154" i="51"/>
  <c r="AG154" i="51"/>
  <c r="AJ153" i="51"/>
  <c r="AM152" i="51"/>
  <c r="AP151" i="51"/>
  <c r="AH151" i="51"/>
  <c r="AK150" i="51"/>
  <c r="AG151" i="51"/>
  <c r="AM154" i="51"/>
  <c r="AP153" i="51"/>
  <c r="AH153" i="51"/>
  <c r="AK152" i="51"/>
  <c r="AN151" i="51"/>
  <c r="AQ150" i="51"/>
  <c r="AI150" i="51"/>
  <c r="AL152" i="51"/>
  <c r="AL154" i="51"/>
  <c r="AO153" i="51"/>
  <c r="AG153" i="51"/>
  <c r="AJ152" i="51"/>
  <c r="AM151" i="51"/>
  <c r="AP150" i="51"/>
  <c r="AH150" i="51"/>
  <c r="AO151" i="51"/>
  <c r="AL204" i="51"/>
  <c r="AO203" i="51"/>
  <c r="AG203" i="51"/>
  <c r="AJ202" i="51"/>
  <c r="AM201" i="51"/>
  <c r="AP200" i="51"/>
  <c r="AH200" i="51"/>
  <c r="AK204" i="51"/>
  <c r="AN203" i="51"/>
  <c r="AQ202" i="51"/>
  <c r="AI202" i="51"/>
  <c r="AL201" i="51"/>
  <c r="AO200" i="51"/>
  <c r="AG200" i="51"/>
  <c r="AJ204" i="51"/>
  <c r="AM203" i="51"/>
  <c r="AP202" i="51"/>
  <c r="AH202" i="51"/>
  <c r="AK201" i="51"/>
  <c r="AN200" i="51"/>
  <c r="AQ204" i="51"/>
  <c r="AI204" i="51"/>
  <c r="AL203" i="51"/>
  <c r="AO202" i="51"/>
  <c r="AG202" i="51"/>
  <c r="AJ201" i="51"/>
  <c r="AM200" i="51"/>
  <c r="AP204" i="51"/>
  <c r="AH204" i="51"/>
  <c r="AK203" i="51"/>
  <c r="AN202" i="51"/>
  <c r="AQ201" i="51"/>
  <c r="AI201" i="51"/>
  <c r="AL200" i="51"/>
  <c r="AO204" i="51"/>
  <c r="AG204" i="51"/>
  <c r="AJ203" i="51"/>
  <c r="AM202" i="51"/>
  <c r="AP201" i="51"/>
  <c r="AH201" i="51"/>
  <c r="AK200" i="51"/>
  <c r="AN204" i="51"/>
  <c r="AQ203" i="51"/>
  <c r="AI203" i="51"/>
  <c r="AL202" i="51"/>
  <c r="AO201" i="51"/>
  <c r="AG201" i="51"/>
  <c r="AJ200" i="51"/>
  <c r="AM204" i="51"/>
  <c r="AP203" i="51"/>
  <c r="AH203" i="51"/>
  <c r="AK202" i="51"/>
  <c r="AN201" i="51"/>
  <c r="AQ200" i="51"/>
  <c r="AI200" i="51"/>
  <c r="AQ194" i="51"/>
  <c r="AI194" i="51"/>
  <c r="AL193" i="51"/>
  <c r="AO192" i="51"/>
  <c r="AG192" i="51"/>
  <c r="AJ191" i="51"/>
  <c r="AP194" i="51"/>
  <c r="AH194" i="51"/>
  <c r="AK193" i="51"/>
  <c r="AN192" i="51"/>
  <c r="AQ191" i="51"/>
  <c r="AI191" i="51"/>
  <c r="AL190" i="51"/>
  <c r="AO194" i="51"/>
  <c r="AG194" i="51"/>
  <c r="AJ193" i="51"/>
  <c r="AM192" i="51"/>
  <c r="AP191" i="51"/>
  <c r="AH191" i="51"/>
  <c r="AK190" i="51"/>
  <c r="AN194" i="51"/>
  <c r="AQ193" i="51"/>
  <c r="AI193" i="51"/>
  <c r="AL192" i="51"/>
  <c r="AO191" i="51"/>
  <c r="AM194" i="51"/>
  <c r="AP193" i="51"/>
  <c r="AH193" i="51"/>
  <c r="AK192" i="51"/>
  <c r="AN191" i="51"/>
  <c r="AQ190" i="51"/>
  <c r="AI190" i="51"/>
  <c r="AL194" i="51"/>
  <c r="AO193" i="51"/>
  <c r="AG193" i="51"/>
  <c r="AJ192" i="51"/>
  <c r="AM191" i="51"/>
  <c r="AP190" i="51"/>
  <c r="AH190" i="51"/>
  <c r="AK194" i="51"/>
  <c r="AN193" i="51"/>
  <c r="AQ192" i="51"/>
  <c r="AI192" i="51"/>
  <c r="AL191" i="51"/>
  <c r="AO190" i="51"/>
  <c r="AG190" i="51"/>
  <c r="AM190" i="51"/>
  <c r="AJ194" i="51"/>
  <c r="AJ190" i="51"/>
  <c r="AM193" i="51"/>
  <c r="AK191" i="51"/>
  <c r="AP192" i="51"/>
  <c r="AH192" i="51"/>
  <c r="AG191" i="51"/>
  <c r="AN190" i="51"/>
  <c r="AH139" i="51"/>
  <c r="AO139" i="51"/>
  <c r="AN139" i="51"/>
  <c r="AM139" i="51"/>
  <c r="AL139" i="51"/>
  <c r="AJ139" i="51"/>
  <c r="AQ139" i="51"/>
  <c r="AI139" i="51"/>
  <c r="AP139" i="51"/>
  <c r="AG139" i="51"/>
  <c r="AK139" i="51"/>
  <c r="AM209" i="51"/>
  <c r="AP208" i="51"/>
  <c r="AH208" i="51"/>
  <c r="AK207" i="51"/>
  <c r="AN206" i="51"/>
  <c r="AQ205" i="51"/>
  <c r="AI205" i="51"/>
  <c r="AL209" i="51"/>
  <c r="AO208" i="51"/>
  <c r="AG208" i="51"/>
  <c r="AJ207" i="51"/>
  <c r="AM206" i="51"/>
  <c r="AP205" i="51"/>
  <c r="AH205" i="51"/>
  <c r="AK209" i="51"/>
  <c r="AN208" i="51"/>
  <c r="AQ207" i="51"/>
  <c r="AI207" i="51"/>
  <c r="AL206" i="51"/>
  <c r="AO205" i="51"/>
  <c r="AG205" i="51"/>
  <c r="AJ209" i="51"/>
  <c r="AM208" i="51"/>
  <c r="AP207" i="51"/>
  <c r="AH207" i="51"/>
  <c r="AK206" i="51"/>
  <c r="AN205" i="51"/>
  <c r="AQ209" i="51"/>
  <c r="AI209" i="51"/>
  <c r="AL208" i="51"/>
  <c r="AO207" i="51"/>
  <c r="AG207" i="51"/>
  <c r="AJ206" i="51"/>
  <c r="AM205" i="51"/>
  <c r="AP209" i="51"/>
  <c r="AH209" i="51"/>
  <c r="AK208" i="51"/>
  <c r="AN207" i="51"/>
  <c r="AQ206" i="51"/>
  <c r="AI206" i="51"/>
  <c r="AL205" i="51"/>
  <c r="AO209" i="51"/>
  <c r="AG209" i="51"/>
  <c r="AJ208" i="51"/>
  <c r="AM207" i="51"/>
  <c r="AP206" i="51"/>
  <c r="AH206" i="51"/>
  <c r="AK205" i="51"/>
  <c r="AN209" i="51"/>
  <c r="AQ208" i="51"/>
  <c r="AI208" i="51"/>
  <c r="AL207" i="51"/>
  <c r="AO206" i="51"/>
  <c r="AG206" i="51"/>
  <c r="AJ205" i="51"/>
  <c r="AM164" i="51"/>
  <c r="AP163" i="51"/>
  <c r="AH163" i="51"/>
  <c r="AK162" i="51"/>
  <c r="AN161" i="51"/>
  <c r="AQ160" i="51"/>
  <c r="AI160" i="51"/>
  <c r="AL164" i="51"/>
  <c r="AO163" i="51"/>
  <c r="AG163" i="51"/>
  <c r="AJ162" i="51"/>
  <c r="AM161" i="51"/>
  <c r="AP160" i="51"/>
  <c r="AH160" i="51"/>
  <c r="AK164" i="51"/>
  <c r="AN163" i="51"/>
  <c r="AQ162" i="51"/>
  <c r="AI162" i="51"/>
  <c r="AL161" i="51"/>
  <c r="AO160" i="51"/>
  <c r="AG160" i="51"/>
  <c r="AH164" i="51"/>
  <c r="AQ161" i="51"/>
  <c r="AJ164" i="51"/>
  <c r="AM163" i="51"/>
  <c r="AP162" i="51"/>
  <c r="AH162" i="51"/>
  <c r="AK161" i="51"/>
  <c r="AN160" i="51"/>
  <c r="AK163" i="51"/>
  <c r="AI161" i="51"/>
  <c r="AQ164" i="51"/>
  <c r="AI164" i="51"/>
  <c r="AL163" i="51"/>
  <c r="AO162" i="51"/>
  <c r="AG162" i="51"/>
  <c r="AJ161" i="51"/>
  <c r="AM160" i="51"/>
  <c r="AP164" i="51"/>
  <c r="AN162" i="51"/>
  <c r="AL160" i="51"/>
  <c r="AO164" i="51"/>
  <c r="AG164" i="51"/>
  <c r="AJ163" i="51"/>
  <c r="AM162" i="51"/>
  <c r="AP161" i="51"/>
  <c r="AH161" i="51"/>
  <c r="AK160" i="51"/>
  <c r="AN164" i="51"/>
  <c r="AQ163" i="51"/>
  <c r="AI163" i="51"/>
  <c r="AL162" i="51"/>
  <c r="AO161" i="51"/>
  <c r="AG161" i="51"/>
  <c r="AJ160" i="51"/>
  <c r="AK169" i="51"/>
  <c r="AN168" i="51"/>
  <c r="AP169" i="51"/>
  <c r="AH169" i="51"/>
  <c r="AK168" i="51"/>
  <c r="AO169" i="51"/>
  <c r="AG169" i="51"/>
  <c r="AJ168" i="51"/>
  <c r="AN169" i="51"/>
  <c r="AQ168" i="51"/>
  <c r="AI168" i="51"/>
  <c r="AQ169" i="51"/>
  <c r="AL168" i="51"/>
  <c r="AL167" i="51"/>
  <c r="AO166" i="51"/>
  <c r="AG166" i="51"/>
  <c r="AJ165" i="51"/>
  <c r="AM169" i="51"/>
  <c r="AH168" i="51"/>
  <c r="AK167" i="51"/>
  <c r="AN166" i="51"/>
  <c r="AQ165" i="51"/>
  <c r="AI165" i="51"/>
  <c r="AL169" i="51"/>
  <c r="AG168" i="51"/>
  <c r="AJ167" i="51"/>
  <c r="AM166" i="51"/>
  <c r="AP165" i="51"/>
  <c r="AH165" i="51"/>
  <c r="AO167" i="51"/>
  <c r="AM165" i="51"/>
  <c r="AJ169" i="51"/>
  <c r="AQ167" i="51"/>
  <c r="AI167" i="51"/>
  <c r="AL166" i="51"/>
  <c r="AO165" i="51"/>
  <c r="AG165" i="51"/>
  <c r="AP168" i="51"/>
  <c r="AJ166" i="51"/>
  <c r="AI169" i="51"/>
  <c r="AP167" i="51"/>
  <c r="AH167" i="51"/>
  <c r="AK166" i="51"/>
  <c r="AN165" i="51"/>
  <c r="AG167" i="51"/>
  <c r="AO168" i="51"/>
  <c r="AN167" i="51"/>
  <c r="AQ166" i="51"/>
  <c r="AI166" i="51"/>
  <c r="AL165" i="51"/>
  <c r="AM168" i="51"/>
  <c r="AM167" i="51"/>
  <c r="AP166" i="51"/>
  <c r="AH166" i="51"/>
  <c r="AK165" i="51"/>
  <c r="AL143" i="51"/>
  <c r="AJ141" i="51"/>
  <c r="AO143" i="51"/>
  <c r="AK143" i="51"/>
  <c r="AQ141" i="51"/>
  <c r="AI141" i="51"/>
  <c r="AL140" i="51"/>
  <c r="AG143" i="51"/>
  <c r="AJ143" i="51"/>
  <c r="AP141" i="51"/>
  <c r="AH141" i="51"/>
  <c r="AK140" i="51"/>
  <c r="AM141" i="51"/>
  <c r="AQ143" i="51"/>
  <c r="AI143" i="51"/>
  <c r="AO141" i="51"/>
  <c r="AG141" i="51"/>
  <c r="AJ140" i="51"/>
  <c r="AH140" i="51"/>
  <c r="AP143" i="51"/>
  <c r="AH143" i="51"/>
  <c r="AN141" i="51"/>
  <c r="AQ140" i="51"/>
  <c r="AI140" i="51"/>
  <c r="AN143" i="51"/>
  <c r="AL141" i="51"/>
  <c r="AO140" i="51"/>
  <c r="AG140" i="51"/>
  <c r="AM140" i="51"/>
  <c r="AP140" i="51"/>
  <c r="AM143" i="51"/>
  <c r="AK141" i="51"/>
  <c r="AN140" i="51"/>
  <c r="AJ149" i="51"/>
  <c r="AK146" i="51"/>
  <c r="AN145" i="51"/>
  <c r="AP148" i="51"/>
  <c r="AQ149" i="51"/>
  <c r="AI149" i="51"/>
  <c r="AL148" i="51"/>
  <c r="AJ146" i="51"/>
  <c r="AM145" i="51"/>
  <c r="AH148" i="51"/>
  <c r="AP149" i="51"/>
  <c r="AH149" i="51"/>
  <c r="AK148" i="51"/>
  <c r="AQ146" i="51"/>
  <c r="AI146" i="51"/>
  <c r="AL145" i="51"/>
  <c r="AN146" i="51"/>
  <c r="AO149" i="51"/>
  <c r="AG149" i="51"/>
  <c r="AJ148" i="51"/>
  <c r="AP146" i="51"/>
  <c r="AH146" i="51"/>
  <c r="AK145" i="51"/>
  <c r="AM149" i="51"/>
  <c r="AI145" i="51"/>
  <c r="AN149" i="51"/>
  <c r="AQ148" i="51"/>
  <c r="AI148" i="51"/>
  <c r="AO146" i="51"/>
  <c r="AG146" i="51"/>
  <c r="AJ145" i="51"/>
  <c r="AL149" i="51"/>
  <c r="AO148" i="51"/>
  <c r="AG148" i="51"/>
  <c r="AM146" i="51"/>
  <c r="AP145" i="51"/>
  <c r="AH145" i="51"/>
  <c r="AM148" i="51"/>
  <c r="AQ145" i="51"/>
  <c r="AK149" i="51"/>
  <c r="AN148" i="51"/>
  <c r="AL146" i="51"/>
  <c r="AO145" i="51"/>
  <c r="AG145" i="51"/>
  <c r="AO189" i="51"/>
  <c r="AG189" i="51"/>
  <c r="AJ188" i="51"/>
  <c r="AM187" i="51"/>
  <c r="AP186" i="51"/>
  <c r="AH186" i="51"/>
  <c r="AK185" i="51"/>
  <c r="AN189" i="51"/>
  <c r="AQ188" i="51"/>
  <c r="AI188" i="51"/>
  <c r="AL187" i="51"/>
  <c r="AO186" i="51"/>
  <c r="AG186" i="51"/>
  <c r="AJ185" i="51"/>
  <c r="AL189" i="51"/>
  <c r="AO188" i="51"/>
  <c r="AG188" i="51"/>
  <c r="AJ187" i="51"/>
  <c r="AM186" i="51"/>
  <c r="AP185" i="51"/>
  <c r="AH185" i="51"/>
  <c r="AK189" i="51"/>
  <c r="AN188" i="51"/>
  <c r="AQ187" i="51"/>
  <c r="AI187" i="51"/>
  <c r="AL186" i="51"/>
  <c r="AO185" i="51"/>
  <c r="AG185" i="51"/>
  <c r="AJ189" i="51"/>
  <c r="AM188" i="51"/>
  <c r="AP187" i="51"/>
  <c r="AH187" i="51"/>
  <c r="AK186" i="51"/>
  <c r="AN185" i="51"/>
  <c r="AL188" i="51"/>
  <c r="AN186" i="51"/>
  <c r="AK188" i="51"/>
  <c r="AJ186" i="51"/>
  <c r="AQ189" i="51"/>
  <c r="AH188" i="51"/>
  <c r="AI186" i="51"/>
  <c r="AP189" i="51"/>
  <c r="AO187" i="51"/>
  <c r="AQ185" i="51"/>
  <c r="AI189" i="51"/>
  <c r="AL185" i="51"/>
  <c r="AM189" i="51"/>
  <c r="AN187" i="51"/>
  <c r="AM185" i="51"/>
  <c r="AK187" i="51"/>
  <c r="AH189" i="51"/>
  <c r="AG187" i="51"/>
  <c r="AI185" i="51"/>
  <c r="AP188" i="51"/>
  <c r="AQ186" i="51"/>
  <c r="AM179" i="51"/>
  <c r="AP178" i="51"/>
  <c r="AH178" i="51"/>
  <c r="AK177" i="51"/>
  <c r="AN176" i="51"/>
  <c r="AQ175" i="51"/>
  <c r="AI175" i="51"/>
  <c r="AJ179" i="51"/>
  <c r="AM178" i="51"/>
  <c r="AP177" i="51"/>
  <c r="AH177" i="51"/>
  <c r="AK176" i="51"/>
  <c r="AN175" i="51"/>
  <c r="AQ179" i="51"/>
  <c r="AI179" i="51"/>
  <c r="AL178" i="51"/>
  <c r="AO177" i="51"/>
  <c r="AG177" i="51"/>
  <c r="AJ176" i="51"/>
  <c r="AM175" i="51"/>
  <c r="AP179" i="51"/>
  <c r="AH179" i="51"/>
  <c r="AK178" i="51"/>
  <c r="AN177" i="51"/>
  <c r="AQ176" i="51"/>
  <c r="AI176" i="51"/>
  <c r="AL175" i="51"/>
  <c r="AN178" i="51"/>
  <c r="AI177" i="51"/>
  <c r="AO175" i="51"/>
  <c r="AO179" i="51"/>
  <c r="AJ178" i="51"/>
  <c r="AP176" i="51"/>
  <c r="AK175" i="51"/>
  <c r="AN179" i="51"/>
  <c r="AI178" i="51"/>
  <c r="AO176" i="51"/>
  <c r="AJ175" i="51"/>
  <c r="AG179" i="51"/>
  <c r="AH176" i="51"/>
  <c r="AL179" i="51"/>
  <c r="AG178" i="51"/>
  <c r="AM176" i="51"/>
  <c r="AH175" i="51"/>
  <c r="AM177" i="51"/>
  <c r="AK179" i="51"/>
  <c r="AQ177" i="51"/>
  <c r="AL176" i="51"/>
  <c r="AG175" i="51"/>
  <c r="AQ178" i="51"/>
  <c r="AL177" i="51"/>
  <c r="AG176" i="51"/>
  <c r="AO178" i="51"/>
  <c r="AJ177" i="51"/>
  <c r="AP175" i="51"/>
  <c r="AQ229" i="51"/>
  <c r="AI229" i="51"/>
  <c r="AL228" i="51"/>
  <c r="AO227" i="51"/>
  <c r="AG227" i="51"/>
  <c r="AJ226" i="51"/>
  <c r="AM225" i="51"/>
  <c r="AP229" i="51"/>
  <c r="AH229" i="51"/>
  <c r="AK228" i="51"/>
  <c r="AN227" i="51"/>
  <c r="AQ226" i="51"/>
  <c r="AI226" i="51"/>
  <c r="AL225" i="51"/>
  <c r="AO229" i="51"/>
  <c r="AG229" i="51"/>
  <c r="AJ228" i="51"/>
  <c r="AM227" i="51"/>
  <c r="AP226" i="51"/>
  <c r="AH226" i="51"/>
  <c r="AK225" i="51"/>
  <c r="AN229" i="51"/>
  <c r="AQ228" i="51"/>
  <c r="AI228" i="51"/>
  <c r="AL227" i="51"/>
  <c r="AO226" i="51"/>
  <c r="AG226" i="51"/>
  <c r="AJ225" i="51"/>
  <c r="AM229" i="51"/>
  <c r="AP228" i="51"/>
  <c r="AH228" i="51"/>
  <c r="AK227" i="51"/>
  <c r="AN226" i="51"/>
  <c r="AQ225" i="51"/>
  <c r="AI225" i="51"/>
  <c r="AL229" i="51"/>
  <c r="AO228" i="51"/>
  <c r="AG228" i="51"/>
  <c r="AJ227" i="51"/>
  <c r="AM226" i="51"/>
  <c r="AP225" i="51"/>
  <c r="AH225" i="51"/>
  <c r="AK229" i="51"/>
  <c r="AN228" i="51"/>
  <c r="AQ227" i="51"/>
  <c r="AI227" i="51"/>
  <c r="AL226" i="51"/>
  <c r="AO225" i="51"/>
  <c r="AG225" i="51"/>
  <c r="AJ229" i="51"/>
  <c r="AM228" i="51"/>
  <c r="AP227" i="51"/>
  <c r="AH227" i="51"/>
  <c r="AK226" i="51"/>
  <c r="AN225" i="51"/>
  <c r="AO219" i="51"/>
  <c r="AG219" i="51"/>
  <c r="AJ218" i="51"/>
  <c r="AM217" i="51"/>
  <c r="AP216" i="51"/>
  <c r="AH216" i="51"/>
  <c r="AK215" i="51"/>
  <c r="AN219" i="51"/>
  <c r="AQ218" i="51"/>
  <c r="AI218" i="51"/>
  <c r="AL217" i="51"/>
  <c r="AO216" i="51"/>
  <c r="AG216" i="51"/>
  <c r="AJ215" i="51"/>
  <c r="AM219" i="51"/>
  <c r="AP218" i="51"/>
  <c r="AH218" i="51"/>
  <c r="AK217" i="51"/>
  <c r="AN216" i="51"/>
  <c r="AQ215" i="51"/>
  <c r="AI215" i="51"/>
  <c r="AL219" i="51"/>
  <c r="AO218" i="51"/>
  <c r="AG218" i="51"/>
  <c r="AJ217" i="51"/>
  <c r="AM216" i="51"/>
  <c r="AP215" i="51"/>
  <c r="AH215" i="51"/>
  <c r="AK219" i="51"/>
  <c r="AN218" i="51"/>
  <c r="AQ217" i="51"/>
  <c r="AI217" i="51"/>
  <c r="AL216" i="51"/>
  <c r="AO215" i="51"/>
  <c r="AG215" i="51"/>
  <c r="AJ219" i="51"/>
  <c r="AM218" i="51"/>
  <c r="AP217" i="51"/>
  <c r="AH217" i="51"/>
  <c r="AK216" i="51"/>
  <c r="AN215" i="51"/>
  <c r="AQ219" i="51"/>
  <c r="AI219" i="51"/>
  <c r="AL218" i="51"/>
  <c r="AO217" i="51"/>
  <c r="AG217" i="51"/>
  <c r="AJ216" i="51"/>
  <c r="AM215" i="51"/>
  <c r="AP219" i="51"/>
  <c r="AH219" i="51"/>
  <c r="AK218" i="51"/>
  <c r="AN217" i="51"/>
  <c r="AQ216" i="51"/>
  <c r="AI216" i="51"/>
  <c r="AL215" i="51"/>
  <c r="AN214" i="51"/>
  <c r="AQ213" i="51"/>
  <c r="AI213" i="51"/>
  <c r="AL212" i="51"/>
  <c r="AO211" i="51"/>
  <c r="AG211" i="51"/>
  <c r="AJ210" i="51"/>
  <c r="AM214" i="51"/>
  <c r="AP213" i="51"/>
  <c r="AH213" i="51"/>
  <c r="AK212" i="51"/>
  <c r="AN211" i="51"/>
  <c r="AQ210" i="51"/>
  <c r="AI210" i="51"/>
  <c r="AL214" i="51"/>
  <c r="AO213" i="51"/>
  <c r="AG213" i="51"/>
  <c r="AJ212" i="51"/>
  <c r="AM211" i="51"/>
  <c r="AP210" i="51"/>
  <c r="AH210" i="51"/>
  <c r="AK214" i="51"/>
  <c r="AN213" i="51"/>
  <c r="AQ212" i="51"/>
  <c r="AI212" i="51"/>
  <c r="AL211" i="51"/>
  <c r="AO210" i="51"/>
  <c r="AG210" i="51"/>
  <c r="AJ214" i="51"/>
  <c r="AM213" i="51"/>
  <c r="AP212" i="51"/>
  <c r="AH212" i="51"/>
  <c r="AK211" i="51"/>
  <c r="AN210" i="51"/>
  <c r="AQ214" i="51"/>
  <c r="AI214" i="51"/>
  <c r="AL213" i="51"/>
  <c r="AO212" i="51"/>
  <c r="AG212" i="51"/>
  <c r="AJ211" i="51"/>
  <c r="AM210" i="51"/>
  <c r="AP214" i="51"/>
  <c r="AH214" i="51"/>
  <c r="AK213" i="51"/>
  <c r="AN212" i="51"/>
  <c r="AQ211" i="51"/>
  <c r="AI211" i="51"/>
  <c r="AL210" i="51"/>
  <c r="AO214" i="51"/>
  <c r="AG214" i="51"/>
  <c r="AJ213" i="51"/>
  <c r="AM212" i="51"/>
  <c r="AP211" i="51"/>
  <c r="AH211" i="51"/>
  <c r="AK210" i="51"/>
  <c r="AF162" i="51"/>
  <c r="AF163" i="51"/>
  <c r="AF164" i="51"/>
  <c r="AF161" i="51"/>
  <c r="AF160" i="51"/>
  <c r="AF154" i="51"/>
  <c r="AF150" i="51"/>
  <c r="AF151" i="51"/>
  <c r="AF153" i="51"/>
  <c r="AF152" i="51"/>
  <c r="AF202" i="51"/>
  <c r="AF203" i="51"/>
  <c r="AF204" i="51"/>
  <c r="AF201" i="51"/>
  <c r="AF200" i="51"/>
  <c r="AF194" i="51"/>
  <c r="AF193" i="51"/>
  <c r="AF190" i="51"/>
  <c r="AF191" i="51"/>
  <c r="AF192" i="51"/>
  <c r="AF139" i="51"/>
  <c r="AF207" i="51"/>
  <c r="AF205" i="51"/>
  <c r="AF206" i="51"/>
  <c r="AF209" i="51"/>
  <c r="AF208" i="51"/>
  <c r="AF165" i="51"/>
  <c r="AF166" i="51"/>
  <c r="AF169" i="51"/>
  <c r="AF167" i="51"/>
  <c r="AF168" i="51"/>
  <c r="AF140" i="51"/>
  <c r="AF141" i="51"/>
  <c r="AF143" i="51"/>
  <c r="AF146" i="51"/>
  <c r="AF148" i="51"/>
  <c r="AF149" i="51"/>
  <c r="AF145" i="51"/>
  <c r="AF186" i="51"/>
  <c r="AF187" i="51"/>
  <c r="AF188" i="51"/>
  <c r="AF189" i="51"/>
  <c r="AF185" i="51"/>
  <c r="AF178" i="51"/>
  <c r="AF179" i="51"/>
  <c r="AF175" i="51"/>
  <c r="AF176" i="51"/>
  <c r="AF177" i="51"/>
  <c r="AF227" i="51"/>
  <c r="AF225" i="51"/>
  <c r="AF228" i="51"/>
  <c r="AF229" i="51"/>
  <c r="AF226" i="51"/>
  <c r="AF219" i="51"/>
  <c r="AF215" i="51"/>
  <c r="AF218" i="51"/>
  <c r="AF216" i="51"/>
  <c r="AF217" i="51"/>
  <c r="AF210" i="51"/>
  <c r="AF211" i="51"/>
  <c r="AF212" i="51"/>
  <c r="AF214" i="51"/>
  <c r="AF213" i="51"/>
  <c r="AM156" i="51"/>
  <c r="AH224" i="51"/>
  <c r="AQ174" i="51"/>
  <c r="AF196" i="51"/>
  <c r="AM184" i="51"/>
  <c r="ED42" i="51"/>
  <c r="GR42" i="51"/>
  <c r="CQ42" i="51"/>
  <c r="FE42" i="51"/>
  <c r="DG42" i="51"/>
  <c r="FU42" i="51"/>
  <c r="ET42" i="51"/>
  <c r="HH42" i="51"/>
  <c r="CR42" i="51"/>
  <c r="FF42" i="51"/>
  <c r="DO42" i="51"/>
  <c r="GC42" i="51"/>
  <c r="DV42" i="51"/>
  <c r="GJ42" i="51"/>
  <c r="CP42" i="51"/>
  <c r="FD42" i="51"/>
  <c r="H57" i="53"/>
  <c r="D57" i="53" s="1"/>
  <c r="I57" i="53"/>
  <c r="A100" i="53"/>
  <c r="H100" i="53" s="1"/>
  <c r="P21" i="53"/>
  <c r="I61" i="2"/>
  <c r="A101" i="53"/>
  <c r="A78" i="45"/>
  <c r="E78" i="45" s="1"/>
  <c r="F78" i="45" s="1"/>
  <c r="O21" i="53"/>
  <c r="I55" i="2"/>
  <c r="D170" i="31" s="1"/>
  <c r="A90" i="45"/>
  <c r="D90" i="45" s="1"/>
  <c r="A66" i="45"/>
  <c r="E66" i="45" s="1"/>
  <c r="F66" i="45" s="1"/>
  <c r="O24" i="53"/>
  <c r="A75" i="53"/>
  <c r="K53" i="2"/>
  <c r="J16" i="53" s="1"/>
  <c r="Q27" i="44"/>
  <c r="S8" i="53"/>
  <c r="S27" i="44"/>
  <c r="H39" i="54"/>
  <c r="T55" i="11"/>
  <c r="AW41" i="51" s="1"/>
  <c r="A92" i="45"/>
  <c r="A69" i="53"/>
  <c r="I69" i="53" s="1"/>
  <c r="A57" i="45"/>
  <c r="A56" i="45"/>
  <c r="A61" i="53"/>
  <c r="J55" i="2"/>
  <c r="A76" i="53"/>
  <c r="A77" i="53"/>
  <c r="M33" i="54"/>
  <c r="U55" i="5"/>
  <c r="AF41" i="51" s="1"/>
  <c r="C33" i="38"/>
  <c r="P27" i="44"/>
  <c r="P26" i="53"/>
  <c r="A49" i="45"/>
  <c r="A109" i="53"/>
  <c r="A97" i="53"/>
  <c r="A89" i="53"/>
  <c r="I89" i="53" s="1"/>
  <c r="A76" i="45"/>
  <c r="A77" i="45"/>
  <c r="I56" i="2"/>
  <c r="A98" i="45"/>
  <c r="A92" i="53"/>
  <c r="O22" i="53"/>
  <c r="J63" i="2"/>
  <c r="D195" i="31" s="1"/>
  <c r="A108" i="53"/>
  <c r="A81" i="45"/>
  <c r="J59" i="2"/>
  <c r="D183" i="31" s="1"/>
  <c r="J50" i="2"/>
  <c r="A44" i="45"/>
  <c r="A45" i="45"/>
  <c r="I48" i="2"/>
  <c r="D149" i="31" s="1"/>
  <c r="A49" i="53"/>
  <c r="A38" i="45"/>
  <c r="A48" i="53"/>
  <c r="W5" i="53"/>
  <c r="A47" i="53"/>
  <c r="A37" i="45"/>
  <c r="C34" i="38"/>
  <c r="A33" i="44"/>
  <c r="A36" i="45"/>
  <c r="A34" i="44"/>
  <c r="A35" i="44"/>
  <c r="A41" i="53"/>
  <c r="I41" i="53" s="1"/>
  <c r="A45" i="53"/>
  <c r="I45" i="53" s="1"/>
  <c r="A33" i="45"/>
  <c r="A29" i="44"/>
  <c r="I47" i="2"/>
  <c r="A30" i="44"/>
  <c r="A29" i="45"/>
  <c r="I29" i="45" s="1"/>
  <c r="A28" i="45"/>
  <c r="I28" i="45" s="1"/>
  <c r="A39" i="53"/>
  <c r="I39" i="53" s="1"/>
  <c r="A40" i="53"/>
  <c r="J46" i="2"/>
  <c r="J56" i="2"/>
  <c r="F19" i="53" s="1"/>
  <c r="P22" i="53"/>
  <c r="O19" i="53"/>
  <c r="P19" i="53"/>
  <c r="A79" i="53"/>
  <c r="E27" i="44"/>
  <c r="I46" i="2"/>
  <c r="B117" i="44" s="1"/>
  <c r="A26" i="44"/>
  <c r="A30" i="45"/>
  <c r="I30" i="45" s="1"/>
  <c r="A25" i="44"/>
  <c r="A37" i="44"/>
  <c r="C35" i="38"/>
  <c r="A38" i="44"/>
  <c r="A39" i="44"/>
  <c r="A53" i="53"/>
  <c r="I53" i="53" s="1"/>
  <c r="A41" i="45"/>
  <c r="A52" i="53"/>
  <c r="A42" i="45"/>
  <c r="I49" i="2"/>
  <c r="D117" i="44" s="1"/>
  <c r="A40" i="45"/>
  <c r="A51" i="53"/>
  <c r="I51" i="53" s="1"/>
  <c r="J49" i="2"/>
  <c r="F10" i="53"/>
  <c r="M33" i="39"/>
  <c r="I34" i="38"/>
  <c r="K47" i="2"/>
  <c r="D147" i="31"/>
  <c r="F57" i="53"/>
  <c r="A62" i="45"/>
  <c r="A69" i="45"/>
  <c r="A111" i="53"/>
  <c r="A70" i="45"/>
  <c r="A80" i="53"/>
  <c r="A101" i="45"/>
  <c r="A112" i="53"/>
  <c r="A81" i="53"/>
  <c r="A102" i="45"/>
  <c r="A100" i="45"/>
  <c r="A113" i="53"/>
  <c r="J64" i="2"/>
  <c r="F27" i="53" s="1"/>
  <c r="A61" i="45"/>
  <c r="O27" i="53"/>
  <c r="I54" i="2"/>
  <c r="B13" i="53"/>
  <c r="O40" i="51"/>
  <c r="O41" i="51"/>
  <c r="P14" i="53"/>
  <c r="A72" i="53"/>
  <c r="A93" i="53"/>
  <c r="A91" i="53"/>
  <c r="A86" i="45"/>
  <c r="J51" i="2"/>
  <c r="A59" i="53"/>
  <c r="O17" i="53"/>
  <c r="A80" i="45"/>
  <c r="A95" i="53"/>
  <c r="A60" i="53"/>
  <c r="I51" i="2"/>
  <c r="B14" i="53" s="1"/>
  <c r="A73" i="53"/>
  <c r="A82" i="45"/>
  <c r="O23" i="53"/>
  <c r="A48" i="45"/>
  <c r="A71" i="53"/>
  <c r="P17" i="53"/>
  <c r="J60" i="2"/>
  <c r="F23" i="53" s="1"/>
  <c r="A50" i="45"/>
  <c r="A60" i="45"/>
  <c r="A84" i="45"/>
  <c r="I60" i="2"/>
  <c r="P42" i="51"/>
  <c r="E8" i="51"/>
  <c r="N7" i="51" s="1"/>
  <c r="M7" i="51"/>
  <c r="C8" i="51"/>
  <c r="L7" i="51" s="1"/>
  <c r="I9" i="51"/>
  <c r="B9" i="51"/>
  <c r="K8" i="51" s="1"/>
  <c r="D9" i="51"/>
  <c r="F9" i="51"/>
  <c r="A10" i="51"/>
  <c r="H9" i="51"/>
  <c r="J9" i="51"/>
  <c r="G9" i="51"/>
  <c r="B45" i="51"/>
  <c r="C44" i="51"/>
  <c r="F44" i="51"/>
  <c r="E44" i="51"/>
  <c r="O18" i="53"/>
  <c r="A64" i="45"/>
  <c r="A65" i="45"/>
  <c r="O26" i="53"/>
  <c r="I63" i="2"/>
  <c r="B26" i="53" s="1"/>
  <c r="A97" i="45"/>
  <c r="A96" i="45"/>
  <c r="D165" i="31"/>
  <c r="A85" i="45"/>
  <c r="I57" i="2"/>
  <c r="B20" i="53" s="1"/>
  <c r="A72" i="45"/>
  <c r="A85" i="53"/>
  <c r="P20" i="53"/>
  <c r="J57" i="2"/>
  <c r="O20" i="53"/>
  <c r="A84" i="53"/>
  <c r="A83" i="53"/>
  <c r="A74" i="45"/>
  <c r="A73" i="45"/>
  <c r="P15" i="53"/>
  <c r="J52" i="2"/>
  <c r="A52" i="45"/>
  <c r="A64" i="53"/>
  <c r="O15" i="53"/>
  <c r="A63" i="53"/>
  <c r="A54" i="45"/>
  <c r="I52" i="2"/>
  <c r="B15" i="53" s="1"/>
  <c r="A65" i="53"/>
  <c r="A53" i="45"/>
  <c r="H39" i="39"/>
  <c r="D164" i="31"/>
  <c r="D40" i="38"/>
  <c r="J65" i="2"/>
  <c r="A117" i="53"/>
  <c r="P28" i="53"/>
  <c r="O28" i="53"/>
  <c r="I65" i="2"/>
  <c r="B28" i="53" s="1"/>
  <c r="A116" i="53"/>
  <c r="A115" i="53"/>
  <c r="A105" i="45"/>
  <c r="A106" i="45"/>
  <c r="A104" i="45"/>
  <c r="J33" i="4"/>
  <c r="L33" i="4"/>
  <c r="J46" i="4"/>
  <c r="J47" i="4"/>
  <c r="F46" i="4"/>
  <c r="F47" i="4"/>
  <c r="R27" i="44"/>
  <c r="J1" i="49" l="1"/>
  <c r="K58" i="2"/>
  <c r="AH302" i="51"/>
  <c r="AH316" i="51"/>
  <c r="AJ315" i="51"/>
  <c r="Y177" i="55" s="1"/>
  <c r="AF302" i="51"/>
  <c r="U161" i="55" s="1"/>
  <c r="AQ316" i="51"/>
  <c r="AF178" i="55" s="1"/>
  <c r="AF317" i="51"/>
  <c r="U179" i="55" s="1"/>
  <c r="AG317" i="51"/>
  <c r="V179" i="55" s="1"/>
  <c r="AH317" i="51"/>
  <c r="W179" i="55" s="1"/>
  <c r="AI317" i="51"/>
  <c r="X179" i="55" s="1"/>
  <c r="AK313" i="51"/>
  <c r="AK299" i="51"/>
  <c r="Z158" i="55" s="1"/>
  <c r="AH254" i="51"/>
  <c r="W104" i="55" s="1"/>
  <c r="AJ257" i="51"/>
  <c r="AI253" i="51"/>
  <c r="X103" i="55" s="1"/>
  <c r="AH257" i="51"/>
  <c r="AG257" i="51"/>
  <c r="V107" i="55" s="1"/>
  <c r="AQ256" i="51"/>
  <c r="AF106" i="55" s="1"/>
  <c r="AN257" i="51"/>
  <c r="AL253" i="51"/>
  <c r="AA103" i="55" s="1"/>
  <c r="AN256" i="51"/>
  <c r="AC106" i="55" s="1"/>
  <c r="AQ257" i="51"/>
  <c r="AL256" i="51"/>
  <c r="AA106" i="55" s="1"/>
  <c r="AK256" i="51"/>
  <c r="Z106" i="55" s="1"/>
  <c r="AI256" i="51"/>
  <c r="X106" i="55" s="1"/>
  <c r="AF257" i="51"/>
  <c r="U107" i="55" s="1"/>
  <c r="AK257" i="51"/>
  <c r="AF256" i="51"/>
  <c r="U106" i="55" s="1"/>
  <c r="AI257" i="51"/>
  <c r="X107" i="55" s="1"/>
  <c r="AF253" i="51"/>
  <c r="AL257" i="51"/>
  <c r="AA107" i="55" s="1"/>
  <c r="AO256" i="51"/>
  <c r="AD106" i="55" s="1"/>
  <c r="AM256" i="51"/>
  <c r="AB106" i="55" s="1"/>
  <c r="AQ254" i="51"/>
  <c r="AF104" i="55" s="1"/>
  <c r="AJ256" i="51"/>
  <c r="AP256" i="51"/>
  <c r="AE106" i="55" s="1"/>
  <c r="AG256" i="51"/>
  <c r="V106" i="55" s="1"/>
  <c r="AN254" i="51"/>
  <c r="AL254" i="51"/>
  <c r="AA104" i="55" s="1"/>
  <c r="AK254" i="51"/>
  <c r="Z104" i="55" s="1"/>
  <c r="AI254" i="51"/>
  <c r="X104" i="55" s="1"/>
  <c r="AH256" i="51"/>
  <c r="W106" i="55" s="1"/>
  <c r="AF254" i="51"/>
  <c r="AP253" i="51"/>
  <c r="AE103" i="55" s="1"/>
  <c r="AO253" i="51"/>
  <c r="AD103" i="55" s="1"/>
  <c r="AM253" i="51"/>
  <c r="AJ254" i="51"/>
  <c r="Y104" i="55" s="1"/>
  <c r="AO254" i="51"/>
  <c r="AD104" i="55" s="1"/>
  <c r="AJ253" i="51"/>
  <c r="Y103" i="55" s="1"/>
  <c r="AQ253" i="51"/>
  <c r="AF103" i="55" s="1"/>
  <c r="AH253" i="51"/>
  <c r="AG253" i="51"/>
  <c r="V103" i="55" s="1"/>
  <c r="AN253" i="51"/>
  <c r="AC103" i="55" s="1"/>
  <c r="AP254" i="51"/>
  <c r="AE104" i="55" s="1"/>
  <c r="AG254" i="51"/>
  <c r="V104" i="55" s="1"/>
  <c r="AM254" i="51"/>
  <c r="AB104" i="55" s="1"/>
  <c r="AP257" i="51"/>
  <c r="AE107" i="55" s="1"/>
  <c r="AO257" i="51"/>
  <c r="AD107" i="55" s="1"/>
  <c r="AM257" i="51"/>
  <c r="AK253" i="51"/>
  <c r="Z103" i="55" s="1"/>
  <c r="AO316" i="51"/>
  <c r="AD178" i="55" s="1"/>
  <c r="AN314" i="51"/>
  <c r="AL315" i="51"/>
  <c r="AA177" i="55" s="1"/>
  <c r="AI316" i="51"/>
  <c r="X178" i="55" s="1"/>
  <c r="AJ316" i="51"/>
  <c r="Y178" i="55" s="1"/>
  <c r="AK316" i="51"/>
  <c r="Z178" i="55" s="1"/>
  <c r="AL316" i="51"/>
  <c r="AA178" i="55" s="1"/>
  <c r="AM316" i="51"/>
  <c r="AB178" i="55" s="1"/>
  <c r="AO298" i="51"/>
  <c r="AD157" i="55" s="1"/>
  <c r="AJ301" i="51"/>
  <c r="AL301" i="51"/>
  <c r="AA160" i="55" s="1"/>
  <c r="AM301" i="51"/>
  <c r="AB160" i="55" s="1"/>
  <c r="AN301" i="51"/>
  <c r="AC160" i="55" s="1"/>
  <c r="AK302" i="51"/>
  <c r="Z161" i="55" s="1"/>
  <c r="AM298" i="51"/>
  <c r="AO326" i="51"/>
  <c r="AD190" i="55" s="1"/>
  <c r="AL323" i="51"/>
  <c r="AA187" i="55" s="1"/>
  <c r="AI324" i="51"/>
  <c r="AJ324" i="51"/>
  <c r="Y188" i="55" s="1"/>
  <c r="AK324" i="51"/>
  <c r="Z188" i="55" s="1"/>
  <c r="AL324" i="51"/>
  <c r="AA188" i="55" s="1"/>
  <c r="AM324" i="51"/>
  <c r="AB188" i="55" s="1"/>
  <c r="AO312" i="51"/>
  <c r="AJ309" i="51"/>
  <c r="Y170" i="55" s="1"/>
  <c r="AL309" i="51"/>
  <c r="AA170" i="55" s="1"/>
  <c r="AM309" i="51"/>
  <c r="AN309" i="51"/>
  <c r="AC170" i="55" s="1"/>
  <c r="AK310" i="51"/>
  <c r="Z171" i="55" s="1"/>
  <c r="AP311" i="51"/>
  <c r="AE172" i="55" s="1"/>
  <c r="AK293" i="51"/>
  <c r="Z151" i="55" s="1"/>
  <c r="AJ296" i="51"/>
  <c r="Y154" i="55" s="1"/>
  <c r="AI302" i="51"/>
  <c r="X161" i="55" s="1"/>
  <c r="AJ302" i="51"/>
  <c r="Y161" i="55" s="1"/>
  <c r="AL298" i="51"/>
  <c r="AI299" i="51"/>
  <c r="X158" i="55" s="1"/>
  <c r="AJ323" i="51"/>
  <c r="Y187" i="55" s="1"/>
  <c r="AH324" i="51"/>
  <c r="W188" i="55" s="1"/>
  <c r="AQ324" i="51"/>
  <c r="AF188" i="55" s="1"/>
  <c r="AF325" i="51"/>
  <c r="U189" i="55" s="1"/>
  <c r="AG325" i="51"/>
  <c r="V189" i="55" s="1"/>
  <c r="AH325" i="51"/>
  <c r="W189" i="55" s="1"/>
  <c r="AI325" i="51"/>
  <c r="AG308" i="51"/>
  <c r="V169" i="55" s="1"/>
  <c r="AF310" i="51"/>
  <c r="U171" i="55" s="1"/>
  <c r="AH310" i="51"/>
  <c r="W171" i="55" s="1"/>
  <c r="AI310" i="51"/>
  <c r="X171" i="55" s="1"/>
  <c r="AJ310" i="51"/>
  <c r="Y171" i="55" s="1"/>
  <c r="AG311" i="51"/>
  <c r="V172" i="55" s="1"/>
  <c r="AF294" i="51"/>
  <c r="U152" i="55" s="1"/>
  <c r="AI309" i="51"/>
  <c r="AL308" i="51"/>
  <c r="AA169" i="55" s="1"/>
  <c r="AP260" i="51"/>
  <c r="AE111" i="55" s="1"/>
  <c r="AO260" i="51"/>
  <c r="AD111" i="55" s="1"/>
  <c r="AN260" i="51"/>
  <c r="AC111" i="55" s="1"/>
  <c r="AM260" i="51"/>
  <c r="AB111" i="55" s="1"/>
  <c r="AP259" i="51"/>
  <c r="AE110" i="55" s="1"/>
  <c r="AG259" i="51"/>
  <c r="V110" i="55" s="1"/>
  <c r="AQ258" i="51"/>
  <c r="AN259" i="51"/>
  <c r="AC110" i="55" s="1"/>
  <c r="AH260" i="51"/>
  <c r="W111" i="55" s="1"/>
  <c r="AG260" i="51"/>
  <c r="V111" i="55" s="1"/>
  <c r="AF260" i="51"/>
  <c r="U111" i="55" s="1"/>
  <c r="AQ259" i="51"/>
  <c r="AF110" i="55" s="1"/>
  <c r="AH259" i="51"/>
  <c r="W110" i="55" s="1"/>
  <c r="AK258" i="51"/>
  <c r="Z109" i="55" s="1"/>
  <c r="AI258" i="51"/>
  <c r="AL259" i="51"/>
  <c r="AA110" i="55" s="1"/>
  <c r="AK259" i="51"/>
  <c r="Z110" i="55" s="1"/>
  <c r="AJ259" i="51"/>
  <c r="Y110" i="55" s="1"/>
  <c r="AI259" i="51"/>
  <c r="X110" i="55" s="1"/>
  <c r="AL258" i="51"/>
  <c r="AA109" i="55" s="1"/>
  <c r="AQ262" i="51"/>
  <c r="AF113" i="55" s="1"/>
  <c r="AF259" i="51"/>
  <c r="U110" i="55" s="1"/>
  <c r="AP258" i="51"/>
  <c r="AO258" i="51"/>
  <c r="AD109" i="55" s="1"/>
  <c r="AN258" i="51"/>
  <c r="AC109" i="55" s="1"/>
  <c r="AM258" i="51"/>
  <c r="AK262" i="51"/>
  <c r="Z113" i="55" s="1"/>
  <c r="AI262" i="51"/>
  <c r="X113" i="55" s="1"/>
  <c r="AJ258" i="51"/>
  <c r="Y109" i="55" s="1"/>
  <c r="AH258" i="51"/>
  <c r="W109" i="55" s="1"/>
  <c r="AG258" i="51"/>
  <c r="V109" i="55" s="1"/>
  <c r="AF258" i="51"/>
  <c r="U109" i="55" s="1"/>
  <c r="AL262" i="51"/>
  <c r="AA113" i="55" s="1"/>
  <c r="AO261" i="51"/>
  <c r="AD112" i="55" s="1"/>
  <c r="AM261" i="51"/>
  <c r="AB112" i="55" s="1"/>
  <c r="AJ262" i="51"/>
  <c r="Y113" i="55" s="1"/>
  <c r="AP262" i="51"/>
  <c r="AE113" i="55" s="1"/>
  <c r="AO262" i="51"/>
  <c r="AD113" i="55" s="1"/>
  <c r="AN262" i="51"/>
  <c r="AM262" i="51"/>
  <c r="AB113" i="55" s="1"/>
  <c r="AP261" i="51"/>
  <c r="AE112" i="55" s="1"/>
  <c r="AG261" i="51"/>
  <c r="V112" i="55" s="1"/>
  <c r="AQ260" i="51"/>
  <c r="AF111" i="55" s="1"/>
  <c r="AN261" i="51"/>
  <c r="AC112" i="55" s="1"/>
  <c r="AH262" i="51"/>
  <c r="W113" i="55" s="1"/>
  <c r="AG262" i="51"/>
  <c r="V113" i="55" s="1"/>
  <c r="AF262" i="51"/>
  <c r="U113" i="55" s="1"/>
  <c r="AQ261" i="51"/>
  <c r="AF112" i="55" s="1"/>
  <c r="AH261" i="51"/>
  <c r="W112" i="55" s="1"/>
  <c r="AK260" i="51"/>
  <c r="Z111" i="55" s="1"/>
  <c r="AI260" i="51"/>
  <c r="X111" i="55" s="1"/>
  <c r="AF261" i="51"/>
  <c r="U112" i="55" s="1"/>
  <c r="AL261" i="51"/>
  <c r="AA112" i="55" s="1"/>
  <c r="AK261" i="51"/>
  <c r="Z112" i="55" s="1"/>
  <c r="AJ261" i="51"/>
  <c r="AI261" i="51"/>
  <c r="X112" i="55" s="1"/>
  <c r="AL260" i="51"/>
  <c r="AA111" i="55" s="1"/>
  <c r="AO259" i="51"/>
  <c r="AD110" i="55" s="1"/>
  <c r="AM259" i="51"/>
  <c r="AB110" i="55" s="1"/>
  <c r="AJ260" i="51"/>
  <c r="Y111" i="55" s="1"/>
  <c r="AG314" i="51"/>
  <c r="V176" i="55" s="1"/>
  <c r="AF316" i="51"/>
  <c r="U178" i="55" s="1"/>
  <c r="AP316" i="51"/>
  <c r="AE178" i="55" s="1"/>
  <c r="AM317" i="51"/>
  <c r="AB179" i="55" s="1"/>
  <c r="AN317" i="51"/>
  <c r="AC179" i="55" s="1"/>
  <c r="AO317" i="51"/>
  <c r="AD179" i="55" s="1"/>
  <c r="AP317" i="51"/>
  <c r="AE179" i="55" s="1"/>
  <c r="AQ317" i="51"/>
  <c r="AF179" i="55" s="1"/>
  <c r="AG300" i="51"/>
  <c r="V159" i="55" s="1"/>
  <c r="AN302" i="51"/>
  <c r="AC161" i="55" s="1"/>
  <c r="AP302" i="51"/>
  <c r="AQ302" i="51"/>
  <c r="AF161" i="55" s="1"/>
  <c r="AK298" i="51"/>
  <c r="Z157" i="55" s="1"/>
  <c r="AH299" i="51"/>
  <c r="W158" i="55" s="1"/>
  <c r="AQ299" i="51"/>
  <c r="AF158" i="55" s="1"/>
  <c r="AK327" i="51"/>
  <c r="Z191" i="55" s="1"/>
  <c r="AF324" i="51"/>
  <c r="U188" i="55" s="1"/>
  <c r="AP324" i="51"/>
  <c r="AE188" i="55" s="1"/>
  <c r="AM325" i="51"/>
  <c r="AN325" i="51"/>
  <c r="AC189" i="55" s="1"/>
  <c r="AO325" i="51"/>
  <c r="AD189" i="55" s="1"/>
  <c r="AP325" i="51"/>
  <c r="AQ325" i="51"/>
  <c r="AF189" i="55" s="1"/>
  <c r="AO308" i="51"/>
  <c r="AD169" i="55" s="1"/>
  <c r="AN310" i="51"/>
  <c r="AC171" i="55" s="1"/>
  <c r="AP310" i="51"/>
  <c r="AE171" i="55" s="1"/>
  <c r="AQ310" i="51"/>
  <c r="AF311" i="51"/>
  <c r="U172" i="55" s="1"/>
  <c r="AO311" i="51"/>
  <c r="AD172" i="55" s="1"/>
  <c r="AM308" i="51"/>
  <c r="AB169" i="55" s="1"/>
  <c r="AN294" i="51"/>
  <c r="AC152" i="55" s="1"/>
  <c r="AK284" i="51"/>
  <c r="Z140" i="55" s="1"/>
  <c r="AI284" i="51"/>
  <c r="X140" i="55" s="1"/>
  <c r="AJ283" i="51"/>
  <c r="Y139" i="55" s="1"/>
  <c r="AN285" i="51"/>
  <c r="AL287" i="51"/>
  <c r="AA143" i="55" s="1"/>
  <c r="AH284" i="51"/>
  <c r="W140" i="55" s="1"/>
  <c r="AQ285" i="51"/>
  <c r="AF141" i="55" s="1"/>
  <c r="AO283" i="51"/>
  <c r="AD139" i="55" s="1"/>
  <c r="AM283" i="51"/>
  <c r="AB139" i="55" s="1"/>
  <c r="AQ287" i="51"/>
  <c r="AF143" i="55" s="1"/>
  <c r="AM284" i="51"/>
  <c r="AB140" i="55" s="1"/>
  <c r="AL286" i="51"/>
  <c r="AH283" i="51"/>
  <c r="W139" i="55" s="1"/>
  <c r="AP284" i="51"/>
  <c r="AE140" i="55" s="1"/>
  <c r="AG283" i="51"/>
  <c r="V139" i="55" s="1"/>
  <c r="AJ287" i="51"/>
  <c r="Y143" i="55" s="1"/>
  <c r="AP286" i="51"/>
  <c r="AL283" i="51"/>
  <c r="AA139" i="55" s="1"/>
  <c r="AK285" i="51"/>
  <c r="Z141" i="55" s="1"/>
  <c r="AI287" i="51"/>
  <c r="AP283" i="51"/>
  <c r="AE139" i="55" s="1"/>
  <c r="AO287" i="51"/>
  <c r="AD143" i="55" s="1"/>
  <c r="AM287" i="51"/>
  <c r="AB143" i="55" s="1"/>
  <c r="AN286" i="51"/>
  <c r="AC142" i="55" s="1"/>
  <c r="AP285" i="51"/>
  <c r="AE141" i="55" s="1"/>
  <c r="AN287" i="51"/>
  <c r="AC143" i="55" s="1"/>
  <c r="AJ284" i="51"/>
  <c r="Y140" i="55" s="1"/>
  <c r="AH286" i="51"/>
  <c r="AH287" i="51"/>
  <c r="W143" i="55" s="1"/>
  <c r="AG287" i="51"/>
  <c r="V143" i="55" s="1"/>
  <c r="AQ286" i="51"/>
  <c r="AF142" i="55" s="1"/>
  <c r="AF286" i="51"/>
  <c r="U142" i="55" s="1"/>
  <c r="AO284" i="51"/>
  <c r="AM286" i="51"/>
  <c r="AB142" i="55" s="1"/>
  <c r="AI283" i="51"/>
  <c r="X139" i="55" s="1"/>
  <c r="AH285" i="51"/>
  <c r="W141" i="55" s="1"/>
  <c r="AG286" i="51"/>
  <c r="V142" i="55" s="1"/>
  <c r="AK286" i="51"/>
  <c r="Z142" i="55" s="1"/>
  <c r="AI286" i="51"/>
  <c r="X142" i="55" s="1"/>
  <c r="AJ285" i="51"/>
  <c r="Y141" i="55" s="1"/>
  <c r="AN283" i="51"/>
  <c r="AL285" i="51"/>
  <c r="AA141" i="55" s="1"/>
  <c r="AK287" i="51"/>
  <c r="Z143" i="55" s="1"/>
  <c r="AG284" i="51"/>
  <c r="AF285" i="51"/>
  <c r="U141" i="55" s="1"/>
  <c r="AO285" i="51"/>
  <c r="AD141" i="55" s="1"/>
  <c r="AM285" i="51"/>
  <c r="AB141" i="55" s="1"/>
  <c r="AN284" i="51"/>
  <c r="AC140" i="55" s="1"/>
  <c r="AP287" i="51"/>
  <c r="AE143" i="55" s="1"/>
  <c r="AL284" i="51"/>
  <c r="AA140" i="55" s="1"/>
  <c r="AJ286" i="51"/>
  <c r="AF283" i="51"/>
  <c r="AQ283" i="51"/>
  <c r="AF139" i="55" s="1"/>
  <c r="AG285" i="51"/>
  <c r="V141" i="55" s="1"/>
  <c r="AQ284" i="51"/>
  <c r="AF140" i="55" s="1"/>
  <c r="AF284" i="51"/>
  <c r="U140" i="55" s="1"/>
  <c r="AO286" i="51"/>
  <c r="AD142" i="55" s="1"/>
  <c r="AK283" i="51"/>
  <c r="Z139" i="55" s="1"/>
  <c r="AI285" i="51"/>
  <c r="X141" i="55" s="1"/>
  <c r="AF287" i="51"/>
  <c r="U143" i="55" s="1"/>
  <c r="AO314" i="51"/>
  <c r="AD176" i="55" s="1"/>
  <c r="AN316" i="51"/>
  <c r="AC178" i="55" s="1"/>
  <c r="AL317" i="51"/>
  <c r="AA179" i="55" s="1"/>
  <c r="AF313" i="51"/>
  <c r="U175" i="55" s="1"/>
  <c r="AG313" i="51"/>
  <c r="V175" i="55" s="1"/>
  <c r="AH313" i="51"/>
  <c r="W175" i="55" s="1"/>
  <c r="AI313" i="51"/>
  <c r="X175" i="55" s="1"/>
  <c r="AK301" i="51"/>
  <c r="AF298" i="51"/>
  <c r="U157" i="55" s="1"/>
  <c r="AH298" i="51"/>
  <c r="W157" i="55" s="1"/>
  <c r="AI298" i="51"/>
  <c r="X157" i="55" s="1"/>
  <c r="AJ298" i="51"/>
  <c r="Y157" i="55" s="1"/>
  <c r="AG299" i="51"/>
  <c r="V158" i="55" s="1"/>
  <c r="AP299" i="51"/>
  <c r="AE158" i="55" s="1"/>
  <c r="AM300" i="51"/>
  <c r="AB159" i="55" s="1"/>
  <c r="AK323" i="51"/>
  <c r="AN324" i="51"/>
  <c r="AL325" i="51"/>
  <c r="AA189" i="55" s="1"/>
  <c r="AI326" i="51"/>
  <c r="X190" i="55" s="1"/>
  <c r="AJ326" i="51"/>
  <c r="Y190" i="55" s="1"/>
  <c r="AK326" i="51"/>
  <c r="Z190" i="55" s="1"/>
  <c r="AL326" i="51"/>
  <c r="AA190" i="55" s="1"/>
  <c r="AM326" i="51"/>
  <c r="AB190" i="55" s="1"/>
  <c r="AK309" i="51"/>
  <c r="AJ311" i="51"/>
  <c r="Y172" i="55" s="1"/>
  <c r="AL311" i="51"/>
  <c r="AA172" i="55" s="1"/>
  <c r="AM311" i="51"/>
  <c r="AB172" i="55" s="1"/>
  <c r="AN311" i="51"/>
  <c r="AC172" i="55" s="1"/>
  <c r="AK312" i="51"/>
  <c r="Z173" i="55" s="1"/>
  <c r="AQ309" i="51"/>
  <c r="AF170" i="55" s="1"/>
  <c r="AJ245" i="51"/>
  <c r="AH245" i="51"/>
  <c r="AO247" i="51"/>
  <c r="AD95" i="55" s="1"/>
  <c r="AQ244" i="51"/>
  <c r="AG246" i="51"/>
  <c r="AN245" i="51"/>
  <c r="AO246" i="51"/>
  <c r="AL247" i="51"/>
  <c r="AA95" i="55" s="1"/>
  <c r="AN244" i="51"/>
  <c r="AL244" i="51"/>
  <c r="AK246" i="51"/>
  <c r="AI244" i="51"/>
  <c r="AJ244" i="51"/>
  <c r="AK245" i="51"/>
  <c r="AF245" i="51"/>
  <c r="AH246" i="51"/>
  <c r="AF244" i="51"/>
  <c r="AG245" i="51"/>
  <c r="AN247" i="51"/>
  <c r="AC95" i="55" s="1"/>
  <c r="AI247" i="51"/>
  <c r="X95" i="55" s="1"/>
  <c r="AP244" i="51"/>
  <c r="AP246" i="51"/>
  <c r="AQ245" i="51"/>
  <c r="AF247" i="51"/>
  <c r="U95" i="55" s="1"/>
  <c r="AO244" i="51"/>
  <c r="AP247" i="51"/>
  <c r="AG247" i="51"/>
  <c r="V95" i="55" s="1"/>
  <c r="AM247" i="51"/>
  <c r="AB95" i="55" s="1"/>
  <c r="AL245" i="51"/>
  <c r="AG244" i="51"/>
  <c r="AI245" i="51"/>
  <c r="AJ247" i="51"/>
  <c r="Y95" i="55" s="1"/>
  <c r="AH247" i="51"/>
  <c r="W95" i="55" s="1"/>
  <c r="AO245" i="51"/>
  <c r="AQ246" i="51"/>
  <c r="AH244" i="51"/>
  <c r="AK247" i="51"/>
  <c r="Z95" i="55" s="1"/>
  <c r="AN246" i="51"/>
  <c r="AL246" i="51"/>
  <c r="AK244" i="51"/>
  <c r="AI246" i="51"/>
  <c r="AM244" i="51"/>
  <c r="AM246" i="51"/>
  <c r="AF246" i="51"/>
  <c r="AP245" i="51"/>
  <c r="AM245" i="51"/>
  <c r="AQ247" i="51"/>
  <c r="AF95" i="55" s="1"/>
  <c r="AJ246" i="51"/>
  <c r="AM296" i="51"/>
  <c r="AB154" i="55" s="1"/>
  <c r="AL296" i="51"/>
  <c r="AK296" i="51"/>
  <c r="Z154" i="55" s="1"/>
  <c r="AQ295" i="51"/>
  <c r="AF153" i="55" s="1"/>
  <c r="AP295" i="51"/>
  <c r="AO295" i="51"/>
  <c r="AD153" i="55" s="1"/>
  <c r="AN295" i="51"/>
  <c r="AC153" i="55" s="1"/>
  <c r="AM295" i="51"/>
  <c r="AB153" i="55" s="1"/>
  <c r="AI295" i="51"/>
  <c r="X153" i="55" s="1"/>
  <c r="AH295" i="51"/>
  <c r="W153" i="55" s="1"/>
  <c r="AG295" i="51"/>
  <c r="V153" i="55" s="1"/>
  <c r="AF295" i="51"/>
  <c r="U153" i="55" s="1"/>
  <c r="AQ294" i="51"/>
  <c r="AF152" i="55" s="1"/>
  <c r="AH294" i="51"/>
  <c r="W152" i="55" s="1"/>
  <c r="AJ293" i="51"/>
  <c r="Y151" i="55" s="1"/>
  <c r="AM294" i="51"/>
  <c r="AB152" i="55" s="1"/>
  <c r="AL294" i="51"/>
  <c r="AA152" i="55" s="1"/>
  <c r="AK294" i="51"/>
  <c r="AJ294" i="51"/>
  <c r="Y152" i="55" s="1"/>
  <c r="AI294" i="51"/>
  <c r="X152" i="55" s="1"/>
  <c r="AL293" i="51"/>
  <c r="AA151" i="55" s="1"/>
  <c r="AO294" i="51"/>
  <c r="AD152" i="55" s="1"/>
  <c r="AQ293" i="51"/>
  <c r="AF151" i="55" s="1"/>
  <c r="AP293" i="51"/>
  <c r="AE151" i="55" s="1"/>
  <c r="AO293" i="51"/>
  <c r="AD151" i="55" s="1"/>
  <c r="AN293" i="51"/>
  <c r="AM293" i="51"/>
  <c r="AB151" i="55" s="1"/>
  <c r="AJ297" i="51"/>
  <c r="Y155" i="55" s="1"/>
  <c r="AG294" i="51"/>
  <c r="V152" i="55" s="1"/>
  <c r="AI293" i="51"/>
  <c r="X151" i="55" s="1"/>
  <c r="AH293" i="51"/>
  <c r="W151" i="55" s="1"/>
  <c r="AG293" i="51"/>
  <c r="V151" i="55" s="1"/>
  <c r="AF293" i="51"/>
  <c r="U151" i="55" s="1"/>
  <c r="AQ297" i="51"/>
  <c r="AP297" i="51"/>
  <c r="AE155" i="55" s="1"/>
  <c r="AO297" i="51"/>
  <c r="AD155" i="55" s="1"/>
  <c r="AN297" i="51"/>
  <c r="AC155" i="55" s="1"/>
  <c r="AM297" i="51"/>
  <c r="AB155" i="55" s="1"/>
  <c r="AP296" i="51"/>
  <c r="AE154" i="55" s="1"/>
  <c r="AF296" i="51"/>
  <c r="U154" i="55" s="1"/>
  <c r="AK297" i="51"/>
  <c r="Z155" i="55" s="1"/>
  <c r="AI297" i="51"/>
  <c r="AH297" i="51"/>
  <c r="W155" i="55" s="1"/>
  <c r="AG297" i="51"/>
  <c r="V155" i="55" s="1"/>
  <c r="AF297" i="51"/>
  <c r="U155" i="55" s="1"/>
  <c r="AQ296" i="51"/>
  <c r="AF154" i="55" s="1"/>
  <c r="AH296" i="51"/>
  <c r="W154" i="55" s="1"/>
  <c r="AJ295" i="51"/>
  <c r="Y153" i="55" s="1"/>
  <c r="AO296" i="51"/>
  <c r="AD154" i="55" s="1"/>
  <c r="AK315" i="51"/>
  <c r="Z177" i="55" s="1"/>
  <c r="AJ317" i="51"/>
  <c r="Y179" i="55" s="1"/>
  <c r="AM313" i="51"/>
  <c r="AB175" i="55" s="1"/>
  <c r="AN313" i="51"/>
  <c r="AC175" i="55" s="1"/>
  <c r="AO313" i="51"/>
  <c r="AD175" i="55" s="1"/>
  <c r="AP313" i="51"/>
  <c r="AE175" i="55" s="1"/>
  <c r="AQ313" i="51"/>
  <c r="AF175" i="55" s="1"/>
  <c r="AO300" i="51"/>
  <c r="AD159" i="55" s="1"/>
  <c r="AN298" i="51"/>
  <c r="AP298" i="51"/>
  <c r="AE157" i="55" s="1"/>
  <c r="AQ298" i="51"/>
  <c r="AF157" i="55" s="1"/>
  <c r="AF299" i="51"/>
  <c r="U158" i="55" s="1"/>
  <c r="AO299" i="51"/>
  <c r="AD158" i="55" s="1"/>
  <c r="AL300" i="51"/>
  <c r="AA159" i="55" s="1"/>
  <c r="AI301" i="51"/>
  <c r="X160" i="55" s="1"/>
  <c r="AG324" i="51"/>
  <c r="V188" i="55" s="1"/>
  <c r="AJ325" i="51"/>
  <c r="AH326" i="51"/>
  <c r="W190" i="55" s="1"/>
  <c r="AQ326" i="51"/>
  <c r="AF190" i="55" s="1"/>
  <c r="AF327" i="51"/>
  <c r="U191" i="55" s="1"/>
  <c r="AG327" i="51"/>
  <c r="V191" i="55" s="1"/>
  <c r="AH327" i="51"/>
  <c r="W191" i="55" s="1"/>
  <c r="AI327" i="51"/>
  <c r="X191" i="55" s="1"/>
  <c r="AG310" i="51"/>
  <c r="V171" i="55" s="1"/>
  <c r="AF312" i="51"/>
  <c r="AH312" i="51"/>
  <c r="W173" i="55" s="1"/>
  <c r="AI312" i="51"/>
  <c r="X173" i="55" s="1"/>
  <c r="AJ312" i="51"/>
  <c r="Y173" i="55" s="1"/>
  <c r="AH309" i="51"/>
  <c r="W170" i="55" s="1"/>
  <c r="AM310" i="51"/>
  <c r="AB171" i="55" s="1"/>
  <c r="AP294" i="51"/>
  <c r="AE152" i="55" s="1"/>
  <c r="AH272" i="51"/>
  <c r="W125" i="55" s="1"/>
  <c r="AG272" i="51"/>
  <c r="AF272" i="51"/>
  <c r="U125" i="55" s="1"/>
  <c r="AQ271" i="51"/>
  <c r="AF124" i="55" s="1"/>
  <c r="AH271" i="51"/>
  <c r="W124" i="55" s="1"/>
  <c r="AK270" i="51"/>
  <c r="Z123" i="55" s="1"/>
  <c r="AI270" i="51"/>
  <c r="X123" i="55" s="1"/>
  <c r="AN271" i="51"/>
  <c r="AC124" i="55" s="1"/>
  <c r="AL271" i="51"/>
  <c r="AA124" i="55" s="1"/>
  <c r="AK271" i="51"/>
  <c r="Z124" i="55" s="1"/>
  <c r="AJ271" i="51"/>
  <c r="Y124" i="55" s="1"/>
  <c r="AI271" i="51"/>
  <c r="X124" i="55" s="1"/>
  <c r="AL270" i="51"/>
  <c r="AA123" i="55" s="1"/>
  <c r="AO269" i="51"/>
  <c r="AD122" i="55" s="1"/>
  <c r="AM269" i="51"/>
  <c r="AB122" i="55" s="1"/>
  <c r="AF271" i="51"/>
  <c r="U124" i="55" s="1"/>
  <c r="AP270" i="51"/>
  <c r="AE123" i="55" s="1"/>
  <c r="AO270" i="51"/>
  <c r="AN270" i="51"/>
  <c r="AC123" i="55" s="1"/>
  <c r="AM270" i="51"/>
  <c r="AB123" i="55" s="1"/>
  <c r="AP269" i="51"/>
  <c r="AE122" i="55" s="1"/>
  <c r="AG269" i="51"/>
  <c r="V122" i="55" s="1"/>
  <c r="AQ268" i="51"/>
  <c r="AF121" i="55" s="1"/>
  <c r="AJ270" i="51"/>
  <c r="Y123" i="55" s="1"/>
  <c r="AH270" i="51"/>
  <c r="W123" i="55" s="1"/>
  <c r="AG270" i="51"/>
  <c r="AF270" i="51"/>
  <c r="U123" i="55" s="1"/>
  <c r="AQ269" i="51"/>
  <c r="AF122" i="55" s="1"/>
  <c r="AH269" i="51"/>
  <c r="W122" i="55" s="1"/>
  <c r="AK268" i="51"/>
  <c r="Z121" i="55" s="1"/>
  <c r="AI268" i="51"/>
  <c r="X121" i="55" s="1"/>
  <c r="AL269" i="51"/>
  <c r="AA122" i="55" s="1"/>
  <c r="AK269" i="51"/>
  <c r="Z122" i="55" s="1"/>
  <c r="AJ269" i="51"/>
  <c r="AI269" i="51"/>
  <c r="X122" i="55" s="1"/>
  <c r="AL268" i="51"/>
  <c r="AA121" i="55" s="1"/>
  <c r="AQ272" i="51"/>
  <c r="AF125" i="55" s="1"/>
  <c r="AN269" i="51"/>
  <c r="AC122" i="55" s="1"/>
  <c r="AP268" i="51"/>
  <c r="AE121" i="55" s="1"/>
  <c r="AO268" i="51"/>
  <c r="AD121" i="55" s="1"/>
  <c r="AN268" i="51"/>
  <c r="AC121" i="55" s="1"/>
  <c r="AM268" i="51"/>
  <c r="AK272" i="51"/>
  <c r="Z125" i="55" s="1"/>
  <c r="AI272" i="51"/>
  <c r="X125" i="55" s="1"/>
  <c r="AF269" i="51"/>
  <c r="U122" i="55" s="1"/>
  <c r="AH268" i="51"/>
  <c r="W121" i="55" s="1"/>
  <c r="AG268" i="51"/>
  <c r="V121" i="55" s="1"/>
  <c r="AF268" i="51"/>
  <c r="U121" i="55" s="1"/>
  <c r="AL272" i="51"/>
  <c r="AA125" i="55" s="1"/>
  <c r="AO271" i="51"/>
  <c r="AM271" i="51"/>
  <c r="AB124" i="55" s="1"/>
  <c r="AJ268" i="51"/>
  <c r="Y121" i="55" s="1"/>
  <c r="AP272" i="51"/>
  <c r="AE125" i="55" s="1"/>
  <c r="AO272" i="51"/>
  <c r="AD125" i="55" s="1"/>
  <c r="AN272" i="51"/>
  <c r="AC125" i="55" s="1"/>
  <c r="AM272" i="51"/>
  <c r="AB125" i="55" s="1"/>
  <c r="AP271" i="51"/>
  <c r="AE124" i="55" s="1"/>
  <c r="AG271" i="51"/>
  <c r="V124" i="55" s="1"/>
  <c r="AQ270" i="51"/>
  <c r="AF123" i="55" s="1"/>
  <c r="AJ272" i="51"/>
  <c r="Y125" i="55" s="1"/>
  <c r="AG316" i="51"/>
  <c r="V178" i="55" s="1"/>
  <c r="AL313" i="51"/>
  <c r="AA175" i="55" s="1"/>
  <c r="AI314" i="51"/>
  <c r="X176" i="55" s="1"/>
  <c r="AJ314" i="51"/>
  <c r="Y176" i="55" s="1"/>
  <c r="AK314" i="51"/>
  <c r="Z176" i="55" s="1"/>
  <c r="AL314" i="51"/>
  <c r="AA176" i="55" s="1"/>
  <c r="AM314" i="51"/>
  <c r="AB176" i="55" s="1"/>
  <c r="AG302" i="51"/>
  <c r="V161" i="55" s="1"/>
  <c r="AJ299" i="51"/>
  <c r="Y158" i="55" s="1"/>
  <c r="AL299" i="51"/>
  <c r="AA158" i="55" s="1"/>
  <c r="AM299" i="51"/>
  <c r="AN299" i="51"/>
  <c r="AC158" i="55" s="1"/>
  <c r="AK300" i="51"/>
  <c r="Z159" i="55" s="1"/>
  <c r="AH301" i="51"/>
  <c r="AQ301" i="51"/>
  <c r="AF160" i="55" s="1"/>
  <c r="AO324" i="51"/>
  <c r="AD188" i="55" s="1"/>
  <c r="AF326" i="51"/>
  <c r="U190" i="55" s="1"/>
  <c r="AP326" i="51"/>
  <c r="AE190" i="55" s="1"/>
  <c r="AM327" i="51"/>
  <c r="AB191" i="55" s="1"/>
  <c r="AN327" i="51"/>
  <c r="AC191" i="55" s="1"/>
  <c r="AO327" i="51"/>
  <c r="AD191" i="55" s="1"/>
  <c r="AP327" i="51"/>
  <c r="AE191" i="55" s="1"/>
  <c r="AQ327" i="51"/>
  <c r="AF191" i="55" s="1"/>
  <c r="AO310" i="51"/>
  <c r="AD171" i="55" s="1"/>
  <c r="AN312" i="51"/>
  <c r="AC173" i="55" s="1"/>
  <c r="AP312" i="51"/>
  <c r="AE173" i="55" s="1"/>
  <c r="AQ312" i="51"/>
  <c r="AF173" i="55" s="1"/>
  <c r="AK308" i="51"/>
  <c r="Z169" i="55" s="1"/>
  <c r="AP309" i="51"/>
  <c r="AE170" i="55" s="1"/>
  <c r="AI311" i="51"/>
  <c r="X172" i="55" s="1"/>
  <c r="AL295" i="51"/>
  <c r="AA153" i="55" s="1"/>
  <c r="AP276" i="51"/>
  <c r="AE130" i="55" s="1"/>
  <c r="AG276" i="51"/>
  <c r="V130" i="55" s="1"/>
  <c r="AJ275" i="51"/>
  <c r="Y129" i="55" s="1"/>
  <c r="AI275" i="51"/>
  <c r="X129" i="55" s="1"/>
  <c r="AH275" i="51"/>
  <c r="W129" i="55" s="1"/>
  <c r="AG275" i="51"/>
  <c r="V129" i="55" s="1"/>
  <c r="AQ274" i="51"/>
  <c r="AJ276" i="51"/>
  <c r="Y130" i="55" s="1"/>
  <c r="AH276" i="51"/>
  <c r="W130" i="55" s="1"/>
  <c r="AK275" i="51"/>
  <c r="Z129" i="55" s="1"/>
  <c r="AN274" i="51"/>
  <c r="AC128" i="55" s="1"/>
  <c r="AM274" i="51"/>
  <c r="AB128" i="55" s="1"/>
  <c r="AL274" i="51"/>
  <c r="AA128" i="55" s="1"/>
  <c r="AK274" i="51"/>
  <c r="Z128" i="55" s="1"/>
  <c r="AI274" i="51"/>
  <c r="X128" i="55" s="1"/>
  <c r="AN275" i="51"/>
  <c r="AC129" i="55" s="1"/>
  <c r="AL275" i="51"/>
  <c r="AA129" i="55" s="1"/>
  <c r="AO274" i="51"/>
  <c r="AD128" i="55" s="1"/>
  <c r="AF274" i="51"/>
  <c r="U128" i="55" s="1"/>
  <c r="AQ273" i="51"/>
  <c r="AP273" i="51"/>
  <c r="AE127" i="55" s="1"/>
  <c r="AO273" i="51"/>
  <c r="AD127" i="55" s="1"/>
  <c r="AM273" i="51"/>
  <c r="AF277" i="51"/>
  <c r="U131" i="55" s="1"/>
  <c r="AP274" i="51"/>
  <c r="AE128" i="55" s="1"/>
  <c r="AG274" i="51"/>
  <c r="V128" i="55" s="1"/>
  <c r="AJ273" i="51"/>
  <c r="Y127" i="55" s="1"/>
  <c r="AI273" i="51"/>
  <c r="X127" i="55" s="1"/>
  <c r="AH273" i="51"/>
  <c r="W127" i="55" s="1"/>
  <c r="AG273" i="51"/>
  <c r="V127" i="55" s="1"/>
  <c r="AF275" i="51"/>
  <c r="U129" i="55" s="1"/>
  <c r="AH274" i="51"/>
  <c r="W128" i="55" s="1"/>
  <c r="AK273" i="51"/>
  <c r="Z127" i="55" s="1"/>
  <c r="AQ277" i="51"/>
  <c r="AF131" i="55" s="1"/>
  <c r="AP277" i="51"/>
  <c r="AE131" i="55" s="1"/>
  <c r="AO277" i="51"/>
  <c r="AD131" i="55" s="1"/>
  <c r="AM277" i="51"/>
  <c r="AB131" i="55" s="1"/>
  <c r="AJ274" i="51"/>
  <c r="Y128" i="55" s="1"/>
  <c r="AL273" i="51"/>
  <c r="AA127" i="55" s="1"/>
  <c r="AJ277" i="51"/>
  <c r="Y131" i="55" s="1"/>
  <c r="AI277" i="51"/>
  <c r="X131" i="55" s="1"/>
  <c r="AH277" i="51"/>
  <c r="W131" i="55" s="1"/>
  <c r="AG277" i="51"/>
  <c r="V131" i="55" s="1"/>
  <c r="AQ276" i="51"/>
  <c r="AF130" i="55" s="1"/>
  <c r="AN273" i="51"/>
  <c r="AC127" i="55" s="1"/>
  <c r="AK277" i="51"/>
  <c r="Z131" i="55" s="1"/>
  <c r="AN276" i="51"/>
  <c r="AM276" i="51"/>
  <c r="AB130" i="55" s="1"/>
  <c r="AL276" i="51"/>
  <c r="AA130" i="55" s="1"/>
  <c r="AK276" i="51"/>
  <c r="Z130" i="55" s="1"/>
  <c r="AI276" i="51"/>
  <c r="X130" i="55" s="1"/>
  <c r="AF273" i="51"/>
  <c r="U127" i="55" s="1"/>
  <c r="AL277" i="51"/>
  <c r="AA131" i="55" s="1"/>
  <c r="AO276" i="51"/>
  <c r="AD130" i="55" s="1"/>
  <c r="AF276" i="51"/>
  <c r="U130" i="55" s="1"/>
  <c r="AQ275" i="51"/>
  <c r="AF129" i="55" s="1"/>
  <c r="AP275" i="51"/>
  <c r="AE129" i="55" s="1"/>
  <c r="AO275" i="51"/>
  <c r="AD129" i="55" s="1"/>
  <c r="AM275" i="51"/>
  <c r="AB129" i="55" s="1"/>
  <c r="AN277" i="51"/>
  <c r="AC131" i="55" s="1"/>
  <c r="AJ313" i="51"/>
  <c r="Y175" i="55" s="1"/>
  <c r="AH314" i="51"/>
  <c r="W176" i="55" s="1"/>
  <c r="AQ314" i="51"/>
  <c r="AF176" i="55" s="1"/>
  <c r="AF315" i="51"/>
  <c r="U177" i="55" s="1"/>
  <c r="AG315" i="51"/>
  <c r="V177" i="55" s="1"/>
  <c r="AH315" i="51"/>
  <c r="W177" i="55" s="1"/>
  <c r="AI315" i="51"/>
  <c r="X177" i="55" s="1"/>
  <c r="AO302" i="51"/>
  <c r="AD161" i="55" s="1"/>
  <c r="AF300" i="51"/>
  <c r="U159" i="55" s="1"/>
  <c r="AH300" i="51"/>
  <c r="W159" i="55" s="1"/>
  <c r="AI300" i="51"/>
  <c r="X159" i="55" s="1"/>
  <c r="AJ300" i="51"/>
  <c r="Y159" i="55" s="1"/>
  <c r="AG301" i="51"/>
  <c r="V160" i="55" s="1"/>
  <c r="AP301" i="51"/>
  <c r="AE160" i="55" s="1"/>
  <c r="AM302" i="51"/>
  <c r="AB161" i="55" s="1"/>
  <c r="AK325" i="51"/>
  <c r="Z189" i="55" s="1"/>
  <c r="AN326" i="51"/>
  <c r="AC190" i="55" s="1"/>
  <c r="AL327" i="51"/>
  <c r="AA191" i="55" s="1"/>
  <c r="AF323" i="51"/>
  <c r="AG323" i="51"/>
  <c r="V187" i="55" s="1"/>
  <c r="AH323" i="51"/>
  <c r="W187" i="55" s="1"/>
  <c r="AI323" i="51"/>
  <c r="X187" i="55" s="1"/>
  <c r="AG312" i="51"/>
  <c r="V173" i="55" s="1"/>
  <c r="AF308" i="51"/>
  <c r="U169" i="55" s="1"/>
  <c r="AH308" i="51"/>
  <c r="W169" i="55" s="1"/>
  <c r="AI308" i="51"/>
  <c r="X169" i="55" s="1"/>
  <c r="AJ308" i="51"/>
  <c r="AG309" i="51"/>
  <c r="V170" i="55" s="1"/>
  <c r="AL310" i="51"/>
  <c r="AA171" i="55" s="1"/>
  <c r="AQ311" i="51"/>
  <c r="AF172" i="55" s="1"/>
  <c r="AG296" i="51"/>
  <c r="V154" i="55" s="1"/>
  <c r="AL297" i="51"/>
  <c r="AA155" i="55" s="1"/>
  <c r="AI319" i="51"/>
  <c r="X182" i="55" s="1"/>
  <c r="AL318" i="51"/>
  <c r="AA181" i="55" s="1"/>
  <c r="AJ322" i="51"/>
  <c r="Y185" i="55" s="1"/>
  <c r="AI322" i="51"/>
  <c r="X185" i="55" s="1"/>
  <c r="AH322" i="51"/>
  <c r="W185" i="55" s="1"/>
  <c r="AF322" i="51"/>
  <c r="U185" i="55" s="1"/>
  <c r="AO320" i="51"/>
  <c r="AD183" i="55" s="1"/>
  <c r="AM318" i="51"/>
  <c r="AB181" i="55" s="1"/>
  <c r="AK322" i="51"/>
  <c r="Z185" i="55" s="1"/>
  <c r="AN321" i="51"/>
  <c r="AC184" i="55" s="1"/>
  <c r="AM321" i="51"/>
  <c r="AB184" i="55" s="1"/>
  <c r="AL321" i="51"/>
  <c r="AA184" i="55" s="1"/>
  <c r="AJ321" i="51"/>
  <c r="Y184" i="55" s="1"/>
  <c r="AG320" i="51"/>
  <c r="V183" i="55" s="1"/>
  <c r="AL322" i="51"/>
  <c r="AA185" i="55" s="1"/>
  <c r="AO321" i="51"/>
  <c r="AD184" i="55" s="1"/>
  <c r="AF321" i="51"/>
  <c r="U184" i="55" s="1"/>
  <c r="AQ320" i="51"/>
  <c r="AF183" i="55" s="1"/>
  <c r="AP320" i="51"/>
  <c r="AN320" i="51"/>
  <c r="AC183" i="55" s="1"/>
  <c r="AK319" i="51"/>
  <c r="Z182" i="55" s="1"/>
  <c r="AM322" i="51"/>
  <c r="AB185" i="55" s="1"/>
  <c r="AP321" i="51"/>
  <c r="AE184" i="55" s="1"/>
  <c r="AG321" i="51"/>
  <c r="V184" i="55" s="1"/>
  <c r="AJ320" i="51"/>
  <c r="Y183" i="55" s="1"/>
  <c r="AI320" i="51"/>
  <c r="X183" i="55" s="1"/>
  <c r="AH320" i="51"/>
  <c r="W183" i="55" s="1"/>
  <c r="AF320" i="51"/>
  <c r="U183" i="55" s="1"/>
  <c r="AO318" i="51"/>
  <c r="AD181" i="55" s="1"/>
  <c r="AQ321" i="51"/>
  <c r="AF184" i="55" s="1"/>
  <c r="AH321" i="51"/>
  <c r="W184" i="55" s="1"/>
  <c r="AK320" i="51"/>
  <c r="Z183" i="55" s="1"/>
  <c r="AN319" i="51"/>
  <c r="AC182" i="55" s="1"/>
  <c r="AM319" i="51"/>
  <c r="AB182" i="55" s="1"/>
  <c r="AL319" i="51"/>
  <c r="AA182" i="55" s="1"/>
  <c r="AJ319" i="51"/>
  <c r="Y182" i="55" s="1"/>
  <c r="AG318" i="51"/>
  <c r="V181" i="55" s="1"/>
  <c r="AI321" i="51"/>
  <c r="X184" i="55" s="1"/>
  <c r="AL320" i="51"/>
  <c r="AA183" i="55" s="1"/>
  <c r="AO319" i="51"/>
  <c r="AD182" i="55" s="1"/>
  <c r="AF319" i="51"/>
  <c r="U182" i="55" s="1"/>
  <c r="AQ318" i="51"/>
  <c r="AF181" i="55" s="1"/>
  <c r="AP318" i="51"/>
  <c r="AE181" i="55" s="1"/>
  <c r="AN318" i="51"/>
  <c r="AC181" i="55" s="1"/>
  <c r="AG322" i="51"/>
  <c r="V185" i="55" s="1"/>
  <c r="AM320" i="51"/>
  <c r="AB183" i="55" s="1"/>
  <c r="AP319" i="51"/>
  <c r="AE182" i="55" s="1"/>
  <c r="AG319" i="51"/>
  <c r="V182" i="55" s="1"/>
  <c r="AJ318" i="51"/>
  <c r="Y181" i="55" s="1"/>
  <c r="AI318" i="51"/>
  <c r="X181" i="55" s="1"/>
  <c r="AH318" i="51"/>
  <c r="W181" i="55" s="1"/>
  <c r="AF318" i="51"/>
  <c r="U181" i="55" s="1"/>
  <c r="AO322" i="51"/>
  <c r="AD185" i="55" s="1"/>
  <c r="AQ319" i="51"/>
  <c r="AF182" i="55" s="1"/>
  <c r="AH319" i="51"/>
  <c r="W182" i="55" s="1"/>
  <c r="AK318" i="51"/>
  <c r="Z181" i="55" s="1"/>
  <c r="AQ322" i="51"/>
  <c r="AF185" i="55" s="1"/>
  <c r="AP322" i="51"/>
  <c r="AE185" i="55" s="1"/>
  <c r="AN322" i="51"/>
  <c r="AC185" i="55" s="1"/>
  <c r="AK321" i="51"/>
  <c r="Z184" i="55" s="1"/>
  <c r="AK317" i="51"/>
  <c r="Z179" i="55" s="1"/>
  <c r="AF314" i="51"/>
  <c r="U176" i="55" s="1"/>
  <c r="AP314" i="51"/>
  <c r="AE176" i="55" s="1"/>
  <c r="AM315" i="51"/>
  <c r="AB177" i="55" s="1"/>
  <c r="AN315" i="51"/>
  <c r="AC177" i="55" s="1"/>
  <c r="AO315" i="51"/>
  <c r="AD177" i="55" s="1"/>
  <c r="AP315" i="51"/>
  <c r="AE177" i="55" s="1"/>
  <c r="AG298" i="51"/>
  <c r="V157" i="55" s="1"/>
  <c r="AN300" i="51"/>
  <c r="AC159" i="55" s="1"/>
  <c r="AP300" i="51"/>
  <c r="AE159" i="55" s="1"/>
  <c r="AQ300" i="51"/>
  <c r="AF159" i="55" s="1"/>
  <c r="AF301" i="51"/>
  <c r="U160" i="55" s="1"/>
  <c r="AO301" i="51"/>
  <c r="AD160" i="55" s="1"/>
  <c r="AG326" i="51"/>
  <c r="V190" i="55" s="1"/>
  <c r="AJ327" i="51"/>
  <c r="Y191" i="55" s="1"/>
  <c r="AM323" i="51"/>
  <c r="AB187" i="55" s="1"/>
  <c r="AN323" i="51"/>
  <c r="AC187" i="55" s="1"/>
  <c r="AO323" i="51"/>
  <c r="AD187" i="55" s="1"/>
  <c r="AP323" i="51"/>
  <c r="AE187" i="55" s="1"/>
  <c r="AK311" i="51"/>
  <c r="Z172" i="55" s="1"/>
  <c r="AN308" i="51"/>
  <c r="AC169" i="55" s="1"/>
  <c r="AP308" i="51"/>
  <c r="AE169" i="55" s="1"/>
  <c r="AQ308" i="51"/>
  <c r="AF169" i="55" s="1"/>
  <c r="AF309" i="51"/>
  <c r="U170" i="55" s="1"/>
  <c r="AO309" i="51"/>
  <c r="AD170" i="55" s="1"/>
  <c r="AH311" i="51"/>
  <c r="W172" i="55" s="1"/>
  <c r="AM312" i="51"/>
  <c r="AB173" i="55" s="1"/>
  <c r="AK295" i="51"/>
  <c r="Z153" i="55" s="1"/>
  <c r="AI296" i="51"/>
  <c r="X154" i="55" s="1"/>
  <c r="L439" i="51"/>
  <c r="AM336" i="51" s="1"/>
  <c r="AG201" i="55"/>
  <c r="AG202" i="55"/>
  <c r="AG200" i="55"/>
  <c r="AG199" i="55"/>
  <c r="AG203" i="55"/>
  <c r="A2" i="44"/>
  <c r="N101" i="44"/>
  <c r="N33" i="44"/>
  <c r="N41" i="44"/>
  <c r="N57" i="44"/>
  <c r="N71" i="44"/>
  <c r="N102" i="44"/>
  <c r="N62" i="44"/>
  <c r="N99" i="44"/>
  <c r="N67" i="44"/>
  <c r="N63" i="44"/>
  <c r="N43" i="44"/>
  <c r="N59" i="44"/>
  <c r="N47" i="44"/>
  <c r="N85" i="44"/>
  <c r="N61" i="44"/>
  <c r="N98" i="44"/>
  <c r="N89" i="44"/>
  <c r="N79" i="44"/>
  <c r="N66" i="44"/>
  <c r="N37" i="44"/>
  <c r="N70" i="44"/>
  <c r="N29" i="44"/>
  <c r="N73" i="44"/>
  <c r="N53" i="44"/>
  <c r="N46" i="44"/>
  <c r="N83" i="44"/>
  <c r="N86" i="44"/>
  <c r="N90" i="44"/>
  <c r="N77" i="44"/>
  <c r="N74" i="44"/>
  <c r="N42" i="44"/>
  <c r="N103" i="44"/>
  <c r="N97" i="44"/>
  <c r="N65" i="44"/>
  <c r="N39" i="44"/>
  <c r="N54" i="44"/>
  <c r="N45" i="44"/>
  <c r="N81" i="44"/>
  <c r="N87" i="44"/>
  <c r="N94" i="44"/>
  <c r="N91" i="44"/>
  <c r="N51" i="44"/>
  <c r="N75" i="44"/>
  <c r="N58" i="44"/>
  <c r="N38" i="44"/>
  <c r="N35" i="44"/>
  <c r="N55" i="44"/>
  <c r="N82" i="44"/>
  <c r="N95" i="44"/>
  <c r="N49" i="44"/>
  <c r="N31" i="44"/>
  <c r="N78" i="44"/>
  <c r="N34" i="44"/>
  <c r="N69" i="44"/>
  <c r="N93" i="44"/>
  <c r="N50" i="44"/>
  <c r="N25" i="44"/>
  <c r="N26" i="44"/>
  <c r="I117" i="44"/>
  <c r="S16" i="53"/>
  <c r="D5" i="53"/>
  <c r="P3" i="53" s="1"/>
  <c r="U77" i="55"/>
  <c r="E8" i="55"/>
  <c r="U78" i="55"/>
  <c r="E9" i="55"/>
  <c r="R31" i="44"/>
  <c r="F68" i="53"/>
  <c r="Q31" i="44"/>
  <c r="K31" i="44"/>
  <c r="P31" i="44"/>
  <c r="S31" i="44"/>
  <c r="L31" i="44"/>
  <c r="E31" i="44"/>
  <c r="T55" i="20"/>
  <c r="BX41" i="51" s="1"/>
  <c r="D45" i="38"/>
  <c r="D179" i="31"/>
  <c r="H48" i="54"/>
  <c r="D197" i="31"/>
  <c r="H50" i="39"/>
  <c r="D189" i="31"/>
  <c r="D51" i="38"/>
  <c r="T55" i="22"/>
  <c r="CD41" i="51" s="1"/>
  <c r="U55" i="6"/>
  <c r="AI41" i="51" s="1"/>
  <c r="K48" i="2"/>
  <c r="J11" i="53" s="1"/>
  <c r="E49" i="53" s="1"/>
  <c r="M34" i="54"/>
  <c r="T55" i="16"/>
  <c r="BL41" i="51" s="1"/>
  <c r="F11" i="53"/>
  <c r="D150" i="31"/>
  <c r="H44" i="54"/>
  <c r="E67" i="53"/>
  <c r="I35" i="38"/>
  <c r="D49" i="38"/>
  <c r="D191" i="31"/>
  <c r="M34" i="39"/>
  <c r="H45" i="39"/>
  <c r="D192" i="31"/>
  <c r="K62" i="2"/>
  <c r="V55" i="20" s="1"/>
  <c r="BZ41" i="51" s="1"/>
  <c r="H45" i="54"/>
  <c r="U55" i="20"/>
  <c r="BY41" i="51" s="1"/>
  <c r="KY42" i="51"/>
  <c r="I58" i="45"/>
  <c r="E58" i="45"/>
  <c r="F58" i="45" s="1"/>
  <c r="I67" i="53"/>
  <c r="G67" i="53"/>
  <c r="F67" i="53"/>
  <c r="H36" i="39"/>
  <c r="T55" i="8"/>
  <c r="AN41" i="51" s="1"/>
  <c r="H36" i="54"/>
  <c r="D155" i="31"/>
  <c r="HV42" i="51"/>
  <c r="E68" i="53"/>
  <c r="I68" i="53"/>
  <c r="H68" i="53"/>
  <c r="D68" i="53" s="1"/>
  <c r="IY42" i="51"/>
  <c r="IE42" i="51"/>
  <c r="AC188" i="55"/>
  <c r="W107" i="55"/>
  <c r="V100" i="55"/>
  <c r="LZ42" i="51"/>
  <c r="KI42" i="51"/>
  <c r="LP42" i="51"/>
  <c r="MH42" i="51"/>
  <c r="MF42" i="51"/>
  <c r="LV42" i="51"/>
  <c r="V97" i="55"/>
  <c r="IW42" i="51"/>
  <c r="ME42" i="51"/>
  <c r="IH42" i="51"/>
  <c r="LS42" i="51"/>
  <c r="Y142" i="55"/>
  <c r="AA142" i="55"/>
  <c r="IA42" i="51"/>
  <c r="LH42" i="51"/>
  <c r="AB98" i="55"/>
  <c r="Z152" i="55"/>
  <c r="U104" i="55"/>
  <c r="KR42" i="51"/>
  <c r="X97" i="55"/>
  <c r="KU42" i="51"/>
  <c r="IZ42" i="51"/>
  <c r="IJ42" i="51"/>
  <c r="LQ42" i="51"/>
  <c r="KP42" i="51"/>
  <c r="MB42" i="51"/>
  <c r="IM42" i="51"/>
  <c r="LY42" i="51"/>
  <c r="MI42" i="51"/>
  <c r="U139" i="55"/>
  <c r="AD140" i="55"/>
  <c r="AE189" i="55"/>
  <c r="AD97" i="55"/>
  <c r="LJ42" i="51"/>
  <c r="LG42" i="51"/>
  <c r="MC42" i="51"/>
  <c r="AF128" i="55"/>
  <c r="LD42" i="51"/>
  <c r="MK42" i="51"/>
  <c r="ML42" i="51"/>
  <c r="LW42" i="51"/>
  <c r="V140" i="55"/>
  <c r="LB42" i="51"/>
  <c r="X189" i="55"/>
  <c r="Y98" i="55"/>
  <c r="AE142" i="55"/>
  <c r="AF97" i="55"/>
  <c r="AF100" i="55"/>
  <c r="D180" i="31"/>
  <c r="Y122" i="55"/>
  <c r="AE109" i="55"/>
  <c r="AC104" i="55"/>
  <c r="AB158" i="55"/>
  <c r="AF177" i="55"/>
  <c r="AC130" i="55"/>
  <c r="W97" i="55"/>
  <c r="AA98" i="55"/>
  <c r="AD124" i="55"/>
  <c r="U100" i="55"/>
  <c r="Y160" i="55"/>
  <c r="AC97" i="55"/>
  <c r="AA100" i="55"/>
  <c r="AD98" i="55"/>
  <c r="AB107" i="55"/>
  <c r="V123" i="55"/>
  <c r="F111" i="44"/>
  <c r="L124" i="44"/>
  <c r="X73" i="44"/>
  <c r="Y73" i="44" s="1"/>
  <c r="X74" i="44"/>
  <c r="Z74" i="44" s="1"/>
  <c r="X86" i="44"/>
  <c r="Z86" i="44" s="1"/>
  <c r="X55" i="44"/>
  <c r="Z55" i="44" s="1"/>
  <c r="X47" i="44"/>
  <c r="Z47" i="44" s="1"/>
  <c r="X26" i="44"/>
  <c r="Z26" i="44" s="1"/>
  <c r="L115" i="44"/>
  <c r="L143" i="44"/>
  <c r="L141" i="44"/>
  <c r="L123" i="44"/>
  <c r="L158" i="44"/>
  <c r="L122" i="44"/>
  <c r="L134" i="44"/>
  <c r="L162" i="44"/>
  <c r="L125" i="44"/>
  <c r="L165" i="44"/>
  <c r="L136" i="44"/>
  <c r="X89" i="44"/>
  <c r="Y89" i="44" s="1"/>
  <c r="L146" i="44"/>
  <c r="X39" i="44"/>
  <c r="Z39" i="44" s="1"/>
  <c r="X83" i="44"/>
  <c r="Z83" i="44" s="1"/>
  <c r="X85" i="44"/>
  <c r="X97" i="44"/>
  <c r="X66" i="44"/>
  <c r="Z66" i="44" s="1"/>
  <c r="X38" i="44"/>
  <c r="Z38" i="44" s="1"/>
  <c r="X50" i="44"/>
  <c r="Z50" i="44" s="1"/>
  <c r="L127" i="44"/>
  <c r="L163" i="44"/>
  <c r="L153" i="44"/>
  <c r="L167" i="44"/>
  <c r="L114" i="44"/>
  <c r="L152" i="44"/>
  <c r="X93" i="44"/>
  <c r="Y93" i="44" s="1"/>
  <c r="X94" i="44"/>
  <c r="Z94" i="44" s="1"/>
  <c r="X95" i="44"/>
  <c r="Z95" i="44" s="1"/>
  <c r="X46" i="44"/>
  <c r="Z46" i="44" s="1"/>
  <c r="X77" i="44"/>
  <c r="X49" i="44"/>
  <c r="X61" i="44"/>
  <c r="L129" i="44"/>
  <c r="L132" i="44"/>
  <c r="L171" i="44"/>
  <c r="L166" i="44"/>
  <c r="L151" i="44"/>
  <c r="L170" i="44"/>
  <c r="L156" i="44"/>
  <c r="L126" i="44"/>
  <c r="X91" i="44"/>
  <c r="Z91" i="44" s="1"/>
  <c r="L117" i="44"/>
  <c r="X75" i="44"/>
  <c r="Z75" i="44" s="1"/>
  <c r="L157" i="44"/>
  <c r="X101" i="44"/>
  <c r="Y101" i="44" s="1"/>
  <c r="X25" i="44"/>
  <c r="X69" i="44"/>
  <c r="X57" i="44"/>
  <c r="X87" i="44"/>
  <c r="Z87" i="44" s="1"/>
  <c r="X59" i="44"/>
  <c r="Z59" i="44" s="1"/>
  <c r="X71" i="44"/>
  <c r="Z71" i="44" s="1"/>
  <c r="L150" i="44"/>
  <c r="L160" i="44"/>
  <c r="L142" i="44"/>
  <c r="L172" i="44"/>
  <c r="L135" i="44"/>
  <c r="L130" i="44"/>
  <c r="L144" i="44"/>
  <c r="L169" i="44"/>
  <c r="L145" i="44"/>
  <c r="L138" i="44"/>
  <c r="X63" i="44"/>
  <c r="Z63" i="44" s="1"/>
  <c r="L159" i="44"/>
  <c r="X27" i="44"/>
  <c r="Z27" i="44" s="1"/>
  <c r="X58" i="44"/>
  <c r="Z58" i="44" s="1"/>
  <c r="X43" i="44"/>
  <c r="Z43" i="44" s="1"/>
  <c r="X78" i="44"/>
  <c r="Z78" i="44" s="1"/>
  <c r="X98" i="44"/>
  <c r="Z98" i="44" s="1"/>
  <c r="X70" i="44"/>
  <c r="Z70" i="44" s="1"/>
  <c r="X82" i="44"/>
  <c r="Z82" i="44" s="1"/>
  <c r="L161" i="44"/>
  <c r="L118" i="44"/>
  <c r="L116" i="44"/>
  <c r="L137" i="44"/>
  <c r="L119" i="44"/>
  <c r="L149" i="44"/>
  <c r="L154" i="44"/>
  <c r="L148" i="44"/>
  <c r="L113" i="44"/>
  <c r="L147" i="44"/>
  <c r="X45" i="44"/>
  <c r="L131" i="44"/>
  <c r="X41" i="44"/>
  <c r="Y41" i="44" s="1"/>
  <c r="X42" i="44"/>
  <c r="Z42" i="44" s="1"/>
  <c r="X54" i="44"/>
  <c r="Z54" i="44" s="1"/>
  <c r="X99" i="44"/>
  <c r="Z99" i="44" s="1"/>
  <c r="X67" i="44"/>
  <c r="Z67" i="44" s="1"/>
  <c r="X81" i="44"/>
  <c r="Y81" i="44" s="1"/>
  <c r="X103" i="44"/>
  <c r="Z103" i="44" s="1"/>
  <c r="L120" i="44"/>
  <c r="L140" i="44"/>
  <c r="L168" i="44"/>
  <c r="L121" i="44"/>
  <c r="L133" i="44"/>
  <c r="L155" i="44"/>
  <c r="X62" i="44"/>
  <c r="Z62" i="44" s="1"/>
  <c r="L139" i="44"/>
  <c r="X51" i="44"/>
  <c r="Z51" i="44" s="1"/>
  <c r="X53" i="44"/>
  <c r="X65" i="44"/>
  <c r="Y65" i="44" s="1"/>
  <c r="X79" i="44"/>
  <c r="Z79" i="44" s="1"/>
  <c r="X90" i="44"/>
  <c r="Z90" i="44" s="1"/>
  <c r="L164" i="44"/>
  <c r="X102" i="44"/>
  <c r="Z102" i="44" s="1"/>
  <c r="L128" i="44"/>
  <c r="KN42" i="51"/>
  <c r="L25" i="44"/>
  <c r="D182" i="31"/>
  <c r="T55" i="5"/>
  <c r="AE41" i="51" s="1"/>
  <c r="D116" i="44"/>
  <c r="D113" i="44"/>
  <c r="B114" i="44"/>
  <c r="G22" i="44"/>
  <c r="D35" i="38"/>
  <c r="D114" i="44"/>
  <c r="D115" i="44"/>
  <c r="D34" i="43"/>
  <c r="L34" i="43"/>
  <c r="Y97" i="55"/>
  <c r="AB127" i="55"/>
  <c r="AC176" i="55"/>
  <c r="X109" i="55"/>
  <c r="AB100" i="55"/>
  <c r="AF109" i="55"/>
  <c r="U103" i="55"/>
  <c r="AB97" i="55"/>
  <c r="Z187" i="55"/>
  <c r="Z100" i="55"/>
  <c r="Z107" i="55"/>
  <c r="AA173" i="55"/>
  <c r="AF187" i="55"/>
  <c r="AB189" i="55"/>
  <c r="W161" i="55"/>
  <c r="AE161" i="55"/>
  <c r="Y112" i="55"/>
  <c r="Z175" i="55"/>
  <c r="V98" i="55"/>
  <c r="Y106" i="55"/>
  <c r="AA161" i="55"/>
  <c r="Z160" i="55"/>
  <c r="U173" i="55"/>
  <c r="AC107" i="55"/>
  <c r="Z98" i="55"/>
  <c r="W103" i="55"/>
  <c r="W100" i="55"/>
  <c r="AC141" i="55"/>
  <c r="AE153" i="55"/>
  <c r="U97" i="55"/>
  <c r="X143" i="55"/>
  <c r="AC139" i="55"/>
  <c r="AE100" i="55"/>
  <c r="X188" i="55"/>
  <c r="AD100" i="55"/>
  <c r="AC151" i="55"/>
  <c r="Y107" i="55"/>
  <c r="AE98" i="55"/>
  <c r="AC100" i="55"/>
  <c r="Y100" i="55"/>
  <c r="Y169" i="55"/>
  <c r="AC154" i="55"/>
  <c r="X98" i="55"/>
  <c r="AB103" i="55"/>
  <c r="AA154" i="55"/>
  <c r="AB121" i="55"/>
  <c r="AA97" i="55"/>
  <c r="U187" i="55"/>
  <c r="Y189" i="55"/>
  <c r="AB170" i="55"/>
  <c r="AF98" i="55"/>
  <c r="AA157" i="55"/>
  <c r="W160" i="55"/>
  <c r="AE183" i="55"/>
  <c r="AC113" i="55"/>
  <c r="W178" i="55"/>
  <c r="AD173" i="55"/>
  <c r="AF171" i="55"/>
  <c r="X170" i="55"/>
  <c r="Z170" i="55"/>
  <c r="AC157" i="55"/>
  <c r="AB157" i="55"/>
  <c r="AF155" i="55"/>
  <c r="X155" i="55"/>
  <c r="W142" i="55"/>
  <c r="AF107" i="55"/>
  <c r="X100" i="55"/>
  <c r="AF127" i="55"/>
  <c r="AE95" i="55"/>
  <c r="AD123" i="55"/>
  <c r="V125" i="55"/>
  <c r="AB109" i="55"/>
  <c r="Z97" i="55"/>
  <c r="U98" i="55"/>
  <c r="AE97" i="55"/>
  <c r="AC98" i="55"/>
  <c r="W98" i="55"/>
  <c r="L422" i="51"/>
  <c r="AN304" i="51" s="1"/>
  <c r="L414" i="51"/>
  <c r="AK288" i="51" s="1"/>
  <c r="L407" i="51"/>
  <c r="AF280" i="51" s="1"/>
  <c r="L399" i="51"/>
  <c r="AL265" i="51" s="1"/>
  <c r="L438" i="51"/>
  <c r="AQ329" i="51" s="1"/>
  <c r="L382" i="51"/>
  <c r="AN242" i="51" s="1"/>
  <c r="L41" i="44"/>
  <c r="K41" i="44"/>
  <c r="L57" i="44"/>
  <c r="K57" i="44"/>
  <c r="L71" i="44"/>
  <c r="K71" i="44"/>
  <c r="L102" i="44"/>
  <c r="K102" i="44"/>
  <c r="L62" i="44"/>
  <c r="K62" i="44"/>
  <c r="L99" i="44"/>
  <c r="K99" i="44"/>
  <c r="L67" i="44"/>
  <c r="K67" i="44"/>
  <c r="L37" i="44"/>
  <c r="K37" i="44"/>
  <c r="L42" i="44"/>
  <c r="K42" i="44"/>
  <c r="L58" i="44"/>
  <c r="K58" i="44"/>
  <c r="L103" i="44"/>
  <c r="K103" i="44"/>
  <c r="L63" i="44"/>
  <c r="K63" i="44"/>
  <c r="L97" i="44"/>
  <c r="K97" i="44"/>
  <c r="L78" i="44"/>
  <c r="K78" i="44"/>
  <c r="L65" i="44"/>
  <c r="K65" i="44"/>
  <c r="L73" i="44"/>
  <c r="K73" i="44"/>
  <c r="L43" i="44"/>
  <c r="K43" i="44"/>
  <c r="L59" i="44"/>
  <c r="K59" i="44"/>
  <c r="L47" i="44"/>
  <c r="K47" i="44"/>
  <c r="L85" i="44"/>
  <c r="K85" i="44"/>
  <c r="L61" i="44"/>
  <c r="K61" i="44"/>
  <c r="L98" i="44"/>
  <c r="K98" i="44"/>
  <c r="L89" i="44"/>
  <c r="K89" i="44"/>
  <c r="L79" i="44"/>
  <c r="K79" i="44"/>
  <c r="L66" i="44"/>
  <c r="K66" i="44"/>
  <c r="L53" i="44"/>
  <c r="K53" i="44"/>
  <c r="L46" i="44"/>
  <c r="K46" i="44"/>
  <c r="L83" i="44"/>
  <c r="K83" i="44"/>
  <c r="L86" i="44"/>
  <c r="K86" i="44"/>
  <c r="L90" i="44"/>
  <c r="K90" i="44"/>
  <c r="L77" i="44"/>
  <c r="K77" i="44"/>
  <c r="L74" i="44"/>
  <c r="K74" i="44"/>
  <c r="L54" i="44"/>
  <c r="K54" i="44"/>
  <c r="L45" i="44"/>
  <c r="K45" i="44"/>
  <c r="L81" i="44"/>
  <c r="K81" i="44"/>
  <c r="L87" i="44"/>
  <c r="K87" i="44"/>
  <c r="L94" i="44"/>
  <c r="K94" i="44"/>
  <c r="L91" i="44"/>
  <c r="K91" i="44"/>
  <c r="L51" i="44"/>
  <c r="K51" i="44"/>
  <c r="L75" i="44"/>
  <c r="K75" i="44"/>
  <c r="L55" i="44"/>
  <c r="K55" i="44"/>
  <c r="L82" i="44"/>
  <c r="K82" i="44"/>
  <c r="L95" i="44"/>
  <c r="K95" i="44"/>
  <c r="L49" i="44"/>
  <c r="K49" i="44"/>
  <c r="L29" i="44"/>
  <c r="K29" i="44"/>
  <c r="L39" i="44"/>
  <c r="K39" i="44"/>
  <c r="L69" i="44"/>
  <c r="K69" i="44"/>
  <c r="L93" i="44"/>
  <c r="K93" i="44"/>
  <c r="L50" i="44"/>
  <c r="K50" i="44"/>
  <c r="L70" i="44"/>
  <c r="K70" i="44"/>
  <c r="L101" i="44"/>
  <c r="K101" i="44"/>
  <c r="K25" i="44"/>
  <c r="M27" i="44"/>
  <c r="HT42" i="51"/>
  <c r="KH42" i="51"/>
  <c r="JF42" i="51"/>
  <c r="LT42" i="51"/>
  <c r="HR42" i="51"/>
  <c r="KF42" i="51"/>
  <c r="IX42" i="51"/>
  <c r="LL42" i="51"/>
  <c r="II42" i="51"/>
  <c r="KW42" i="51"/>
  <c r="JV42" i="51"/>
  <c r="MJ42" i="51"/>
  <c r="IQ42" i="51"/>
  <c r="LE42" i="51"/>
  <c r="HS42" i="51"/>
  <c r="KG42" i="51"/>
  <c r="HP94" i="51"/>
  <c r="HL94" i="51"/>
  <c r="HM94" i="51"/>
  <c r="HN94" i="51"/>
  <c r="HO94" i="51"/>
  <c r="D166" i="31"/>
  <c r="E46" i="45"/>
  <c r="F46" i="45" s="1"/>
  <c r="E55" i="53"/>
  <c r="H55" i="53"/>
  <c r="D55" i="53" s="1"/>
  <c r="D46" i="45"/>
  <c r="E107" i="53"/>
  <c r="H107" i="53"/>
  <c r="D107" i="53" s="1"/>
  <c r="D77" i="44"/>
  <c r="H96" i="53"/>
  <c r="D86" i="44"/>
  <c r="I96" i="53"/>
  <c r="G96" i="53"/>
  <c r="D89" i="45"/>
  <c r="I89" i="45"/>
  <c r="H88" i="53"/>
  <c r="F88" i="53"/>
  <c r="G88" i="53"/>
  <c r="D90" i="44"/>
  <c r="D61" i="44"/>
  <c r="D42" i="38"/>
  <c r="H41" i="54"/>
  <c r="H41" i="39"/>
  <c r="D168" i="31"/>
  <c r="D58" i="44"/>
  <c r="I68" i="45"/>
  <c r="K54" i="2"/>
  <c r="V55" i="12" s="1"/>
  <c r="BB41" i="51" s="1"/>
  <c r="U55" i="12"/>
  <c r="BA41" i="51" s="1"/>
  <c r="I107" i="53"/>
  <c r="F107" i="53"/>
  <c r="D41" i="44"/>
  <c r="P43" i="44"/>
  <c r="Q43" i="44"/>
  <c r="R43" i="44"/>
  <c r="S43" i="44"/>
  <c r="E43" i="44"/>
  <c r="R59" i="44"/>
  <c r="S59" i="44"/>
  <c r="E59" i="44"/>
  <c r="Q59" i="44"/>
  <c r="P59" i="44"/>
  <c r="Q47" i="44"/>
  <c r="P47" i="44"/>
  <c r="R47" i="44"/>
  <c r="S47" i="44"/>
  <c r="E47" i="44"/>
  <c r="D29" i="31"/>
  <c r="D185" i="31"/>
  <c r="B23" i="53"/>
  <c r="E95" i="53" s="1"/>
  <c r="T55" i="13"/>
  <c r="BC41" i="51" s="1"/>
  <c r="B18" i="53"/>
  <c r="E75" i="53" s="1"/>
  <c r="R53" i="44"/>
  <c r="S53" i="44"/>
  <c r="P53" i="44"/>
  <c r="E53" i="44"/>
  <c r="Q53" i="44"/>
  <c r="E46" i="44"/>
  <c r="P46" i="44"/>
  <c r="Q46" i="44"/>
  <c r="R46" i="44"/>
  <c r="S46" i="44"/>
  <c r="P62" i="44"/>
  <c r="S62" i="44"/>
  <c r="E62" i="44"/>
  <c r="Q62" i="44"/>
  <c r="R62" i="44"/>
  <c r="R99" i="44"/>
  <c r="S99" i="44"/>
  <c r="Q99" i="44"/>
  <c r="E99" i="44"/>
  <c r="P99" i="44"/>
  <c r="Q67" i="44"/>
  <c r="R67" i="44"/>
  <c r="E67" i="44"/>
  <c r="S67" i="44"/>
  <c r="P67" i="44"/>
  <c r="U55" i="23"/>
  <c r="CH41" i="51" s="1"/>
  <c r="F28" i="53"/>
  <c r="E116" i="53" s="1"/>
  <c r="V55" i="16"/>
  <c r="BN41" i="51" s="1"/>
  <c r="J21" i="53"/>
  <c r="T55" i="12"/>
  <c r="AZ41" i="51" s="1"/>
  <c r="B17" i="53"/>
  <c r="E71" i="53" s="1"/>
  <c r="K63" i="2"/>
  <c r="D196" i="31" s="1"/>
  <c r="F26" i="53"/>
  <c r="E108" i="53" s="1"/>
  <c r="Q54" i="44"/>
  <c r="P54" i="44"/>
  <c r="R54" i="44"/>
  <c r="S54" i="44"/>
  <c r="E54" i="44"/>
  <c r="D54" i="44"/>
  <c r="R45" i="44"/>
  <c r="S45" i="44"/>
  <c r="E45" i="44"/>
  <c r="Q45" i="44"/>
  <c r="P45" i="44"/>
  <c r="E63" i="44"/>
  <c r="Q63" i="44"/>
  <c r="P63" i="44"/>
  <c r="R63" i="44"/>
  <c r="S63" i="44"/>
  <c r="R97" i="44"/>
  <c r="Q97" i="44"/>
  <c r="S97" i="44"/>
  <c r="E97" i="44"/>
  <c r="P97" i="44"/>
  <c r="E78" i="44"/>
  <c r="R78" i="44"/>
  <c r="S78" i="44"/>
  <c r="Q78" i="44"/>
  <c r="P78" i="44"/>
  <c r="Q65" i="44"/>
  <c r="E65" i="44"/>
  <c r="S65" i="44"/>
  <c r="R65" i="44"/>
  <c r="P65" i="44"/>
  <c r="Q73" i="44"/>
  <c r="R73" i="44"/>
  <c r="P73" i="44"/>
  <c r="S73" i="44"/>
  <c r="E73" i="44"/>
  <c r="J25" i="53"/>
  <c r="E105" i="53" s="1"/>
  <c r="U55" i="15"/>
  <c r="BJ41" i="51" s="1"/>
  <c r="F20" i="53"/>
  <c r="E84" i="53" s="1"/>
  <c r="Q55" i="44"/>
  <c r="R55" i="44"/>
  <c r="S55" i="44"/>
  <c r="E55" i="44"/>
  <c r="P55" i="44"/>
  <c r="D53" i="44"/>
  <c r="Q85" i="44"/>
  <c r="R85" i="44"/>
  <c r="S85" i="44"/>
  <c r="E85" i="44"/>
  <c r="P85" i="44"/>
  <c r="Q61" i="44"/>
  <c r="P61" i="44"/>
  <c r="E61" i="44"/>
  <c r="R61" i="44"/>
  <c r="S61" i="44"/>
  <c r="Q98" i="44"/>
  <c r="P98" i="44"/>
  <c r="E98" i="44"/>
  <c r="R98" i="44"/>
  <c r="S98" i="44"/>
  <c r="Q89" i="44"/>
  <c r="P89" i="44"/>
  <c r="R89" i="44"/>
  <c r="S89" i="44"/>
  <c r="E89" i="44"/>
  <c r="E79" i="44"/>
  <c r="R79" i="44"/>
  <c r="Q79" i="44"/>
  <c r="S79" i="44"/>
  <c r="P79" i="44"/>
  <c r="E66" i="44"/>
  <c r="R66" i="44"/>
  <c r="S66" i="44"/>
  <c r="Q66" i="44"/>
  <c r="P66" i="44"/>
  <c r="U55" i="10"/>
  <c r="AU41" i="51" s="1"/>
  <c r="F15" i="53"/>
  <c r="E64" i="53" s="1"/>
  <c r="K51" i="2"/>
  <c r="D160" i="31" s="1"/>
  <c r="F14" i="53"/>
  <c r="E60" i="53" s="1"/>
  <c r="R69" i="44"/>
  <c r="S69" i="44"/>
  <c r="P69" i="44"/>
  <c r="Q69" i="44"/>
  <c r="E69" i="44"/>
  <c r="P83" i="44"/>
  <c r="Q83" i="44"/>
  <c r="R83" i="44"/>
  <c r="S83" i="44"/>
  <c r="E83" i="44"/>
  <c r="P86" i="44"/>
  <c r="E86" i="44"/>
  <c r="R86" i="44"/>
  <c r="Q86" i="44"/>
  <c r="S86" i="44"/>
  <c r="R90" i="44"/>
  <c r="S90" i="44"/>
  <c r="E90" i="44"/>
  <c r="Q90" i="44"/>
  <c r="P90" i="44"/>
  <c r="Q77" i="44"/>
  <c r="P77" i="44"/>
  <c r="E77" i="44"/>
  <c r="R77" i="44"/>
  <c r="S77" i="44"/>
  <c r="Q74" i="44"/>
  <c r="P74" i="44"/>
  <c r="E74" i="44"/>
  <c r="R74" i="44"/>
  <c r="S74" i="44"/>
  <c r="D188" i="31"/>
  <c r="B24" i="53"/>
  <c r="E99" i="53" s="1"/>
  <c r="D97" i="44"/>
  <c r="B27" i="53"/>
  <c r="E111" i="53" s="1"/>
  <c r="Q70" i="44"/>
  <c r="R70" i="44"/>
  <c r="P70" i="44"/>
  <c r="S70" i="44"/>
  <c r="E70" i="44"/>
  <c r="Q101" i="44"/>
  <c r="E101" i="44"/>
  <c r="P101" i="44"/>
  <c r="R101" i="44"/>
  <c r="S101" i="44"/>
  <c r="R81" i="44"/>
  <c r="Q81" i="44"/>
  <c r="S81" i="44"/>
  <c r="P81" i="44"/>
  <c r="E81" i="44"/>
  <c r="R87" i="44"/>
  <c r="Q87" i="44"/>
  <c r="S87" i="44"/>
  <c r="P87" i="44"/>
  <c r="E87" i="44"/>
  <c r="R94" i="44"/>
  <c r="S94" i="44"/>
  <c r="Q94" i="44"/>
  <c r="P94" i="44"/>
  <c r="E94" i="44"/>
  <c r="R91" i="44"/>
  <c r="P91" i="44"/>
  <c r="E91" i="44"/>
  <c r="S91" i="44"/>
  <c r="Q91" i="44"/>
  <c r="P51" i="44"/>
  <c r="E51" i="44"/>
  <c r="Q51" i="44"/>
  <c r="R51" i="44"/>
  <c r="S51" i="44"/>
  <c r="R75" i="44"/>
  <c r="E75" i="44"/>
  <c r="Q75" i="44"/>
  <c r="S75" i="44"/>
  <c r="P75" i="44"/>
  <c r="U55" i="8"/>
  <c r="AO41" i="51" s="1"/>
  <c r="F13" i="53"/>
  <c r="E56" i="53" s="1"/>
  <c r="T55" i="14"/>
  <c r="BF41" i="51" s="1"/>
  <c r="B19" i="53"/>
  <c r="E79" i="53" s="1"/>
  <c r="D89" i="44"/>
  <c r="B25" i="53"/>
  <c r="E103" i="53" s="1"/>
  <c r="D73" i="44"/>
  <c r="B21" i="53"/>
  <c r="E87" i="53" s="1"/>
  <c r="Q41" i="44"/>
  <c r="R41" i="44"/>
  <c r="P41" i="44"/>
  <c r="S41" i="44"/>
  <c r="E41" i="44"/>
  <c r="Q57" i="44"/>
  <c r="E57" i="44"/>
  <c r="P57" i="44"/>
  <c r="R57" i="44"/>
  <c r="S57" i="44"/>
  <c r="Q71" i="44"/>
  <c r="P71" i="44"/>
  <c r="E71" i="44"/>
  <c r="R71" i="44"/>
  <c r="S71" i="44"/>
  <c r="R102" i="44"/>
  <c r="S102" i="44"/>
  <c r="E102" i="44"/>
  <c r="Q102" i="44"/>
  <c r="P102" i="44"/>
  <c r="E82" i="44"/>
  <c r="Q82" i="44"/>
  <c r="R82" i="44"/>
  <c r="P82" i="44"/>
  <c r="S82" i="44"/>
  <c r="R95" i="44"/>
  <c r="S95" i="44"/>
  <c r="E95" i="44"/>
  <c r="Q95" i="44"/>
  <c r="P95" i="44"/>
  <c r="T55" i="17"/>
  <c r="BO41" i="51" s="1"/>
  <c r="B22" i="53"/>
  <c r="E91" i="53" s="1"/>
  <c r="E49" i="44"/>
  <c r="Q49" i="44"/>
  <c r="P49" i="44"/>
  <c r="R49" i="44"/>
  <c r="S49" i="44"/>
  <c r="K59" i="2"/>
  <c r="D184" i="31" s="1"/>
  <c r="F22" i="53"/>
  <c r="E92" i="53" s="1"/>
  <c r="K55" i="2"/>
  <c r="D172" i="31" s="1"/>
  <c r="F18" i="53"/>
  <c r="E76" i="53" s="1"/>
  <c r="Q42" i="44"/>
  <c r="E42" i="44"/>
  <c r="R42" i="44"/>
  <c r="P42" i="44"/>
  <c r="S42" i="44"/>
  <c r="R58" i="44"/>
  <c r="S58" i="44"/>
  <c r="P58" i="44"/>
  <c r="Q58" i="44"/>
  <c r="E58" i="44"/>
  <c r="R103" i="44"/>
  <c r="P103" i="44"/>
  <c r="S103" i="44"/>
  <c r="E103" i="44"/>
  <c r="Q103" i="44"/>
  <c r="Q93" i="44"/>
  <c r="R93" i="44"/>
  <c r="S93" i="44"/>
  <c r="E93" i="44"/>
  <c r="P93" i="44"/>
  <c r="R50" i="44"/>
  <c r="S50" i="44"/>
  <c r="P50" i="44"/>
  <c r="Q50" i="44"/>
  <c r="E50" i="44"/>
  <c r="D167" i="31"/>
  <c r="D171" i="31"/>
  <c r="F87" i="53"/>
  <c r="H103" i="53"/>
  <c r="D103" i="53" s="1"/>
  <c r="E88" i="45"/>
  <c r="F88" i="45" s="1"/>
  <c r="H87" i="53"/>
  <c r="D87" i="53" s="1"/>
  <c r="I87" i="53"/>
  <c r="I103" i="53"/>
  <c r="F103" i="53"/>
  <c r="F105" i="53"/>
  <c r="E93" i="45"/>
  <c r="G93" i="45" s="1"/>
  <c r="H99" i="53"/>
  <c r="D99" i="53" s="1"/>
  <c r="D93" i="45"/>
  <c r="I94" i="45"/>
  <c r="D94" i="45"/>
  <c r="F99" i="53"/>
  <c r="I99" i="53"/>
  <c r="H105" i="53"/>
  <c r="D105" i="53" s="1"/>
  <c r="I105" i="53"/>
  <c r="G105" i="53"/>
  <c r="U55" i="16"/>
  <c r="BM41" i="51" s="1"/>
  <c r="D74" i="44"/>
  <c r="D85" i="44"/>
  <c r="T55" i="19"/>
  <c r="BU41" i="51" s="1"/>
  <c r="D88" i="45"/>
  <c r="H47" i="54"/>
  <c r="H47" i="39"/>
  <c r="D48" i="38"/>
  <c r="F104" i="53"/>
  <c r="E104" i="53"/>
  <c r="D104" i="53" s="1"/>
  <c r="I104" i="53"/>
  <c r="G104" i="53"/>
  <c r="U55" i="19"/>
  <c r="BV41" i="51" s="1"/>
  <c r="K61" i="2"/>
  <c r="J24" i="53" s="1"/>
  <c r="E101" i="53" s="1"/>
  <c r="D173" i="31"/>
  <c r="H42" i="39"/>
  <c r="D68" i="45"/>
  <c r="D43" i="38"/>
  <c r="H42" i="54"/>
  <c r="D159" i="31"/>
  <c r="AL220" i="51"/>
  <c r="AQ172" i="51"/>
  <c r="AL158" i="51"/>
  <c r="AQ170" i="51"/>
  <c r="AQ157" i="51"/>
  <c r="AG197" i="51"/>
  <c r="AK199" i="51"/>
  <c r="AM220" i="51"/>
  <c r="AN170" i="51"/>
  <c r="AP157" i="51"/>
  <c r="AP197" i="51"/>
  <c r="AJ174" i="51"/>
  <c r="AO158" i="51"/>
  <c r="AK221" i="51"/>
  <c r="AL170" i="51"/>
  <c r="AO198" i="51"/>
  <c r="AI222" i="51"/>
  <c r="AJ171" i="51"/>
  <c r="AP158" i="51"/>
  <c r="AM199" i="51"/>
  <c r="AG223" i="51"/>
  <c r="AM171" i="51"/>
  <c r="AN159" i="51"/>
  <c r="AK195" i="51"/>
  <c r="AP223" i="51"/>
  <c r="AH159" i="51"/>
  <c r="AI196" i="51"/>
  <c r="AN224" i="51"/>
  <c r="AO183" i="51"/>
  <c r="AG170" i="51"/>
  <c r="AJ170" i="51"/>
  <c r="AN173" i="51"/>
  <c r="AK171" i="51"/>
  <c r="AG174" i="51"/>
  <c r="AP174" i="51"/>
  <c r="AH170" i="51"/>
  <c r="AK157" i="51"/>
  <c r="AI158" i="51"/>
  <c r="AN157" i="51"/>
  <c r="AG157" i="51"/>
  <c r="AK156" i="51"/>
  <c r="AL156" i="51"/>
  <c r="AJ157" i="51"/>
  <c r="AJ197" i="51"/>
  <c r="AH198" i="51"/>
  <c r="AQ198" i="51"/>
  <c r="AO199" i="51"/>
  <c r="AM195" i="51"/>
  <c r="AK196" i="51"/>
  <c r="AQ197" i="51"/>
  <c r="AQ224" i="51"/>
  <c r="AO220" i="51"/>
  <c r="AM221" i="51"/>
  <c r="AK222" i="51"/>
  <c r="AI223" i="51"/>
  <c r="AG224" i="51"/>
  <c r="AP224" i="51"/>
  <c r="AI180" i="51"/>
  <c r="AP180" i="51"/>
  <c r="AH181" i="51"/>
  <c r="AG183" i="51"/>
  <c r="AQ184" i="51"/>
  <c r="AO180" i="51"/>
  <c r="AJ180" i="51"/>
  <c r="AH184" i="51"/>
  <c r="AL171" i="51"/>
  <c r="AN174" i="51"/>
  <c r="AO171" i="51"/>
  <c r="AP172" i="51"/>
  <c r="AO174" i="51"/>
  <c r="AM170" i="51"/>
  <c r="AP170" i="51"/>
  <c r="AH158" i="51"/>
  <c r="AQ158" i="51"/>
  <c r="AK158" i="51"/>
  <c r="AO157" i="51"/>
  <c r="AH157" i="51"/>
  <c r="AI157" i="51"/>
  <c r="AG158" i="51"/>
  <c r="AG198" i="51"/>
  <c r="AP198" i="51"/>
  <c r="AN199" i="51"/>
  <c r="AL195" i="51"/>
  <c r="AJ196" i="51"/>
  <c r="AH197" i="51"/>
  <c r="AN198" i="51"/>
  <c r="AN220" i="51"/>
  <c r="AL221" i="51"/>
  <c r="AJ222" i="51"/>
  <c r="AH223" i="51"/>
  <c r="AQ223" i="51"/>
  <c r="AO224" i="51"/>
  <c r="AN181" i="51"/>
  <c r="AJ182" i="51"/>
  <c r="AM182" i="51"/>
  <c r="AO184" i="51"/>
  <c r="AN180" i="51"/>
  <c r="AL181" i="51"/>
  <c r="AG181" i="51"/>
  <c r="AI182" i="51"/>
  <c r="AK174" i="51"/>
  <c r="AH172" i="51"/>
  <c r="AK172" i="51"/>
  <c r="AK170" i="51"/>
  <c r="AI171" i="51"/>
  <c r="AG172" i="51"/>
  <c r="AJ172" i="51"/>
  <c r="AM159" i="51"/>
  <c r="AH156" i="51"/>
  <c r="AP159" i="51"/>
  <c r="AI159" i="51"/>
  <c r="AM158" i="51"/>
  <c r="AN158" i="51"/>
  <c r="AL159" i="51"/>
  <c r="AL199" i="51"/>
  <c r="AJ195" i="51"/>
  <c r="AH196" i="51"/>
  <c r="AQ196" i="51"/>
  <c r="AO197" i="51"/>
  <c r="AM198" i="51"/>
  <c r="AJ221" i="51"/>
  <c r="AH222" i="51"/>
  <c r="AQ222" i="51"/>
  <c r="AO223" i="51"/>
  <c r="AM224" i="51"/>
  <c r="AK220" i="51"/>
  <c r="AI221" i="51"/>
  <c r="AP184" i="51"/>
  <c r="AL180" i="51"/>
  <c r="AI181" i="51"/>
  <c r="AJ181" i="51"/>
  <c r="AH182" i="51"/>
  <c r="AQ182" i="51"/>
  <c r="AL182" i="51"/>
  <c r="AH183" i="51"/>
  <c r="AI170" i="51"/>
  <c r="AM173" i="51"/>
  <c r="AP173" i="51"/>
  <c r="AH171" i="51"/>
  <c r="AQ171" i="51"/>
  <c r="AO172" i="51"/>
  <c r="AG173" i="51"/>
  <c r="AJ155" i="51"/>
  <c r="AJ158" i="51"/>
  <c r="AP156" i="51"/>
  <c r="AQ159" i="51"/>
  <c r="AJ159" i="51"/>
  <c r="AK159" i="51"/>
  <c r="AG195" i="51"/>
  <c r="AI195" i="51"/>
  <c r="AG196" i="51"/>
  <c r="AP196" i="51"/>
  <c r="AN197" i="51"/>
  <c r="AL198" i="51"/>
  <c r="AJ199" i="51"/>
  <c r="AG222" i="51"/>
  <c r="AP222" i="51"/>
  <c r="AN223" i="51"/>
  <c r="AL224" i="51"/>
  <c r="AJ220" i="51"/>
  <c r="AH221" i="51"/>
  <c r="AQ221" i="51"/>
  <c r="AK180" i="51"/>
  <c r="AQ180" i="51"/>
  <c r="AN182" i="51"/>
  <c r="AG182" i="51"/>
  <c r="AP182" i="51"/>
  <c r="AN183" i="51"/>
  <c r="AI183" i="51"/>
  <c r="AM180" i="51"/>
  <c r="AN171" i="51"/>
  <c r="AI173" i="51"/>
  <c r="AG171" i="51"/>
  <c r="AP171" i="51"/>
  <c r="AN172" i="51"/>
  <c r="AL173" i="51"/>
  <c r="AO173" i="51"/>
  <c r="AI155" i="51"/>
  <c r="AG156" i="51"/>
  <c r="AL155" i="51"/>
  <c r="AG159" i="51"/>
  <c r="AM157" i="51"/>
  <c r="AK155" i="51"/>
  <c r="AH155" i="51"/>
  <c r="AH195" i="51"/>
  <c r="AQ195" i="51"/>
  <c r="AO196" i="51"/>
  <c r="AM197" i="51"/>
  <c r="AK198" i="51"/>
  <c r="AI199" i="51"/>
  <c r="AO195" i="51"/>
  <c r="AO222" i="51"/>
  <c r="AM223" i="51"/>
  <c r="AK224" i="51"/>
  <c r="AI220" i="51"/>
  <c r="AG221" i="51"/>
  <c r="AP221" i="51"/>
  <c r="AN222" i="51"/>
  <c r="AP181" i="51"/>
  <c r="AK182" i="51"/>
  <c r="AL184" i="51"/>
  <c r="AO182" i="51"/>
  <c r="AM183" i="51"/>
  <c r="AK184" i="51"/>
  <c r="AQ183" i="51"/>
  <c r="AK181" i="51"/>
  <c r="AH173" i="51"/>
  <c r="AO170" i="51"/>
  <c r="AL172" i="51"/>
  <c r="AM172" i="51"/>
  <c r="AK173" i="51"/>
  <c r="AI174" i="51"/>
  <c r="AL174" i="51"/>
  <c r="AQ155" i="51"/>
  <c r="AO156" i="51"/>
  <c r="AI156" i="51"/>
  <c r="AM155" i="51"/>
  <c r="AO159" i="51"/>
  <c r="AG155" i="51"/>
  <c r="AP155" i="51"/>
  <c r="AP195" i="51"/>
  <c r="AN196" i="51"/>
  <c r="AL197" i="51"/>
  <c r="AJ198" i="51"/>
  <c r="AH199" i="51"/>
  <c r="AQ199" i="51"/>
  <c r="AL196" i="51"/>
  <c r="AL223" i="51"/>
  <c r="AJ224" i="51"/>
  <c r="AH220" i="51"/>
  <c r="AQ220" i="51"/>
  <c r="AO221" i="51"/>
  <c r="AM222" i="51"/>
  <c r="AK223" i="51"/>
  <c r="AJ183" i="51"/>
  <c r="AG184" i="51"/>
  <c r="AH180" i="51"/>
  <c r="AL183" i="51"/>
  <c r="AJ184" i="51"/>
  <c r="AP183" i="51"/>
  <c r="AN184" i="51"/>
  <c r="AO181" i="51"/>
  <c r="AO134" i="51"/>
  <c r="AN134" i="51"/>
  <c r="AO131" i="51"/>
  <c r="AM133" i="51"/>
  <c r="AM134" i="51"/>
  <c r="AP133" i="51"/>
  <c r="AH133" i="51"/>
  <c r="AN131" i="51"/>
  <c r="AL134" i="51"/>
  <c r="AO133" i="51"/>
  <c r="AG133" i="51"/>
  <c r="AM131" i="51"/>
  <c r="AK134" i="51"/>
  <c r="AN133" i="51"/>
  <c r="AL131" i="51"/>
  <c r="AQ134" i="51"/>
  <c r="AI134" i="51"/>
  <c r="AL133" i="51"/>
  <c r="AJ131" i="51"/>
  <c r="AG134" i="51"/>
  <c r="AP131" i="51"/>
  <c r="AQ133" i="51"/>
  <c r="AG131" i="51"/>
  <c r="AK131" i="51"/>
  <c r="AP134" i="51"/>
  <c r="AH134" i="51"/>
  <c r="AK133" i="51"/>
  <c r="AQ131" i="51"/>
  <c r="AI131" i="51"/>
  <c r="AJ133" i="51"/>
  <c r="AH131" i="51"/>
  <c r="AI133" i="51"/>
  <c r="AJ134" i="51"/>
  <c r="AM174" i="51"/>
  <c r="AI172" i="51"/>
  <c r="AQ173" i="51"/>
  <c r="AJ173" i="51"/>
  <c r="AH174" i="51"/>
  <c r="AN156" i="51"/>
  <c r="AL157" i="51"/>
  <c r="AQ156" i="51"/>
  <c r="AJ156" i="51"/>
  <c r="AN155" i="51"/>
  <c r="AO155" i="51"/>
  <c r="AM196" i="51"/>
  <c r="AK197" i="51"/>
  <c r="AI198" i="51"/>
  <c r="AG199" i="51"/>
  <c r="AP199" i="51"/>
  <c r="AN195" i="51"/>
  <c r="AI197" i="51"/>
  <c r="AI224" i="51"/>
  <c r="AG220" i="51"/>
  <c r="AP220" i="51"/>
  <c r="AN221" i="51"/>
  <c r="AL222" i="51"/>
  <c r="AJ223" i="51"/>
  <c r="AQ181" i="51"/>
  <c r="AK183" i="51"/>
  <c r="AM181" i="51"/>
  <c r="AI184" i="51"/>
  <c r="AG180" i="51"/>
  <c r="AF174" i="51"/>
  <c r="AF158" i="51"/>
  <c r="AF195" i="51"/>
  <c r="AF221" i="51"/>
  <c r="AF184" i="51"/>
  <c r="AF173" i="51"/>
  <c r="AF157" i="51"/>
  <c r="AF220" i="51"/>
  <c r="AF183" i="51"/>
  <c r="AF172" i="51"/>
  <c r="AF156" i="51"/>
  <c r="AF222" i="51"/>
  <c r="AF182" i="51"/>
  <c r="AF171" i="51"/>
  <c r="AF155" i="51"/>
  <c r="AF181" i="51"/>
  <c r="AF131" i="51"/>
  <c r="AF133" i="51"/>
  <c r="AF134" i="51"/>
  <c r="AF170" i="51"/>
  <c r="AF199" i="51"/>
  <c r="AF180" i="51"/>
  <c r="AF198" i="51"/>
  <c r="AF197" i="51"/>
  <c r="AF224" i="51"/>
  <c r="AF159" i="51"/>
  <c r="AF223" i="51"/>
  <c r="D66" i="45"/>
  <c r="E100" i="53"/>
  <c r="D100" i="53" s="1"/>
  <c r="F100" i="53"/>
  <c r="I90" i="45"/>
  <c r="E90" i="45"/>
  <c r="G90" i="45" s="1"/>
  <c r="G73" i="53"/>
  <c r="I73" i="53"/>
  <c r="G80" i="53"/>
  <c r="I80" i="53"/>
  <c r="G76" i="53"/>
  <c r="I76" i="53"/>
  <c r="G91" i="53"/>
  <c r="I91" i="53"/>
  <c r="G113" i="53"/>
  <c r="I113" i="53"/>
  <c r="G79" i="53"/>
  <c r="I79" i="53"/>
  <c r="G97" i="53"/>
  <c r="I97" i="53"/>
  <c r="G61" i="53"/>
  <c r="I61" i="53"/>
  <c r="G75" i="53"/>
  <c r="I75" i="53"/>
  <c r="F101" i="53"/>
  <c r="I101" i="53"/>
  <c r="G85" i="53"/>
  <c r="I85" i="53"/>
  <c r="G108" i="53"/>
  <c r="I108" i="53"/>
  <c r="G117" i="53"/>
  <c r="I117" i="53"/>
  <c r="G63" i="53"/>
  <c r="I63" i="53"/>
  <c r="G83" i="53"/>
  <c r="I83" i="53"/>
  <c r="G60" i="53"/>
  <c r="I60" i="53"/>
  <c r="G93" i="53"/>
  <c r="I93" i="53"/>
  <c r="G111" i="53"/>
  <c r="I111" i="53"/>
  <c r="G92" i="53"/>
  <c r="I92" i="53"/>
  <c r="G109" i="53"/>
  <c r="I109" i="53"/>
  <c r="G65" i="53"/>
  <c r="I65" i="53"/>
  <c r="G84" i="53"/>
  <c r="I84" i="53"/>
  <c r="G71" i="53"/>
  <c r="I71" i="53"/>
  <c r="G95" i="53"/>
  <c r="I95" i="53"/>
  <c r="G72" i="53"/>
  <c r="I72" i="53"/>
  <c r="G64" i="53"/>
  <c r="I64" i="53"/>
  <c r="G100" i="53"/>
  <c r="I100" i="53"/>
  <c r="G115" i="53"/>
  <c r="I115" i="53"/>
  <c r="G81" i="53"/>
  <c r="I81" i="53"/>
  <c r="G116" i="53"/>
  <c r="I116" i="53"/>
  <c r="G59" i="53"/>
  <c r="I59" i="53"/>
  <c r="G112" i="53"/>
  <c r="I112" i="53"/>
  <c r="G77" i="53"/>
  <c r="I77" i="53"/>
  <c r="H75" i="53"/>
  <c r="D75" i="53" s="1"/>
  <c r="F75" i="53"/>
  <c r="H101" i="53"/>
  <c r="D101" i="53" s="1"/>
  <c r="G101" i="53"/>
  <c r="I66" i="45"/>
  <c r="I78" i="45"/>
  <c r="D78" i="45"/>
  <c r="D65" i="44"/>
  <c r="V55" i="11"/>
  <c r="AY41" i="51" s="1"/>
  <c r="D55" i="44"/>
  <c r="Q39" i="44"/>
  <c r="S29" i="44"/>
  <c r="Q37" i="44"/>
  <c r="Q25" i="44"/>
  <c r="F68" i="45"/>
  <c r="H68" i="45" s="1"/>
  <c r="E80" i="45"/>
  <c r="F80" i="45" s="1"/>
  <c r="I80" i="45"/>
  <c r="E64" i="45"/>
  <c r="I64" i="45"/>
  <c r="E102" i="45"/>
  <c r="G102" i="45" s="1"/>
  <c r="I102" i="45"/>
  <c r="E40" i="45"/>
  <c r="I40" i="45"/>
  <c r="E38" i="45"/>
  <c r="I38" i="45"/>
  <c r="E53" i="45"/>
  <c r="I53" i="45"/>
  <c r="E97" i="45"/>
  <c r="I97" i="45"/>
  <c r="E42" i="45"/>
  <c r="I42" i="45"/>
  <c r="E44" i="45"/>
  <c r="I44" i="45"/>
  <c r="E98" i="45"/>
  <c r="F98" i="45" s="1"/>
  <c r="I98" i="45"/>
  <c r="E56" i="45"/>
  <c r="I56" i="45"/>
  <c r="F89" i="45"/>
  <c r="H89" i="45" s="1"/>
  <c r="E84" i="45"/>
  <c r="G84" i="45" s="1"/>
  <c r="I84" i="45"/>
  <c r="E101" i="45"/>
  <c r="G101" i="45" s="1"/>
  <c r="I101" i="45"/>
  <c r="E69" i="45"/>
  <c r="F69" i="45" s="1"/>
  <c r="I69" i="45"/>
  <c r="E49" i="45"/>
  <c r="G49" i="45" s="1"/>
  <c r="I49" i="45"/>
  <c r="E57" i="45"/>
  <c r="I57" i="45"/>
  <c r="E92" i="45"/>
  <c r="G92" i="45" s="1"/>
  <c r="I92" i="45"/>
  <c r="E61" i="45"/>
  <c r="F61" i="45" s="1"/>
  <c r="I61" i="45"/>
  <c r="E73" i="45"/>
  <c r="I73" i="45"/>
  <c r="E72" i="45"/>
  <c r="I72" i="45"/>
  <c r="E60" i="45"/>
  <c r="F60" i="45" s="1"/>
  <c r="I60" i="45"/>
  <c r="E82" i="45"/>
  <c r="F82" i="45" s="1"/>
  <c r="I82" i="45"/>
  <c r="E62" i="45"/>
  <c r="F62" i="45" s="1"/>
  <c r="I62" i="45"/>
  <c r="E41" i="45"/>
  <c r="I41" i="45"/>
  <c r="E37" i="45"/>
  <c r="I37" i="45"/>
  <c r="E52" i="45"/>
  <c r="I52" i="45"/>
  <c r="E48" i="45"/>
  <c r="G48" i="45" s="1"/>
  <c r="I48" i="45"/>
  <c r="E104" i="45"/>
  <c r="I104" i="45"/>
  <c r="E54" i="45"/>
  <c r="I54" i="45"/>
  <c r="E74" i="45"/>
  <c r="I74" i="45"/>
  <c r="E50" i="45"/>
  <c r="F50" i="45" s="1"/>
  <c r="I50" i="45"/>
  <c r="E70" i="45"/>
  <c r="G70" i="45" s="1"/>
  <c r="I70" i="45"/>
  <c r="E81" i="45"/>
  <c r="G81" i="45" s="1"/>
  <c r="I81" i="45"/>
  <c r="E45" i="45"/>
  <c r="I45" i="45"/>
  <c r="E106" i="45"/>
  <c r="I106" i="45"/>
  <c r="E86" i="45"/>
  <c r="G86" i="45" s="1"/>
  <c r="I86" i="45"/>
  <c r="E77" i="45"/>
  <c r="I77" i="45"/>
  <c r="E96" i="45"/>
  <c r="I96" i="45"/>
  <c r="I36" i="45"/>
  <c r="E105" i="45"/>
  <c r="I105" i="45"/>
  <c r="E85" i="45"/>
  <c r="I85" i="45"/>
  <c r="E65" i="45"/>
  <c r="I65" i="45"/>
  <c r="E100" i="45"/>
  <c r="F100" i="45" s="1"/>
  <c r="I100" i="45"/>
  <c r="E76" i="45"/>
  <c r="I76" i="45"/>
  <c r="E29" i="45"/>
  <c r="E28" i="45"/>
  <c r="D37" i="45"/>
  <c r="D86" i="45"/>
  <c r="D65" i="45"/>
  <c r="D33" i="45"/>
  <c r="D38" i="45"/>
  <c r="D82" i="45"/>
  <c r="D62" i="45"/>
  <c r="D98" i="45"/>
  <c r="D30" i="45"/>
  <c r="E30" i="45"/>
  <c r="R29" i="44"/>
  <c r="Q29" i="44"/>
  <c r="S39" i="44"/>
  <c r="P29" i="44"/>
  <c r="P37" i="44"/>
  <c r="R25" i="44"/>
  <c r="D92" i="45"/>
  <c r="P39" i="44"/>
  <c r="H76" i="53"/>
  <c r="R39" i="44"/>
  <c r="H61" i="53"/>
  <c r="D61" i="53" s="1"/>
  <c r="F61" i="53"/>
  <c r="F76" i="53"/>
  <c r="S25" i="44"/>
  <c r="P25" i="44"/>
  <c r="F109" i="53"/>
  <c r="H109" i="53"/>
  <c r="D109" i="53" s="1"/>
  <c r="H51" i="54"/>
  <c r="T55" i="23"/>
  <c r="CG41" i="51" s="1"/>
  <c r="D46" i="44"/>
  <c r="U55" i="9"/>
  <c r="AR41" i="51" s="1"/>
  <c r="D98" i="44"/>
  <c r="U55" i="22"/>
  <c r="CE41" i="51" s="1"/>
  <c r="D45" i="45"/>
  <c r="U55" i="13"/>
  <c r="BD41" i="51" s="1"/>
  <c r="D62" i="44"/>
  <c r="H49" i="54"/>
  <c r="T55" i="21"/>
  <c r="CA41" i="51" s="1"/>
  <c r="F77" i="53"/>
  <c r="D82" i="44"/>
  <c r="U55" i="18"/>
  <c r="BS41" i="51" s="1"/>
  <c r="D158" i="31"/>
  <c r="T55" i="9"/>
  <c r="AQ41" i="51" s="1"/>
  <c r="H38" i="54"/>
  <c r="T55" i="10"/>
  <c r="AT41" i="51" s="1"/>
  <c r="H77" i="53"/>
  <c r="D77" i="53" s="1"/>
  <c r="M35" i="54"/>
  <c r="U55" i="7"/>
  <c r="AL41" i="51" s="1"/>
  <c r="D78" i="44"/>
  <c r="U55" i="17"/>
  <c r="BP41" i="51" s="1"/>
  <c r="D56" i="45"/>
  <c r="H43" i="54"/>
  <c r="T55" i="15"/>
  <c r="BI41" i="51" s="1"/>
  <c r="D66" i="44"/>
  <c r="U55" i="14"/>
  <c r="BG41" i="51" s="1"/>
  <c r="D57" i="45"/>
  <c r="D49" i="45"/>
  <c r="H46" i="39"/>
  <c r="T55" i="18"/>
  <c r="BR41" i="51" s="1"/>
  <c r="G69" i="53"/>
  <c r="E69" i="53"/>
  <c r="F69" i="53"/>
  <c r="H69" i="53"/>
  <c r="D69" i="53" s="1"/>
  <c r="H35" i="54"/>
  <c r="T55" i="7"/>
  <c r="AK41" i="51" s="1"/>
  <c r="D94" i="44"/>
  <c r="U55" i="21"/>
  <c r="CB41" i="51" s="1"/>
  <c r="H34" i="54"/>
  <c r="T55" i="6"/>
  <c r="AH41" i="51" s="1"/>
  <c r="R33" i="54"/>
  <c r="V55" i="5"/>
  <c r="AG41" i="51" s="1"/>
  <c r="R37" i="44"/>
  <c r="S37" i="44"/>
  <c r="F97" i="53"/>
  <c r="H97" i="53"/>
  <c r="D97" i="53" s="1"/>
  <c r="D77" i="45"/>
  <c r="K64" i="2"/>
  <c r="D99" i="44" s="1"/>
  <c r="D76" i="45"/>
  <c r="H89" i="53"/>
  <c r="D89" i="53" s="1"/>
  <c r="E89" i="53"/>
  <c r="G89" i="53"/>
  <c r="F89" i="53"/>
  <c r="D47" i="38"/>
  <c r="D174" i="31"/>
  <c r="K56" i="2"/>
  <c r="D175" i="31" s="1"/>
  <c r="D186" i="31"/>
  <c r="K60" i="2"/>
  <c r="M32" i="54"/>
  <c r="U55" i="4"/>
  <c r="AC41" i="51" s="1"/>
  <c r="B9" i="53"/>
  <c r="E39" i="53" s="1"/>
  <c r="H92" i="53"/>
  <c r="F92" i="53"/>
  <c r="H108" i="53"/>
  <c r="D108" i="53" s="1"/>
  <c r="F108" i="53"/>
  <c r="D81" i="45"/>
  <c r="D198" i="31"/>
  <c r="D44" i="45"/>
  <c r="K50" i="2"/>
  <c r="D42" i="44"/>
  <c r="D156" i="31"/>
  <c r="H34" i="39"/>
  <c r="B11" i="53"/>
  <c r="E47" i="53" s="1"/>
  <c r="D36" i="45"/>
  <c r="M32" i="39"/>
  <c r="D144" i="31"/>
  <c r="F9" i="53"/>
  <c r="I33" i="38"/>
  <c r="K46" i="2"/>
  <c r="V55" i="4" s="1"/>
  <c r="AD41" i="51" s="1"/>
  <c r="E34" i="44"/>
  <c r="D34" i="44"/>
  <c r="E33" i="44"/>
  <c r="D33" i="44"/>
  <c r="E35" i="44"/>
  <c r="E30" i="44"/>
  <c r="D30" i="44"/>
  <c r="H33" i="39"/>
  <c r="H33" i="54"/>
  <c r="D146" i="31"/>
  <c r="B10" i="53"/>
  <c r="E43" i="53" s="1"/>
  <c r="D34" i="38"/>
  <c r="D33" i="43"/>
  <c r="E29" i="44"/>
  <c r="D29" i="44"/>
  <c r="D32" i="45"/>
  <c r="D29" i="45"/>
  <c r="D28" i="45"/>
  <c r="D32" i="43"/>
  <c r="D33" i="38"/>
  <c r="H32" i="54"/>
  <c r="H79" i="53"/>
  <c r="D79" i="53" s="1"/>
  <c r="F79" i="53"/>
  <c r="D41" i="38"/>
  <c r="D81" i="44"/>
  <c r="H46" i="54"/>
  <c r="H40" i="39"/>
  <c r="H37" i="39"/>
  <c r="D57" i="44"/>
  <c r="H40" i="54"/>
  <c r="D38" i="38"/>
  <c r="D45" i="44"/>
  <c r="H37" i="54"/>
  <c r="D26" i="44"/>
  <c r="E25" i="44"/>
  <c r="D25" i="44"/>
  <c r="E26" i="44"/>
  <c r="H32" i="39"/>
  <c r="D143" i="31"/>
  <c r="T55" i="4"/>
  <c r="AB41" i="51" s="1"/>
  <c r="D69" i="45"/>
  <c r="N34" i="43"/>
  <c r="Q34" i="43" s="1"/>
  <c r="N33" i="38"/>
  <c r="R32" i="39"/>
  <c r="F12" i="53"/>
  <c r="D153" i="31"/>
  <c r="K49" i="2"/>
  <c r="I36" i="38"/>
  <c r="M35" i="39"/>
  <c r="D40" i="45"/>
  <c r="E39" i="44"/>
  <c r="B12" i="53"/>
  <c r="E51" i="53" s="1"/>
  <c r="D36" i="38"/>
  <c r="H35" i="39"/>
  <c r="D152" i="31"/>
  <c r="D35" i="43"/>
  <c r="D38" i="44"/>
  <c r="E38" i="44"/>
  <c r="D42" i="45"/>
  <c r="D41" i="45"/>
  <c r="D37" i="44"/>
  <c r="E37" i="44"/>
  <c r="J10" i="53"/>
  <c r="E45" i="53" s="1"/>
  <c r="N33" i="43"/>
  <c r="Q33" i="43" s="1"/>
  <c r="N34" i="38"/>
  <c r="R33" i="39"/>
  <c r="D148" i="31"/>
  <c r="D31" i="44"/>
  <c r="E80" i="53"/>
  <c r="D102" i="45"/>
  <c r="F81" i="53"/>
  <c r="H81" i="53"/>
  <c r="D81" i="53" s="1"/>
  <c r="D61" i="45"/>
  <c r="D100" i="45"/>
  <c r="F80" i="53"/>
  <c r="D70" i="45"/>
  <c r="H112" i="53"/>
  <c r="E112" i="53"/>
  <c r="H80" i="53"/>
  <c r="F113" i="53"/>
  <c r="H113" i="53"/>
  <c r="D113" i="53" s="1"/>
  <c r="F112" i="53"/>
  <c r="H111" i="53"/>
  <c r="D111" i="53" s="1"/>
  <c r="D101" i="45"/>
  <c r="F111" i="53"/>
  <c r="P41" i="51"/>
  <c r="P40" i="51"/>
  <c r="E59" i="53"/>
  <c r="H72" i="53"/>
  <c r="D60" i="45"/>
  <c r="H59" i="53"/>
  <c r="D59" i="53" s="1"/>
  <c r="E72" i="53"/>
  <c r="D80" i="45"/>
  <c r="F91" i="53"/>
  <c r="H71" i="53"/>
  <c r="D71" i="53" s="1"/>
  <c r="H95" i="53"/>
  <c r="D95" i="53" s="1"/>
  <c r="F72" i="53"/>
  <c r="D50" i="45"/>
  <c r="H91" i="53"/>
  <c r="D91" i="53" s="1"/>
  <c r="H93" i="53"/>
  <c r="D93" i="53" s="1"/>
  <c r="F59" i="53"/>
  <c r="D48" i="45"/>
  <c r="F73" i="53"/>
  <c r="F95" i="53"/>
  <c r="F93" i="53"/>
  <c r="D84" i="45"/>
  <c r="H60" i="53"/>
  <c r="D60" i="53" s="1"/>
  <c r="F71" i="53"/>
  <c r="H73" i="53"/>
  <c r="D73" i="53" s="1"/>
  <c r="F60" i="53"/>
  <c r="Q42" i="51"/>
  <c r="A11" i="51"/>
  <c r="F10" i="51"/>
  <c r="J10" i="51"/>
  <c r="G10" i="51"/>
  <c r="B10" i="51"/>
  <c r="K9" i="51" s="1"/>
  <c r="I10" i="51"/>
  <c r="D10" i="51"/>
  <c r="H10" i="51"/>
  <c r="M8" i="51"/>
  <c r="C9" i="51"/>
  <c r="L8" i="51" s="1"/>
  <c r="E9" i="51"/>
  <c r="N8" i="51" s="1"/>
  <c r="B46" i="51"/>
  <c r="C45" i="51"/>
  <c r="E45" i="51"/>
  <c r="F45" i="51"/>
  <c r="H117" i="53"/>
  <c r="D117" i="53" s="1"/>
  <c r="F117" i="53"/>
  <c r="F63" i="53"/>
  <c r="H63" i="53"/>
  <c r="D63" i="53" s="1"/>
  <c r="F115" i="53"/>
  <c r="H115" i="53"/>
  <c r="D115" i="53" s="1"/>
  <c r="H65" i="53"/>
  <c r="D65" i="53" s="1"/>
  <c r="F65" i="53"/>
  <c r="H64" i="53"/>
  <c r="D64" i="53" s="1"/>
  <c r="F64" i="53"/>
  <c r="F83" i="53"/>
  <c r="H83" i="53"/>
  <c r="D83" i="53" s="1"/>
  <c r="H85" i="53"/>
  <c r="D85" i="53" s="1"/>
  <c r="F85" i="53"/>
  <c r="H116" i="53"/>
  <c r="D116" i="53" s="1"/>
  <c r="F116" i="53"/>
  <c r="H84" i="53"/>
  <c r="D84" i="53" s="1"/>
  <c r="F84" i="53"/>
  <c r="G66" i="45"/>
  <c r="H66" i="45" s="1"/>
  <c r="F49" i="4"/>
  <c r="G49" i="4" s="1"/>
  <c r="H49" i="4" s="1"/>
  <c r="G94" i="45"/>
  <c r="H94" i="45" s="1"/>
  <c r="G78" i="45"/>
  <c r="H78" i="45" s="1"/>
  <c r="D96" i="45"/>
  <c r="D97" i="45"/>
  <c r="H49" i="39"/>
  <c r="D50" i="38"/>
  <c r="D194" i="31"/>
  <c r="D93" i="44"/>
  <c r="D181" i="31"/>
  <c r="D75" i="44"/>
  <c r="D64" i="45"/>
  <c r="D85" i="45"/>
  <c r="D104" i="45"/>
  <c r="K52" i="2"/>
  <c r="D162" i="31"/>
  <c r="D50" i="44"/>
  <c r="D106" i="45"/>
  <c r="D54" i="45"/>
  <c r="D105" i="45"/>
  <c r="E63" i="53"/>
  <c r="K57" i="2"/>
  <c r="D177" i="31"/>
  <c r="D70" i="44"/>
  <c r="K65" i="2"/>
  <c r="D201" i="31"/>
  <c r="D102" i="44"/>
  <c r="D73" i="45"/>
  <c r="E115" i="53"/>
  <c r="D74" i="45"/>
  <c r="D53" i="45"/>
  <c r="D72" i="45"/>
  <c r="E83" i="53"/>
  <c r="D176" i="31"/>
  <c r="D44" i="38"/>
  <c r="H43" i="39"/>
  <c r="D69" i="44"/>
  <c r="D52" i="38"/>
  <c r="H51" i="39"/>
  <c r="D200" i="31"/>
  <c r="D101" i="44"/>
  <c r="D39" i="38"/>
  <c r="H38" i="39"/>
  <c r="D161" i="31"/>
  <c r="D49" i="44"/>
  <c r="D52" i="45"/>
  <c r="J49" i="4"/>
  <c r="K49" i="4" s="1"/>
  <c r="L49" i="4" s="1"/>
  <c r="F30" i="4"/>
  <c r="F31" i="4"/>
  <c r="Y77" i="44"/>
  <c r="Y61" i="44"/>
  <c r="Y85" i="44"/>
  <c r="Y57" i="44"/>
  <c r="Y69" i="44"/>
  <c r="Y49" i="44"/>
  <c r="Y45" i="44"/>
  <c r="Y53" i="44"/>
  <c r="Y97" i="44"/>
  <c r="Q38" i="44"/>
  <c r="S35" i="44"/>
  <c r="Q34" i="44"/>
  <c r="P35" i="44"/>
  <c r="R33" i="44"/>
  <c r="R35" i="44"/>
  <c r="Q30" i="44"/>
  <c r="R34" i="44"/>
  <c r="P33" i="44"/>
  <c r="S33" i="44"/>
  <c r="R38" i="44"/>
  <c r="S30" i="44"/>
  <c r="R30" i="44"/>
  <c r="Q35" i="44"/>
  <c r="Q33" i="44"/>
  <c r="P34" i="44"/>
  <c r="P30" i="44"/>
  <c r="P38" i="44"/>
  <c r="S38" i="44"/>
  <c r="S34" i="44"/>
  <c r="Q26" i="44"/>
  <c r="P26" i="44"/>
  <c r="R26" i="44"/>
  <c r="Y25" i="44"/>
  <c r="S26" i="44"/>
  <c r="D95" i="44" l="1"/>
  <c r="AQ267" i="51"/>
  <c r="AP290" i="51"/>
  <c r="AM263" i="51"/>
  <c r="AP303" i="51"/>
  <c r="AE163" i="55" s="1"/>
  <c r="AJ266" i="51"/>
  <c r="Y118" i="55" s="1"/>
  <c r="AG264" i="51"/>
  <c r="V116" i="55" s="1"/>
  <c r="AM291" i="51"/>
  <c r="AB148" i="55" s="1"/>
  <c r="AQ240" i="51"/>
  <c r="AK241" i="51"/>
  <c r="AH291" i="51"/>
  <c r="AO289" i="51"/>
  <c r="AD146" i="55" s="1"/>
  <c r="AF289" i="51"/>
  <c r="U146" i="55" s="1"/>
  <c r="AI288" i="51"/>
  <c r="X145" i="55" s="1"/>
  <c r="AH288" i="51"/>
  <c r="W145" i="55" s="1"/>
  <c r="AF288" i="51"/>
  <c r="U145" i="55" s="1"/>
  <c r="AK291" i="51"/>
  <c r="Z148" i="55" s="1"/>
  <c r="AF304" i="51"/>
  <c r="AF264" i="51"/>
  <c r="AK289" i="51"/>
  <c r="Z146" i="55" s="1"/>
  <c r="AH303" i="51"/>
  <c r="W163" i="55" s="1"/>
  <c r="AG263" i="51"/>
  <c r="V115" i="55" s="1"/>
  <c r="AG288" i="51"/>
  <c r="V145" i="55" s="1"/>
  <c r="AM307" i="51"/>
  <c r="AB167" i="55" s="1"/>
  <c r="AN263" i="51"/>
  <c r="AC115" i="55" s="1"/>
  <c r="AI291" i="51"/>
  <c r="AH242" i="51"/>
  <c r="AI241" i="51"/>
  <c r="X88" i="55" s="1"/>
  <c r="AK242" i="51"/>
  <c r="Z89" i="55" s="1"/>
  <c r="AH267" i="51"/>
  <c r="W119" i="55" s="1"/>
  <c r="AF290" i="51"/>
  <c r="U147" i="55" s="1"/>
  <c r="AJ328" i="51"/>
  <c r="Y193" i="55" s="1"/>
  <c r="AF329" i="51"/>
  <c r="U194" i="55" s="1"/>
  <c r="AN329" i="51"/>
  <c r="AJ330" i="51"/>
  <c r="AF331" i="51"/>
  <c r="U196" i="55" s="1"/>
  <c r="AK332" i="51"/>
  <c r="Z197" i="55" s="1"/>
  <c r="AI329" i="51"/>
  <c r="X194" i="55" s="1"/>
  <c r="AQ303" i="51"/>
  <c r="AF163" i="55" s="1"/>
  <c r="AK266" i="51"/>
  <c r="Z118" i="55" s="1"/>
  <c r="AG292" i="51"/>
  <c r="V149" i="55" s="1"/>
  <c r="AM303" i="51"/>
  <c r="AM265" i="51"/>
  <c r="AO334" i="51"/>
  <c r="AJ335" i="51"/>
  <c r="AH336" i="51"/>
  <c r="AQ336" i="51"/>
  <c r="AF337" i="51"/>
  <c r="AG337" i="51"/>
  <c r="AH337" i="51"/>
  <c r="AI337" i="51"/>
  <c r="AJ306" i="51"/>
  <c r="Y166" i="55" s="1"/>
  <c r="AF307" i="51"/>
  <c r="U167" i="55" s="1"/>
  <c r="AQ264" i="51"/>
  <c r="AF116" i="55" s="1"/>
  <c r="AL278" i="51"/>
  <c r="AA133" i="55" s="1"/>
  <c r="AM280" i="51"/>
  <c r="AB135" i="55" s="1"/>
  <c r="AJ282" i="51"/>
  <c r="Y137" i="55" s="1"/>
  <c r="AP278" i="51"/>
  <c r="AL279" i="51"/>
  <c r="AH280" i="51"/>
  <c r="W135" i="55" s="1"/>
  <c r="AP280" i="51"/>
  <c r="AE135" i="55" s="1"/>
  <c r="AL281" i="51"/>
  <c r="AA136" i="55" s="1"/>
  <c r="AO306" i="51"/>
  <c r="AD166" i="55" s="1"/>
  <c r="AK265" i="51"/>
  <c r="Z117" i="55" s="1"/>
  <c r="AQ292" i="51"/>
  <c r="AF149" i="55" s="1"/>
  <c r="AQ239" i="51"/>
  <c r="AQ263" i="51"/>
  <c r="AG290" i="51"/>
  <c r="V147" i="55" s="1"/>
  <c r="AF303" i="51"/>
  <c r="U163" i="55" s="1"/>
  <c r="AJ264" i="51"/>
  <c r="Y116" i="55" s="1"/>
  <c r="AQ291" i="51"/>
  <c r="AF148" i="55" s="1"/>
  <c r="AH304" i="51"/>
  <c r="W164" i="55" s="1"/>
  <c r="AK292" i="51"/>
  <c r="Z149" i="55" s="1"/>
  <c r="AN239" i="51"/>
  <c r="AO239" i="51"/>
  <c r="AJ242" i="51"/>
  <c r="Y89" i="55" s="1"/>
  <c r="AM304" i="51"/>
  <c r="AB164" i="55" s="1"/>
  <c r="AG267" i="51"/>
  <c r="V119" i="55" s="1"/>
  <c r="AO288" i="51"/>
  <c r="AD145" i="55" s="1"/>
  <c r="AG329" i="51"/>
  <c r="V194" i="55" s="1"/>
  <c r="AO329" i="51"/>
  <c r="AD194" i="55" s="1"/>
  <c r="AK330" i="51"/>
  <c r="AG331" i="51"/>
  <c r="AO331" i="51"/>
  <c r="AD196" i="55" s="1"/>
  <c r="AM328" i="51"/>
  <c r="AB193" i="55" s="1"/>
  <c r="AG332" i="51"/>
  <c r="V197" i="55" s="1"/>
  <c r="AO303" i="51"/>
  <c r="AD163" i="55" s="1"/>
  <c r="AI266" i="51"/>
  <c r="X118" i="55" s="1"/>
  <c r="AN306" i="51"/>
  <c r="AC166" i="55" s="1"/>
  <c r="AF267" i="51"/>
  <c r="AP291" i="51"/>
  <c r="AE148" i="55" s="1"/>
  <c r="AK335" i="51"/>
  <c r="AF336" i="51"/>
  <c r="AP336" i="51"/>
  <c r="AM337" i="51"/>
  <c r="AN337" i="51"/>
  <c r="AO337" i="51"/>
  <c r="AP337" i="51"/>
  <c r="AQ337" i="51"/>
  <c r="AK306" i="51"/>
  <c r="Z166" i="55" s="1"/>
  <c r="AG307" i="51"/>
  <c r="V167" i="55" s="1"/>
  <c r="AN305" i="51"/>
  <c r="AC165" i="55" s="1"/>
  <c r="AN265" i="51"/>
  <c r="AC117" i="55" s="1"/>
  <c r="AQ279" i="51"/>
  <c r="AF134" i="55" s="1"/>
  <c r="AJ281" i="51"/>
  <c r="Y136" i="55" s="1"/>
  <c r="AH278" i="51"/>
  <c r="AM281" i="51"/>
  <c r="AB136" i="55" s="1"/>
  <c r="AI282" i="51"/>
  <c r="X137" i="55" s="1"/>
  <c r="AQ282" i="51"/>
  <c r="AF137" i="55" s="1"/>
  <c r="AO281" i="51"/>
  <c r="AD136" i="55" s="1"/>
  <c r="AK282" i="51"/>
  <c r="Z137" i="55" s="1"/>
  <c r="AN264" i="51"/>
  <c r="AC116" i="55" s="1"/>
  <c r="AP292" i="51"/>
  <c r="AE149" i="55" s="1"/>
  <c r="AP263" i="51"/>
  <c r="AP304" i="51"/>
  <c r="AH289" i="51"/>
  <c r="W146" i="55" s="1"/>
  <c r="AK305" i="51"/>
  <c r="Z165" i="55" s="1"/>
  <c r="AH264" i="51"/>
  <c r="W116" i="55" s="1"/>
  <c r="AN291" i="51"/>
  <c r="AC148" i="55" s="1"/>
  <c r="AO240" i="51"/>
  <c r="AP240" i="51"/>
  <c r="AF241" i="51"/>
  <c r="AI239" i="51"/>
  <c r="AM239" i="51"/>
  <c r="AB86" i="55" s="1"/>
  <c r="AH239" i="51"/>
  <c r="W86" i="55" s="1"/>
  <c r="AJ239" i="51"/>
  <c r="Y86" i="55" s="1"/>
  <c r="AK304" i="51"/>
  <c r="Z164" i="55" s="1"/>
  <c r="AQ266" i="51"/>
  <c r="AF118" i="55" s="1"/>
  <c r="AJ288" i="51"/>
  <c r="Y145" i="55" s="1"/>
  <c r="AP329" i="51"/>
  <c r="AL330" i="51"/>
  <c r="AH331" i="51"/>
  <c r="W196" i="55" s="1"/>
  <c r="AP331" i="51"/>
  <c r="AE196" i="55" s="1"/>
  <c r="AL332" i="51"/>
  <c r="AA197" i="55" s="1"/>
  <c r="AK331" i="51"/>
  <c r="Z196" i="55" s="1"/>
  <c r="AN332" i="51"/>
  <c r="AC197" i="55" s="1"/>
  <c r="AI304" i="51"/>
  <c r="X164" i="55" s="1"/>
  <c r="AN267" i="51"/>
  <c r="AL292" i="51"/>
  <c r="AA149" i="55" s="1"/>
  <c r="AK303" i="51"/>
  <c r="Z163" i="55" s="1"/>
  <c r="AL267" i="51"/>
  <c r="AA119" i="55" s="1"/>
  <c r="AK290" i="51"/>
  <c r="Z147" i="55" s="1"/>
  <c r="AG336" i="51"/>
  <c r="AN336" i="51"/>
  <c r="AL337" i="51"/>
  <c r="AF333" i="51"/>
  <c r="AG333" i="51"/>
  <c r="AH333" i="51"/>
  <c r="AI333" i="51"/>
  <c r="AQ304" i="51"/>
  <c r="AF164" i="55" s="1"/>
  <c r="AL306" i="51"/>
  <c r="AA166" i="55" s="1"/>
  <c r="AH307" i="51"/>
  <c r="W167" i="55" s="1"/>
  <c r="AL307" i="51"/>
  <c r="AA167" i="55" s="1"/>
  <c r="AP266" i="51"/>
  <c r="AN280" i="51"/>
  <c r="AL282" i="51"/>
  <c r="AA137" i="55" s="1"/>
  <c r="AN282" i="51"/>
  <c r="AC137" i="55" s="1"/>
  <c r="AF281" i="51"/>
  <c r="U136" i="55" s="1"/>
  <c r="AP282" i="51"/>
  <c r="AE137" i="55" s="1"/>
  <c r="AP281" i="51"/>
  <c r="AE136" i="55" s="1"/>
  <c r="AJ278" i="51"/>
  <c r="Y133" i="55" s="1"/>
  <c r="AM264" i="51"/>
  <c r="AN292" i="51"/>
  <c r="AC149" i="55" s="1"/>
  <c r="AO263" i="51"/>
  <c r="AD115" i="55" s="1"/>
  <c r="AP289" i="51"/>
  <c r="AE146" i="55" s="1"/>
  <c r="AJ303" i="51"/>
  <c r="Y163" i="55" s="1"/>
  <c r="AP264" i="51"/>
  <c r="AE116" i="55" s="1"/>
  <c r="AJ292" i="51"/>
  <c r="Y149" i="55" s="1"/>
  <c r="AK263" i="51"/>
  <c r="Z115" i="55" s="1"/>
  <c r="AQ290" i="51"/>
  <c r="AO241" i="51"/>
  <c r="AD88" i="55" s="1"/>
  <c r="AQ241" i="51"/>
  <c r="AF88" i="55" s="1"/>
  <c r="AF239" i="51"/>
  <c r="U86" i="55" s="1"/>
  <c r="AJ240" i="51"/>
  <c r="AI240" i="51"/>
  <c r="AP239" i="51"/>
  <c r="AE86" i="55" s="1"/>
  <c r="AF240" i="51"/>
  <c r="AM305" i="51"/>
  <c r="AF263" i="51"/>
  <c r="U115" i="55" s="1"/>
  <c r="AM290" i="51"/>
  <c r="AB147" i="55" s="1"/>
  <c r="AM330" i="51"/>
  <c r="AB195" i="55" s="1"/>
  <c r="AI331" i="51"/>
  <c r="X196" i="55" s="1"/>
  <c r="AQ331" i="51"/>
  <c r="AF196" i="55" s="1"/>
  <c r="AM332" i="51"/>
  <c r="AB197" i="55" s="1"/>
  <c r="AO330" i="51"/>
  <c r="AD195" i="55" s="1"/>
  <c r="AF332" i="51"/>
  <c r="AP332" i="51"/>
  <c r="AE197" i="55" s="1"/>
  <c r="AJ307" i="51"/>
  <c r="Y167" i="55" s="1"/>
  <c r="AG291" i="51"/>
  <c r="V148" i="55" s="1"/>
  <c r="AO266" i="51"/>
  <c r="AD118" i="55" s="1"/>
  <c r="AN289" i="51"/>
  <c r="AC146" i="55" s="1"/>
  <c r="AO336" i="51"/>
  <c r="AJ337" i="51"/>
  <c r="AM333" i="51"/>
  <c r="AN333" i="51"/>
  <c r="AO333" i="51"/>
  <c r="AP333" i="51"/>
  <c r="AQ333" i="51"/>
  <c r="AF305" i="51"/>
  <c r="U165" i="55" s="1"/>
  <c r="AM306" i="51"/>
  <c r="AB166" i="55" s="1"/>
  <c r="AI307" i="51"/>
  <c r="X167" i="55" s="1"/>
  <c r="AF306" i="51"/>
  <c r="AG266" i="51"/>
  <c r="V118" i="55" s="1"/>
  <c r="AK281" i="51"/>
  <c r="Z136" i="55" s="1"/>
  <c r="AF282" i="51"/>
  <c r="U137" i="55" s="1"/>
  <c r="AI278" i="51"/>
  <c r="X133" i="55" s="1"/>
  <c r="AQ278" i="51"/>
  <c r="AF133" i="55" s="1"/>
  <c r="AM279" i="51"/>
  <c r="AB134" i="55" s="1"/>
  <c r="AI280" i="51"/>
  <c r="X135" i="55" s="1"/>
  <c r="AQ280" i="51"/>
  <c r="AL264" i="51"/>
  <c r="AA116" i="55" s="1"/>
  <c r="AQ289" i="51"/>
  <c r="AF146" i="55" s="1"/>
  <c r="AL240" i="51"/>
  <c r="AN240" i="51"/>
  <c r="AL303" i="51"/>
  <c r="AA163" i="55" s="1"/>
  <c r="AO291" i="51"/>
  <c r="AD148" i="55" s="1"/>
  <c r="AG328" i="51"/>
  <c r="V193" i="55" s="1"/>
  <c r="AO332" i="51"/>
  <c r="AO328" i="51"/>
  <c r="AD193" i="55" s="1"/>
  <c r="AK329" i="51"/>
  <c r="Z194" i="55" s="1"/>
  <c r="AG330" i="51"/>
  <c r="V195" i="55" s="1"/>
  <c r="AJ331" i="51"/>
  <c r="Y196" i="55" s="1"/>
  <c r="AH332" i="51"/>
  <c r="W197" i="55" s="1"/>
  <c r="AQ332" i="51"/>
  <c r="AF197" i="55" s="1"/>
  <c r="AG304" i="51"/>
  <c r="V164" i="55" s="1"/>
  <c r="AK267" i="51"/>
  <c r="AJ290" i="51"/>
  <c r="Y147" i="55" s="1"/>
  <c r="AF266" i="51"/>
  <c r="U118" i="55" s="1"/>
  <c r="AQ288" i="51"/>
  <c r="AF145" i="55" s="1"/>
  <c r="AK337" i="51"/>
  <c r="AL333" i="51"/>
  <c r="AI334" i="51"/>
  <c r="AJ334" i="51"/>
  <c r="AK334" i="51"/>
  <c r="AL334" i="51"/>
  <c r="AM334" i="51"/>
  <c r="AG305" i="51"/>
  <c r="V165" i="55" s="1"/>
  <c r="AK307" i="51"/>
  <c r="Z167" i="55" s="1"/>
  <c r="AN307" i="51"/>
  <c r="AC167" i="55" s="1"/>
  <c r="AG306" i="51"/>
  <c r="V166" i="55" s="1"/>
  <c r="AJ265" i="51"/>
  <c r="Y117" i="55" s="1"/>
  <c r="AM282" i="51"/>
  <c r="AJ280" i="51"/>
  <c r="Y135" i="55" s="1"/>
  <c r="AG279" i="51"/>
  <c r="V134" i="55" s="1"/>
  <c r="AO279" i="51"/>
  <c r="AD134" i="55" s="1"/>
  <c r="AK280" i="51"/>
  <c r="Z135" i="55" s="1"/>
  <c r="AG281" i="51"/>
  <c r="V136" i="55" s="1"/>
  <c r="AQ281" i="51"/>
  <c r="AF136" i="55" s="1"/>
  <c r="AL304" i="51"/>
  <c r="AA164" i="55" s="1"/>
  <c r="AK264" i="51"/>
  <c r="AL288" i="51"/>
  <c r="AA145" i="55" s="1"/>
  <c r="AI292" i="51"/>
  <c r="X149" i="55" s="1"/>
  <c r="AJ263" i="51"/>
  <c r="Y115" i="55" s="1"/>
  <c r="AL291" i="51"/>
  <c r="AA148" i="55" s="1"/>
  <c r="AP267" i="51"/>
  <c r="AE119" i="55" s="1"/>
  <c r="AN290" i="51"/>
  <c r="AC147" i="55" s="1"/>
  <c r="AO242" i="51"/>
  <c r="AD89" i="55" s="1"/>
  <c r="AL241" i="51"/>
  <c r="AM242" i="51"/>
  <c r="AB89" i="55" s="1"/>
  <c r="AM241" i="51"/>
  <c r="AB88" i="55" s="1"/>
  <c r="AH241" i="51"/>
  <c r="W88" i="55" s="1"/>
  <c r="AJ241" i="51"/>
  <c r="Y88" i="55" s="1"/>
  <c r="AO304" i="51"/>
  <c r="AD164" i="55" s="1"/>
  <c r="AL263" i="51"/>
  <c r="AA115" i="55" s="1"/>
  <c r="AF291" i="51"/>
  <c r="U148" i="55" s="1"/>
  <c r="AF328" i="51"/>
  <c r="AN328" i="51"/>
  <c r="AC193" i="55" s="1"/>
  <c r="AJ329" i="51"/>
  <c r="Y194" i="55" s="1"/>
  <c r="AF330" i="51"/>
  <c r="U195" i="55" s="1"/>
  <c r="AN330" i="51"/>
  <c r="AC195" i="55" s="1"/>
  <c r="AL331" i="51"/>
  <c r="AA196" i="55" s="1"/>
  <c r="AI332" i="51"/>
  <c r="X197" i="55" s="1"/>
  <c r="AK328" i="51"/>
  <c r="Z193" i="55" s="1"/>
  <c r="AN266" i="51"/>
  <c r="AM289" i="51"/>
  <c r="AB146" i="55" s="1"/>
  <c r="AQ265" i="51"/>
  <c r="AF117" i="55" s="1"/>
  <c r="AP288" i="51"/>
  <c r="AE145" i="55" s="1"/>
  <c r="AJ333" i="51"/>
  <c r="AH334" i="51"/>
  <c r="AQ334" i="51"/>
  <c r="AF335" i="51"/>
  <c r="AG335" i="51"/>
  <c r="AH335" i="51"/>
  <c r="AI335" i="51"/>
  <c r="AH305" i="51"/>
  <c r="W165" i="55" s="1"/>
  <c r="AJ305" i="51"/>
  <c r="Y165" i="55" s="1"/>
  <c r="AO307" i="51"/>
  <c r="AD167" i="55" s="1"/>
  <c r="AI265" i="51"/>
  <c r="X117" i="55" s="1"/>
  <c r="AN279" i="51"/>
  <c r="AC134" i="55" s="1"/>
  <c r="AK278" i="51"/>
  <c r="AL280" i="51"/>
  <c r="AH281" i="51"/>
  <c r="W136" i="55" s="1"/>
  <c r="AG282" i="51"/>
  <c r="V137" i="55" s="1"/>
  <c r="AM278" i="51"/>
  <c r="AB133" i="55" s="1"/>
  <c r="AI279" i="51"/>
  <c r="X134" i="55" s="1"/>
  <c r="AJ304" i="51"/>
  <c r="Y164" i="55" s="1"/>
  <c r="AI264" i="51"/>
  <c r="X116" i="55" s="1"/>
  <c r="AP305" i="51"/>
  <c r="AG241" i="51"/>
  <c r="V88" i="55" s="1"/>
  <c r="AN303" i="51"/>
  <c r="AC163" i="55" s="1"/>
  <c r="AH292" i="51"/>
  <c r="W149" i="55" s="1"/>
  <c r="AI263" i="51"/>
  <c r="X115" i="55" s="1"/>
  <c r="AJ291" i="51"/>
  <c r="Y148" i="55" s="1"/>
  <c r="AQ305" i="51"/>
  <c r="AF165" i="55" s="1"/>
  <c r="AO267" i="51"/>
  <c r="AD119" i="55" s="1"/>
  <c r="AO292" i="51"/>
  <c r="AL239" i="51"/>
  <c r="AA86" i="55" s="1"/>
  <c r="AG242" i="51"/>
  <c r="V89" i="55" s="1"/>
  <c r="AG239" i="51"/>
  <c r="V86" i="55" s="1"/>
  <c r="AK240" i="51"/>
  <c r="AI242" i="51"/>
  <c r="X89" i="55" s="1"/>
  <c r="AP241" i="51"/>
  <c r="AE88" i="55" s="1"/>
  <c r="AF242" i="51"/>
  <c r="U89" i="55" s="1"/>
  <c r="AJ267" i="51"/>
  <c r="AI290" i="51"/>
  <c r="X147" i="55" s="1"/>
  <c r="AH328" i="51"/>
  <c r="W193" i="55" s="1"/>
  <c r="AP328" i="51"/>
  <c r="AE193" i="55" s="1"/>
  <c r="AL329" i="51"/>
  <c r="AA194" i="55" s="1"/>
  <c r="AH330" i="51"/>
  <c r="W195" i="55" s="1"/>
  <c r="AP330" i="51"/>
  <c r="AE195" i="55" s="1"/>
  <c r="AM331" i="51"/>
  <c r="AB196" i="55" s="1"/>
  <c r="AJ332" i="51"/>
  <c r="AH329" i="51"/>
  <c r="W194" i="55" s="1"/>
  <c r="AM266" i="51"/>
  <c r="AB118" i="55" s="1"/>
  <c r="AL289" i="51"/>
  <c r="AA146" i="55" s="1"/>
  <c r="AI303" i="51"/>
  <c r="X163" i="55" s="1"/>
  <c r="AP265" i="51"/>
  <c r="AE117" i="55" s="1"/>
  <c r="AN288" i="51"/>
  <c r="AC145" i="55" s="1"/>
  <c r="AK333" i="51"/>
  <c r="AF334" i="51"/>
  <c r="AP334" i="51"/>
  <c r="AM335" i="51"/>
  <c r="AN335" i="51"/>
  <c r="AO335" i="51"/>
  <c r="AP335" i="51"/>
  <c r="AQ335" i="51"/>
  <c r="AI305" i="51"/>
  <c r="X165" i="55" s="1"/>
  <c r="AH306" i="51"/>
  <c r="W166" i="55" s="1"/>
  <c r="AP307" i="51"/>
  <c r="AE167" i="55" s="1"/>
  <c r="AH265" i="51"/>
  <c r="W117" i="55" s="1"/>
  <c r="AF279" i="51"/>
  <c r="U134" i="55" s="1"/>
  <c r="AO282" i="51"/>
  <c r="AD137" i="55" s="1"/>
  <c r="AP279" i="51"/>
  <c r="AE134" i="55" s="1"/>
  <c r="AH282" i="51"/>
  <c r="W137" i="55" s="1"/>
  <c r="AF278" i="51"/>
  <c r="U133" i="55" s="1"/>
  <c r="AN278" i="51"/>
  <c r="AJ279" i="51"/>
  <c r="Y134" i="55" s="1"/>
  <c r="AP306" i="51"/>
  <c r="AE166" i="55" s="1"/>
  <c r="AF265" i="51"/>
  <c r="U117" i="55" s="1"/>
  <c r="AL290" i="51"/>
  <c r="AA147" i="55" s="1"/>
  <c r="AM292" i="51"/>
  <c r="AB149" i="55" s="1"/>
  <c r="AK239" i="51"/>
  <c r="Z86" i="55" s="1"/>
  <c r="AL305" i="51"/>
  <c r="AA165" i="55" s="1"/>
  <c r="AO264" i="51"/>
  <c r="AD116" i="55" s="1"/>
  <c r="AF292" i="51"/>
  <c r="U149" i="55" s="1"/>
  <c r="AH263" i="51"/>
  <c r="W115" i="55" s="1"/>
  <c r="AI289" i="51"/>
  <c r="X146" i="55" s="1"/>
  <c r="AO305" i="51"/>
  <c r="AD165" i="55" s="1"/>
  <c r="AM267" i="51"/>
  <c r="AB119" i="55" s="1"/>
  <c r="AO290" i="51"/>
  <c r="AD147" i="55" s="1"/>
  <c r="AM240" i="51"/>
  <c r="AN241" i="51"/>
  <c r="AG240" i="51"/>
  <c r="AH240" i="51"/>
  <c r="AP242" i="51"/>
  <c r="AE89" i="55" s="1"/>
  <c r="AQ242" i="51"/>
  <c r="AF89" i="55" s="1"/>
  <c r="AL242" i="51"/>
  <c r="AA89" i="55" s="1"/>
  <c r="AI267" i="51"/>
  <c r="X119" i="55" s="1"/>
  <c r="AH290" i="51"/>
  <c r="W147" i="55" s="1"/>
  <c r="AI328" i="51"/>
  <c r="AQ328" i="51"/>
  <c r="AF193" i="55" s="1"/>
  <c r="AM329" i="51"/>
  <c r="AB194" i="55" s="1"/>
  <c r="AI330" i="51"/>
  <c r="X195" i="55" s="1"/>
  <c r="AQ330" i="51"/>
  <c r="AF195" i="55" s="1"/>
  <c r="AN331" i="51"/>
  <c r="AC196" i="55" s="1"/>
  <c r="AL328" i="51"/>
  <c r="AA193" i="55" s="1"/>
  <c r="AL266" i="51"/>
  <c r="AA118" i="55" s="1"/>
  <c r="AJ289" i="51"/>
  <c r="Y146" i="55" s="1"/>
  <c r="AG303" i="51"/>
  <c r="V163" i="55" s="1"/>
  <c r="AO265" i="51"/>
  <c r="AD117" i="55" s="1"/>
  <c r="AM288" i="51"/>
  <c r="AB145" i="55" s="1"/>
  <c r="AG334" i="51"/>
  <c r="AN334" i="51"/>
  <c r="AL335" i="51"/>
  <c r="AI336" i="51"/>
  <c r="AJ336" i="51"/>
  <c r="AK336" i="51"/>
  <c r="AL336" i="51"/>
  <c r="AI306" i="51"/>
  <c r="X166" i="55" s="1"/>
  <c r="AQ306" i="51"/>
  <c r="AF166" i="55" s="1"/>
  <c r="AQ307" i="51"/>
  <c r="AF167" i="55" s="1"/>
  <c r="AG265" i="51"/>
  <c r="V117" i="55" s="1"/>
  <c r="AN281" i="51"/>
  <c r="AC136" i="55" s="1"/>
  <c r="AH279" i="51"/>
  <c r="W134" i="55" s="1"/>
  <c r="AI281" i="51"/>
  <c r="X136" i="55" s="1"/>
  <c r="AG278" i="51"/>
  <c r="V133" i="55" s="1"/>
  <c r="AO278" i="51"/>
  <c r="AD133" i="55" s="1"/>
  <c r="AK279" i="51"/>
  <c r="Z134" i="55" s="1"/>
  <c r="AG280" i="51"/>
  <c r="V135" i="55" s="1"/>
  <c r="AO280" i="51"/>
  <c r="AD135" i="55" s="1"/>
  <c r="AH266" i="51"/>
  <c r="W118" i="55" s="1"/>
  <c r="AG289" i="51"/>
  <c r="V146" i="55" s="1"/>
  <c r="AG159" i="55"/>
  <c r="AG141" i="55"/>
  <c r="AG130" i="55"/>
  <c r="AG98" i="55"/>
  <c r="AG157" i="55"/>
  <c r="AG151" i="55"/>
  <c r="AG169" i="55"/>
  <c r="AG124" i="55"/>
  <c r="AG97" i="55"/>
  <c r="AG142" i="55"/>
  <c r="AG182" i="55"/>
  <c r="AG170" i="55"/>
  <c r="AG104" i="55"/>
  <c r="AG127" i="55"/>
  <c r="AG185" i="55"/>
  <c r="AG152" i="55"/>
  <c r="AG179" i="55"/>
  <c r="AG189" i="55"/>
  <c r="AG128" i="55"/>
  <c r="AG131" i="55"/>
  <c r="AG123" i="55"/>
  <c r="AG177" i="55"/>
  <c r="AG184" i="55"/>
  <c r="AG112" i="55"/>
  <c r="AG191" i="55"/>
  <c r="AG106" i="55"/>
  <c r="AG190" i="55"/>
  <c r="AG129" i="55"/>
  <c r="AG171" i="55"/>
  <c r="AG161" i="55"/>
  <c r="AG143" i="55"/>
  <c r="AG121" i="55"/>
  <c r="AG111" i="55"/>
  <c r="AG181" i="55"/>
  <c r="AG175" i="55"/>
  <c r="AG125" i="55"/>
  <c r="AG158" i="55"/>
  <c r="AG154" i="55"/>
  <c r="AG183" i="55"/>
  <c r="AG187" i="55"/>
  <c r="AG173" i="55"/>
  <c r="AG113" i="55"/>
  <c r="AG103" i="55"/>
  <c r="AG176" i="55"/>
  <c r="AG188" i="55"/>
  <c r="AG178" i="55"/>
  <c r="AG160" i="55"/>
  <c r="AG122" i="55"/>
  <c r="AG107" i="55"/>
  <c r="AG153" i="55"/>
  <c r="AG100" i="55"/>
  <c r="AG155" i="55"/>
  <c r="AG172" i="55"/>
  <c r="AG140" i="55"/>
  <c r="AG109" i="55"/>
  <c r="AG95" i="55"/>
  <c r="AG139" i="55"/>
  <c r="AG110" i="55"/>
  <c r="E2" i="44"/>
  <c r="D2" i="44" s="1"/>
  <c r="T9" i="53"/>
  <c r="P117" i="44"/>
  <c r="Q117" i="44"/>
  <c r="R117" i="44"/>
  <c r="V78" i="55"/>
  <c r="F9" i="55"/>
  <c r="V77" i="55"/>
  <c r="F8" i="55"/>
  <c r="M31" i="44"/>
  <c r="D91" i="44"/>
  <c r="D193" i="31"/>
  <c r="D35" i="44"/>
  <c r="R34" i="39"/>
  <c r="D151" i="31"/>
  <c r="N35" i="38"/>
  <c r="V55" i="6"/>
  <c r="AJ41" i="51" s="1"/>
  <c r="R34" i="54"/>
  <c r="D199" i="31"/>
  <c r="Z65" i="44"/>
  <c r="Z89" i="44"/>
  <c r="Z93" i="44"/>
  <c r="Z73" i="44"/>
  <c r="Z81" i="44"/>
  <c r="Z97" i="44"/>
  <c r="Z69" i="44"/>
  <c r="Z85" i="44"/>
  <c r="Z77" i="44"/>
  <c r="Z101" i="44"/>
  <c r="J17" i="53"/>
  <c r="E73" i="53" s="1"/>
  <c r="Z49" i="44"/>
  <c r="Z53" i="44"/>
  <c r="Z41" i="44"/>
  <c r="Z45" i="44"/>
  <c r="Z57" i="44"/>
  <c r="Z61" i="44"/>
  <c r="D67" i="44"/>
  <c r="G58" i="45"/>
  <c r="H58" i="45" s="1"/>
  <c r="B116" i="44"/>
  <c r="I116" i="44" s="1"/>
  <c r="Q116" i="44" s="1"/>
  <c r="B113" i="44"/>
  <c r="I113" i="44" s="1"/>
  <c r="Q113" i="44" s="1"/>
  <c r="B115" i="44"/>
  <c r="I115" i="44" s="1"/>
  <c r="R115" i="44" s="1"/>
  <c r="D59" i="44"/>
  <c r="D169" i="31"/>
  <c r="D63" i="44"/>
  <c r="Z25" i="44"/>
  <c r="F32" i="43" s="1"/>
  <c r="D79" i="44"/>
  <c r="D112" i="53"/>
  <c r="D72" i="53"/>
  <c r="E88" i="53"/>
  <c r="D88" i="53"/>
  <c r="P33" i="43"/>
  <c r="O33" i="43"/>
  <c r="D92" i="53"/>
  <c r="X30" i="44"/>
  <c r="X31" i="44"/>
  <c r="D80" i="53"/>
  <c r="D76" i="53"/>
  <c r="G35" i="43"/>
  <c r="T8" i="53"/>
  <c r="E96" i="53"/>
  <c r="D96" i="53" s="1"/>
  <c r="G32" i="43"/>
  <c r="G34" i="43"/>
  <c r="I114" i="44"/>
  <c r="Z88" i="55"/>
  <c r="AF86" i="55"/>
  <c r="AC89" i="55"/>
  <c r="AA135" i="55"/>
  <c r="AC88" i="55"/>
  <c r="AA117" i="55"/>
  <c r="AA88" i="55"/>
  <c r="U197" i="55"/>
  <c r="Z116" i="55"/>
  <c r="AC86" i="55"/>
  <c r="U88" i="55"/>
  <c r="U116" i="55"/>
  <c r="Z119" i="55"/>
  <c r="AC119" i="55"/>
  <c r="AA134" i="55"/>
  <c r="AB137" i="55"/>
  <c r="AB165" i="55"/>
  <c r="AD197" i="55"/>
  <c r="AC164" i="55"/>
  <c r="AD86" i="55"/>
  <c r="U119" i="55"/>
  <c r="Z145" i="55"/>
  <c r="AE164" i="55"/>
  <c r="AB163" i="55"/>
  <c r="X86" i="55"/>
  <c r="AF119" i="55"/>
  <c r="Z133" i="55"/>
  <c r="W148" i="55"/>
  <c r="U164" i="55"/>
  <c r="AC135" i="55"/>
  <c r="W133" i="55"/>
  <c r="AE133" i="55"/>
  <c r="X148" i="55"/>
  <c r="AC194" i="55"/>
  <c r="Y195" i="55"/>
  <c r="U193" i="55"/>
  <c r="AB116" i="55"/>
  <c r="AC118" i="55"/>
  <c r="Y119" i="55"/>
  <c r="AC133" i="55"/>
  <c r="Z195" i="55"/>
  <c r="V196" i="55"/>
  <c r="AE115" i="55"/>
  <c r="AF115" i="55"/>
  <c r="AB115" i="55"/>
  <c r="AB117" i="55"/>
  <c r="U135" i="55"/>
  <c r="AD149" i="55"/>
  <c r="U166" i="55"/>
  <c r="AE165" i="55"/>
  <c r="AE194" i="55"/>
  <c r="AA195" i="55"/>
  <c r="W89" i="55"/>
  <c r="AE118" i="55"/>
  <c r="AF135" i="55"/>
  <c r="AE147" i="55"/>
  <c r="AF147" i="55"/>
  <c r="X193" i="55"/>
  <c r="Y197" i="55"/>
  <c r="AF194" i="55"/>
  <c r="M50" i="44"/>
  <c r="M87" i="44"/>
  <c r="M101" i="44"/>
  <c r="M58" i="44"/>
  <c r="M73" i="44"/>
  <c r="M89" i="44"/>
  <c r="M98" i="44"/>
  <c r="M63" i="44"/>
  <c r="M85" i="44"/>
  <c r="M103" i="44"/>
  <c r="M46" i="44"/>
  <c r="M43" i="44"/>
  <c r="M54" i="44"/>
  <c r="M70" i="44"/>
  <c r="M94" i="44"/>
  <c r="M51" i="44"/>
  <c r="M61" i="44"/>
  <c r="M57" i="44"/>
  <c r="M83" i="44"/>
  <c r="M74" i="44"/>
  <c r="M86" i="44"/>
  <c r="M65" i="44"/>
  <c r="M78" i="44"/>
  <c r="M93" i="44"/>
  <c r="M97" i="44"/>
  <c r="M62" i="44"/>
  <c r="M82" i="44"/>
  <c r="M102" i="44"/>
  <c r="M59" i="44"/>
  <c r="M53" i="44"/>
  <c r="M39" i="44"/>
  <c r="M77" i="44"/>
  <c r="M90" i="44"/>
  <c r="M45" i="44"/>
  <c r="M55" i="44"/>
  <c r="M37" i="44"/>
  <c r="M66" i="44"/>
  <c r="M79" i="44"/>
  <c r="M69" i="44"/>
  <c r="M47" i="44"/>
  <c r="M42" i="44"/>
  <c r="M29" i="44"/>
  <c r="M75" i="44"/>
  <c r="M49" i="44"/>
  <c r="M67" i="44"/>
  <c r="M91" i="44"/>
  <c r="M95" i="44"/>
  <c r="M99" i="44"/>
  <c r="M81" i="44"/>
  <c r="M71" i="44"/>
  <c r="M41" i="44"/>
  <c r="M25" i="44"/>
  <c r="K53" i="31"/>
  <c r="K51" i="31"/>
  <c r="K50" i="31"/>
  <c r="K66" i="31"/>
  <c r="K69" i="31"/>
  <c r="K68" i="31"/>
  <c r="K67" i="31"/>
  <c r="K65" i="31"/>
  <c r="K83" i="31"/>
  <c r="K82" i="31"/>
  <c r="K81" i="31"/>
  <c r="K80" i="31"/>
  <c r="K84" i="31"/>
  <c r="K139" i="31"/>
  <c r="K138" i="31"/>
  <c r="K137" i="31"/>
  <c r="K136" i="31"/>
  <c r="K135" i="31"/>
  <c r="K107" i="31"/>
  <c r="K106" i="31"/>
  <c r="K105" i="31"/>
  <c r="K109" i="31"/>
  <c r="K108" i="31"/>
  <c r="K56" i="31"/>
  <c r="K55" i="31"/>
  <c r="K59" i="31"/>
  <c r="K58" i="31"/>
  <c r="K131" i="31"/>
  <c r="K130" i="31"/>
  <c r="K134" i="31"/>
  <c r="K133" i="31"/>
  <c r="K132" i="31"/>
  <c r="K114" i="31"/>
  <c r="K113" i="31"/>
  <c r="K112" i="31"/>
  <c r="K111" i="31"/>
  <c r="K110" i="31"/>
  <c r="K91" i="31"/>
  <c r="K90" i="31"/>
  <c r="K94" i="31"/>
  <c r="K93" i="31"/>
  <c r="K92" i="31"/>
  <c r="K129" i="31"/>
  <c r="K128" i="31"/>
  <c r="K127" i="31"/>
  <c r="K126" i="31"/>
  <c r="K125" i="31"/>
  <c r="K64" i="31"/>
  <c r="K63" i="31"/>
  <c r="K62" i="31"/>
  <c r="K61" i="31"/>
  <c r="K60" i="31"/>
  <c r="K123" i="31"/>
  <c r="K122" i="31"/>
  <c r="K121" i="31"/>
  <c r="K120" i="31"/>
  <c r="K124" i="31"/>
  <c r="K89" i="31"/>
  <c r="K88" i="31"/>
  <c r="K87" i="31"/>
  <c r="K86" i="31"/>
  <c r="K85" i="31"/>
  <c r="K115" i="31"/>
  <c r="K119" i="31"/>
  <c r="K118" i="31"/>
  <c r="K117" i="31"/>
  <c r="K116" i="31"/>
  <c r="K75" i="31"/>
  <c r="K79" i="31"/>
  <c r="K78" i="31"/>
  <c r="K77" i="31"/>
  <c r="K76" i="31"/>
  <c r="K49" i="31"/>
  <c r="K99" i="31"/>
  <c r="K98" i="31"/>
  <c r="K97" i="31"/>
  <c r="K96" i="31"/>
  <c r="K95" i="31"/>
  <c r="K43" i="31"/>
  <c r="K41" i="31"/>
  <c r="K44" i="31"/>
  <c r="K74" i="31"/>
  <c r="K73" i="31"/>
  <c r="K72" i="31"/>
  <c r="K71" i="31"/>
  <c r="K70" i="31"/>
  <c r="K104" i="31"/>
  <c r="K103" i="31"/>
  <c r="K102" i="31"/>
  <c r="K101" i="31"/>
  <c r="K100" i="31"/>
  <c r="J114" i="31"/>
  <c r="J113" i="31"/>
  <c r="J112" i="31"/>
  <c r="J111" i="31"/>
  <c r="J110" i="31"/>
  <c r="J91" i="31"/>
  <c r="J90" i="31"/>
  <c r="J92" i="31"/>
  <c r="J94" i="31"/>
  <c r="J93" i="31"/>
  <c r="J67" i="31"/>
  <c r="J66" i="31"/>
  <c r="J65" i="31"/>
  <c r="J68" i="31"/>
  <c r="J69" i="31"/>
  <c r="J51" i="31"/>
  <c r="J50" i="31"/>
  <c r="J53" i="31"/>
  <c r="J83" i="31"/>
  <c r="J82" i="31"/>
  <c r="J81" i="31"/>
  <c r="J80" i="31"/>
  <c r="J84" i="31"/>
  <c r="J139" i="31"/>
  <c r="J138" i="31"/>
  <c r="J137" i="31"/>
  <c r="J136" i="31"/>
  <c r="J135" i="31"/>
  <c r="J107" i="31"/>
  <c r="J106" i="31"/>
  <c r="J105" i="31"/>
  <c r="J108" i="31"/>
  <c r="J109" i="31"/>
  <c r="J131" i="31"/>
  <c r="J130" i="31"/>
  <c r="J134" i="31"/>
  <c r="J133" i="31"/>
  <c r="J132" i="31"/>
  <c r="J129" i="31"/>
  <c r="J128" i="31"/>
  <c r="J127" i="31"/>
  <c r="J126" i="31"/>
  <c r="J125" i="31"/>
  <c r="J60" i="31"/>
  <c r="J64" i="31"/>
  <c r="J63" i="31"/>
  <c r="J62" i="31"/>
  <c r="J61" i="31"/>
  <c r="J123" i="31"/>
  <c r="J122" i="31"/>
  <c r="J121" i="31"/>
  <c r="J120" i="31"/>
  <c r="J124" i="31"/>
  <c r="J89" i="31"/>
  <c r="J88" i="31"/>
  <c r="J87" i="31"/>
  <c r="J86" i="31"/>
  <c r="J85" i="31"/>
  <c r="J115" i="31"/>
  <c r="J119" i="31"/>
  <c r="J118" i="31"/>
  <c r="J116" i="31"/>
  <c r="J117" i="31"/>
  <c r="J75" i="31"/>
  <c r="J79" i="31"/>
  <c r="J76" i="31"/>
  <c r="J78" i="31"/>
  <c r="J77" i="31"/>
  <c r="J49" i="31"/>
  <c r="J99" i="31"/>
  <c r="J98" i="31"/>
  <c r="J97" i="31"/>
  <c r="J96" i="31"/>
  <c r="J95" i="31"/>
  <c r="J59" i="31"/>
  <c r="J58" i="31"/>
  <c r="J56" i="31"/>
  <c r="J55" i="31"/>
  <c r="J43" i="31"/>
  <c r="J41" i="31"/>
  <c r="J44" i="31"/>
  <c r="J74" i="31"/>
  <c r="J73" i="31"/>
  <c r="J72" i="31"/>
  <c r="J71" i="31"/>
  <c r="J70" i="31"/>
  <c r="J104" i="31"/>
  <c r="J103" i="31"/>
  <c r="J102" i="31"/>
  <c r="J101" i="31"/>
  <c r="J100" i="31"/>
  <c r="G46" i="45"/>
  <c r="H46" i="45" s="1"/>
  <c r="D145" i="31"/>
  <c r="J9" i="53"/>
  <c r="D47" i="44"/>
  <c r="E73" i="31"/>
  <c r="E70" i="31"/>
  <c r="F73" i="31"/>
  <c r="F74" i="31"/>
  <c r="H70" i="31"/>
  <c r="F72" i="31"/>
  <c r="H73" i="31"/>
  <c r="E71" i="31"/>
  <c r="E74" i="31"/>
  <c r="H72" i="31"/>
  <c r="H74" i="31"/>
  <c r="F70" i="31"/>
  <c r="H71" i="31"/>
  <c r="E72" i="31"/>
  <c r="F71" i="31"/>
  <c r="H102" i="31"/>
  <c r="F104" i="31"/>
  <c r="E104" i="31"/>
  <c r="F102" i="31"/>
  <c r="H101" i="31"/>
  <c r="E103" i="31"/>
  <c r="E102" i="31"/>
  <c r="H100" i="31"/>
  <c r="H104" i="31"/>
  <c r="H103" i="31"/>
  <c r="E100" i="31"/>
  <c r="F100" i="31"/>
  <c r="F103" i="31"/>
  <c r="E101" i="31"/>
  <c r="F101" i="31"/>
  <c r="V55" i="10"/>
  <c r="AV41" i="51" s="1"/>
  <c r="J15" i="53"/>
  <c r="E65" i="53" s="1"/>
  <c r="V55" i="17"/>
  <c r="BQ41" i="51" s="1"/>
  <c r="J22" i="53"/>
  <c r="E93" i="53" s="1"/>
  <c r="V55" i="21"/>
  <c r="CC41" i="51" s="1"/>
  <c r="J26" i="53"/>
  <c r="E109" i="53" s="1"/>
  <c r="V55" i="23"/>
  <c r="CI41" i="51" s="1"/>
  <c r="J28" i="53"/>
  <c r="E117" i="53" s="1"/>
  <c r="F110" i="31"/>
  <c r="H111" i="31"/>
  <c r="E110" i="31"/>
  <c r="H114" i="31"/>
  <c r="F113" i="31"/>
  <c r="H113" i="31"/>
  <c r="E113" i="31"/>
  <c r="F114" i="31"/>
  <c r="F112" i="31"/>
  <c r="E114" i="31"/>
  <c r="E112" i="31"/>
  <c r="H110" i="31"/>
  <c r="F111" i="31"/>
  <c r="H112" i="31"/>
  <c r="E111" i="31"/>
  <c r="E90" i="31"/>
  <c r="E91" i="31"/>
  <c r="H93" i="31"/>
  <c r="F91" i="31"/>
  <c r="F94" i="31"/>
  <c r="H94" i="31"/>
  <c r="F90" i="31"/>
  <c r="H91" i="31"/>
  <c r="E92" i="31"/>
  <c r="H90" i="31"/>
  <c r="F92" i="31"/>
  <c r="F93" i="31"/>
  <c r="H92" i="31"/>
  <c r="E94" i="31"/>
  <c r="E93" i="31"/>
  <c r="V55" i="18"/>
  <c r="BT41" i="51" s="1"/>
  <c r="J23" i="53"/>
  <c r="E97" i="53" s="1"/>
  <c r="H65" i="31"/>
  <c r="E65" i="31"/>
  <c r="H68" i="31"/>
  <c r="F68" i="31"/>
  <c r="E69" i="31"/>
  <c r="E67" i="31"/>
  <c r="H69" i="31"/>
  <c r="F66" i="31"/>
  <c r="E68" i="31"/>
  <c r="H67" i="31"/>
  <c r="F67" i="31"/>
  <c r="H66" i="31"/>
  <c r="E66" i="31"/>
  <c r="F65" i="31"/>
  <c r="F69" i="31"/>
  <c r="V55" i="15"/>
  <c r="BK41" i="51" s="1"/>
  <c r="J20" i="53"/>
  <c r="E85" i="53" s="1"/>
  <c r="E81" i="31"/>
  <c r="E82" i="31"/>
  <c r="E84" i="31"/>
  <c r="H82" i="31"/>
  <c r="F80" i="31"/>
  <c r="F83" i="31"/>
  <c r="H84" i="31"/>
  <c r="E83" i="31"/>
  <c r="F81" i="31"/>
  <c r="F84" i="31"/>
  <c r="H81" i="31"/>
  <c r="E80" i="31"/>
  <c r="H83" i="31"/>
  <c r="H80" i="31"/>
  <c r="F82" i="31"/>
  <c r="H137" i="31"/>
  <c r="H138" i="31"/>
  <c r="E137" i="31"/>
  <c r="F139" i="31"/>
  <c r="F138" i="31"/>
  <c r="E136" i="31"/>
  <c r="H139" i="31"/>
  <c r="E135" i="31"/>
  <c r="F135" i="31"/>
  <c r="H136" i="31"/>
  <c r="H135" i="31"/>
  <c r="E139" i="31"/>
  <c r="F137" i="31"/>
  <c r="E138" i="31"/>
  <c r="F136" i="31"/>
  <c r="F107" i="31"/>
  <c r="H106" i="31"/>
  <c r="H105" i="31"/>
  <c r="E106" i="31"/>
  <c r="F105" i="31"/>
  <c r="E107" i="31"/>
  <c r="F106" i="31"/>
  <c r="E108" i="31"/>
  <c r="E109" i="31"/>
  <c r="H109" i="31"/>
  <c r="F108" i="31"/>
  <c r="H108" i="31"/>
  <c r="H107" i="31"/>
  <c r="E105" i="31"/>
  <c r="F109" i="31"/>
  <c r="V55" i="14"/>
  <c r="BH41" i="51" s="1"/>
  <c r="J19" i="53"/>
  <c r="E81" i="53" s="1"/>
  <c r="V55" i="22"/>
  <c r="CF41" i="51" s="1"/>
  <c r="J27" i="53"/>
  <c r="E113" i="53" s="1"/>
  <c r="V55" i="9"/>
  <c r="AS41" i="51" s="1"/>
  <c r="J14" i="53"/>
  <c r="E61" i="53" s="1"/>
  <c r="E132" i="31"/>
  <c r="H130" i="31"/>
  <c r="E134" i="31"/>
  <c r="F133" i="31"/>
  <c r="H133" i="31"/>
  <c r="F134" i="31"/>
  <c r="E130" i="31"/>
  <c r="H131" i="31"/>
  <c r="H134" i="31"/>
  <c r="H132" i="31"/>
  <c r="F131" i="31"/>
  <c r="F132" i="31"/>
  <c r="F130" i="31"/>
  <c r="E133" i="31"/>
  <c r="E131" i="31"/>
  <c r="V55" i="8"/>
  <c r="AP41" i="51" s="1"/>
  <c r="J13" i="53"/>
  <c r="E57" i="53" s="1"/>
  <c r="F129" i="31"/>
  <c r="F125" i="31"/>
  <c r="E128" i="31"/>
  <c r="E125" i="31"/>
  <c r="F128" i="31"/>
  <c r="F127" i="31"/>
  <c r="H127" i="31"/>
  <c r="H125" i="31"/>
  <c r="F126" i="31"/>
  <c r="H126" i="31"/>
  <c r="E129" i="31"/>
  <c r="E127" i="31"/>
  <c r="H129" i="31"/>
  <c r="E126" i="31"/>
  <c r="H128" i="31"/>
  <c r="H60" i="31"/>
  <c r="H64" i="31"/>
  <c r="E64" i="31"/>
  <c r="F64" i="31"/>
  <c r="E60" i="31"/>
  <c r="F63" i="31"/>
  <c r="E61" i="31"/>
  <c r="E63" i="31"/>
  <c r="H61" i="31"/>
  <c r="F61" i="31"/>
  <c r="H63" i="31"/>
  <c r="F60" i="31"/>
  <c r="H123" i="31"/>
  <c r="H124" i="31"/>
  <c r="H122" i="31"/>
  <c r="F120" i="31"/>
  <c r="F123" i="31"/>
  <c r="E120" i="31"/>
  <c r="F122" i="31"/>
  <c r="H121" i="31"/>
  <c r="F121" i="31"/>
  <c r="H120" i="31"/>
  <c r="E123" i="31"/>
  <c r="E121" i="31"/>
  <c r="F124" i="31"/>
  <c r="E122" i="31"/>
  <c r="E124" i="31"/>
  <c r="F87" i="31"/>
  <c r="H88" i="31"/>
  <c r="E86" i="31"/>
  <c r="F88" i="31"/>
  <c r="H86" i="31"/>
  <c r="F86" i="31"/>
  <c r="F85" i="31"/>
  <c r="E87" i="31"/>
  <c r="E89" i="31"/>
  <c r="H87" i="31"/>
  <c r="H89" i="31"/>
  <c r="E85" i="31"/>
  <c r="F89" i="31"/>
  <c r="H85" i="31"/>
  <c r="E88" i="31"/>
  <c r="F115" i="31"/>
  <c r="H117" i="31"/>
  <c r="H118" i="31"/>
  <c r="F118" i="31"/>
  <c r="E119" i="31"/>
  <c r="F116" i="31"/>
  <c r="H115" i="31"/>
  <c r="E115" i="31"/>
  <c r="E118" i="31"/>
  <c r="E117" i="31"/>
  <c r="E116" i="31"/>
  <c r="H116" i="31"/>
  <c r="F119" i="31"/>
  <c r="F117" i="31"/>
  <c r="H119" i="31"/>
  <c r="E75" i="31"/>
  <c r="F79" i="31"/>
  <c r="E77" i="31"/>
  <c r="F75" i="31"/>
  <c r="H79" i="31"/>
  <c r="H77" i="31"/>
  <c r="E76" i="31"/>
  <c r="H78" i="31"/>
  <c r="H75" i="31"/>
  <c r="F76" i="31"/>
  <c r="E78" i="31"/>
  <c r="E79" i="31"/>
  <c r="F77" i="31"/>
  <c r="F78" i="31"/>
  <c r="H76" i="31"/>
  <c r="V55" i="13"/>
  <c r="BE41" i="51" s="1"/>
  <c r="J18" i="53"/>
  <c r="E77" i="53" s="1"/>
  <c r="E98" i="31"/>
  <c r="H97" i="31"/>
  <c r="F98" i="31"/>
  <c r="F97" i="31"/>
  <c r="F99" i="31"/>
  <c r="H96" i="31"/>
  <c r="E95" i="31"/>
  <c r="H99" i="31"/>
  <c r="F95" i="31"/>
  <c r="E96" i="31"/>
  <c r="F96" i="31"/>
  <c r="E99" i="31"/>
  <c r="H98" i="31"/>
  <c r="E97" i="31"/>
  <c r="H95" i="31"/>
  <c r="G88" i="45"/>
  <c r="H88" i="45" s="1"/>
  <c r="F93" i="45"/>
  <c r="H93" i="45" s="1"/>
  <c r="V55" i="19"/>
  <c r="BW41" i="51" s="1"/>
  <c r="D87" i="44"/>
  <c r="D190" i="31"/>
  <c r="F90" i="45"/>
  <c r="H90" i="45" s="1"/>
  <c r="D83" i="44"/>
  <c r="D187" i="31"/>
  <c r="G69" i="45"/>
  <c r="H69" i="45" s="1"/>
  <c r="G60" i="45"/>
  <c r="H60" i="45" s="1"/>
  <c r="G50" i="45"/>
  <c r="H50" i="45" s="1"/>
  <c r="G61" i="45"/>
  <c r="H61" i="45" s="1"/>
  <c r="F102" i="45"/>
  <c r="H102" i="45" s="1"/>
  <c r="G100" i="45"/>
  <c r="H100" i="45" s="1"/>
  <c r="F48" i="45"/>
  <c r="H48" i="45" s="1"/>
  <c r="F49" i="45"/>
  <c r="H49" i="45" s="1"/>
  <c r="F92" i="45"/>
  <c r="H92" i="45" s="1"/>
  <c r="E48" i="53"/>
  <c r="R35" i="54"/>
  <c r="V55" i="7"/>
  <c r="AM41" i="51" s="1"/>
  <c r="G56" i="45"/>
  <c r="F56" i="45"/>
  <c r="F57" i="45"/>
  <c r="G57" i="45"/>
  <c r="E40" i="53"/>
  <c r="G76" i="45"/>
  <c r="F76" i="45"/>
  <c r="G77" i="45"/>
  <c r="F77" i="45"/>
  <c r="R32" i="54"/>
  <c r="G98" i="45"/>
  <c r="H98" i="45" s="1"/>
  <c r="F81" i="45"/>
  <c r="H81" i="45" s="1"/>
  <c r="D43" i="44"/>
  <c r="D157" i="31"/>
  <c r="G44" i="45"/>
  <c r="F44" i="45"/>
  <c r="D27" i="44"/>
  <c r="N32" i="43"/>
  <c r="Q32" i="43" s="1"/>
  <c r="F53" i="31"/>
  <c r="F51" i="31"/>
  <c r="H51" i="31"/>
  <c r="E51" i="31"/>
  <c r="E53" i="31"/>
  <c r="H53" i="31"/>
  <c r="E52" i="53"/>
  <c r="E44" i="53"/>
  <c r="D39" i="44"/>
  <c r="E41" i="53"/>
  <c r="H44" i="31"/>
  <c r="E43" i="31"/>
  <c r="F43" i="31"/>
  <c r="F41" i="31"/>
  <c r="E41" i="31"/>
  <c r="H41" i="31"/>
  <c r="H43" i="31"/>
  <c r="F101" i="45"/>
  <c r="H101" i="45" s="1"/>
  <c r="G62" i="45"/>
  <c r="H62" i="45" s="1"/>
  <c r="N36" i="38"/>
  <c r="N35" i="43"/>
  <c r="Q35" i="43" s="1"/>
  <c r="R35" i="39"/>
  <c r="J12" i="53"/>
  <c r="E53" i="53" s="1"/>
  <c r="D154" i="31"/>
  <c r="H56" i="31"/>
  <c r="H59" i="31"/>
  <c r="H58" i="31"/>
  <c r="F56" i="31"/>
  <c r="E56" i="31"/>
  <c r="F58" i="31"/>
  <c r="E58" i="31"/>
  <c r="F70" i="45"/>
  <c r="H70" i="45" s="1"/>
  <c r="D43" i="51"/>
  <c r="Q40" i="51"/>
  <c r="Q41" i="51"/>
  <c r="F86" i="45"/>
  <c r="H86" i="45" s="1"/>
  <c r="G82" i="45"/>
  <c r="H82" i="45" s="1"/>
  <c r="F84" i="45"/>
  <c r="H84" i="45" s="1"/>
  <c r="G80" i="45"/>
  <c r="H80" i="45" s="1"/>
  <c r="R42" i="51"/>
  <c r="D45" i="51"/>
  <c r="D44" i="51"/>
  <c r="M9" i="51"/>
  <c r="C10" i="51"/>
  <c r="L9" i="51" s="1"/>
  <c r="E10" i="51"/>
  <c r="N9" i="51" s="1"/>
  <c r="F11" i="51"/>
  <c r="I11" i="51"/>
  <c r="J11" i="51"/>
  <c r="B11" i="51"/>
  <c r="K10" i="51" s="1"/>
  <c r="A12" i="51"/>
  <c r="D11" i="51"/>
  <c r="H11" i="51"/>
  <c r="G11" i="51"/>
  <c r="D46" i="51"/>
  <c r="B47" i="51"/>
  <c r="C46" i="51"/>
  <c r="E46" i="51"/>
  <c r="F46" i="51"/>
  <c r="G64" i="45"/>
  <c r="F64" i="45"/>
  <c r="F97" i="45"/>
  <c r="G97" i="45"/>
  <c r="G96" i="45"/>
  <c r="F96" i="45"/>
  <c r="F85" i="45"/>
  <c r="G85" i="45"/>
  <c r="F65" i="45"/>
  <c r="G65" i="45"/>
  <c r="D202" i="31"/>
  <c r="D103" i="44"/>
  <c r="G105" i="45"/>
  <c r="F105" i="45"/>
  <c r="G106" i="45"/>
  <c r="F106" i="45"/>
  <c r="D178" i="31"/>
  <c r="D71" i="44"/>
  <c r="D163" i="31"/>
  <c r="D51" i="44"/>
  <c r="F73" i="45"/>
  <c r="G73" i="45"/>
  <c r="F72" i="45"/>
  <c r="G72" i="45"/>
  <c r="F54" i="45"/>
  <c r="G54" i="45"/>
  <c r="F104" i="45"/>
  <c r="G104" i="45"/>
  <c r="G52" i="45"/>
  <c r="F52" i="45"/>
  <c r="F53" i="45"/>
  <c r="G53" i="45"/>
  <c r="F74" i="45"/>
  <c r="G74" i="45"/>
  <c r="F33" i="4"/>
  <c r="H33" i="4"/>
  <c r="S117" i="44"/>
  <c r="AG147" i="55" l="1"/>
  <c r="AG145" i="55"/>
  <c r="AG116" i="55"/>
  <c r="AG193" i="55"/>
  <c r="AG119" i="55"/>
  <c r="AG165" i="55"/>
  <c r="AG88" i="55"/>
  <c r="AG118" i="55"/>
  <c r="AG137" i="55"/>
  <c r="AG196" i="55"/>
  <c r="AG86" i="55"/>
  <c r="AG135" i="55"/>
  <c r="AG163" i="55"/>
  <c r="AG195" i="55"/>
  <c r="AG166" i="55"/>
  <c r="AG194" i="55"/>
  <c r="AG167" i="55"/>
  <c r="AG149" i="55"/>
  <c r="AG136" i="55"/>
  <c r="AG148" i="55"/>
  <c r="AG133" i="55"/>
  <c r="AG89" i="55"/>
  <c r="AG117" i="55"/>
  <c r="AG134" i="55"/>
  <c r="AG197" i="55"/>
  <c r="AG115" i="55"/>
  <c r="AG164" i="55"/>
  <c r="AG146" i="55"/>
  <c r="T10" i="53"/>
  <c r="X37" i="44"/>
  <c r="W78" i="55"/>
  <c r="G9" i="55"/>
  <c r="W77" i="55"/>
  <c r="G8" i="55"/>
  <c r="W6" i="53"/>
  <c r="P116" i="44"/>
  <c r="R116" i="44"/>
  <c r="E32" i="43"/>
  <c r="K26" i="44"/>
  <c r="L26" i="44"/>
  <c r="P115" i="44"/>
  <c r="Q115" i="44"/>
  <c r="R113" i="44"/>
  <c r="P35" i="43"/>
  <c r="O35" i="43"/>
  <c r="P113" i="44"/>
  <c r="P32" i="43"/>
  <c r="O32" i="43"/>
  <c r="Q114" i="44"/>
  <c r="P114" i="44"/>
  <c r="R114" i="44"/>
  <c r="H56" i="45"/>
  <c r="H57" i="45"/>
  <c r="H76" i="45"/>
  <c r="H77" i="45"/>
  <c r="H44" i="45"/>
  <c r="R40" i="51"/>
  <c r="R41" i="51"/>
  <c r="S42" i="51"/>
  <c r="H12" i="51"/>
  <c r="G12" i="51"/>
  <c r="I12" i="51"/>
  <c r="J12" i="51"/>
  <c r="D12" i="51"/>
  <c r="A13" i="51"/>
  <c r="F12" i="51"/>
  <c r="B12" i="51"/>
  <c r="K11" i="51" s="1"/>
  <c r="E11" i="51"/>
  <c r="N10" i="51" s="1"/>
  <c r="M10" i="51"/>
  <c r="C11" i="51"/>
  <c r="L10" i="51" s="1"/>
  <c r="D47" i="51"/>
  <c r="B48" i="51"/>
  <c r="C47" i="51"/>
  <c r="E47" i="51"/>
  <c r="F47" i="51"/>
  <c r="H65" i="45"/>
  <c r="H85" i="45"/>
  <c r="H97" i="45"/>
  <c r="H96" i="45"/>
  <c r="H64" i="45"/>
  <c r="H74" i="45"/>
  <c r="H54" i="45"/>
  <c r="H73" i="45"/>
  <c r="H105" i="45"/>
  <c r="H106" i="45"/>
  <c r="H53" i="45"/>
  <c r="H72" i="45"/>
  <c r="H52" i="45"/>
  <c r="H104" i="45"/>
  <c r="C1" i="4"/>
  <c r="S115" i="44"/>
  <c r="S113" i="44"/>
  <c r="S116" i="44"/>
  <c r="O36" i="53"/>
  <c r="X35" i="44" l="1"/>
  <c r="Z35" i="44" s="1"/>
  <c r="L35" i="44" s="1"/>
  <c r="X78" i="55"/>
  <c r="H9" i="55"/>
  <c r="X77" i="55"/>
  <c r="H8" i="55"/>
  <c r="M26" i="44"/>
  <c r="X33" i="44"/>
  <c r="Y33" i="44" s="1"/>
  <c r="X29" i="44"/>
  <c r="S41" i="51"/>
  <c r="S40" i="51"/>
  <c r="T42" i="51"/>
  <c r="I13" i="51"/>
  <c r="D13" i="51"/>
  <c r="H13" i="51"/>
  <c r="A14" i="51"/>
  <c r="F13" i="51"/>
  <c r="B13" i="51"/>
  <c r="K12" i="51" s="1"/>
  <c r="G13" i="51"/>
  <c r="J13" i="51"/>
  <c r="E12" i="51"/>
  <c r="N11" i="51" s="1"/>
  <c r="C12" i="51"/>
  <c r="L11" i="51" s="1"/>
  <c r="M11" i="51"/>
  <c r="D48" i="51"/>
  <c r="B49" i="51"/>
  <c r="E48" i="51"/>
  <c r="C48" i="51"/>
  <c r="F48" i="51"/>
  <c r="Y37" i="44"/>
  <c r="P34" i="43" l="1"/>
  <c r="O34" i="43"/>
  <c r="K35" i="44"/>
  <c r="M35" i="44" s="1"/>
  <c r="Z37" i="44"/>
  <c r="K38" i="44" s="1"/>
  <c r="Y78" i="55"/>
  <c r="I9" i="55"/>
  <c r="Y77" i="55"/>
  <c r="I8" i="55"/>
  <c r="Z33" i="44"/>
  <c r="G57" i="53"/>
  <c r="U36" i="39"/>
  <c r="F36" i="39" s="1"/>
  <c r="P36" i="39"/>
  <c r="E36" i="39" s="1"/>
  <c r="T41" i="51"/>
  <c r="T40" i="51"/>
  <c r="U42" i="51"/>
  <c r="D14" i="51"/>
  <c r="F14" i="51"/>
  <c r="A15" i="51"/>
  <c r="H14" i="51"/>
  <c r="G14" i="51"/>
  <c r="J14" i="51"/>
  <c r="B14" i="51"/>
  <c r="K13" i="51" s="1"/>
  <c r="I14" i="51"/>
  <c r="C13" i="51"/>
  <c r="L12" i="51" s="1"/>
  <c r="M12" i="51"/>
  <c r="E13" i="51"/>
  <c r="N12" i="51" s="1"/>
  <c r="D49" i="51"/>
  <c r="B50" i="51"/>
  <c r="C49" i="51"/>
  <c r="E49" i="51"/>
  <c r="F49" i="51"/>
  <c r="L38" i="44" l="1"/>
  <c r="M38" i="44" s="1"/>
  <c r="E35" i="43"/>
  <c r="F35" i="43"/>
  <c r="Z78" i="55"/>
  <c r="J9" i="55"/>
  <c r="Z77" i="55"/>
  <c r="J8" i="55"/>
  <c r="L33" i="44"/>
  <c r="F34" i="43"/>
  <c r="K33" i="44"/>
  <c r="E34" i="43"/>
  <c r="U41" i="51"/>
  <c r="U40" i="51"/>
  <c r="V42" i="51"/>
  <c r="F15" i="51"/>
  <c r="A16" i="51"/>
  <c r="D15" i="51"/>
  <c r="H15" i="51"/>
  <c r="J15" i="51"/>
  <c r="I15" i="51"/>
  <c r="B15" i="51"/>
  <c r="K14" i="51" s="1"/>
  <c r="G15" i="51"/>
  <c r="E14" i="51"/>
  <c r="N13" i="51" s="1"/>
  <c r="C14" i="51"/>
  <c r="L13" i="51" s="1"/>
  <c r="M13" i="51"/>
  <c r="AA78" i="55" l="1"/>
  <c r="K9" i="55"/>
  <c r="AA77" i="55"/>
  <c r="K8" i="55"/>
  <c r="M33" i="44"/>
  <c r="V41" i="51"/>
  <c r="V40" i="51"/>
  <c r="W42" i="51"/>
  <c r="G16" i="51"/>
  <c r="A17" i="51"/>
  <c r="D16" i="51"/>
  <c r="I16" i="51"/>
  <c r="F16" i="51"/>
  <c r="B16" i="51"/>
  <c r="K15" i="51" s="1"/>
  <c r="J16" i="51"/>
  <c r="H16" i="51"/>
  <c r="E15" i="51"/>
  <c r="N14" i="51" s="1"/>
  <c r="C15" i="51"/>
  <c r="L14" i="51" s="1"/>
  <c r="M14" i="51"/>
  <c r="AB78" i="55" l="1"/>
  <c r="L9" i="55"/>
  <c r="AB77" i="55"/>
  <c r="L8" i="55"/>
  <c r="W40" i="51"/>
  <c r="W41" i="51"/>
  <c r="X42" i="51"/>
  <c r="C16" i="51"/>
  <c r="L15" i="51" s="1"/>
  <c r="M15" i="51"/>
  <c r="E16" i="51"/>
  <c r="N15" i="51" s="1"/>
  <c r="A18" i="51"/>
  <c r="H17" i="51"/>
  <c r="B17" i="51"/>
  <c r="K16" i="51" s="1"/>
  <c r="F17" i="51"/>
  <c r="D17" i="51"/>
  <c r="I17" i="51"/>
  <c r="G17" i="51"/>
  <c r="J17" i="51"/>
  <c r="AC78" i="55" l="1"/>
  <c r="M9" i="55"/>
  <c r="AC77" i="55"/>
  <c r="M8" i="55"/>
  <c r="X40" i="51"/>
  <c r="X41" i="51"/>
  <c r="Y42" i="51"/>
  <c r="C17" i="51"/>
  <c r="L16" i="51" s="1"/>
  <c r="M16" i="51"/>
  <c r="E17" i="51"/>
  <c r="N16" i="51" s="1"/>
  <c r="I18" i="51"/>
  <c r="H18" i="51"/>
  <c r="A19" i="51"/>
  <c r="F18" i="51"/>
  <c r="D18" i="51"/>
  <c r="G18" i="51"/>
  <c r="J18" i="51"/>
  <c r="B18" i="51"/>
  <c r="K17" i="51" s="1"/>
  <c r="AD78" i="55" l="1"/>
  <c r="N9" i="55"/>
  <c r="AD77" i="55"/>
  <c r="N8" i="55"/>
  <c r="Y41" i="51"/>
  <c r="Y40" i="51"/>
  <c r="Z42" i="51"/>
  <c r="E18" i="51"/>
  <c r="N17" i="51" s="1"/>
  <c r="M17" i="51"/>
  <c r="C18" i="51"/>
  <c r="L17" i="51" s="1"/>
  <c r="F19" i="51"/>
  <c r="J19" i="51"/>
  <c r="B19" i="51"/>
  <c r="K18" i="51" s="1"/>
  <c r="D19" i="51"/>
  <c r="G19" i="51"/>
  <c r="A20" i="51"/>
  <c r="I19" i="51"/>
  <c r="H19" i="51"/>
  <c r="AE77" i="55" l="1"/>
  <c r="O8" i="55"/>
  <c r="AE78" i="55"/>
  <c r="O9" i="55"/>
  <c r="B9" i="55" a="1"/>
  <c r="Z40" i="51"/>
  <c r="Z41" i="51"/>
  <c r="P9" i="55" s="1"/>
  <c r="H20" i="51"/>
  <c r="G20" i="51"/>
  <c r="J20" i="51"/>
  <c r="I20" i="51"/>
  <c r="D20" i="51"/>
  <c r="B20" i="51"/>
  <c r="K19" i="51" s="1"/>
  <c r="A21" i="51"/>
  <c r="F20" i="51"/>
  <c r="E19" i="51"/>
  <c r="N18" i="51" s="1"/>
  <c r="C19" i="51"/>
  <c r="L18" i="51" s="1"/>
  <c r="M18" i="51"/>
  <c r="AF77" i="55" l="1"/>
  <c r="P8" i="55"/>
  <c r="P7" i="51" a="1"/>
  <c r="Q14" i="51" s="1"/>
  <c r="AF78" i="55"/>
  <c r="B11" i="55"/>
  <c r="B18" i="55"/>
  <c r="B20" i="55"/>
  <c r="B10" i="55"/>
  <c r="B12" i="55"/>
  <c r="B17" i="55"/>
  <c r="B19" i="55"/>
  <c r="B9" i="55"/>
  <c r="B16" i="55"/>
  <c r="B15" i="55"/>
  <c r="B14" i="55"/>
  <c r="B13" i="55"/>
  <c r="C20" i="51"/>
  <c r="L19" i="51" s="1"/>
  <c r="M19" i="51"/>
  <c r="E20" i="51"/>
  <c r="N19" i="51" s="1"/>
  <c r="J21" i="51"/>
  <c r="H21" i="51"/>
  <c r="D21" i="51"/>
  <c r="F21" i="51"/>
  <c r="B21" i="51"/>
  <c r="K20" i="51" s="1"/>
  <c r="I21" i="51"/>
  <c r="G21" i="51"/>
  <c r="A22" i="51"/>
  <c r="Q16" i="51" l="1"/>
  <c r="Q8" i="51"/>
  <c r="Q13" i="51"/>
  <c r="P7" i="51"/>
  <c r="Q17" i="51"/>
  <c r="P10" i="51"/>
  <c r="P9" i="51"/>
  <c r="Q15" i="51"/>
  <c r="P18" i="51"/>
  <c r="P11" i="51"/>
  <c r="Q11" i="51"/>
  <c r="P17" i="51"/>
  <c r="Q9" i="51"/>
  <c r="Q12" i="51"/>
  <c r="P15" i="51"/>
  <c r="P8" i="51"/>
  <c r="Q18" i="51"/>
  <c r="P16" i="51"/>
  <c r="P14" i="51"/>
  <c r="Q10" i="51"/>
  <c r="Q7" i="51"/>
  <c r="P13" i="51"/>
  <c r="P12" i="51"/>
  <c r="H22" i="51"/>
  <c r="D22" i="51"/>
  <c r="F22" i="51"/>
  <c r="B22" i="51"/>
  <c r="K21" i="51" s="1"/>
  <c r="G22" i="51"/>
  <c r="J22" i="51"/>
  <c r="I22" i="51"/>
  <c r="A23" i="51"/>
  <c r="M20" i="51"/>
  <c r="C21" i="51"/>
  <c r="L20" i="51" s="1"/>
  <c r="E21" i="51"/>
  <c r="N20" i="51" s="1"/>
  <c r="H23" i="51" l="1"/>
  <c r="F23" i="51"/>
  <c r="I23" i="51"/>
  <c r="A24" i="51"/>
  <c r="B23" i="51"/>
  <c r="K22" i="51" s="1"/>
  <c r="D23" i="51"/>
  <c r="J23" i="51"/>
  <c r="G23" i="51"/>
  <c r="E22" i="51"/>
  <c r="N21" i="51" s="1"/>
  <c r="C22" i="51"/>
  <c r="L21" i="51" s="1"/>
  <c r="M21" i="51"/>
  <c r="E23" i="51" l="1"/>
  <c r="N22" i="51" s="1"/>
  <c r="M22" i="51"/>
  <c r="C23" i="51"/>
  <c r="L22" i="51" s="1"/>
  <c r="G24" i="51"/>
  <c r="D24" i="51"/>
  <c r="J24" i="51"/>
  <c r="H24" i="51"/>
  <c r="I24" i="51"/>
  <c r="F24" i="51"/>
  <c r="B24" i="51"/>
  <c r="K23" i="51" s="1"/>
  <c r="A25" i="51"/>
  <c r="M23" i="51" l="1"/>
  <c r="C24" i="51"/>
  <c r="L23" i="51" s="1"/>
  <c r="E24" i="51"/>
  <c r="N23" i="51" s="1"/>
  <c r="A26" i="51"/>
  <c r="H25" i="51"/>
  <c r="B25" i="51"/>
  <c r="K24" i="51" s="1"/>
  <c r="F25" i="51"/>
  <c r="D25" i="51"/>
  <c r="G25" i="51"/>
  <c r="J25" i="51"/>
  <c r="I25" i="51"/>
  <c r="C25" i="51" l="1"/>
  <c r="L24" i="51" s="1"/>
  <c r="M24" i="51"/>
  <c r="E25" i="51"/>
  <c r="N24" i="51" s="1"/>
  <c r="H26" i="51"/>
  <c r="A27" i="51"/>
  <c r="F26" i="51"/>
  <c r="J26" i="51"/>
  <c r="G26" i="51"/>
  <c r="I26" i="51"/>
  <c r="B26" i="51"/>
  <c r="K25" i="51" s="1"/>
  <c r="D26" i="51"/>
  <c r="F27" i="51" l="1"/>
  <c r="A28" i="51"/>
  <c r="I27" i="51"/>
  <c r="B27" i="51"/>
  <c r="K26" i="51" s="1"/>
  <c r="H27" i="51"/>
  <c r="G27" i="51"/>
  <c r="D27" i="51"/>
  <c r="J27" i="51"/>
  <c r="M25" i="51"/>
  <c r="C26" i="51"/>
  <c r="L25" i="51" s="1"/>
  <c r="E26" i="51"/>
  <c r="N25" i="51" s="1"/>
  <c r="G28" i="51" l="1"/>
  <c r="I28" i="51"/>
  <c r="D28" i="51"/>
  <c r="B28" i="51"/>
  <c r="K27" i="51" s="1"/>
  <c r="A29" i="51"/>
  <c r="F28" i="51"/>
  <c r="J28" i="51"/>
  <c r="H28" i="51"/>
  <c r="M26" i="51"/>
  <c r="C27" i="51"/>
  <c r="L26" i="51" s="1"/>
  <c r="E27" i="51"/>
  <c r="N26" i="51" s="1"/>
  <c r="A30" i="51" l="1"/>
  <c r="J29" i="51"/>
  <c r="B29" i="51"/>
  <c r="K28" i="51" s="1"/>
  <c r="F29" i="51"/>
  <c r="I29" i="51"/>
  <c r="H29" i="51"/>
  <c r="D29" i="51"/>
  <c r="G29" i="51"/>
  <c r="M27" i="51"/>
  <c r="C28" i="51"/>
  <c r="L27" i="51" s="1"/>
  <c r="E28" i="51"/>
  <c r="N27" i="51" s="1"/>
  <c r="M28" i="51" l="1"/>
  <c r="C29" i="51"/>
  <c r="L28" i="51" s="1"/>
  <c r="E29" i="51"/>
  <c r="N28" i="51" s="1"/>
  <c r="I30" i="51"/>
  <c r="F30" i="51"/>
  <c r="J30" i="51"/>
  <c r="G30" i="51"/>
  <c r="D30" i="51"/>
  <c r="A31" i="51"/>
  <c r="B30" i="51"/>
  <c r="K29" i="51" s="1"/>
  <c r="H30" i="51"/>
  <c r="E30" i="51" l="1"/>
  <c r="N29" i="51" s="1"/>
  <c r="M29" i="51"/>
  <c r="C30" i="51"/>
  <c r="L29" i="51" s="1"/>
  <c r="D31" i="51"/>
  <c r="B31" i="51"/>
  <c r="K30" i="51" s="1"/>
  <c r="A32" i="51"/>
  <c r="H31" i="51"/>
  <c r="F31" i="51"/>
  <c r="G31" i="51"/>
  <c r="I31" i="51"/>
  <c r="J31" i="51"/>
  <c r="G32" i="51" l="1"/>
  <c r="B32" i="51"/>
  <c r="K31" i="51" s="1"/>
  <c r="D32" i="51"/>
  <c r="F32" i="51"/>
  <c r="I32" i="51"/>
  <c r="J32" i="51"/>
  <c r="A33" i="51"/>
  <c r="H32" i="51"/>
  <c r="C31" i="51"/>
  <c r="L30" i="51" s="1"/>
  <c r="M30" i="51"/>
  <c r="E31" i="51"/>
  <c r="N30" i="51" s="1"/>
  <c r="H33" i="51" l="1"/>
  <c r="I33" i="51"/>
  <c r="D33" i="51"/>
  <c r="F33" i="51"/>
  <c r="G33" i="51"/>
  <c r="J33" i="51"/>
  <c r="B33" i="51"/>
  <c r="K32" i="51" s="1"/>
  <c r="E32" i="51"/>
  <c r="N31" i="51" s="1"/>
  <c r="M31" i="51"/>
  <c r="C32" i="51"/>
  <c r="L31" i="51" s="1"/>
  <c r="E33" i="51" l="1"/>
  <c r="N32" i="51" s="1"/>
  <c r="M32" i="51"/>
  <c r="C33" i="51"/>
  <c r="L32" i="51" s="1"/>
  <c r="D50" i="51" l="1"/>
  <c r="B51" i="51"/>
  <c r="C50" i="51"/>
  <c r="I44" i="51" s="1"/>
  <c r="F50" i="51"/>
  <c r="E50" i="51"/>
  <c r="M59" i="22" l="1"/>
  <c r="M59" i="14"/>
  <c r="M59" i="21"/>
  <c r="M59" i="23"/>
  <c r="M59" i="12"/>
  <c r="M59" i="17"/>
  <c r="M59" i="11"/>
  <c r="M59" i="20"/>
  <c r="M59" i="5"/>
  <c r="M59" i="18"/>
  <c r="M59" i="15"/>
  <c r="M59" i="13"/>
  <c r="M59" i="19"/>
  <c r="M59" i="8"/>
  <c r="M59" i="7"/>
  <c r="M59" i="6"/>
  <c r="M59" i="16"/>
  <c r="M59" i="10"/>
  <c r="M59" i="9"/>
  <c r="H44" i="51"/>
  <c r="M59" i="4"/>
  <c r="N44" i="51"/>
  <c r="D51" i="51"/>
  <c r="B52" i="51"/>
  <c r="C51" i="51"/>
  <c r="F51" i="51"/>
  <c r="E51" i="51"/>
  <c r="O59" i="20" l="1"/>
  <c r="N59" i="20"/>
  <c r="O59" i="11"/>
  <c r="N59" i="11"/>
  <c r="N59" i="7"/>
  <c r="O59" i="7"/>
  <c r="O59" i="8"/>
  <c r="N59" i="8"/>
  <c r="O59" i="17"/>
  <c r="N59" i="17"/>
  <c r="O59" i="19"/>
  <c r="N59" i="19"/>
  <c r="O59" i="12"/>
  <c r="N59" i="12"/>
  <c r="O59" i="23"/>
  <c r="N59" i="23"/>
  <c r="O59" i="13"/>
  <c r="N59" i="13"/>
  <c r="O59" i="9"/>
  <c r="N59" i="9"/>
  <c r="N59" i="15"/>
  <c r="O59" i="15"/>
  <c r="O59" i="21"/>
  <c r="N59" i="21"/>
  <c r="O59" i="10"/>
  <c r="N59" i="10"/>
  <c r="O59" i="18"/>
  <c r="N59" i="18"/>
  <c r="O59" i="14"/>
  <c r="N59" i="14"/>
  <c r="O59" i="6"/>
  <c r="N59" i="6"/>
  <c r="O59" i="16"/>
  <c r="N59" i="16"/>
  <c r="O59" i="5"/>
  <c r="N59" i="5"/>
  <c r="O59" i="22"/>
  <c r="N59" i="22"/>
  <c r="O59" i="4"/>
  <c r="N59" i="4"/>
  <c r="D52" i="51"/>
  <c r="B53" i="51"/>
  <c r="C52" i="51"/>
  <c r="E52" i="51"/>
  <c r="F52" i="51"/>
  <c r="W59" i="4" l="1"/>
  <c r="T59" i="4"/>
  <c r="Q59" i="4"/>
  <c r="AL59" i="4"/>
  <c r="AI59" i="4"/>
  <c r="AB44" i="51"/>
  <c r="D53" i="51"/>
  <c r="B54" i="51"/>
  <c r="C53" i="51"/>
  <c r="F53" i="51"/>
  <c r="E53" i="51"/>
  <c r="AK44" i="51" l="1"/>
  <c r="ED96" i="51"/>
  <c r="DK96" i="51"/>
  <c r="DD96" i="51"/>
  <c r="EA96" i="51"/>
  <c r="DJ96" i="51"/>
  <c r="EJ96" i="51"/>
  <c r="DH96" i="51"/>
  <c r="EL96" i="51"/>
  <c r="EK96" i="51"/>
  <c r="DN96" i="51"/>
  <c r="EI96" i="51"/>
  <c r="DP96" i="51"/>
  <c r="EQ96" i="51"/>
  <c r="ES96" i="51"/>
  <c r="EU96" i="51"/>
  <c r="DG96" i="51"/>
  <c r="DZ96" i="51"/>
  <c r="EF96" i="51"/>
  <c r="DC96" i="51"/>
  <c r="DX96" i="51"/>
  <c r="EM96" i="51"/>
  <c r="EC96" i="51"/>
  <c r="DI96" i="51"/>
  <c r="DM96" i="51"/>
  <c r="ER96" i="51"/>
  <c r="EN96" i="51"/>
  <c r="EH96" i="51"/>
  <c r="DY96" i="51"/>
  <c r="DQ96" i="51"/>
  <c r="DF96" i="51"/>
  <c r="EV96" i="51"/>
  <c r="ET96" i="51"/>
  <c r="DS96" i="51"/>
  <c r="EP96" i="51"/>
  <c r="EG96" i="51"/>
  <c r="EE96" i="51"/>
  <c r="EB96" i="51"/>
  <c r="DL96" i="51"/>
  <c r="DO96" i="51"/>
  <c r="DU96" i="51"/>
  <c r="DE96" i="51"/>
  <c r="EW96" i="51"/>
  <c r="DV96" i="51"/>
  <c r="DW96" i="51"/>
  <c r="EO96" i="51"/>
  <c r="DR96" i="51"/>
  <c r="DT96" i="51"/>
  <c r="D54" i="51"/>
  <c r="B55" i="51"/>
  <c r="C54" i="51"/>
  <c r="F54" i="51"/>
  <c r="E54" i="51"/>
  <c r="O36" i="39" l="1"/>
  <c r="N36" i="39"/>
  <c r="T36" i="39"/>
  <c r="S36" i="39"/>
  <c r="D55" i="51"/>
  <c r="B56" i="51"/>
  <c r="C55" i="51"/>
  <c r="F55" i="51"/>
  <c r="E55" i="51"/>
  <c r="D56" i="51" l="1"/>
  <c r="B57" i="51"/>
  <c r="C56" i="51"/>
  <c r="E56" i="51"/>
  <c r="F56" i="51"/>
  <c r="D57" i="51" l="1"/>
  <c r="B58" i="51"/>
  <c r="C57" i="51"/>
  <c r="F57" i="51"/>
  <c r="E57" i="51"/>
  <c r="H62" i="31" l="1"/>
  <c r="H49" i="31"/>
  <c r="H55" i="31"/>
  <c r="D58" i="51"/>
  <c r="B59" i="51"/>
  <c r="C58" i="51"/>
  <c r="F58" i="51"/>
  <c r="E58" i="51"/>
  <c r="F37" i="38" l="1"/>
  <c r="O37" i="38"/>
  <c r="G37" i="38"/>
  <c r="D59" i="51"/>
  <c r="B60" i="51"/>
  <c r="C59" i="51"/>
  <c r="E59" i="51"/>
  <c r="F59" i="51"/>
  <c r="R37" i="38" l="1"/>
  <c r="E37" i="38"/>
  <c r="Q37" i="38"/>
  <c r="P37" i="38"/>
  <c r="D60" i="51"/>
  <c r="B61" i="51"/>
  <c r="C60" i="51"/>
  <c r="E60" i="51"/>
  <c r="F60" i="51"/>
  <c r="F45" i="45" l="1"/>
  <c r="G45" i="45"/>
  <c r="D61" i="51"/>
  <c r="B62" i="51"/>
  <c r="C61" i="51"/>
  <c r="F61" i="51"/>
  <c r="E61" i="51"/>
  <c r="H45" i="45" l="1"/>
  <c r="D62" i="51"/>
  <c r="B63" i="51"/>
  <c r="C62" i="51"/>
  <c r="F62" i="51"/>
  <c r="E62" i="51"/>
  <c r="D63" i="51" l="1"/>
  <c r="B64" i="51"/>
  <c r="C63" i="51"/>
  <c r="E63" i="51"/>
  <c r="F63" i="51"/>
  <c r="D64" i="51" l="1"/>
  <c r="B65" i="51"/>
  <c r="C64" i="51"/>
  <c r="E64" i="51"/>
  <c r="F64" i="51"/>
  <c r="D65" i="51" l="1"/>
  <c r="C65" i="51"/>
  <c r="B66" i="51"/>
  <c r="F65" i="51"/>
  <c r="E65" i="51"/>
  <c r="D66" i="51" l="1"/>
  <c r="B67" i="51"/>
  <c r="C66" i="51"/>
  <c r="E66" i="51"/>
  <c r="F66" i="51"/>
  <c r="D67" i="51" l="1"/>
  <c r="B68" i="51"/>
  <c r="C67" i="51"/>
  <c r="E67" i="51"/>
  <c r="F67" i="51"/>
  <c r="H50" i="31" l="1"/>
  <c r="D68" i="51"/>
  <c r="B69" i="51"/>
  <c r="C68" i="51"/>
  <c r="E68" i="51"/>
  <c r="F68" i="51"/>
  <c r="D69" i="51" l="1"/>
  <c r="B70" i="51"/>
  <c r="C69" i="51"/>
  <c r="E69" i="51"/>
  <c r="F69" i="51"/>
  <c r="F36" i="38" l="1"/>
  <c r="G36" i="38"/>
  <c r="P36" i="38"/>
  <c r="G30" i="45"/>
  <c r="D70" i="51"/>
  <c r="B71" i="51"/>
  <c r="C70" i="51"/>
  <c r="F70" i="51"/>
  <c r="E70" i="51"/>
  <c r="R36" i="38" l="1"/>
  <c r="E36" i="38"/>
  <c r="G41" i="45"/>
  <c r="Q36" i="38"/>
  <c r="F28" i="45"/>
  <c r="O36" i="38"/>
  <c r="F42" i="45"/>
  <c r="F40" i="45"/>
  <c r="F30" i="45"/>
  <c r="H30" i="45" s="1"/>
  <c r="D71" i="51"/>
  <c r="B72" i="51"/>
  <c r="C71" i="51"/>
  <c r="E71" i="51"/>
  <c r="F71" i="51"/>
  <c r="F41" i="45" l="1"/>
  <c r="H41" i="45" s="1"/>
  <c r="G40" i="45"/>
  <c r="H40" i="45" s="1"/>
  <c r="G28" i="45"/>
  <c r="H28" i="45" s="1"/>
  <c r="G42" i="45"/>
  <c r="H42" i="45" s="1"/>
  <c r="D72" i="51"/>
  <c r="B73" i="51"/>
  <c r="C72" i="51"/>
  <c r="E72" i="51"/>
  <c r="F72" i="51"/>
  <c r="D73" i="51" l="1"/>
  <c r="C73" i="51"/>
  <c r="B74" i="51"/>
  <c r="F73" i="51"/>
  <c r="E73" i="51"/>
  <c r="O35" i="38" l="1"/>
  <c r="E33" i="38"/>
  <c r="O33" i="38"/>
  <c r="G35" i="38"/>
  <c r="F33" i="38"/>
  <c r="D74" i="51"/>
  <c r="B75" i="51"/>
  <c r="C74" i="51"/>
  <c r="F74" i="51"/>
  <c r="E74" i="51"/>
  <c r="HP88" i="51" l="1"/>
  <c r="HN49" i="51"/>
  <c r="HN83" i="51"/>
  <c r="HP90" i="51"/>
  <c r="HL59" i="51"/>
  <c r="HL46" i="51"/>
  <c r="HP65" i="51"/>
  <c r="HN91" i="51"/>
  <c r="HL53" i="51"/>
  <c r="HO46" i="51"/>
  <c r="HO82" i="51"/>
  <c r="HL62" i="51"/>
  <c r="HL70" i="51"/>
  <c r="HN70" i="51"/>
  <c r="HO72" i="51"/>
  <c r="HL67" i="51"/>
  <c r="HL45" i="51"/>
  <c r="HM86" i="51"/>
  <c r="HN85" i="51"/>
  <c r="HO61" i="51"/>
  <c r="HO54" i="51"/>
  <c r="HO85" i="51"/>
  <c r="HM84" i="51"/>
  <c r="HL77" i="51"/>
  <c r="HP45" i="51"/>
  <c r="HP93" i="51"/>
  <c r="HM83" i="51"/>
  <c r="HP75" i="51"/>
  <c r="HN55" i="51"/>
  <c r="HO90" i="51"/>
  <c r="HP49" i="51"/>
  <c r="HM44" i="51"/>
  <c r="HP64" i="51"/>
  <c r="HN89" i="51"/>
  <c r="HL93" i="51"/>
  <c r="HN93" i="51"/>
  <c r="HM47" i="51"/>
  <c r="HP72" i="51"/>
  <c r="HP71" i="51"/>
  <c r="HM69" i="51"/>
  <c r="HL66" i="51"/>
  <c r="HN56" i="51"/>
  <c r="HM76" i="51"/>
  <c r="HM67" i="51"/>
  <c r="HM68" i="51"/>
  <c r="HM85" i="51"/>
  <c r="HO66" i="51"/>
  <c r="HM63" i="51"/>
  <c r="HL75" i="51"/>
  <c r="HN52" i="51"/>
  <c r="HP92" i="51"/>
  <c r="HN58" i="51"/>
  <c r="HM78" i="51"/>
  <c r="HP81" i="51"/>
  <c r="HP46" i="51"/>
  <c r="HP68" i="51"/>
  <c r="HN59" i="51"/>
  <c r="HN80" i="51"/>
  <c r="HL86" i="51"/>
  <c r="HM91" i="51"/>
  <c r="HM56" i="51"/>
  <c r="HP51" i="51"/>
  <c r="HN63" i="51"/>
  <c r="HO44" i="51"/>
  <c r="HL81" i="51"/>
  <c r="HM51" i="51"/>
  <c r="HO73" i="51"/>
  <c r="HN76" i="51"/>
  <c r="HO50" i="51"/>
  <c r="HM49" i="51"/>
  <c r="HM53" i="51"/>
  <c r="HP83" i="51"/>
  <c r="HL58" i="51"/>
  <c r="HP55" i="51"/>
  <c r="HM90" i="51"/>
  <c r="HM88" i="51"/>
  <c r="HO51" i="51"/>
  <c r="HN75" i="51"/>
  <c r="HP62" i="51"/>
  <c r="HN79" i="51"/>
  <c r="HO81" i="51"/>
  <c r="HM43" i="51"/>
  <c r="HP60" i="51"/>
  <c r="HP61" i="51"/>
  <c r="HM58" i="51"/>
  <c r="HL87" i="51"/>
  <c r="HM57" i="51"/>
  <c r="HP58" i="51"/>
  <c r="HN61" i="51"/>
  <c r="HL79" i="51"/>
  <c r="HM45" i="51"/>
  <c r="HL92" i="51"/>
  <c r="HL57" i="51"/>
  <c r="HP66" i="51"/>
  <c r="HO74" i="51"/>
  <c r="HN88" i="51"/>
  <c r="HP53" i="51"/>
  <c r="HN78" i="51"/>
  <c r="HO62" i="51"/>
  <c r="HO43" i="51"/>
  <c r="HO80" i="51"/>
  <c r="HP77" i="51"/>
  <c r="HL48" i="51"/>
  <c r="HP48" i="51"/>
  <c r="HM66" i="51"/>
  <c r="HO69" i="51"/>
  <c r="HM50" i="51"/>
  <c r="HO68" i="51"/>
  <c r="HO91" i="51"/>
  <c r="HL74" i="51"/>
  <c r="HP78" i="51"/>
  <c r="HM74" i="51"/>
  <c r="HO89" i="51"/>
  <c r="HL65" i="51"/>
  <c r="HL85" i="51"/>
  <c r="HO59" i="51"/>
  <c r="HN82" i="51"/>
  <c r="HM48" i="51"/>
  <c r="HO87" i="51"/>
  <c r="HL83" i="51"/>
  <c r="HN45" i="51"/>
  <c r="HP89" i="51"/>
  <c r="HL55" i="51"/>
  <c r="HP79" i="51"/>
  <c r="HM64" i="51"/>
  <c r="HN87" i="51"/>
  <c r="HO79" i="51"/>
  <c r="HO86" i="51"/>
  <c r="HN44" i="51"/>
  <c r="HM55" i="51"/>
  <c r="HL71" i="51"/>
  <c r="HM80" i="51"/>
  <c r="HP84" i="51"/>
  <c r="HM62" i="51"/>
  <c r="HN72" i="51"/>
  <c r="HM82" i="51"/>
  <c r="HP67" i="51"/>
  <c r="HL84" i="51"/>
  <c r="HO92" i="51"/>
  <c r="HO88" i="51"/>
  <c r="HL64" i="51"/>
  <c r="HM87" i="51"/>
  <c r="HL63" i="51"/>
  <c r="HO49" i="51"/>
  <c r="HL88" i="51"/>
  <c r="HM72" i="51"/>
  <c r="HP70" i="51"/>
  <c r="HO55" i="51"/>
  <c r="HL73" i="51"/>
  <c r="HN92" i="51"/>
  <c r="HO75" i="51"/>
  <c r="HN48" i="51"/>
  <c r="HN74" i="51"/>
  <c r="HM73" i="51"/>
  <c r="HL51" i="51"/>
  <c r="HP59" i="51"/>
  <c r="HM61" i="51"/>
  <c r="HL43" i="51"/>
  <c r="HN60" i="51"/>
  <c r="HN86" i="51"/>
  <c r="HM93" i="51"/>
  <c r="HO93" i="51"/>
  <c r="HM77" i="51"/>
  <c r="HN50" i="51"/>
  <c r="HO45" i="51"/>
  <c r="HN67" i="51"/>
  <c r="HP86" i="51"/>
  <c r="HO67" i="51"/>
  <c r="HL68" i="51"/>
  <c r="HO63" i="51"/>
  <c r="HO83" i="51"/>
  <c r="HL90" i="51"/>
  <c r="HN81" i="51"/>
  <c r="HP52" i="51"/>
  <c r="HM60" i="51"/>
  <c r="HO70" i="51"/>
  <c r="HL72" i="51"/>
  <c r="HM70" i="51"/>
  <c r="HL76" i="51"/>
  <c r="HO53" i="51"/>
  <c r="HP82" i="51"/>
  <c r="HO47" i="51"/>
  <c r="HO48" i="51"/>
  <c r="HM52" i="51"/>
  <c r="HN77" i="51"/>
  <c r="HP73" i="51"/>
  <c r="HP85" i="51"/>
  <c r="HN47" i="51"/>
  <c r="HP56" i="51"/>
  <c r="HN46" i="51"/>
  <c r="HO57" i="51"/>
  <c r="HO71" i="51"/>
  <c r="HM59" i="51"/>
  <c r="HL47" i="51"/>
  <c r="HM79" i="51"/>
  <c r="HP91" i="51"/>
  <c r="HP47" i="51"/>
  <c r="HL44" i="51"/>
  <c r="HN43" i="51"/>
  <c r="HM65" i="51"/>
  <c r="HN73" i="51"/>
  <c r="HN68" i="51"/>
  <c r="HM75" i="51"/>
  <c r="HL91" i="51"/>
  <c r="HN57" i="51"/>
  <c r="HL49" i="51"/>
  <c r="HN65" i="51"/>
  <c r="HN54" i="51"/>
  <c r="HM54" i="51"/>
  <c r="HN71" i="51"/>
  <c r="HP87" i="51"/>
  <c r="HP76" i="51"/>
  <c r="HL54" i="51"/>
  <c r="HO56" i="51"/>
  <c r="HL69" i="51"/>
  <c r="HN53" i="51"/>
  <c r="HL78" i="51"/>
  <c r="HP54" i="51"/>
  <c r="HP43" i="51"/>
  <c r="HM71" i="51"/>
  <c r="HL56" i="51"/>
  <c r="HM89" i="51"/>
  <c r="HO64" i="51"/>
  <c r="HN62" i="51"/>
  <c r="HL50" i="51"/>
  <c r="HL52" i="51"/>
  <c r="HN64" i="51"/>
  <c r="HP44" i="51"/>
  <c r="HO58" i="51"/>
  <c r="HO60" i="51"/>
  <c r="HP69" i="51"/>
  <c r="HN66" i="51"/>
  <c r="HO52" i="51"/>
  <c r="HL80" i="51"/>
  <c r="HP63" i="51"/>
  <c r="HL60" i="51"/>
  <c r="HP50" i="51"/>
  <c r="HM92" i="51"/>
  <c r="HN51" i="51"/>
  <c r="HL89" i="51"/>
  <c r="HM46" i="51"/>
  <c r="HP74" i="51"/>
  <c r="HL61" i="51"/>
  <c r="HP80" i="51"/>
  <c r="HO65" i="51"/>
  <c r="HN84" i="51"/>
  <c r="HP57" i="51"/>
  <c r="HO77" i="51"/>
  <c r="HO76" i="51"/>
  <c r="HM81" i="51"/>
  <c r="HO78" i="51"/>
  <c r="HL82" i="51"/>
  <c r="HN69" i="51"/>
  <c r="HN90" i="51"/>
  <c r="HO84" i="51"/>
  <c r="CG96" i="51"/>
  <c r="CI96" i="51"/>
  <c r="AT96" i="51"/>
  <c r="CF96" i="51"/>
  <c r="BB96" i="51"/>
  <c r="BU96" i="51"/>
  <c r="AS96" i="51"/>
  <c r="CA96" i="51"/>
  <c r="BZ96" i="51"/>
  <c r="BQ96" i="51"/>
  <c r="BT96" i="51"/>
  <c r="BG96" i="51"/>
  <c r="BA96" i="51"/>
  <c r="AO96" i="51"/>
  <c r="AQ96" i="51"/>
  <c r="CC96" i="51"/>
  <c r="AP96" i="51"/>
  <c r="AZ96" i="51"/>
  <c r="AV96" i="51"/>
  <c r="AX96" i="51"/>
  <c r="AR96" i="51"/>
  <c r="BE96" i="51"/>
  <c r="BO96" i="51"/>
  <c r="AW96" i="51"/>
  <c r="BF96" i="51"/>
  <c r="BX96" i="51"/>
  <c r="BD96" i="51"/>
  <c r="BP96" i="51"/>
  <c r="CB96" i="51"/>
  <c r="CE96" i="51"/>
  <c r="BJ96" i="51"/>
  <c r="CD96" i="51"/>
  <c r="BY96" i="51"/>
  <c r="CH96" i="51"/>
  <c r="BC96" i="51"/>
  <c r="BI96" i="51"/>
  <c r="BK96" i="51"/>
  <c r="BN96" i="51"/>
  <c r="BR96" i="51"/>
  <c r="BS96" i="51"/>
  <c r="BH96" i="51"/>
  <c r="AY96" i="51"/>
  <c r="BL96" i="51"/>
  <c r="BW96" i="51"/>
  <c r="AU96" i="51"/>
  <c r="BV96" i="51"/>
  <c r="BM96" i="51"/>
  <c r="G38" i="45"/>
  <c r="G37" i="45"/>
  <c r="Q35" i="38"/>
  <c r="P35" i="38"/>
  <c r="P33" i="38"/>
  <c r="Q33" i="38"/>
  <c r="G33" i="38"/>
  <c r="R33" i="38" s="1"/>
  <c r="F29" i="45"/>
  <c r="G29" i="45"/>
  <c r="D75" i="51"/>
  <c r="B76" i="51"/>
  <c r="C75" i="51"/>
  <c r="E75" i="51"/>
  <c r="F75" i="51"/>
  <c r="HN98" i="51" l="1"/>
  <c r="AA310" i="51" s="1"/>
  <c r="HL98" i="51"/>
  <c r="AA308" i="51" s="1"/>
  <c r="HO98" i="51"/>
  <c r="AA311" i="51" s="1"/>
  <c r="HP98" i="51"/>
  <c r="AA312" i="51" s="1"/>
  <c r="HM98" i="51"/>
  <c r="AA309" i="51" s="1"/>
  <c r="HL96" i="51"/>
  <c r="HL97" i="51"/>
  <c r="HO97" i="51"/>
  <c r="HO96" i="51"/>
  <c r="HP97" i="51"/>
  <c r="HP96" i="51"/>
  <c r="HM97" i="51"/>
  <c r="HM96" i="51"/>
  <c r="HN97" i="51"/>
  <c r="HN96" i="51"/>
  <c r="F38" i="45"/>
  <c r="H38" i="45" s="1"/>
  <c r="F37" i="45"/>
  <c r="H37" i="45" s="1"/>
  <c r="H29" i="45"/>
  <c r="D76" i="51"/>
  <c r="B77" i="51"/>
  <c r="C76" i="51"/>
  <c r="F76" i="51"/>
  <c r="E76" i="51"/>
  <c r="D77" i="51" l="1"/>
  <c r="B78" i="51"/>
  <c r="C77" i="51"/>
  <c r="F77" i="51"/>
  <c r="E77" i="51"/>
  <c r="D78" i="51" l="1"/>
  <c r="B79" i="51"/>
  <c r="C78" i="51"/>
  <c r="F78" i="51"/>
  <c r="E78" i="51"/>
  <c r="D79" i="51" l="1"/>
  <c r="B80" i="51"/>
  <c r="C79" i="51"/>
  <c r="F79" i="51"/>
  <c r="E79" i="51"/>
  <c r="D80" i="51" l="1"/>
  <c r="B81" i="51"/>
  <c r="C80" i="51"/>
  <c r="E80" i="51"/>
  <c r="F80" i="51"/>
  <c r="D81" i="51" l="1"/>
  <c r="B82" i="51"/>
  <c r="C81" i="51"/>
  <c r="F81" i="51"/>
  <c r="E81" i="51"/>
  <c r="D82" i="51" l="1"/>
  <c r="B83" i="51"/>
  <c r="C82" i="51"/>
  <c r="F82" i="51"/>
  <c r="E82" i="51"/>
  <c r="D83" i="51" l="1"/>
  <c r="B84" i="51"/>
  <c r="C83" i="51"/>
  <c r="F83" i="51"/>
  <c r="E83" i="51"/>
  <c r="D84" i="51" l="1"/>
  <c r="B85" i="51"/>
  <c r="C84" i="51"/>
  <c r="E84" i="51"/>
  <c r="F84" i="51"/>
  <c r="D85" i="51" l="1"/>
  <c r="B86" i="51"/>
  <c r="C85" i="51"/>
  <c r="F85" i="51"/>
  <c r="E85" i="51"/>
  <c r="D86" i="51" l="1"/>
  <c r="B87" i="51"/>
  <c r="C86" i="51"/>
  <c r="F86" i="51"/>
  <c r="E86" i="51"/>
  <c r="D87" i="51" l="1"/>
  <c r="B88" i="51"/>
  <c r="C87" i="51"/>
  <c r="F87" i="51"/>
  <c r="E87" i="51"/>
  <c r="D88" i="51" l="1"/>
  <c r="B89" i="51"/>
  <c r="C88" i="51"/>
  <c r="E88" i="51"/>
  <c r="F88" i="51"/>
  <c r="D89" i="51" l="1"/>
  <c r="B90" i="51"/>
  <c r="C89" i="51"/>
  <c r="F89" i="51"/>
  <c r="E89" i="51"/>
  <c r="D90" i="51" l="1"/>
  <c r="B91" i="51"/>
  <c r="C90" i="51"/>
  <c r="F90" i="51"/>
  <c r="E90" i="51"/>
  <c r="D91" i="51" l="1"/>
  <c r="B92" i="51"/>
  <c r="C91" i="51"/>
  <c r="F91" i="51"/>
  <c r="E91" i="51"/>
  <c r="D92" i="51" l="1"/>
  <c r="B93" i="51"/>
  <c r="C92" i="51"/>
  <c r="E92" i="51"/>
  <c r="F92" i="51"/>
  <c r="D93" i="51" l="1"/>
  <c r="B94" i="51"/>
  <c r="C93" i="51"/>
  <c r="F93" i="51"/>
  <c r="E93" i="51"/>
  <c r="D94" i="51" l="1"/>
  <c r="B95" i="51"/>
  <c r="C94" i="51"/>
  <c r="F94" i="51"/>
  <c r="E94" i="51"/>
  <c r="D95" i="51" l="1"/>
  <c r="B96" i="51"/>
  <c r="C95" i="51"/>
  <c r="E95" i="51"/>
  <c r="F95" i="51"/>
  <c r="D96" i="51" l="1"/>
  <c r="B97" i="51"/>
  <c r="C96" i="51"/>
  <c r="E96" i="51"/>
  <c r="F96" i="51"/>
  <c r="D97" i="51" l="1"/>
  <c r="B98" i="51"/>
  <c r="C97" i="51"/>
  <c r="F97" i="51"/>
  <c r="E97" i="51"/>
  <c r="D98" i="51" l="1"/>
  <c r="B99" i="51"/>
  <c r="C98" i="51"/>
  <c r="F98" i="51"/>
  <c r="E98" i="51"/>
  <c r="D99" i="51" l="1"/>
  <c r="B100" i="51"/>
  <c r="C99" i="51"/>
  <c r="F99" i="51"/>
  <c r="E99" i="51"/>
  <c r="D100" i="51" l="1"/>
  <c r="B101" i="51"/>
  <c r="C100" i="51"/>
  <c r="F100" i="51"/>
  <c r="E100" i="51"/>
  <c r="D101" i="51" l="1"/>
  <c r="C101" i="51"/>
  <c r="B102" i="51"/>
  <c r="F101" i="51"/>
  <c r="E101" i="51"/>
  <c r="D102" i="51" l="1"/>
  <c r="B103" i="51"/>
  <c r="C102" i="51"/>
  <c r="F102" i="51"/>
  <c r="E102" i="51"/>
  <c r="D103" i="51" l="1"/>
  <c r="B104" i="51"/>
  <c r="C103" i="51"/>
  <c r="F103" i="51"/>
  <c r="E103" i="51"/>
  <c r="D104" i="51" l="1"/>
  <c r="B105" i="51"/>
  <c r="C104" i="51"/>
  <c r="F104" i="51"/>
  <c r="E104" i="51"/>
  <c r="D105" i="51" l="1"/>
  <c r="B106" i="51"/>
  <c r="C105" i="51"/>
  <c r="F105" i="51"/>
  <c r="E105" i="51"/>
  <c r="D106" i="51" l="1"/>
  <c r="B107" i="51"/>
  <c r="C106" i="51"/>
  <c r="F106" i="51"/>
  <c r="E106" i="51"/>
  <c r="D107" i="51" l="1"/>
  <c r="B108" i="51"/>
  <c r="C107" i="51"/>
  <c r="F107" i="51"/>
  <c r="E107" i="51"/>
  <c r="D108" i="51" l="1"/>
  <c r="B109" i="51"/>
  <c r="C108" i="51"/>
  <c r="F108" i="51"/>
  <c r="E108" i="51"/>
  <c r="D109" i="51" l="1"/>
  <c r="C109" i="51"/>
  <c r="B110" i="51"/>
  <c r="F109" i="51"/>
  <c r="E109" i="51"/>
  <c r="D110" i="51" l="1"/>
  <c r="B111" i="51"/>
  <c r="C110" i="51"/>
  <c r="F110" i="51"/>
  <c r="E110" i="51"/>
  <c r="D111" i="51" l="1"/>
  <c r="B112" i="51"/>
  <c r="C111" i="51"/>
  <c r="F111" i="51"/>
  <c r="E111" i="51"/>
  <c r="D112" i="51" l="1"/>
  <c r="B113" i="51"/>
  <c r="C112" i="51"/>
  <c r="F112" i="51"/>
  <c r="E112" i="51"/>
  <c r="D113" i="51" l="1"/>
  <c r="C113" i="51"/>
  <c r="B114" i="51"/>
  <c r="F113" i="51"/>
  <c r="E113" i="51"/>
  <c r="D114" i="51" l="1"/>
  <c r="B115" i="51"/>
  <c r="C114" i="51"/>
  <c r="F114" i="51"/>
  <c r="E114" i="51"/>
  <c r="D115" i="51" l="1"/>
  <c r="B116" i="51"/>
  <c r="C115" i="51"/>
  <c r="F115" i="51"/>
  <c r="E115" i="51"/>
  <c r="D116" i="51" l="1"/>
  <c r="B117" i="51"/>
  <c r="C116" i="51"/>
  <c r="F116" i="51"/>
  <c r="E116" i="51"/>
  <c r="D117" i="51" l="1"/>
  <c r="C117" i="51"/>
  <c r="B118" i="51"/>
  <c r="F117" i="51"/>
  <c r="E117" i="51"/>
  <c r="D118" i="51" l="1"/>
  <c r="B119" i="51"/>
  <c r="C118" i="51"/>
  <c r="F118" i="51"/>
  <c r="E118" i="51"/>
  <c r="D119" i="51" l="1"/>
  <c r="B120" i="51"/>
  <c r="C119" i="51"/>
  <c r="F119" i="51"/>
  <c r="E119" i="51"/>
  <c r="D120" i="51" l="1"/>
  <c r="B121" i="51"/>
  <c r="C120" i="51"/>
  <c r="F120" i="51"/>
  <c r="E120" i="51"/>
  <c r="D121" i="51" l="1"/>
  <c r="B122" i="51"/>
  <c r="C121" i="51"/>
  <c r="F121" i="51"/>
  <c r="E121" i="51"/>
  <c r="D122" i="51" l="1"/>
  <c r="B123" i="51"/>
  <c r="C122" i="51"/>
  <c r="F122" i="51"/>
  <c r="E122" i="51"/>
  <c r="D123" i="51" l="1"/>
  <c r="B124" i="51"/>
  <c r="C123" i="51"/>
  <c r="F123" i="51"/>
  <c r="E123" i="51"/>
  <c r="D124" i="51" l="1"/>
  <c r="B125" i="51"/>
  <c r="C124" i="51"/>
  <c r="F124" i="51"/>
  <c r="E124" i="51"/>
  <c r="D125" i="51" l="1"/>
  <c r="B126" i="51"/>
  <c r="C125" i="51"/>
  <c r="F125" i="51"/>
  <c r="E125" i="51"/>
  <c r="D126" i="51" l="1"/>
  <c r="B127" i="51"/>
  <c r="C126" i="51"/>
  <c r="F126" i="51"/>
  <c r="E126" i="51"/>
  <c r="D127" i="51" l="1"/>
  <c r="B128" i="51"/>
  <c r="C127" i="51"/>
  <c r="F127" i="51"/>
  <c r="E127" i="51"/>
  <c r="D128" i="51" l="1"/>
  <c r="B129" i="51"/>
  <c r="C128" i="51"/>
  <c r="F128" i="51"/>
  <c r="E128" i="51"/>
  <c r="D129" i="51" l="1"/>
  <c r="B130" i="51"/>
  <c r="C129" i="51"/>
  <c r="F129" i="51"/>
  <c r="E129" i="51"/>
  <c r="D130" i="51" l="1"/>
  <c r="B131" i="51"/>
  <c r="C130" i="51"/>
  <c r="F130" i="51"/>
  <c r="E130" i="51"/>
  <c r="D131" i="51" l="1"/>
  <c r="B132" i="51"/>
  <c r="C131" i="51"/>
  <c r="F131" i="51"/>
  <c r="E131" i="51"/>
  <c r="D132" i="51" l="1"/>
  <c r="B133" i="51"/>
  <c r="C132" i="51"/>
  <c r="F132" i="51"/>
  <c r="E132" i="51"/>
  <c r="D133" i="51" l="1"/>
  <c r="C133" i="51"/>
  <c r="B134" i="51"/>
  <c r="F133" i="51"/>
  <c r="E133" i="51"/>
  <c r="D134" i="51" l="1"/>
  <c r="B135" i="51"/>
  <c r="C134" i="51"/>
  <c r="F134" i="51"/>
  <c r="E134" i="51"/>
  <c r="D135" i="51" l="1"/>
  <c r="B136" i="51"/>
  <c r="C135" i="51"/>
  <c r="F135" i="51"/>
  <c r="E135" i="51"/>
  <c r="D136" i="51" l="1"/>
  <c r="B137" i="51"/>
  <c r="C136" i="51"/>
  <c r="F136" i="51"/>
  <c r="E136" i="51"/>
  <c r="D137" i="51" l="1"/>
  <c r="B138" i="51"/>
  <c r="C137" i="51"/>
  <c r="F137" i="51"/>
  <c r="E137" i="51"/>
  <c r="D138" i="51" l="1"/>
  <c r="B139" i="51"/>
  <c r="C138" i="51"/>
  <c r="F138" i="51"/>
  <c r="E138" i="51"/>
  <c r="D139" i="51" l="1"/>
  <c r="B140" i="51"/>
  <c r="C139" i="51"/>
  <c r="F139" i="51"/>
  <c r="E139" i="51"/>
  <c r="D140" i="51" l="1"/>
  <c r="B141" i="51"/>
  <c r="C140" i="51"/>
  <c r="F140" i="51"/>
  <c r="E140" i="51"/>
  <c r="D141" i="51" l="1"/>
  <c r="C141" i="51"/>
  <c r="B142" i="51"/>
  <c r="F141" i="51"/>
  <c r="E141" i="51"/>
  <c r="D142" i="51" l="1"/>
  <c r="B143" i="51"/>
  <c r="C142" i="51"/>
  <c r="F142" i="51"/>
  <c r="E142" i="51"/>
  <c r="D143" i="51" l="1"/>
  <c r="B144" i="51"/>
  <c r="C143" i="51"/>
  <c r="F143" i="51"/>
  <c r="E143" i="51"/>
  <c r="D144" i="51" l="1"/>
  <c r="B145" i="51"/>
  <c r="C144" i="51"/>
  <c r="F144" i="51"/>
  <c r="E144" i="51"/>
  <c r="D145" i="51" l="1"/>
  <c r="C145" i="51"/>
  <c r="B146" i="51"/>
  <c r="F145" i="51"/>
  <c r="E145" i="51"/>
  <c r="D146" i="51" l="1"/>
  <c r="B147" i="51"/>
  <c r="C146" i="51"/>
  <c r="F146" i="51"/>
  <c r="E146" i="51"/>
  <c r="D147" i="51" l="1"/>
  <c r="B148" i="51"/>
  <c r="C147" i="51"/>
  <c r="F147" i="51"/>
  <c r="E147" i="51"/>
  <c r="D148" i="51" l="1"/>
  <c r="B149" i="51"/>
  <c r="C148" i="51"/>
  <c r="F148" i="51"/>
  <c r="E148" i="51"/>
  <c r="D149" i="51" l="1"/>
  <c r="C149" i="51"/>
  <c r="B150" i="51"/>
  <c r="F149" i="51"/>
  <c r="E149" i="51"/>
  <c r="D150" i="51" l="1"/>
  <c r="B151" i="51"/>
  <c r="C150" i="51"/>
  <c r="F150" i="51"/>
  <c r="E150" i="51"/>
  <c r="D151" i="51" l="1"/>
  <c r="B152" i="51"/>
  <c r="C151" i="51"/>
  <c r="F151" i="51"/>
  <c r="E151" i="51"/>
  <c r="D152" i="51" l="1"/>
  <c r="B153" i="51"/>
  <c r="C152" i="51"/>
  <c r="F152" i="51"/>
  <c r="E152" i="51"/>
  <c r="D153" i="51" l="1"/>
  <c r="B154" i="51"/>
  <c r="C153" i="51"/>
  <c r="F153" i="51"/>
  <c r="E153" i="51"/>
  <c r="D154" i="51" l="1"/>
  <c r="B155" i="51"/>
  <c r="C154" i="51"/>
  <c r="F154" i="51"/>
  <c r="E154" i="51"/>
  <c r="D155" i="51" l="1"/>
  <c r="B156" i="51"/>
  <c r="C155" i="51"/>
  <c r="F155" i="51"/>
  <c r="E155" i="51"/>
  <c r="D156" i="51" l="1"/>
  <c r="B157" i="51"/>
  <c r="C156" i="51"/>
  <c r="F156" i="51"/>
  <c r="E156" i="51"/>
  <c r="D157" i="51" l="1"/>
  <c r="B158" i="51"/>
  <c r="C157" i="51"/>
  <c r="F157" i="51"/>
  <c r="E157" i="51"/>
  <c r="D158" i="51" l="1"/>
  <c r="B159" i="51"/>
  <c r="C158" i="51"/>
  <c r="F158" i="51"/>
  <c r="E158" i="51"/>
  <c r="D159" i="51" l="1"/>
  <c r="B160" i="51"/>
  <c r="C159" i="51"/>
  <c r="F159" i="51"/>
  <c r="E159" i="51"/>
  <c r="D160" i="51" l="1"/>
  <c r="B161" i="51"/>
  <c r="C160" i="51"/>
  <c r="F160" i="51"/>
  <c r="E160" i="51"/>
  <c r="D161" i="51" l="1"/>
  <c r="B162" i="51"/>
  <c r="C161" i="51"/>
  <c r="F161" i="51"/>
  <c r="E161" i="51"/>
  <c r="D162" i="51" l="1"/>
  <c r="B163" i="51"/>
  <c r="C162" i="51"/>
  <c r="F162" i="51"/>
  <c r="E162" i="51"/>
  <c r="D163" i="51" l="1"/>
  <c r="B164" i="51"/>
  <c r="C163" i="51"/>
  <c r="F163" i="51"/>
  <c r="E163" i="51"/>
  <c r="D164" i="51" l="1"/>
  <c r="B165" i="51"/>
  <c r="C164" i="51"/>
  <c r="F164" i="51"/>
  <c r="E164" i="51"/>
  <c r="D165" i="51" l="1"/>
  <c r="C165" i="51"/>
  <c r="B166" i="51"/>
  <c r="F165" i="51"/>
  <c r="E165" i="51"/>
  <c r="D166" i="51" l="1"/>
  <c r="B167" i="51"/>
  <c r="C166" i="51"/>
  <c r="F166" i="51"/>
  <c r="E166" i="51"/>
  <c r="D167" i="51" l="1"/>
  <c r="B168" i="51"/>
  <c r="C167" i="51"/>
  <c r="F167" i="51"/>
  <c r="E167" i="51"/>
  <c r="D168" i="51" l="1"/>
  <c r="B169" i="51"/>
  <c r="C168" i="51"/>
  <c r="F168" i="51"/>
  <c r="E168" i="51"/>
  <c r="D169" i="51" l="1"/>
  <c r="B170" i="51"/>
  <c r="C169" i="51"/>
  <c r="F169" i="51"/>
  <c r="E169" i="51"/>
  <c r="D170" i="51" l="1"/>
  <c r="B171" i="51"/>
  <c r="C170" i="51"/>
  <c r="F170" i="51"/>
  <c r="E170" i="51"/>
  <c r="D171" i="51" l="1"/>
  <c r="B172" i="51"/>
  <c r="C171" i="51"/>
  <c r="F171" i="51"/>
  <c r="E171" i="51"/>
  <c r="D172" i="51" l="1"/>
  <c r="B173" i="51"/>
  <c r="C172" i="51"/>
  <c r="F172" i="51"/>
  <c r="E172" i="51"/>
  <c r="D173" i="51" l="1"/>
  <c r="C173" i="51"/>
  <c r="B174" i="51"/>
  <c r="F173" i="51"/>
  <c r="E173" i="51"/>
  <c r="D174" i="51" l="1"/>
  <c r="B175" i="51"/>
  <c r="C174" i="51"/>
  <c r="F174" i="51"/>
  <c r="E174" i="51"/>
  <c r="D175" i="51" l="1"/>
  <c r="B176" i="51"/>
  <c r="C175" i="51"/>
  <c r="F175" i="51"/>
  <c r="E175" i="51"/>
  <c r="D176" i="51" l="1"/>
  <c r="C176" i="51"/>
  <c r="B177" i="51"/>
  <c r="F176" i="51"/>
  <c r="E176" i="51"/>
  <c r="D177" i="51" l="1"/>
  <c r="B178" i="51"/>
  <c r="C177" i="51"/>
  <c r="F177" i="51"/>
  <c r="E177" i="51"/>
  <c r="D178" i="51" l="1"/>
  <c r="B179" i="51"/>
  <c r="C178" i="51"/>
  <c r="F178" i="51"/>
  <c r="E178" i="51"/>
  <c r="D179" i="51" l="1"/>
  <c r="B180" i="51"/>
  <c r="C179" i="51"/>
  <c r="F179" i="51"/>
  <c r="E179" i="51"/>
  <c r="D180" i="51" l="1"/>
  <c r="B181" i="51"/>
  <c r="C180" i="51"/>
  <c r="F180" i="51"/>
  <c r="E180" i="51"/>
  <c r="D181" i="51" l="1"/>
  <c r="B182" i="51"/>
  <c r="C181" i="51"/>
  <c r="F181" i="51"/>
  <c r="E181" i="51"/>
  <c r="D182" i="51" l="1"/>
  <c r="B183" i="51"/>
  <c r="C182" i="51"/>
  <c r="F182" i="51"/>
  <c r="E182" i="51"/>
  <c r="D183" i="51" l="1"/>
  <c r="B184" i="51"/>
  <c r="C183" i="51"/>
  <c r="F183" i="51"/>
  <c r="E183" i="51"/>
  <c r="D184" i="51" l="1"/>
  <c r="B185" i="51"/>
  <c r="C184" i="51"/>
  <c r="F184" i="51"/>
  <c r="E184" i="51"/>
  <c r="D185" i="51" l="1"/>
  <c r="B186" i="51"/>
  <c r="C185" i="51"/>
  <c r="F185" i="51"/>
  <c r="E185" i="51"/>
  <c r="D186" i="51" l="1"/>
  <c r="B187" i="51"/>
  <c r="C186" i="51"/>
  <c r="F186" i="51"/>
  <c r="E186" i="51"/>
  <c r="D187" i="51" l="1"/>
  <c r="B188" i="51"/>
  <c r="C187" i="51"/>
  <c r="F187" i="51"/>
  <c r="E187" i="51"/>
  <c r="D188" i="51" l="1"/>
  <c r="B189" i="51"/>
  <c r="C188" i="51"/>
  <c r="F188" i="51"/>
  <c r="E188" i="51"/>
  <c r="D189" i="51" l="1"/>
  <c r="C189" i="51"/>
  <c r="B190" i="51"/>
  <c r="F189" i="51"/>
  <c r="E189" i="51"/>
  <c r="D190" i="51" l="1"/>
  <c r="B191" i="51"/>
  <c r="C190" i="51"/>
  <c r="F190" i="51"/>
  <c r="E190" i="51"/>
  <c r="D191" i="51" l="1"/>
  <c r="B192" i="51"/>
  <c r="C191" i="51"/>
  <c r="F191" i="51"/>
  <c r="E191" i="51"/>
  <c r="D192" i="51" l="1"/>
  <c r="C192" i="51"/>
  <c r="B193" i="51"/>
  <c r="F192" i="51"/>
  <c r="E192" i="51"/>
  <c r="D193" i="51" l="1"/>
  <c r="C193" i="51"/>
  <c r="B194" i="51"/>
  <c r="F193" i="51"/>
  <c r="E193" i="51"/>
  <c r="D194" i="51" l="1"/>
  <c r="B195" i="51"/>
  <c r="C194" i="51"/>
  <c r="F194" i="51"/>
  <c r="E194" i="51"/>
  <c r="D195" i="51" l="1"/>
  <c r="B196" i="51"/>
  <c r="C195" i="51"/>
  <c r="F195" i="51"/>
  <c r="E195" i="51"/>
  <c r="D196" i="51" l="1"/>
  <c r="B197" i="51"/>
  <c r="C196" i="51"/>
  <c r="F196" i="51"/>
  <c r="E196" i="51"/>
  <c r="D197" i="51" l="1"/>
  <c r="C197" i="51"/>
  <c r="B198" i="51"/>
  <c r="F197" i="51"/>
  <c r="E197" i="51"/>
  <c r="D198" i="51" l="1"/>
  <c r="B199" i="51"/>
  <c r="C198" i="51"/>
  <c r="F198" i="51"/>
  <c r="E198" i="51"/>
  <c r="D199" i="51" l="1"/>
  <c r="B200" i="51"/>
  <c r="C199" i="51"/>
  <c r="F199" i="51"/>
  <c r="E199" i="51"/>
  <c r="D200" i="51" l="1"/>
  <c r="B201" i="51"/>
  <c r="C200" i="51"/>
  <c r="F200" i="51"/>
  <c r="E200" i="51"/>
  <c r="D201" i="51" l="1"/>
  <c r="B202" i="51"/>
  <c r="C201" i="51"/>
  <c r="F201" i="51"/>
  <c r="E201" i="51"/>
  <c r="D202" i="51" l="1"/>
  <c r="B203" i="51"/>
  <c r="C202" i="51"/>
  <c r="F202" i="51"/>
  <c r="E202" i="51"/>
  <c r="D203" i="51" l="1"/>
  <c r="B204" i="51"/>
  <c r="C203" i="51"/>
  <c r="F203" i="51"/>
  <c r="E203" i="51"/>
  <c r="D204" i="51" l="1"/>
  <c r="B205" i="51"/>
  <c r="C204" i="51"/>
  <c r="F204" i="51"/>
  <c r="E204" i="51"/>
  <c r="D205" i="51" l="1"/>
  <c r="C205" i="51"/>
  <c r="B206" i="51"/>
  <c r="F205" i="51"/>
  <c r="E205" i="51"/>
  <c r="D206" i="51" l="1"/>
  <c r="B207" i="51"/>
  <c r="C206" i="51"/>
  <c r="F206" i="51"/>
  <c r="E206" i="51"/>
  <c r="D207" i="51" l="1"/>
  <c r="B208" i="51"/>
  <c r="C207" i="51"/>
  <c r="F207" i="51"/>
  <c r="E207" i="51"/>
  <c r="D208" i="51" l="1"/>
  <c r="B209" i="51"/>
  <c r="C208" i="51"/>
  <c r="F208" i="51"/>
  <c r="E208" i="51"/>
  <c r="D209" i="51" l="1"/>
  <c r="B210" i="51"/>
  <c r="C209" i="51"/>
  <c r="F209" i="51"/>
  <c r="E209" i="51"/>
  <c r="D210" i="51" l="1"/>
  <c r="B211" i="51"/>
  <c r="C210" i="51"/>
  <c r="F210" i="51"/>
  <c r="E210" i="51"/>
  <c r="D211" i="51" l="1"/>
  <c r="B212" i="51"/>
  <c r="C211" i="51"/>
  <c r="F211" i="51"/>
  <c r="E211" i="51"/>
  <c r="D212" i="51" l="1"/>
  <c r="B213" i="51"/>
  <c r="C212" i="51"/>
  <c r="F212" i="51"/>
  <c r="E212" i="51"/>
  <c r="D213" i="51" l="1"/>
  <c r="C213" i="51"/>
  <c r="B214" i="51"/>
  <c r="F213" i="51"/>
  <c r="E213" i="51"/>
  <c r="D214" i="51" l="1"/>
  <c r="B215" i="51"/>
  <c r="C214" i="51"/>
  <c r="F214" i="51"/>
  <c r="E214" i="51"/>
  <c r="D215" i="51" l="1"/>
  <c r="B216" i="51"/>
  <c r="C215" i="51"/>
  <c r="F215" i="51"/>
  <c r="E215" i="51"/>
  <c r="D216" i="51" l="1"/>
  <c r="C216" i="51"/>
  <c r="B217" i="51"/>
  <c r="F216" i="51"/>
  <c r="E216" i="51"/>
  <c r="D217" i="51" l="1"/>
  <c r="C217" i="51"/>
  <c r="B218" i="51"/>
  <c r="F217" i="51"/>
  <c r="E217" i="51"/>
  <c r="D218" i="51" l="1"/>
  <c r="B219" i="51"/>
  <c r="C218" i="51"/>
  <c r="F218" i="51"/>
  <c r="E218" i="51"/>
  <c r="D219" i="51" l="1"/>
  <c r="B220" i="51"/>
  <c r="C219" i="51"/>
  <c r="F219" i="51"/>
  <c r="E219" i="51"/>
  <c r="D220" i="51" l="1"/>
  <c r="B221" i="51"/>
  <c r="C220" i="51"/>
  <c r="F220" i="51"/>
  <c r="E220" i="51"/>
  <c r="D221" i="51" l="1"/>
  <c r="B222" i="51"/>
  <c r="C221" i="51"/>
  <c r="F221" i="51"/>
  <c r="E221" i="51"/>
  <c r="D222" i="51" l="1"/>
  <c r="B223" i="51"/>
  <c r="C222" i="51"/>
  <c r="F222" i="51"/>
  <c r="E222" i="51"/>
  <c r="D223" i="51" l="1"/>
  <c r="B224" i="51"/>
  <c r="C223" i="51"/>
  <c r="F223" i="51"/>
  <c r="E223" i="51"/>
  <c r="D224" i="51" l="1"/>
  <c r="B225" i="51"/>
  <c r="C224" i="51"/>
  <c r="F224" i="51"/>
  <c r="E224" i="51"/>
  <c r="D225" i="51" l="1"/>
  <c r="B226" i="51"/>
  <c r="C225" i="51"/>
  <c r="F225" i="51"/>
  <c r="E225" i="51"/>
  <c r="D226" i="51" l="1"/>
  <c r="B227" i="51"/>
  <c r="C226" i="51"/>
  <c r="F226" i="51"/>
  <c r="E226" i="51"/>
  <c r="D227" i="51" l="1"/>
  <c r="B228" i="51"/>
  <c r="C227" i="51"/>
  <c r="F227" i="51"/>
  <c r="E227" i="51"/>
  <c r="D228" i="51" l="1"/>
  <c r="B229" i="51"/>
  <c r="C228" i="51"/>
  <c r="F228" i="51"/>
  <c r="E228" i="51"/>
  <c r="D229" i="51" l="1"/>
  <c r="C229" i="51"/>
  <c r="B230" i="51"/>
  <c r="F229" i="51"/>
  <c r="E229" i="51"/>
  <c r="D230" i="51" l="1"/>
  <c r="B231" i="51"/>
  <c r="C230" i="51"/>
  <c r="F230" i="51"/>
  <c r="E230" i="51"/>
  <c r="D231" i="51" l="1"/>
  <c r="B232" i="51"/>
  <c r="C231" i="51"/>
  <c r="F231" i="51"/>
  <c r="E231" i="51"/>
  <c r="D232" i="51" l="1"/>
  <c r="B233" i="51"/>
  <c r="C232" i="51"/>
  <c r="F232" i="51"/>
  <c r="E232" i="51"/>
  <c r="D233" i="51" l="1"/>
  <c r="B234" i="51"/>
  <c r="C233" i="51"/>
  <c r="F233" i="51"/>
  <c r="E233" i="51"/>
  <c r="D234" i="51" l="1"/>
  <c r="B235" i="51"/>
  <c r="C234" i="51"/>
  <c r="F234" i="51"/>
  <c r="E234" i="51"/>
  <c r="D235" i="51" l="1"/>
  <c r="B236" i="51"/>
  <c r="C235" i="51"/>
  <c r="F235" i="51"/>
  <c r="E235" i="51"/>
  <c r="D236" i="51" l="1"/>
  <c r="B237" i="51"/>
  <c r="C236" i="51"/>
  <c r="F236" i="51"/>
  <c r="E236" i="51"/>
  <c r="D237" i="51" l="1"/>
  <c r="C237" i="51"/>
  <c r="B238" i="51"/>
  <c r="F237" i="51"/>
  <c r="E237" i="51"/>
  <c r="D238" i="51" l="1"/>
  <c r="B239" i="51"/>
  <c r="C238" i="51"/>
  <c r="F238" i="51"/>
  <c r="E238" i="51"/>
  <c r="D239" i="51" l="1"/>
  <c r="B240" i="51"/>
  <c r="C239" i="51"/>
  <c r="F239" i="51"/>
  <c r="E239" i="51"/>
  <c r="D240" i="51" l="1"/>
  <c r="C240" i="51"/>
  <c r="B241" i="51"/>
  <c r="F240" i="51"/>
  <c r="E240" i="51"/>
  <c r="D241" i="51" l="1"/>
  <c r="B242" i="51"/>
  <c r="C241" i="51"/>
  <c r="F241" i="51"/>
  <c r="E241" i="51"/>
  <c r="D242" i="51" l="1"/>
  <c r="B243" i="51"/>
  <c r="C242" i="51"/>
  <c r="F242" i="51"/>
  <c r="E242" i="51"/>
  <c r="D243" i="51" l="1"/>
  <c r="B244" i="51"/>
  <c r="C243" i="51"/>
  <c r="F243" i="51"/>
  <c r="E243" i="51"/>
  <c r="D244" i="51" l="1"/>
  <c r="B245" i="51"/>
  <c r="C244" i="51"/>
  <c r="F244" i="51"/>
  <c r="E244" i="51"/>
  <c r="D245" i="51" l="1"/>
  <c r="B246" i="51"/>
  <c r="C245" i="51"/>
  <c r="F245" i="51"/>
  <c r="E245" i="51"/>
  <c r="D246" i="51" l="1"/>
  <c r="B247" i="51"/>
  <c r="C246" i="51"/>
  <c r="F246" i="51"/>
  <c r="E246" i="51"/>
  <c r="D247" i="51" l="1"/>
  <c r="B248" i="51"/>
  <c r="C247" i="51"/>
  <c r="F247" i="51"/>
  <c r="E247" i="51"/>
  <c r="D248" i="51" l="1"/>
  <c r="B249" i="51"/>
  <c r="C248" i="51"/>
  <c r="F248" i="51"/>
  <c r="E248" i="51"/>
  <c r="D249" i="51" l="1"/>
  <c r="B250" i="51"/>
  <c r="C249" i="51"/>
  <c r="F249" i="51"/>
  <c r="E249" i="51"/>
  <c r="D250" i="51" l="1"/>
  <c r="B251" i="51"/>
  <c r="C250" i="51"/>
  <c r="F250" i="51"/>
  <c r="E250" i="51"/>
  <c r="D251" i="51" l="1"/>
  <c r="B252" i="51"/>
  <c r="C251" i="51"/>
  <c r="F251" i="51"/>
  <c r="E251" i="51"/>
  <c r="D252" i="51" l="1"/>
  <c r="B253" i="51"/>
  <c r="C252" i="51"/>
  <c r="F252" i="51"/>
  <c r="E252" i="51"/>
  <c r="D253" i="51" l="1"/>
  <c r="C253" i="51"/>
  <c r="B254" i="51"/>
  <c r="F253" i="51"/>
  <c r="E253" i="51"/>
  <c r="D254" i="51" l="1"/>
  <c r="B255" i="51"/>
  <c r="C254" i="51"/>
  <c r="F254" i="51"/>
  <c r="E254" i="51"/>
  <c r="D255" i="51" l="1"/>
  <c r="B256" i="51"/>
  <c r="C255" i="51"/>
  <c r="F255" i="51"/>
  <c r="E255" i="51"/>
  <c r="D256" i="51" l="1"/>
  <c r="C256" i="51"/>
  <c r="B257" i="51"/>
  <c r="F256" i="51"/>
  <c r="E256" i="51"/>
  <c r="D257" i="51" l="1"/>
  <c r="C257" i="51"/>
  <c r="B258" i="51"/>
  <c r="F257" i="51"/>
  <c r="E257" i="51"/>
  <c r="D258" i="51" l="1"/>
  <c r="B259" i="51"/>
  <c r="C258" i="51"/>
  <c r="F258" i="51"/>
  <c r="E258" i="51"/>
  <c r="D259" i="51" l="1"/>
  <c r="B260" i="51"/>
  <c r="C259" i="51"/>
  <c r="F259" i="51"/>
  <c r="E259" i="51"/>
  <c r="D260" i="51" l="1"/>
  <c r="B261" i="51"/>
  <c r="C260" i="51"/>
  <c r="F260" i="51"/>
  <c r="E260" i="51"/>
  <c r="D261" i="51" l="1"/>
  <c r="C261" i="51"/>
  <c r="B262" i="51"/>
  <c r="F261" i="51"/>
  <c r="E261" i="51"/>
  <c r="D262" i="51" l="1"/>
  <c r="B263" i="51"/>
  <c r="C262" i="51"/>
  <c r="F262" i="51"/>
  <c r="E262" i="51"/>
  <c r="D263" i="51" l="1"/>
  <c r="B264" i="51"/>
  <c r="C263" i="51"/>
  <c r="F263" i="51"/>
  <c r="E263" i="51"/>
  <c r="D264" i="51" l="1"/>
  <c r="B265" i="51"/>
  <c r="C264" i="51"/>
  <c r="F264" i="51"/>
  <c r="E264" i="51"/>
  <c r="D265" i="51" l="1"/>
  <c r="B266" i="51"/>
  <c r="C265" i="51"/>
  <c r="F265" i="51"/>
  <c r="E265" i="51"/>
  <c r="D266" i="51" l="1"/>
  <c r="B267" i="51"/>
  <c r="C266" i="51"/>
  <c r="F266" i="51"/>
  <c r="E266" i="51"/>
  <c r="D267" i="51" l="1"/>
  <c r="B268" i="51"/>
  <c r="C267" i="51"/>
  <c r="F267" i="51"/>
  <c r="E267" i="51"/>
  <c r="D268" i="51" l="1"/>
  <c r="B269" i="51"/>
  <c r="C268" i="51"/>
  <c r="F268" i="51"/>
  <c r="E268" i="51"/>
  <c r="D269" i="51" l="1"/>
  <c r="C269" i="51"/>
  <c r="B270" i="51"/>
  <c r="F269" i="51"/>
  <c r="E269" i="51"/>
  <c r="D270" i="51" l="1"/>
  <c r="B271" i="51"/>
  <c r="C270" i="51"/>
  <c r="F270" i="51"/>
  <c r="E270" i="51"/>
  <c r="D271" i="51" l="1"/>
  <c r="B272" i="51"/>
  <c r="C271" i="51"/>
  <c r="F271" i="51"/>
  <c r="E271" i="51"/>
  <c r="D272" i="51" l="1"/>
  <c r="B273" i="51"/>
  <c r="C272" i="51"/>
  <c r="F272" i="51"/>
  <c r="E272" i="51"/>
  <c r="D273" i="51" l="1"/>
  <c r="B274" i="51"/>
  <c r="C273" i="51"/>
  <c r="F273" i="51"/>
  <c r="E273" i="51"/>
  <c r="D274" i="51" l="1"/>
  <c r="B275" i="51"/>
  <c r="C274" i="51"/>
  <c r="F274" i="51"/>
  <c r="E274" i="51"/>
  <c r="D275" i="51" l="1"/>
  <c r="B276" i="51"/>
  <c r="C275" i="51"/>
  <c r="F275" i="51"/>
  <c r="E275" i="51"/>
  <c r="D276" i="51" l="1"/>
  <c r="B277" i="51"/>
  <c r="C276" i="51"/>
  <c r="F276" i="51"/>
  <c r="E276" i="51"/>
  <c r="D277" i="51" l="1"/>
  <c r="C277" i="51"/>
  <c r="B278" i="51"/>
  <c r="F277" i="51"/>
  <c r="E277" i="51"/>
  <c r="D278" i="51" l="1"/>
  <c r="B279" i="51"/>
  <c r="C278" i="51"/>
  <c r="F278" i="51"/>
  <c r="E278" i="51"/>
  <c r="D279" i="51" l="1"/>
  <c r="B280" i="51"/>
  <c r="C279" i="51"/>
  <c r="F279" i="51"/>
  <c r="E279" i="51"/>
  <c r="D280" i="51" l="1"/>
  <c r="B281" i="51"/>
  <c r="C280" i="51"/>
  <c r="F280" i="51"/>
  <c r="E280" i="51"/>
  <c r="D281" i="51" l="1"/>
  <c r="B282" i="51"/>
  <c r="C281" i="51"/>
  <c r="F281" i="51"/>
  <c r="E281" i="51"/>
  <c r="D282" i="51" l="1"/>
  <c r="B283" i="51"/>
  <c r="C282" i="51"/>
  <c r="F282" i="51"/>
  <c r="E282" i="51"/>
  <c r="D283" i="51" l="1"/>
  <c r="B284" i="51"/>
  <c r="C283" i="51"/>
  <c r="F283" i="51"/>
  <c r="E283" i="51"/>
  <c r="D284" i="51" l="1"/>
  <c r="B285" i="51"/>
  <c r="C284" i="51"/>
  <c r="F284" i="51"/>
  <c r="E284" i="51"/>
  <c r="D285" i="51" l="1"/>
  <c r="C285" i="51"/>
  <c r="B286" i="51"/>
  <c r="F285" i="51"/>
  <c r="E285" i="51"/>
  <c r="D286" i="51" l="1"/>
  <c r="B287" i="51"/>
  <c r="C286" i="51"/>
  <c r="F286" i="51"/>
  <c r="E286" i="51"/>
  <c r="D287" i="51" l="1"/>
  <c r="C287" i="51"/>
  <c r="B288" i="51"/>
  <c r="F287" i="51"/>
  <c r="E287" i="51"/>
  <c r="D288" i="51" l="1"/>
  <c r="C288" i="51"/>
  <c r="B289" i="51"/>
  <c r="F288" i="51"/>
  <c r="E288" i="51"/>
  <c r="D289" i="51" l="1"/>
  <c r="C289" i="51"/>
  <c r="B290" i="51"/>
  <c r="F289" i="51"/>
  <c r="E289" i="51"/>
  <c r="D290" i="51" l="1"/>
  <c r="B291" i="51"/>
  <c r="C290" i="51"/>
  <c r="F290" i="51"/>
  <c r="E290" i="51"/>
  <c r="D291" i="51" l="1"/>
  <c r="B292" i="51"/>
  <c r="C291" i="51"/>
  <c r="F291" i="51"/>
  <c r="E291" i="51"/>
  <c r="D292" i="51" l="1"/>
  <c r="B293" i="51"/>
  <c r="C292" i="51"/>
  <c r="F292" i="51"/>
  <c r="E292" i="51"/>
  <c r="D293" i="51" l="1"/>
  <c r="B294" i="51"/>
  <c r="C293" i="51"/>
  <c r="F293" i="51"/>
  <c r="E293" i="51"/>
  <c r="D294" i="51" l="1"/>
  <c r="B295" i="51"/>
  <c r="C294" i="51"/>
  <c r="F294" i="51"/>
  <c r="E294" i="51"/>
  <c r="D295" i="51" l="1"/>
  <c r="B296" i="51"/>
  <c r="C295" i="51"/>
  <c r="F295" i="51"/>
  <c r="E295" i="51"/>
  <c r="D296" i="51" l="1"/>
  <c r="B297" i="51"/>
  <c r="C296" i="51"/>
  <c r="F296" i="51"/>
  <c r="E296" i="51"/>
  <c r="D297" i="51" l="1"/>
  <c r="B298" i="51"/>
  <c r="C297" i="51"/>
  <c r="F297" i="51"/>
  <c r="E297" i="51"/>
  <c r="D298" i="51" l="1"/>
  <c r="B299" i="51"/>
  <c r="C298" i="51"/>
  <c r="F298" i="51"/>
  <c r="E298" i="51"/>
  <c r="D299" i="51" l="1"/>
  <c r="B300" i="51"/>
  <c r="C299" i="51"/>
  <c r="F299" i="51"/>
  <c r="E299" i="51"/>
  <c r="D300" i="51" l="1"/>
  <c r="C300" i="51"/>
  <c r="B301" i="51"/>
  <c r="F300" i="51"/>
  <c r="E300" i="51"/>
  <c r="D301" i="51" l="1"/>
  <c r="C301" i="51"/>
  <c r="B302" i="51"/>
  <c r="F301" i="51"/>
  <c r="E301" i="51"/>
  <c r="D302" i="51" l="1"/>
  <c r="B303" i="51"/>
  <c r="C302" i="51"/>
  <c r="F302" i="51"/>
  <c r="E302" i="51"/>
  <c r="D303" i="51" l="1"/>
  <c r="B304" i="51"/>
  <c r="C303" i="51"/>
  <c r="F303" i="51"/>
  <c r="E303" i="51"/>
  <c r="D304" i="51" l="1"/>
  <c r="B305" i="51"/>
  <c r="C304" i="51"/>
  <c r="F304" i="51"/>
  <c r="E304" i="51"/>
  <c r="D305" i="51" l="1"/>
  <c r="B306" i="51"/>
  <c r="C305" i="51"/>
  <c r="F305" i="51"/>
  <c r="E305" i="51"/>
  <c r="D306" i="51" l="1"/>
  <c r="B307" i="51"/>
  <c r="C306" i="51"/>
  <c r="F306" i="51"/>
  <c r="E306" i="51"/>
  <c r="D307" i="51" l="1"/>
  <c r="B308" i="51"/>
  <c r="C307" i="51"/>
  <c r="F307" i="51"/>
  <c r="E307" i="51"/>
  <c r="D308" i="51" l="1"/>
  <c r="C308" i="51"/>
  <c r="B309" i="51"/>
  <c r="F308" i="51"/>
  <c r="E308" i="51"/>
  <c r="D309" i="51" l="1"/>
  <c r="C309" i="51"/>
  <c r="B310" i="51"/>
  <c r="F309" i="51"/>
  <c r="E309" i="51"/>
  <c r="D310" i="51" l="1"/>
  <c r="B311" i="51"/>
  <c r="C310" i="51"/>
  <c r="F310" i="51"/>
  <c r="E310" i="51"/>
  <c r="D311" i="51" l="1"/>
  <c r="C311" i="51"/>
  <c r="B312" i="51"/>
  <c r="F311" i="51"/>
  <c r="E311" i="51"/>
  <c r="D312" i="51" l="1"/>
  <c r="C312" i="51"/>
  <c r="B313" i="51"/>
  <c r="F312" i="51"/>
  <c r="E312" i="51"/>
  <c r="D313" i="51" l="1"/>
  <c r="B314" i="51"/>
  <c r="C313" i="51"/>
  <c r="F313" i="51"/>
  <c r="E313" i="51"/>
  <c r="D314" i="51" l="1"/>
  <c r="B315" i="51"/>
  <c r="C314" i="51"/>
  <c r="F314" i="51"/>
  <c r="E314" i="51"/>
  <c r="D315" i="51" l="1"/>
  <c r="B316" i="51"/>
  <c r="C315" i="51"/>
  <c r="F315" i="51"/>
  <c r="E315" i="51"/>
  <c r="D316" i="51" l="1"/>
  <c r="C316" i="51"/>
  <c r="B317" i="51"/>
  <c r="F316" i="51"/>
  <c r="E316" i="51"/>
  <c r="D317" i="51" l="1"/>
  <c r="C317" i="51"/>
  <c r="B318" i="51"/>
  <c r="F317" i="51"/>
  <c r="E317" i="51"/>
  <c r="D318" i="51" l="1"/>
  <c r="B319" i="51"/>
  <c r="C318" i="51"/>
  <c r="F318" i="51"/>
  <c r="E318" i="51"/>
  <c r="D319" i="51" l="1"/>
  <c r="C319" i="51"/>
  <c r="B320" i="51"/>
  <c r="F319" i="51"/>
  <c r="E319" i="51"/>
  <c r="D320" i="51" l="1"/>
  <c r="C320" i="51"/>
  <c r="B321" i="51"/>
  <c r="F320" i="51"/>
  <c r="E320" i="51"/>
  <c r="D321" i="51" l="1"/>
  <c r="C321" i="51"/>
  <c r="B322" i="51"/>
  <c r="F321" i="51"/>
  <c r="E321" i="51"/>
  <c r="D322" i="51" l="1"/>
  <c r="B323" i="51"/>
  <c r="C322" i="51"/>
  <c r="F322" i="51"/>
  <c r="E322" i="51"/>
  <c r="D323" i="51" l="1"/>
  <c r="B324" i="51"/>
  <c r="C323" i="51"/>
  <c r="F323" i="51"/>
  <c r="E323" i="51"/>
  <c r="D324" i="51" l="1"/>
  <c r="B325" i="51"/>
  <c r="C324" i="51"/>
  <c r="F324" i="51"/>
  <c r="E324" i="51"/>
  <c r="D325" i="51" l="1"/>
  <c r="B326" i="51"/>
  <c r="C325" i="51"/>
  <c r="F325" i="51"/>
  <c r="E325" i="51"/>
  <c r="D326" i="51" l="1"/>
  <c r="B327" i="51"/>
  <c r="C326" i="51"/>
  <c r="F326" i="51"/>
  <c r="E326" i="51"/>
  <c r="D327" i="51" l="1"/>
  <c r="B328" i="51"/>
  <c r="C327" i="51"/>
  <c r="F327" i="51"/>
  <c r="E327" i="51"/>
  <c r="D328" i="51" l="1"/>
  <c r="B329" i="51"/>
  <c r="C328" i="51"/>
  <c r="F328" i="51"/>
  <c r="E328" i="51"/>
  <c r="D329" i="51" l="1"/>
  <c r="B330" i="51"/>
  <c r="C329" i="51"/>
  <c r="F329" i="51"/>
  <c r="E329" i="51"/>
  <c r="D330" i="51" l="1"/>
  <c r="B331" i="51"/>
  <c r="C330" i="51"/>
  <c r="F330" i="51"/>
  <c r="E330" i="51"/>
  <c r="D331" i="51" l="1"/>
  <c r="B332" i="51"/>
  <c r="C331" i="51"/>
  <c r="F331" i="51"/>
  <c r="E331" i="51"/>
  <c r="D332" i="51" l="1"/>
  <c r="C332" i="51"/>
  <c r="B333" i="51"/>
  <c r="F332" i="51"/>
  <c r="E332" i="51"/>
  <c r="D333" i="51" l="1"/>
  <c r="C333" i="51"/>
  <c r="B334" i="51"/>
  <c r="F333" i="51"/>
  <c r="E333" i="51"/>
  <c r="D334" i="51" l="1"/>
  <c r="B335" i="51"/>
  <c r="C334" i="51"/>
  <c r="F334" i="51"/>
  <c r="E334" i="51"/>
  <c r="D335" i="51" l="1"/>
  <c r="B336" i="51"/>
  <c r="C335" i="51"/>
  <c r="F335" i="51"/>
  <c r="E335" i="51"/>
  <c r="D336" i="51" l="1"/>
  <c r="B337" i="51"/>
  <c r="C336" i="51"/>
  <c r="F336" i="51"/>
  <c r="E336" i="51"/>
  <c r="D337" i="51" l="1"/>
  <c r="B338" i="51"/>
  <c r="C337" i="51"/>
  <c r="F337" i="51"/>
  <c r="E337" i="51"/>
  <c r="D338" i="51" l="1"/>
  <c r="B339" i="51"/>
  <c r="C338" i="51"/>
  <c r="F338" i="51"/>
  <c r="E338" i="51"/>
  <c r="D339" i="51" l="1"/>
  <c r="B340" i="51"/>
  <c r="C339" i="51"/>
  <c r="F339" i="51"/>
  <c r="E339" i="51"/>
  <c r="D340" i="51" l="1"/>
  <c r="C340" i="51"/>
  <c r="B341" i="51"/>
  <c r="F340" i="51"/>
  <c r="E340" i="51"/>
  <c r="D341" i="51" l="1"/>
  <c r="C341" i="51"/>
  <c r="B342" i="51"/>
  <c r="F341" i="51"/>
  <c r="E341" i="51"/>
  <c r="D342" i="51" l="1"/>
  <c r="B343" i="51"/>
  <c r="C342" i="51"/>
  <c r="F342" i="51"/>
  <c r="E342" i="51"/>
  <c r="D343" i="51" l="1"/>
  <c r="C343" i="51"/>
  <c r="B344" i="51"/>
  <c r="F343" i="51"/>
  <c r="E343" i="51"/>
  <c r="D344" i="51" l="1"/>
  <c r="C344" i="51"/>
  <c r="B345" i="51"/>
  <c r="F344" i="51"/>
  <c r="E344" i="51"/>
  <c r="D345" i="51" l="1"/>
  <c r="B346" i="51"/>
  <c r="C345" i="51"/>
  <c r="F345" i="51"/>
  <c r="E345" i="51"/>
  <c r="D346" i="51" l="1"/>
  <c r="B347" i="51"/>
  <c r="C346" i="51"/>
  <c r="F346" i="51"/>
  <c r="E346" i="51"/>
  <c r="D347" i="51" l="1"/>
  <c r="B348" i="51"/>
  <c r="C347" i="51"/>
  <c r="F347" i="51"/>
  <c r="E347" i="51"/>
  <c r="D348" i="51" l="1"/>
  <c r="C348" i="51"/>
  <c r="B349" i="51"/>
  <c r="F348" i="51"/>
  <c r="E348" i="51"/>
  <c r="D349" i="51" l="1"/>
  <c r="C349" i="51"/>
  <c r="B350" i="51"/>
  <c r="F349" i="51"/>
  <c r="E349" i="51"/>
  <c r="D350" i="51" l="1"/>
  <c r="C350" i="51"/>
  <c r="B351" i="51"/>
  <c r="F350" i="51"/>
  <c r="E350" i="51"/>
  <c r="D351" i="51" l="1"/>
  <c r="C351" i="51"/>
  <c r="B352" i="51"/>
  <c r="F351" i="51"/>
  <c r="E351" i="51"/>
  <c r="D352" i="51" l="1"/>
  <c r="C352" i="51"/>
  <c r="B353" i="51"/>
  <c r="F352" i="51"/>
  <c r="E352" i="51"/>
  <c r="D353" i="51" l="1"/>
  <c r="C353" i="51"/>
  <c r="B354" i="51"/>
  <c r="F353" i="51"/>
  <c r="E353" i="51"/>
  <c r="D354" i="51" l="1"/>
  <c r="B355" i="51"/>
  <c r="C354" i="51"/>
  <c r="F354" i="51"/>
  <c r="E354" i="51"/>
  <c r="D355" i="51" l="1"/>
  <c r="B356" i="51"/>
  <c r="C355" i="51"/>
  <c r="F355" i="51"/>
  <c r="E355" i="51"/>
  <c r="D356" i="51" l="1"/>
  <c r="C356" i="51"/>
  <c r="B357" i="51"/>
  <c r="F356" i="51"/>
  <c r="E356" i="51"/>
  <c r="D357" i="51" l="1"/>
  <c r="C357" i="51"/>
  <c r="B358" i="51"/>
  <c r="F357" i="51"/>
  <c r="E357" i="51"/>
  <c r="D358" i="51" l="1"/>
  <c r="C358" i="51"/>
  <c r="B359" i="51"/>
  <c r="F358" i="51"/>
  <c r="E358" i="51"/>
  <c r="D359" i="51" l="1"/>
  <c r="C359" i="51"/>
  <c r="B360" i="51"/>
  <c r="F359" i="51"/>
  <c r="E359" i="51"/>
  <c r="D360" i="51" l="1"/>
  <c r="C360" i="51"/>
  <c r="B361" i="51"/>
  <c r="F360" i="51"/>
  <c r="E360" i="51"/>
  <c r="D361" i="51" l="1"/>
  <c r="C361" i="51"/>
  <c r="B362" i="51"/>
  <c r="F361" i="51"/>
  <c r="E361" i="51"/>
  <c r="D362" i="51" l="1"/>
  <c r="B363" i="51"/>
  <c r="C362" i="51"/>
  <c r="F362" i="51"/>
  <c r="E362" i="51"/>
  <c r="D363" i="51" l="1"/>
  <c r="B364" i="51"/>
  <c r="C363" i="51"/>
  <c r="F363" i="51"/>
  <c r="E363" i="51"/>
  <c r="D364" i="51" l="1"/>
  <c r="C364" i="51"/>
  <c r="B365" i="51"/>
  <c r="F364" i="51"/>
  <c r="E364" i="51"/>
  <c r="D365" i="51" l="1"/>
  <c r="C365" i="51"/>
  <c r="B366" i="51"/>
  <c r="F365" i="51"/>
  <c r="E365" i="51"/>
  <c r="D366" i="51" l="1"/>
  <c r="C366" i="51"/>
  <c r="B367" i="51"/>
  <c r="F366" i="51"/>
  <c r="E366" i="51"/>
  <c r="D367" i="51" l="1"/>
  <c r="C367" i="51"/>
  <c r="B368" i="51"/>
  <c r="F367" i="51"/>
  <c r="E367" i="51"/>
  <c r="D368" i="51" l="1"/>
  <c r="C368" i="51"/>
  <c r="B369" i="51"/>
  <c r="F368" i="51"/>
  <c r="E368" i="51"/>
  <c r="D369" i="51" l="1"/>
  <c r="C369" i="51"/>
  <c r="B370" i="51"/>
  <c r="F369" i="51"/>
  <c r="E369" i="51"/>
  <c r="D370" i="51" l="1"/>
  <c r="B371" i="51"/>
  <c r="C370" i="51"/>
  <c r="F370" i="51"/>
  <c r="E370" i="51"/>
  <c r="D371" i="51" l="1"/>
  <c r="B372" i="51"/>
  <c r="C371" i="51"/>
  <c r="F371" i="51"/>
  <c r="E371" i="51"/>
  <c r="D372" i="51" l="1"/>
  <c r="C372" i="51"/>
  <c r="B373" i="51"/>
  <c r="F372" i="51"/>
  <c r="E372" i="51"/>
  <c r="D373" i="51" l="1"/>
  <c r="C373" i="51"/>
  <c r="B374" i="51"/>
  <c r="F373" i="51"/>
  <c r="E373" i="51"/>
  <c r="D374" i="51" l="1"/>
  <c r="C374" i="51"/>
  <c r="B375" i="51"/>
  <c r="F374" i="51"/>
  <c r="E374" i="51"/>
  <c r="D375" i="51" l="1"/>
  <c r="C375" i="51"/>
  <c r="B376" i="51"/>
  <c r="F375" i="51"/>
  <c r="E375" i="51"/>
  <c r="D376" i="51" l="1"/>
  <c r="C376" i="51"/>
  <c r="B377" i="51"/>
  <c r="F376" i="51"/>
  <c r="E376" i="51"/>
  <c r="D377" i="51" l="1"/>
  <c r="C377" i="51"/>
  <c r="B378" i="51"/>
  <c r="F377" i="51"/>
  <c r="E377" i="51"/>
  <c r="D378" i="51" l="1"/>
  <c r="B379" i="51"/>
  <c r="C378" i="51"/>
  <c r="F378" i="51"/>
  <c r="E378" i="51"/>
  <c r="D379" i="51" l="1"/>
  <c r="B380" i="51"/>
  <c r="C379" i="51"/>
  <c r="F379" i="51"/>
  <c r="E379" i="51"/>
  <c r="D380" i="51" l="1"/>
  <c r="C380" i="51"/>
  <c r="B381" i="51"/>
  <c r="F380" i="51"/>
  <c r="E380" i="51"/>
  <c r="D381" i="51" l="1"/>
  <c r="C381" i="51"/>
  <c r="B382" i="51"/>
  <c r="F381" i="51"/>
  <c r="E381" i="51"/>
  <c r="D382" i="51" l="1"/>
  <c r="C382" i="51"/>
  <c r="B383" i="51"/>
  <c r="F382" i="51"/>
  <c r="E382" i="51"/>
  <c r="D383" i="51" l="1"/>
  <c r="C383" i="51"/>
  <c r="B384" i="51"/>
  <c r="F383" i="51"/>
  <c r="E383" i="51"/>
  <c r="D384" i="51" l="1"/>
  <c r="C384" i="51"/>
  <c r="B385" i="51"/>
  <c r="F384" i="51"/>
  <c r="E384" i="51"/>
  <c r="D385" i="51" l="1"/>
  <c r="C385" i="51"/>
  <c r="B386" i="51"/>
  <c r="F385" i="51"/>
  <c r="E385" i="51"/>
  <c r="D386" i="51" l="1"/>
  <c r="B387" i="51"/>
  <c r="C386" i="51"/>
  <c r="F386" i="51"/>
  <c r="E386" i="51"/>
  <c r="D387" i="51" l="1"/>
  <c r="B388" i="51"/>
  <c r="C387" i="51"/>
  <c r="F387" i="51"/>
  <c r="E387" i="51"/>
  <c r="D388" i="51" l="1"/>
  <c r="C388" i="51"/>
  <c r="B389" i="51"/>
  <c r="F388" i="51"/>
  <c r="E388" i="51"/>
  <c r="D389" i="51" l="1"/>
  <c r="C389" i="51"/>
  <c r="B390" i="51"/>
  <c r="F389" i="51"/>
  <c r="E389" i="51"/>
  <c r="D390" i="51" l="1"/>
  <c r="C390" i="51"/>
  <c r="B391" i="51"/>
  <c r="F390" i="51"/>
  <c r="E390" i="51"/>
  <c r="D391" i="51" l="1"/>
  <c r="C391" i="51"/>
  <c r="B392" i="51"/>
  <c r="F391" i="51"/>
  <c r="E391" i="51"/>
  <c r="D392" i="51" l="1"/>
  <c r="C392" i="51"/>
  <c r="B393" i="51"/>
  <c r="F392" i="51"/>
  <c r="E392" i="51"/>
  <c r="D393" i="51" l="1"/>
  <c r="C393" i="51"/>
  <c r="B394" i="51"/>
  <c r="F393" i="51"/>
  <c r="E393" i="51"/>
  <c r="D394" i="51" l="1"/>
  <c r="B395" i="51"/>
  <c r="C394" i="51"/>
  <c r="F394" i="51"/>
  <c r="E394" i="51"/>
  <c r="D395" i="51" l="1"/>
  <c r="B396" i="51"/>
  <c r="C395" i="51"/>
  <c r="F395" i="51"/>
  <c r="E395" i="51"/>
  <c r="D396" i="51" l="1"/>
  <c r="C396" i="51"/>
  <c r="B397" i="51"/>
  <c r="F396" i="51"/>
  <c r="E396" i="51"/>
  <c r="D397" i="51" l="1"/>
  <c r="C397" i="51"/>
  <c r="B398" i="51"/>
  <c r="F397" i="51"/>
  <c r="E397" i="51"/>
  <c r="D398" i="51" l="1"/>
  <c r="C398" i="51"/>
  <c r="B399" i="51"/>
  <c r="F398" i="51"/>
  <c r="E398" i="51"/>
  <c r="D399" i="51" l="1"/>
  <c r="C399" i="51"/>
  <c r="B400" i="51"/>
  <c r="F399" i="51"/>
  <c r="E399" i="51"/>
  <c r="D400" i="51" l="1"/>
  <c r="C400" i="51"/>
  <c r="B401" i="51"/>
  <c r="F400" i="51"/>
  <c r="E400" i="51"/>
  <c r="D401" i="51" l="1"/>
  <c r="C401" i="51"/>
  <c r="B402" i="51"/>
  <c r="F401" i="51"/>
  <c r="E401" i="51"/>
  <c r="D402" i="51" l="1"/>
  <c r="B403" i="51"/>
  <c r="C402" i="51"/>
  <c r="F402" i="51"/>
  <c r="E402" i="51"/>
  <c r="D403" i="51" l="1"/>
  <c r="B404" i="51"/>
  <c r="C403" i="51"/>
  <c r="F403" i="51"/>
  <c r="E403" i="51"/>
  <c r="D404" i="51" l="1"/>
  <c r="C404" i="51"/>
  <c r="B405" i="51"/>
  <c r="F404" i="51"/>
  <c r="E404" i="51"/>
  <c r="D405" i="51" l="1"/>
  <c r="C405" i="51"/>
  <c r="B406" i="51"/>
  <c r="F405" i="51"/>
  <c r="E405" i="51"/>
  <c r="D406" i="51" l="1"/>
  <c r="C406" i="51"/>
  <c r="B407" i="51"/>
  <c r="F406" i="51"/>
  <c r="E406" i="51"/>
  <c r="D407" i="51" l="1"/>
  <c r="C407" i="51"/>
  <c r="B408" i="51"/>
  <c r="F407" i="51"/>
  <c r="E407" i="51"/>
  <c r="D408" i="51" l="1"/>
  <c r="C408" i="51"/>
  <c r="A408" i="51"/>
  <c r="A409" i="51" s="1"/>
  <c r="F408" i="51"/>
  <c r="F409" i="51" s="1"/>
  <c r="E408" i="51"/>
  <c r="J43" i="51" l="1"/>
  <c r="I45" i="51"/>
  <c r="J44" i="51"/>
  <c r="M60" i="17" l="1"/>
  <c r="M60" i="16"/>
  <c r="M60" i="15"/>
  <c r="M60" i="20"/>
  <c r="M60" i="21"/>
  <c r="M60" i="23"/>
  <c r="M60" i="12"/>
  <c r="M60" i="22"/>
  <c r="M60" i="14"/>
  <c r="M60" i="18"/>
  <c r="M60" i="13"/>
  <c r="M60" i="10"/>
  <c r="M60" i="9"/>
  <c r="M60" i="11"/>
  <c r="M60" i="5"/>
  <c r="M60" i="7"/>
  <c r="M60" i="19"/>
  <c r="M60" i="6"/>
  <c r="M60" i="8"/>
  <c r="V44" i="51"/>
  <c r="U44" i="51"/>
  <c r="T44" i="51"/>
  <c r="S44" i="51"/>
  <c r="Z44" i="51"/>
  <c r="R44" i="51"/>
  <c r="Y44" i="51"/>
  <c r="Q44" i="51"/>
  <c r="X44" i="51"/>
  <c r="P44" i="51"/>
  <c r="W44" i="51"/>
  <c r="O44" i="51"/>
  <c r="O43" i="51"/>
  <c r="Z43" i="51"/>
  <c r="R43" i="51"/>
  <c r="Y43" i="51"/>
  <c r="Q43" i="51"/>
  <c r="X43" i="51"/>
  <c r="P43" i="51"/>
  <c r="W43" i="51"/>
  <c r="V43" i="51"/>
  <c r="U43" i="51"/>
  <c r="T43" i="51"/>
  <c r="S43" i="51"/>
  <c r="I46" i="51"/>
  <c r="M60" i="4"/>
  <c r="H45" i="51"/>
  <c r="N45" i="51"/>
  <c r="J45" i="51"/>
  <c r="N60" i="7" l="1"/>
  <c r="O60" i="7"/>
  <c r="N60" i="22"/>
  <c r="O60" i="22"/>
  <c r="O60" i="11"/>
  <c r="N60" i="11"/>
  <c r="N60" i="23"/>
  <c r="O60" i="23"/>
  <c r="O60" i="9"/>
  <c r="N60" i="9"/>
  <c r="O60" i="21"/>
  <c r="N60" i="21"/>
  <c r="O60" i="10"/>
  <c r="N60" i="10"/>
  <c r="N60" i="20"/>
  <c r="O60" i="20"/>
  <c r="O60" i="5"/>
  <c r="N60" i="5"/>
  <c r="O60" i="12"/>
  <c r="N60" i="12"/>
  <c r="M61" i="20"/>
  <c r="M61" i="19"/>
  <c r="M61" i="18"/>
  <c r="M61" i="21"/>
  <c r="M61" i="23"/>
  <c r="M61" i="13"/>
  <c r="M61" i="22"/>
  <c r="M61" i="17"/>
  <c r="M61" i="16"/>
  <c r="M61" i="15"/>
  <c r="M61" i="12"/>
  <c r="M61" i="14"/>
  <c r="M61" i="10"/>
  <c r="M61" i="9"/>
  <c r="M61" i="8"/>
  <c r="M61" i="11"/>
  <c r="M61" i="7"/>
  <c r="M61" i="6"/>
  <c r="M61" i="5"/>
  <c r="O60" i="8"/>
  <c r="N60" i="8"/>
  <c r="O60" i="13"/>
  <c r="N60" i="13"/>
  <c r="N60" i="15"/>
  <c r="O60" i="15"/>
  <c r="N60" i="6"/>
  <c r="O60" i="6"/>
  <c r="O60" i="18"/>
  <c r="N60" i="18"/>
  <c r="N60" i="16"/>
  <c r="O60" i="16"/>
  <c r="O60" i="19"/>
  <c r="N60" i="19"/>
  <c r="O60" i="14"/>
  <c r="N60" i="14"/>
  <c r="N60" i="17"/>
  <c r="O60" i="17"/>
  <c r="Z45" i="51"/>
  <c r="R45" i="51"/>
  <c r="Y45" i="51"/>
  <c r="Q45" i="51"/>
  <c r="X45" i="51"/>
  <c r="P45" i="51"/>
  <c r="W45" i="51"/>
  <c r="O45" i="51"/>
  <c r="V45" i="51"/>
  <c r="U45" i="51"/>
  <c r="T45" i="51"/>
  <c r="S45" i="51"/>
  <c r="O60" i="4"/>
  <c r="N60" i="4"/>
  <c r="I47" i="51"/>
  <c r="M61" i="4"/>
  <c r="H46" i="51"/>
  <c r="N46" i="51"/>
  <c r="J46" i="51"/>
  <c r="Q60" i="4" l="1"/>
  <c r="W60" i="4"/>
  <c r="AL60" i="4"/>
  <c r="AI60" i="4"/>
  <c r="T60" i="4"/>
  <c r="AB45" i="51"/>
  <c r="M62" i="21"/>
  <c r="M62" i="23"/>
  <c r="M62" i="13"/>
  <c r="M62" i="22"/>
  <c r="M62" i="20"/>
  <c r="M62" i="19"/>
  <c r="M62" i="18"/>
  <c r="M62" i="14"/>
  <c r="M62" i="5"/>
  <c r="M62" i="15"/>
  <c r="M62" i="10"/>
  <c r="M62" i="9"/>
  <c r="M62" i="16"/>
  <c r="M62" i="8"/>
  <c r="M62" i="7"/>
  <c r="M62" i="6"/>
  <c r="M62" i="11"/>
  <c r="M62" i="17"/>
  <c r="M62" i="12"/>
  <c r="O61" i="14"/>
  <c r="N61" i="14"/>
  <c r="O61" i="21"/>
  <c r="N61" i="21"/>
  <c r="O61" i="5"/>
  <c r="N61" i="5"/>
  <c r="O61" i="12"/>
  <c r="N61" i="12"/>
  <c r="O61" i="18"/>
  <c r="N61" i="18"/>
  <c r="O61" i="6"/>
  <c r="N61" i="6"/>
  <c r="O61" i="15"/>
  <c r="N61" i="15"/>
  <c r="O61" i="19"/>
  <c r="N61" i="19"/>
  <c r="O61" i="7"/>
  <c r="N61" i="7"/>
  <c r="O61" i="16"/>
  <c r="N61" i="16"/>
  <c r="O61" i="20"/>
  <c r="N61" i="20"/>
  <c r="O61" i="11"/>
  <c r="N61" i="11"/>
  <c r="O61" i="17"/>
  <c r="N61" i="17"/>
  <c r="O61" i="8"/>
  <c r="N61" i="8"/>
  <c r="O61" i="22"/>
  <c r="N61" i="22"/>
  <c r="O61" i="9"/>
  <c r="N61" i="9"/>
  <c r="O61" i="13"/>
  <c r="N61" i="13"/>
  <c r="O61" i="10"/>
  <c r="N61" i="10"/>
  <c r="N61" i="23"/>
  <c r="O61" i="23"/>
  <c r="V46" i="51"/>
  <c r="U46" i="51"/>
  <c r="T46" i="51"/>
  <c r="S46" i="51"/>
  <c r="Z46" i="51"/>
  <c r="R46" i="51"/>
  <c r="Y46" i="51"/>
  <c r="Q46" i="51"/>
  <c r="X46" i="51"/>
  <c r="P46" i="51"/>
  <c r="W46" i="51"/>
  <c r="O46" i="51"/>
  <c r="I48" i="51"/>
  <c r="M62" i="4"/>
  <c r="H47" i="51"/>
  <c r="N47" i="51"/>
  <c r="J47" i="51"/>
  <c r="O61" i="4"/>
  <c r="N61" i="4"/>
  <c r="AI61" i="4" l="1"/>
  <c r="T61" i="4"/>
  <c r="W61" i="4"/>
  <c r="AL61" i="4"/>
  <c r="Q61" i="4"/>
  <c r="AK46" i="51"/>
  <c r="AK45" i="51"/>
  <c r="AB46" i="51"/>
  <c r="O62" i="6"/>
  <c r="N62" i="6"/>
  <c r="O62" i="14"/>
  <c r="N62" i="14"/>
  <c r="N62" i="7"/>
  <c r="O62" i="7"/>
  <c r="O62" i="18"/>
  <c r="N62" i="18"/>
  <c r="N62" i="8"/>
  <c r="O62" i="8"/>
  <c r="O62" i="19"/>
  <c r="N62" i="19"/>
  <c r="N62" i="16"/>
  <c r="O62" i="16"/>
  <c r="N62" i="20"/>
  <c r="O62" i="20"/>
  <c r="M63" i="23"/>
  <c r="M63" i="12"/>
  <c r="M63" i="22"/>
  <c r="M63" i="16"/>
  <c r="M63" i="14"/>
  <c r="M63" i="21"/>
  <c r="M63" i="20"/>
  <c r="M63" i="13"/>
  <c r="M63" i="8"/>
  <c r="M63" i="7"/>
  <c r="M63" i="6"/>
  <c r="M63" i="11"/>
  <c r="M63" i="19"/>
  <c r="M63" i="5"/>
  <c r="M63" i="18"/>
  <c r="M63" i="17"/>
  <c r="M63" i="10"/>
  <c r="M63" i="9"/>
  <c r="M63" i="15"/>
  <c r="O62" i="9"/>
  <c r="N62" i="9"/>
  <c r="O62" i="22"/>
  <c r="N62" i="22"/>
  <c r="O62" i="12"/>
  <c r="N62" i="12"/>
  <c r="O62" i="10"/>
  <c r="N62" i="10"/>
  <c r="O62" i="13"/>
  <c r="N62" i="13"/>
  <c r="N62" i="17"/>
  <c r="O62" i="17"/>
  <c r="N62" i="15"/>
  <c r="O62" i="15"/>
  <c r="N62" i="23"/>
  <c r="O62" i="23"/>
  <c r="O62" i="11"/>
  <c r="N62" i="11"/>
  <c r="O62" i="5"/>
  <c r="N62" i="5"/>
  <c r="N62" i="21"/>
  <c r="O62" i="21"/>
  <c r="Z47" i="51"/>
  <c r="R47" i="51"/>
  <c r="Y47" i="51"/>
  <c r="Q47" i="51"/>
  <c r="X47" i="51"/>
  <c r="P47" i="51"/>
  <c r="W47" i="51"/>
  <c r="O47" i="51"/>
  <c r="V47" i="51"/>
  <c r="U47" i="51"/>
  <c r="T47" i="51"/>
  <c r="S47" i="51"/>
  <c r="O62" i="4"/>
  <c r="N62" i="4"/>
  <c r="I49" i="51"/>
  <c r="M63" i="4"/>
  <c r="H48" i="51"/>
  <c r="N48" i="51"/>
  <c r="J48" i="51"/>
  <c r="Q62" i="4" l="1"/>
  <c r="T62" i="4"/>
  <c r="AL62" i="4"/>
  <c r="AI62" i="4"/>
  <c r="W62" i="4"/>
  <c r="AB47" i="51"/>
  <c r="O63" i="17"/>
  <c r="N63" i="17"/>
  <c r="O63" i="13"/>
  <c r="N63" i="13"/>
  <c r="O63" i="18"/>
  <c r="N63" i="18"/>
  <c r="O63" i="20"/>
  <c r="N63" i="20"/>
  <c r="O63" i="5"/>
  <c r="N63" i="5"/>
  <c r="O63" i="21"/>
  <c r="N63" i="21"/>
  <c r="O63" i="19"/>
  <c r="N63" i="19"/>
  <c r="O63" i="14"/>
  <c r="N63" i="14"/>
  <c r="O63" i="11"/>
  <c r="N63" i="11"/>
  <c r="O63" i="16"/>
  <c r="N63" i="16"/>
  <c r="M64" i="22"/>
  <c r="M64" i="16"/>
  <c r="M64" i="14"/>
  <c r="M64" i="17"/>
  <c r="M64" i="15"/>
  <c r="M64" i="21"/>
  <c r="M64" i="23"/>
  <c r="M64" i="12"/>
  <c r="M64" i="20"/>
  <c r="M64" i="18"/>
  <c r="M64" i="10"/>
  <c r="M64" i="11"/>
  <c r="M64" i="19"/>
  <c r="M64" i="9"/>
  <c r="M64" i="7"/>
  <c r="M64" i="8"/>
  <c r="M64" i="6"/>
  <c r="M64" i="5"/>
  <c r="M64" i="13"/>
  <c r="N63" i="15"/>
  <c r="O63" i="15"/>
  <c r="N63" i="6"/>
  <c r="O63" i="6"/>
  <c r="N63" i="22"/>
  <c r="O63" i="22"/>
  <c r="O63" i="9"/>
  <c r="N63" i="9"/>
  <c r="O63" i="7"/>
  <c r="N63" i="7"/>
  <c r="O63" i="12"/>
  <c r="N63" i="12"/>
  <c r="O63" i="10"/>
  <c r="N63" i="10"/>
  <c r="O63" i="8"/>
  <c r="N63" i="8"/>
  <c r="N63" i="23"/>
  <c r="O63" i="23"/>
  <c r="V48" i="51"/>
  <c r="U48" i="51"/>
  <c r="T48" i="51"/>
  <c r="S48" i="51"/>
  <c r="Z48" i="51"/>
  <c r="R48" i="51"/>
  <c r="Y48" i="51"/>
  <c r="Q48" i="51"/>
  <c r="X48" i="51"/>
  <c r="P48" i="51"/>
  <c r="O48" i="51"/>
  <c r="W48" i="51"/>
  <c r="I50" i="51"/>
  <c r="M64" i="4"/>
  <c r="J49" i="51"/>
  <c r="H49" i="51"/>
  <c r="N49" i="51"/>
  <c r="N63" i="4"/>
  <c r="O63" i="4"/>
  <c r="AL63" i="4" l="1"/>
  <c r="T63" i="4"/>
  <c r="AI63" i="4"/>
  <c r="W63" i="4"/>
  <c r="Q63" i="4"/>
  <c r="AB48" i="51"/>
  <c r="AK48" i="51"/>
  <c r="AK47" i="51"/>
  <c r="O64" i="11"/>
  <c r="N64" i="11"/>
  <c r="N64" i="17"/>
  <c r="O64" i="17"/>
  <c r="O64" i="13"/>
  <c r="N64" i="13"/>
  <c r="O64" i="10"/>
  <c r="N64" i="10"/>
  <c r="O64" i="14"/>
  <c r="N64" i="14"/>
  <c r="O64" i="5"/>
  <c r="N64" i="5"/>
  <c r="O64" i="18"/>
  <c r="N64" i="18"/>
  <c r="O64" i="16"/>
  <c r="N64" i="16"/>
  <c r="N64" i="6"/>
  <c r="O64" i="6"/>
  <c r="N64" i="20"/>
  <c r="O64" i="20"/>
  <c r="N64" i="22"/>
  <c r="O64" i="22"/>
  <c r="M65" i="13"/>
  <c r="M65" i="22"/>
  <c r="M65" i="17"/>
  <c r="M65" i="15"/>
  <c r="M65" i="20"/>
  <c r="M65" i="19"/>
  <c r="M65" i="18"/>
  <c r="M65" i="23"/>
  <c r="M65" i="10"/>
  <c r="M65" i="9"/>
  <c r="M65" i="16"/>
  <c r="M65" i="21"/>
  <c r="M65" i="14"/>
  <c r="M65" i="8"/>
  <c r="M65" i="7"/>
  <c r="M65" i="6"/>
  <c r="M65" i="5"/>
  <c r="M65" i="12"/>
  <c r="M65" i="11"/>
  <c r="O64" i="8"/>
  <c r="N64" i="8"/>
  <c r="O64" i="12"/>
  <c r="N64" i="12"/>
  <c r="N64" i="7"/>
  <c r="O64" i="7"/>
  <c r="N64" i="23"/>
  <c r="O64" i="23"/>
  <c r="O64" i="9"/>
  <c r="N64" i="9"/>
  <c r="N64" i="21"/>
  <c r="O64" i="21"/>
  <c r="O64" i="19"/>
  <c r="N64" i="19"/>
  <c r="N64" i="15"/>
  <c r="O64" i="15"/>
  <c r="Z49" i="51"/>
  <c r="R49" i="51"/>
  <c r="Y49" i="51"/>
  <c r="Q49" i="51"/>
  <c r="X49" i="51"/>
  <c r="P49" i="51"/>
  <c r="W49" i="51"/>
  <c r="O49" i="51"/>
  <c r="V49" i="51"/>
  <c r="U49" i="51"/>
  <c r="T49" i="51"/>
  <c r="S49" i="51"/>
  <c r="O64" i="4"/>
  <c r="N64" i="4"/>
  <c r="I51" i="51"/>
  <c r="M65" i="4"/>
  <c r="N50" i="51"/>
  <c r="J50" i="51"/>
  <c r="H50" i="51"/>
  <c r="T64" i="4" l="1"/>
  <c r="W64" i="4"/>
  <c r="AL64" i="4"/>
  <c r="Q64" i="4"/>
  <c r="AI64" i="4"/>
  <c r="AB49" i="51"/>
  <c r="O65" i="12"/>
  <c r="N65" i="12"/>
  <c r="O65" i="9"/>
  <c r="N65" i="9"/>
  <c r="O65" i="22"/>
  <c r="N65" i="22"/>
  <c r="O65" i="5"/>
  <c r="N65" i="5"/>
  <c r="O65" i="10"/>
  <c r="N65" i="10"/>
  <c r="O65" i="13"/>
  <c r="N65" i="13"/>
  <c r="N65" i="6"/>
  <c r="O65" i="6"/>
  <c r="N65" i="23"/>
  <c r="O65" i="23"/>
  <c r="O65" i="7"/>
  <c r="N65" i="7"/>
  <c r="O65" i="18"/>
  <c r="N65" i="18"/>
  <c r="O65" i="8"/>
  <c r="N65" i="8"/>
  <c r="N65" i="19"/>
  <c r="O65" i="19"/>
  <c r="M66" i="22"/>
  <c r="M66" i="20"/>
  <c r="M66" i="19"/>
  <c r="M66" i="18"/>
  <c r="M66" i="21"/>
  <c r="M66" i="23"/>
  <c r="M66" i="13"/>
  <c r="M66" i="8"/>
  <c r="M66" i="7"/>
  <c r="M66" i="6"/>
  <c r="M66" i="15"/>
  <c r="M66" i="5"/>
  <c r="M66" i="17"/>
  <c r="M66" i="12"/>
  <c r="M66" i="10"/>
  <c r="M66" i="9"/>
  <c r="M66" i="11"/>
  <c r="M66" i="16"/>
  <c r="M66" i="14"/>
  <c r="O65" i="14"/>
  <c r="N65" i="14"/>
  <c r="O65" i="20"/>
  <c r="N65" i="20"/>
  <c r="O65" i="21"/>
  <c r="N65" i="21"/>
  <c r="O65" i="15"/>
  <c r="N65" i="15"/>
  <c r="O65" i="11"/>
  <c r="N65" i="11"/>
  <c r="O65" i="16"/>
  <c r="N65" i="16"/>
  <c r="O65" i="17"/>
  <c r="N65" i="17"/>
  <c r="V50" i="51"/>
  <c r="U50" i="51"/>
  <c r="T50" i="51"/>
  <c r="S50" i="51"/>
  <c r="Z50" i="51"/>
  <c r="R50" i="51"/>
  <c r="Y50" i="51"/>
  <c r="Q50" i="51"/>
  <c r="X50" i="51"/>
  <c r="P50" i="51"/>
  <c r="W50" i="51"/>
  <c r="O50" i="51"/>
  <c r="O65" i="4"/>
  <c r="N65" i="4"/>
  <c r="I52" i="51"/>
  <c r="M66" i="4"/>
  <c r="H51" i="51"/>
  <c r="N51" i="51"/>
  <c r="J51" i="51"/>
  <c r="AL65" i="4" l="1"/>
  <c r="T65" i="4"/>
  <c r="AI65" i="4"/>
  <c r="W65" i="4"/>
  <c r="Q65" i="4"/>
  <c r="AK50" i="51"/>
  <c r="AK49" i="51"/>
  <c r="AB50" i="51"/>
  <c r="N66" i="9"/>
  <c r="O66" i="9"/>
  <c r="N66" i="8"/>
  <c r="O66" i="8"/>
  <c r="O66" i="10"/>
  <c r="N66" i="10"/>
  <c r="O66" i="13"/>
  <c r="N66" i="13"/>
  <c r="O66" i="12"/>
  <c r="N66" i="12"/>
  <c r="N66" i="23"/>
  <c r="O66" i="23"/>
  <c r="N66" i="17"/>
  <c r="O66" i="17"/>
  <c r="N66" i="21"/>
  <c r="O66" i="21"/>
  <c r="O66" i="5"/>
  <c r="N66" i="5"/>
  <c r="O66" i="18"/>
  <c r="N66" i="18"/>
  <c r="M67" i="22"/>
  <c r="M67" i="16"/>
  <c r="M67" i="14"/>
  <c r="M67" i="20"/>
  <c r="M67" i="21"/>
  <c r="M67" i="23"/>
  <c r="M67" i="12"/>
  <c r="M67" i="18"/>
  <c r="M67" i="15"/>
  <c r="M67" i="11"/>
  <c r="M67" i="13"/>
  <c r="M67" i="19"/>
  <c r="M67" i="5"/>
  <c r="M67" i="17"/>
  <c r="M67" i="8"/>
  <c r="M67" i="7"/>
  <c r="M67" i="6"/>
  <c r="M67" i="10"/>
  <c r="M67" i="9"/>
  <c r="O66" i="14"/>
  <c r="N66" i="14"/>
  <c r="N66" i="15"/>
  <c r="O66" i="15"/>
  <c r="O66" i="19"/>
  <c r="N66" i="19"/>
  <c r="N66" i="16"/>
  <c r="O66" i="16"/>
  <c r="O66" i="6"/>
  <c r="N66" i="6"/>
  <c r="N66" i="20"/>
  <c r="O66" i="20"/>
  <c r="O66" i="11"/>
  <c r="N66" i="11"/>
  <c r="N66" i="7"/>
  <c r="O66" i="7"/>
  <c r="N66" i="22"/>
  <c r="O66" i="22"/>
  <c r="Z51" i="51"/>
  <c r="R51" i="51"/>
  <c r="Y51" i="51"/>
  <c r="Q51" i="51"/>
  <c r="X51" i="51"/>
  <c r="P51" i="51"/>
  <c r="W51" i="51"/>
  <c r="O51" i="51"/>
  <c r="V51" i="51"/>
  <c r="U51" i="51"/>
  <c r="T51" i="51"/>
  <c r="S51" i="51"/>
  <c r="O66" i="4"/>
  <c r="N66" i="4"/>
  <c r="I53" i="51"/>
  <c r="M67" i="4"/>
  <c r="H52" i="51"/>
  <c r="N52" i="51"/>
  <c r="J52" i="51"/>
  <c r="AI66" i="4" l="1"/>
  <c r="T66" i="4"/>
  <c r="AL66" i="4"/>
  <c r="Q66" i="4"/>
  <c r="W66" i="4"/>
  <c r="AB51" i="51"/>
  <c r="AK51" i="51"/>
  <c r="O67" i="9"/>
  <c r="N67" i="9"/>
  <c r="O67" i="13"/>
  <c r="N67" i="13"/>
  <c r="O67" i="14"/>
  <c r="N67" i="14"/>
  <c r="O67" i="10"/>
  <c r="N67" i="10"/>
  <c r="O67" i="11"/>
  <c r="N67" i="11"/>
  <c r="O67" i="16"/>
  <c r="N67" i="16"/>
  <c r="O67" i="6"/>
  <c r="N67" i="6"/>
  <c r="O67" i="15"/>
  <c r="N67" i="15"/>
  <c r="O67" i="22"/>
  <c r="N67" i="22"/>
  <c r="O67" i="7"/>
  <c r="N67" i="7"/>
  <c r="O67" i="18"/>
  <c r="N67" i="18"/>
  <c r="M68" i="20"/>
  <c r="M68" i="17"/>
  <c r="M68" i="15"/>
  <c r="M68" i="21"/>
  <c r="M68" i="23"/>
  <c r="M68" i="12"/>
  <c r="M68" i="22"/>
  <c r="M68" i="16"/>
  <c r="M68" i="14"/>
  <c r="M68" i="13"/>
  <c r="M68" i="10"/>
  <c r="M68" i="9"/>
  <c r="M68" i="18"/>
  <c r="M68" i="11"/>
  <c r="M68" i="19"/>
  <c r="M68" i="6"/>
  <c r="M68" i="8"/>
  <c r="M68" i="5"/>
  <c r="M68" i="7"/>
  <c r="O67" i="8"/>
  <c r="N67" i="8"/>
  <c r="O67" i="12"/>
  <c r="N67" i="12"/>
  <c r="O67" i="17"/>
  <c r="N67" i="17"/>
  <c r="N67" i="23"/>
  <c r="O67" i="23"/>
  <c r="O67" i="5"/>
  <c r="N67" i="5"/>
  <c r="O67" i="21"/>
  <c r="N67" i="21"/>
  <c r="O67" i="19"/>
  <c r="N67" i="19"/>
  <c r="O67" i="20"/>
  <c r="N67" i="20"/>
  <c r="V52" i="51"/>
  <c r="U52" i="51"/>
  <c r="T52" i="51"/>
  <c r="S52" i="51"/>
  <c r="Z52" i="51"/>
  <c r="R52" i="51"/>
  <c r="Y52" i="51"/>
  <c r="Q52" i="51"/>
  <c r="X52" i="51"/>
  <c r="P52" i="51"/>
  <c r="W52" i="51"/>
  <c r="O52" i="51"/>
  <c r="I54" i="51"/>
  <c r="M68" i="4"/>
  <c r="N53" i="51"/>
  <c r="J53" i="51"/>
  <c r="H53" i="51"/>
  <c r="N67" i="4"/>
  <c r="O67" i="4"/>
  <c r="T67" i="4" l="1"/>
  <c r="AL67" i="4"/>
  <c r="W67" i="4"/>
  <c r="Q67" i="4"/>
  <c r="AI67" i="4"/>
  <c r="AK52" i="51"/>
  <c r="AB52" i="51"/>
  <c r="O68" i="5"/>
  <c r="N68" i="5"/>
  <c r="O68" i="13"/>
  <c r="N68" i="13"/>
  <c r="O68" i="17"/>
  <c r="N68" i="17"/>
  <c r="O68" i="8"/>
  <c r="N68" i="8"/>
  <c r="O68" i="14"/>
  <c r="N68" i="14"/>
  <c r="N68" i="20"/>
  <c r="O68" i="20"/>
  <c r="N68" i="6"/>
  <c r="O68" i="6"/>
  <c r="O68" i="16"/>
  <c r="N68" i="16"/>
  <c r="O68" i="19"/>
  <c r="N68" i="19"/>
  <c r="N68" i="22"/>
  <c r="O68" i="22"/>
  <c r="O68" i="11"/>
  <c r="N68" i="11"/>
  <c r="O68" i="12"/>
  <c r="N68" i="12"/>
  <c r="O68" i="18"/>
  <c r="N68" i="18"/>
  <c r="N68" i="23"/>
  <c r="O68" i="23"/>
  <c r="M69" i="19"/>
  <c r="M69" i="18"/>
  <c r="M69" i="21"/>
  <c r="M69" i="23"/>
  <c r="M69" i="13"/>
  <c r="M69" i="22"/>
  <c r="M69" i="20"/>
  <c r="M69" i="17"/>
  <c r="M69" i="15"/>
  <c r="M69" i="16"/>
  <c r="M69" i="12"/>
  <c r="M69" i="10"/>
  <c r="M69" i="9"/>
  <c r="M69" i="14"/>
  <c r="M69" i="8"/>
  <c r="M69" i="5"/>
  <c r="M69" i="6"/>
  <c r="M69" i="11"/>
  <c r="M69" i="7"/>
  <c r="O68" i="9"/>
  <c r="N68" i="9"/>
  <c r="N68" i="21"/>
  <c r="O68" i="21"/>
  <c r="N68" i="7"/>
  <c r="O68" i="7"/>
  <c r="O68" i="10"/>
  <c r="N68" i="10"/>
  <c r="N68" i="15"/>
  <c r="O68" i="15"/>
  <c r="Z53" i="51"/>
  <c r="R53" i="51"/>
  <c r="Y53" i="51"/>
  <c r="Q53" i="51"/>
  <c r="X53" i="51"/>
  <c r="P53" i="51"/>
  <c r="W53" i="51"/>
  <c r="O53" i="51"/>
  <c r="V53" i="51"/>
  <c r="U53" i="51"/>
  <c r="T53" i="51"/>
  <c r="S53" i="51"/>
  <c r="N68" i="4"/>
  <c r="O68" i="4"/>
  <c r="I55" i="51"/>
  <c r="M69" i="4"/>
  <c r="H54" i="51"/>
  <c r="N54" i="51"/>
  <c r="J54" i="51"/>
  <c r="AI68" i="4" l="1"/>
  <c r="T68" i="4"/>
  <c r="W68" i="4"/>
  <c r="Q68" i="4"/>
  <c r="AL68" i="4"/>
  <c r="AB53" i="51"/>
  <c r="AK53" i="51"/>
  <c r="N69" i="10"/>
  <c r="O69" i="10"/>
  <c r="O69" i="23"/>
  <c r="N69" i="23"/>
  <c r="O69" i="7"/>
  <c r="N69" i="7"/>
  <c r="O69" i="12"/>
  <c r="N69" i="12"/>
  <c r="O69" i="21"/>
  <c r="N69" i="21"/>
  <c r="O69" i="11"/>
  <c r="N69" i="11"/>
  <c r="O69" i="16"/>
  <c r="N69" i="16"/>
  <c r="O69" i="18"/>
  <c r="N69" i="18"/>
  <c r="O69" i="6"/>
  <c r="N69" i="6"/>
  <c r="O69" i="15"/>
  <c r="N69" i="15"/>
  <c r="O69" i="19"/>
  <c r="N69" i="19"/>
  <c r="O69" i="5"/>
  <c r="N69" i="5"/>
  <c r="O69" i="17"/>
  <c r="N69" i="17"/>
  <c r="O69" i="8"/>
  <c r="N69" i="8"/>
  <c r="O69" i="20"/>
  <c r="N69" i="20"/>
  <c r="M70" i="21"/>
  <c r="M70" i="23"/>
  <c r="M70" i="13"/>
  <c r="M70" i="22"/>
  <c r="M70" i="19"/>
  <c r="M70" i="18"/>
  <c r="M70" i="20"/>
  <c r="M70" i="16"/>
  <c r="M70" i="5"/>
  <c r="M70" i="17"/>
  <c r="M70" i="12"/>
  <c r="M70" i="10"/>
  <c r="M70" i="9"/>
  <c r="M70" i="11"/>
  <c r="M70" i="14"/>
  <c r="M70" i="8"/>
  <c r="M70" i="7"/>
  <c r="M70" i="6"/>
  <c r="M70" i="15"/>
  <c r="O69" i="14"/>
  <c r="N69" i="14"/>
  <c r="N69" i="22"/>
  <c r="O69" i="22"/>
  <c r="O69" i="9"/>
  <c r="N69" i="9"/>
  <c r="O69" i="13"/>
  <c r="N69" i="13"/>
  <c r="V54" i="51"/>
  <c r="U54" i="51"/>
  <c r="T54" i="51"/>
  <c r="S54" i="51"/>
  <c r="Z54" i="51"/>
  <c r="R54" i="51"/>
  <c r="Y54" i="51"/>
  <c r="Q54" i="51"/>
  <c r="X54" i="51"/>
  <c r="P54" i="51"/>
  <c r="W54" i="51"/>
  <c r="O54" i="51"/>
  <c r="N69" i="4"/>
  <c r="O69" i="4"/>
  <c r="I56" i="51"/>
  <c r="M70" i="4"/>
  <c r="N55" i="51"/>
  <c r="J55" i="51"/>
  <c r="H55" i="51"/>
  <c r="Q69" i="4" l="1"/>
  <c r="AL69" i="4"/>
  <c r="W69" i="4"/>
  <c r="AI69" i="4"/>
  <c r="T69" i="4"/>
  <c r="AB54" i="51"/>
  <c r="AK54" i="51"/>
  <c r="O70" i="6"/>
  <c r="N70" i="6"/>
  <c r="N70" i="17"/>
  <c r="O70" i="17"/>
  <c r="O70" i="23"/>
  <c r="N70" i="23"/>
  <c r="N70" i="7"/>
  <c r="O70" i="7"/>
  <c r="O70" i="5"/>
  <c r="N70" i="5"/>
  <c r="N70" i="21"/>
  <c r="O70" i="21"/>
  <c r="N70" i="8"/>
  <c r="O70" i="8"/>
  <c r="N70" i="16"/>
  <c r="O70" i="16"/>
  <c r="O70" i="14"/>
  <c r="N70" i="14"/>
  <c r="N70" i="20"/>
  <c r="O70" i="20"/>
  <c r="O70" i="11"/>
  <c r="N70" i="11"/>
  <c r="O70" i="18"/>
  <c r="N70" i="18"/>
  <c r="M71" i="23"/>
  <c r="M71" i="12"/>
  <c r="M71" i="22"/>
  <c r="M71" i="16"/>
  <c r="M71" i="14"/>
  <c r="M71" i="21"/>
  <c r="M71" i="19"/>
  <c r="M71" i="8"/>
  <c r="M71" i="7"/>
  <c r="M71" i="6"/>
  <c r="M71" i="11"/>
  <c r="M71" i="20"/>
  <c r="M71" i="13"/>
  <c r="M71" i="5"/>
  <c r="M71" i="10"/>
  <c r="M71" i="9"/>
  <c r="M71" i="18"/>
  <c r="M71" i="17"/>
  <c r="M71" i="15"/>
  <c r="O70" i="9"/>
  <c r="N70" i="9"/>
  <c r="O70" i="19"/>
  <c r="N70" i="19"/>
  <c r="O70" i="10"/>
  <c r="N70" i="10"/>
  <c r="N70" i="22"/>
  <c r="O70" i="22"/>
  <c r="N70" i="15"/>
  <c r="O70" i="15"/>
  <c r="O70" i="12"/>
  <c r="N70" i="12"/>
  <c r="O70" i="13"/>
  <c r="N70" i="13"/>
  <c r="Z55" i="51"/>
  <c r="R55" i="51"/>
  <c r="Y55" i="51"/>
  <c r="Q55" i="51"/>
  <c r="X55" i="51"/>
  <c r="P55" i="51"/>
  <c r="W55" i="51"/>
  <c r="O55" i="51"/>
  <c r="V55" i="51"/>
  <c r="U55" i="51"/>
  <c r="T55" i="51"/>
  <c r="S55" i="51"/>
  <c r="O70" i="4"/>
  <c r="N70" i="4"/>
  <c r="I57" i="51"/>
  <c r="M71" i="4"/>
  <c r="H56" i="51"/>
  <c r="N56" i="51"/>
  <c r="J56" i="51"/>
  <c r="T70" i="4" l="1"/>
  <c r="W70" i="4"/>
  <c r="AI70" i="4"/>
  <c r="Q70" i="4"/>
  <c r="AB55" i="51" s="1"/>
  <c r="AL70" i="4"/>
  <c r="AK55" i="51"/>
  <c r="O71" i="9"/>
  <c r="N71" i="9"/>
  <c r="O71" i="8"/>
  <c r="N71" i="8"/>
  <c r="O71" i="10"/>
  <c r="N71" i="10"/>
  <c r="O71" i="19"/>
  <c r="N71" i="19"/>
  <c r="O71" i="5"/>
  <c r="N71" i="5"/>
  <c r="O71" i="21"/>
  <c r="N71" i="21"/>
  <c r="O71" i="13"/>
  <c r="N71" i="13"/>
  <c r="O71" i="14"/>
  <c r="N71" i="14"/>
  <c r="O71" i="20"/>
  <c r="N71" i="20"/>
  <c r="O71" i="16"/>
  <c r="N71" i="16"/>
  <c r="O71" i="15"/>
  <c r="N71" i="15"/>
  <c r="O71" i="11"/>
  <c r="N71" i="11"/>
  <c r="N71" i="22"/>
  <c r="O71" i="22"/>
  <c r="O71" i="17"/>
  <c r="N71" i="17"/>
  <c r="O71" i="6"/>
  <c r="N71" i="6"/>
  <c r="O71" i="12"/>
  <c r="N71" i="12"/>
  <c r="M72" i="22"/>
  <c r="M72" i="16"/>
  <c r="M72" i="14"/>
  <c r="M72" i="20"/>
  <c r="M72" i="17"/>
  <c r="M72" i="15"/>
  <c r="M72" i="21"/>
  <c r="M72" i="23"/>
  <c r="M72" i="12"/>
  <c r="M72" i="19"/>
  <c r="M72" i="9"/>
  <c r="M72" i="10"/>
  <c r="M72" i="11"/>
  <c r="M72" i="18"/>
  <c r="M72" i="6"/>
  <c r="M72" i="5"/>
  <c r="M72" i="8"/>
  <c r="M72" i="7"/>
  <c r="M72" i="13"/>
  <c r="O71" i="18"/>
  <c r="N71" i="18"/>
  <c r="N71" i="7"/>
  <c r="O71" i="7"/>
  <c r="O71" i="23"/>
  <c r="N71" i="23"/>
  <c r="V56" i="51"/>
  <c r="U56" i="51"/>
  <c r="T56" i="51"/>
  <c r="S56" i="51"/>
  <c r="Z56" i="51"/>
  <c r="R56" i="51"/>
  <c r="Y56" i="51"/>
  <c r="Q56" i="51"/>
  <c r="X56" i="51"/>
  <c r="P56" i="51"/>
  <c r="O56" i="51"/>
  <c r="W56" i="51"/>
  <c r="N71" i="4"/>
  <c r="O71" i="4"/>
  <c r="I58" i="51"/>
  <c r="M72" i="4"/>
  <c r="H57" i="51"/>
  <c r="N57" i="51"/>
  <c r="J57" i="51"/>
  <c r="AL71" i="4" l="1"/>
  <c r="W71" i="4"/>
  <c r="Q71" i="4"/>
  <c r="T71" i="4"/>
  <c r="AI71" i="4"/>
  <c r="AB56" i="51"/>
  <c r="AK56" i="51"/>
  <c r="O72" i="5"/>
  <c r="N72" i="5"/>
  <c r="N72" i="23"/>
  <c r="O72" i="23"/>
  <c r="O72" i="18"/>
  <c r="N72" i="18"/>
  <c r="N72" i="15"/>
  <c r="O72" i="15"/>
  <c r="N72" i="21"/>
  <c r="O72" i="21"/>
  <c r="O72" i="11"/>
  <c r="N72" i="11"/>
  <c r="N72" i="17"/>
  <c r="O72" i="17"/>
  <c r="O72" i="10"/>
  <c r="N72" i="10"/>
  <c r="N72" i="20"/>
  <c r="O72" i="20"/>
  <c r="O72" i="13"/>
  <c r="N72" i="13"/>
  <c r="O72" i="9"/>
  <c r="N72" i="9"/>
  <c r="O72" i="14"/>
  <c r="N72" i="14"/>
  <c r="N72" i="7"/>
  <c r="O72" i="7"/>
  <c r="O72" i="19"/>
  <c r="N72" i="19"/>
  <c r="O72" i="16"/>
  <c r="N72" i="16"/>
  <c r="N72" i="6"/>
  <c r="O72" i="6"/>
  <c r="M73" i="13"/>
  <c r="M73" i="22"/>
  <c r="M73" i="20"/>
  <c r="M73" i="17"/>
  <c r="M73" i="15"/>
  <c r="M73" i="19"/>
  <c r="M73" i="18"/>
  <c r="M73" i="21"/>
  <c r="M73" i="23"/>
  <c r="M73" i="10"/>
  <c r="M73" i="9"/>
  <c r="M73" i="8"/>
  <c r="M73" i="14"/>
  <c r="M73" i="16"/>
  <c r="M73" i="6"/>
  <c r="M73" i="5"/>
  <c r="M73" i="7"/>
  <c r="M73" i="12"/>
  <c r="M73" i="11"/>
  <c r="O72" i="8"/>
  <c r="N72" i="8"/>
  <c r="O72" i="12"/>
  <c r="N72" i="12"/>
  <c r="N72" i="22"/>
  <c r="O72" i="22"/>
  <c r="Z57" i="51"/>
  <c r="R57" i="51"/>
  <c r="Y57" i="51"/>
  <c r="Q57" i="51"/>
  <c r="X57" i="51"/>
  <c r="P57" i="51"/>
  <c r="W57" i="51"/>
  <c r="O57" i="51"/>
  <c r="V57" i="51"/>
  <c r="U57" i="51"/>
  <c r="T57" i="51"/>
  <c r="S57" i="51"/>
  <c r="N72" i="4"/>
  <c r="O72" i="4"/>
  <c r="I59" i="51"/>
  <c r="M73" i="4"/>
  <c r="H58" i="51"/>
  <c r="J58" i="51"/>
  <c r="N58" i="51"/>
  <c r="AL72" i="4" l="1"/>
  <c r="T72" i="4"/>
  <c r="Q72" i="4"/>
  <c r="W72" i="4"/>
  <c r="AI72" i="4"/>
  <c r="AB57" i="51"/>
  <c r="AK57" i="51"/>
  <c r="O73" i="5"/>
  <c r="N73" i="5"/>
  <c r="O73" i="21"/>
  <c r="N73" i="21"/>
  <c r="O73" i="16"/>
  <c r="N73" i="16"/>
  <c r="O73" i="19"/>
  <c r="N73" i="19"/>
  <c r="O73" i="14"/>
  <c r="N73" i="14"/>
  <c r="O73" i="15"/>
  <c r="N73" i="15"/>
  <c r="O73" i="8"/>
  <c r="N73" i="8"/>
  <c r="O73" i="17"/>
  <c r="N73" i="17"/>
  <c r="O73" i="11"/>
  <c r="N73" i="11"/>
  <c r="O73" i="9"/>
  <c r="N73" i="9"/>
  <c r="O73" i="20"/>
  <c r="N73" i="20"/>
  <c r="O73" i="12"/>
  <c r="N73" i="12"/>
  <c r="N73" i="10"/>
  <c r="O73" i="10"/>
  <c r="O73" i="22"/>
  <c r="N73" i="22"/>
  <c r="N73" i="6"/>
  <c r="O73" i="6"/>
  <c r="O73" i="18"/>
  <c r="N73" i="18"/>
  <c r="M74" i="22"/>
  <c r="M74" i="20"/>
  <c r="M74" i="19"/>
  <c r="M74" i="18"/>
  <c r="M74" i="23"/>
  <c r="M74" i="21"/>
  <c r="M74" i="13"/>
  <c r="M74" i="8"/>
  <c r="M74" i="7"/>
  <c r="M74" i="6"/>
  <c r="M74" i="17"/>
  <c r="M74" i="11"/>
  <c r="M74" i="5"/>
  <c r="M74" i="15"/>
  <c r="M74" i="10"/>
  <c r="M74" i="9"/>
  <c r="M74" i="12"/>
  <c r="M74" i="16"/>
  <c r="M74" i="14"/>
  <c r="O73" i="7"/>
  <c r="N73" i="7"/>
  <c r="N73" i="23"/>
  <c r="O73" i="23"/>
  <c r="O73" i="13"/>
  <c r="N73" i="13"/>
  <c r="V58" i="51"/>
  <c r="U58" i="51"/>
  <c r="T58" i="51"/>
  <c r="S58" i="51"/>
  <c r="Z58" i="51"/>
  <c r="R58" i="51"/>
  <c r="Y58" i="51"/>
  <c r="Q58" i="51"/>
  <c r="X58" i="51"/>
  <c r="P58" i="51"/>
  <c r="W58" i="51"/>
  <c r="O58" i="51"/>
  <c r="N73" i="4"/>
  <c r="O73" i="4"/>
  <c r="I60" i="51"/>
  <c r="M74" i="4"/>
  <c r="N59" i="51"/>
  <c r="J59" i="51"/>
  <c r="H59" i="51"/>
  <c r="AI73" i="4" l="1"/>
  <c r="T73" i="4"/>
  <c r="W73" i="4"/>
  <c r="Q73" i="4"/>
  <c r="AL73" i="4"/>
  <c r="AB58" i="51"/>
  <c r="AK58" i="51"/>
  <c r="N74" i="9"/>
  <c r="O74" i="9"/>
  <c r="N74" i="8"/>
  <c r="O74" i="8"/>
  <c r="O74" i="10"/>
  <c r="N74" i="10"/>
  <c r="O74" i="13"/>
  <c r="N74" i="13"/>
  <c r="N74" i="15"/>
  <c r="O74" i="15"/>
  <c r="N74" i="21"/>
  <c r="O74" i="21"/>
  <c r="O74" i="5"/>
  <c r="N74" i="5"/>
  <c r="N74" i="23"/>
  <c r="O74" i="23"/>
  <c r="O74" i="11"/>
  <c r="N74" i="11"/>
  <c r="O74" i="18"/>
  <c r="N74" i="18"/>
  <c r="O74" i="14"/>
  <c r="N74" i="14"/>
  <c r="N74" i="17"/>
  <c r="O74" i="17"/>
  <c r="O74" i="19"/>
  <c r="N74" i="19"/>
  <c r="N74" i="16"/>
  <c r="O74" i="16"/>
  <c r="O74" i="6"/>
  <c r="N74" i="6"/>
  <c r="N74" i="20"/>
  <c r="O74" i="20"/>
  <c r="M75" i="22"/>
  <c r="M75" i="16"/>
  <c r="M75" i="14"/>
  <c r="M75" i="20"/>
  <c r="M75" i="23"/>
  <c r="M75" i="21"/>
  <c r="M75" i="12"/>
  <c r="M75" i="17"/>
  <c r="M75" i="11"/>
  <c r="M75" i="5"/>
  <c r="M75" i="18"/>
  <c r="M75" i="15"/>
  <c r="M75" i="13"/>
  <c r="M75" i="19"/>
  <c r="M75" i="8"/>
  <c r="M75" i="7"/>
  <c r="M75" i="6"/>
  <c r="M75" i="10"/>
  <c r="M75" i="9"/>
  <c r="O74" i="12"/>
  <c r="N74" i="12"/>
  <c r="N74" i="7"/>
  <c r="O74" i="7"/>
  <c r="N74" i="22"/>
  <c r="O74" i="22"/>
  <c r="Z59" i="51"/>
  <c r="R59" i="51"/>
  <c r="Y59" i="51"/>
  <c r="Q59" i="51"/>
  <c r="X59" i="51"/>
  <c r="P59" i="51"/>
  <c r="W59" i="51"/>
  <c r="O59" i="51"/>
  <c r="V59" i="51"/>
  <c r="U59" i="51"/>
  <c r="T59" i="51"/>
  <c r="S59" i="51"/>
  <c r="I61" i="51"/>
  <c r="M75" i="4"/>
  <c r="H60" i="51"/>
  <c r="N60" i="51"/>
  <c r="J60" i="51"/>
  <c r="N74" i="4"/>
  <c r="O74" i="4"/>
  <c r="AI74" i="4" l="1"/>
  <c r="W74" i="4"/>
  <c r="AL74" i="4"/>
  <c r="Q74" i="4"/>
  <c r="T74" i="4"/>
  <c r="AK59" i="51"/>
  <c r="AB59" i="51"/>
  <c r="N75" i="7"/>
  <c r="O75" i="7"/>
  <c r="O75" i="17"/>
  <c r="N75" i="17"/>
  <c r="O75" i="19"/>
  <c r="N75" i="19"/>
  <c r="O75" i="21"/>
  <c r="N75" i="21"/>
  <c r="O75" i="13"/>
  <c r="N75" i="13"/>
  <c r="O75" i="23"/>
  <c r="N75" i="23"/>
  <c r="N75" i="15"/>
  <c r="O75" i="15"/>
  <c r="O75" i="20"/>
  <c r="N75" i="20"/>
  <c r="O75" i="9"/>
  <c r="N75" i="9"/>
  <c r="O75" i="18"/>
  <c r="N75" i="18"/>
  <c r="O75" i="14"/>
  <c r="N75" i="14"/>
  <c r="O75" i="10"/>
  <c r="N75" i="10"/>
  <c r="O75" i="5"/>
  <c r="N75" i="5"/>
  <c r="O75" i="16"/>
  <c r="N75" i="16"/>
  <c r="O75" i="8"/>
  <c r="N75" i="8"/>
  <c r="O75" i="12"/>
  <c r="N75" i="12"/>
  <c r="M76" i="20"/>
  <c r="M76" i="17"/>
  <c r="M76" i="15"/>
  <c r="M76" i="23"/>
  <c r="M76" i="21"/>
  <c r="M76" i="12"/>
  <c r="M76" i="22"/>
  <c r="M76" i="16"/>
  <c r="M76" i="14"/>
  <c r="M76" i="18"/>
  <c r="M76" i="13"/>
  <c r="M76" i="9"/>
  <c r="M76" i="10"/>
  <c r="M76" i="11"/>
  <c r="M76" i="5"/>
  <c r="M76" i="19"/>
  <c r="M76" i="8"/>
  <c r="M76" i="7"/>
  <c r="M76" i="6"/>
  <c r="O75" i="6"/>
  <c r="N75" i="6"/>
  <c r="O75" i="11"/>
  <c r="N75" i="11"/>
  <c r="N75" i="22"/>
  <c r="O75" i="22"/>
  <c r="V60" i="51"/>
  <c r="U60" i="51"/>
  <c r="T60" i="51"/>
  <c r="S60" i="51"/>
  <c r="Z60" i="51"/>
  <c r="R60" i="51"/>
  <c r="Y60" i="51"/>
  <c r="Q60" i="51"/>
  <c r="X60" i="51"/>
  <c r="P60" i="51"/>
  <c r="W60" i="51"/>
  <c r="O60" i="51"/>
  <c r="I62" i="51"/>
  <c r="M76" i="4"/>
  <c r="N61" i="51"/>
  <c r="H61" i="51"/>
  <c r="J61" i="51"/>
  <c r="O75" i="4"/>
  <c r="N75" i="4"/>
  <c r="AL75" i="4" l="1"/>
  <c r="AI75" i="4"/>
  <c r="W75" i="4"/>
  <c r="T75" i="4"/>
  <c r="Q75" i="4"/>
  <c r="AB60" i="51"/>
  <c r="AK60" i="51"/>
  <c r="O76" i="19"/>
  <c r="N76" i="19"/>
  <c r="O76" i="16"/>
  <c r="N76" i="16"/>
  <c r="O76" i="11"/>
  <c r="N76" i="11"/>
  <c r="O76" i="12"/>
  <c r="N76" i="12"/>
  <c r="O76" i="10"/>
  <c r="N76" i="10"/>
  <c r="N76" i="21"/>
  <c r="O76" i="21"/>
  <c r="O76" i="9"/>
  <c r="N76" i="9"/>
  <c r="N76" i="23"/>
  <c r="O76" i="23"/>
  <c r="N76" i="6"/>
  <c r="O76" i="6"/>
  <c r="O76" i="13"/>
  <c r="N76" i="13"/>
  <c r="N76" i="15"/>
  <c r="O76" i="15"/>
  <c r="O76" i="5"/>
  <c r="N76" i="5"/>
  <c r="N76" i="22"/>
  <c r="O76" i="22"/>
  <c r="N76" i="7"/>
  <c r="O76" i="7"/>
  <c r="O76" i="18"/>
  <c r="N76" i="18"/>
  <c r="N76" i="17"/>
  <c r="O76" i="17"/>
  <c r="M77" i="19"/>
  <c r="M77" i="18"/>
  <c r="M77" i="23"/>
  <c r="M77" i="21"/>
  <c r="M77" i="13"/>
  <c r="M77" i="22"/>
  <c r="M77" i="20"/>
  <c r="M77" i="17"/>
  <c r="M77" i="15"/>
  <c r="M77" i="12"/>
  <c r="M77" i="14"/>
  <c r="M77" i="8"/>
  <c r="M77" i="10"/>
  <c r="M77" i="9"/>
  <c r="M77" i="16"/>
  <c r="M77" i="7"/>
  <c r="M77" i="11"/>
  <c r="M77" i="5"/>
  <c r="M77" i="6"/>
  <c r="N76" i="8"/>
  <c r="O76" i="8"/>
  <c r="O76" i="14"/>
  <c r="N76" i="14"/>
  <c r="N76" i="20"/>
  <c r="O76" i="20"/>
  <c r="Z61" i="51"/>
  <c r="R61" i="51"/>
  <c r="Y61" i="51"/>
  <c r="Q61" i="51"/>
  <c r="X61" i="51"/>
  <c r="P61" i="51"/>
  <c r="W61" i="51"/>
  <c r="O61" i="51"/>
  <c r="V61" i="51"/>
  <c r="U61" i="51"/>
  <c r="T61" i="51"/>
  <c r="S61" i="51"/>
  <c r="O76" i="4"/>
  <c r="N76" i="4"/>
  <c r="I63" i="51"/>
  <c r="M77" i="4"/>
  <c r="J62" i="51"/>
  <c r="H62" i="51"/>
  <c r="N62" i="51"/>
  <c r="Q76" i="4" l="1"/>
  <c r="W76" i="4"/>
  <c r="AI76" i="4"/>
  <c r="T76" i="4"/>
  <c r="AL76" i="4"/>
  <c r="AB61" i="51"/>
  <c r="AK61" i="51"/>
  <c r="O77" i="7"/>
  <c r="N77" i="7"/>
  <c r="O77" i="17"/>
  <c r="N77" i="17"/>
  <c r="O77" i="16"/>
  <c r="N77" i="16"/>
  <c r="O77" i="20"/>
  <c r="N77" i="20"/>
  <c r="O77" i="9"/>
  <c r="N77" i="9"/>
  <c r="O77" i="22"/>
  <c r="N77" i="22"/>
  <c r="O77" i="10"/>
  <c r="N77" i="10"/>
  <c r="O77" i="13"/>
  <c r="N77" i="13"/>
  <c r="O77" i="8"/>
  <c r="N77" i="8"/>
  <c r="O77" i="21"/>
  <c r="N77" i="21"/>
  <c r="M78" i="23"/>
  <c r="M78" i="21"/>
  <c r="M78" i="13"/>
  <c r="M78" i="22"/>
  <c r="M78" i="19"/>
  <c r="M78" i="18"/>
  <c r="M78" i="14"/>
  <c r="M78" i="5"/>
  <c r="M78" i="15"/>
  <c r="M78" i="10"/>
  <c r="M78" i="9"/>
  <c r="M78" i="16"/>
  <c r="M78" i="8"/>
  <c r="M78" i="7"/>
  <c r="M78" i="6"/>
  <c r="M78" i="11"/>
  <c r="M78" i="20"/>
  <c r="M78" i="17"/>
  <c r="M78" i="12"/>
  <c r="O77" i="6"/>
  <c r="N77" i="6"/>
  <c r="O77" i="14"/>
  <c r="N77" i="14"/>
  <c r="N77" i="23"/>
  <c r="O77" i="23"/>
  <c r="O77" i="5"/>
  <c r="N77" i="5"/>
  <c r="O77" i="12"/>
  <c r="N77" i="12"/>
  <c r="N77" i="18"/>
  <c r="O77" i="18"/>
  <c r="O77" i="11"/>
  <c r="N77" i="11"/>
  <c r="O77" i="15"/>
  <c r="N77" i="15"/>
  <c r="O77" i="19"/>
  <c r="N77" i="19"/>
  <c r="V62" i="51"/>
  <c r="U62" i="51"/>
  <c r="T62" i="51"/>
  <c r="S62" i="51"/>
  <c r="Z62" i="51"/>
  <c r="R62" i="51"/>
  <c r="Y62" i="51"/>
  <c r="Q62" i="51"/>
  <c r="X62" i="51"/>
  <c r="P62" i="51"/>
  <c r="O62" i="51"/>
  <c r="W62" i="51"/>
  <c r="O77" i="4"/>
  <c r="N77" i="4"/>
  <c r="I64" i="51"/>
  <c r="M78" i="4"/>
  <c r="H63" i="51"/>
  <c r="N63" i="51"/>
  <c r="J63" i="51"/>
  <c r="Q77" i="4" l="1"/>
  <c r="AI77" i="4"/>
  <c r="T77" i="4"/>
  <c r="AL77" i="4"/>
  <c r="W77" i="4"/>
  <c r="AB62" i="51"/>
  <c r="AK62" i="51"/>
  <c r="N78" i="16"/>
  <c r="O78" i="16"/>
  <c r="O78" i="22"/>
  <c r="N78" i="22"/>
  <c r="N78" i="17"/>
  <c r="O78" i="17"/>
  <c r="O78" i="10"/>
  <c r="N78" i="10"/>
  <c r="N78" i="21"/>
  <c r="O78" i="21"/>
  <c r="N78" i="20"/>
  <c r="O78" i="20"/>
  <c r="N78" i="15"/>
  <c r="O78" i="15"/>
  <c r="N78" i="23"/>
  <c r="O78" i="23"/>
  <c r="O78" i="9"/>
  <c r="N78" i="9"/>
  <c r="O78" i="13"/>
  <c r="N78" i="13"/>
  <c r="O78" i="11"/>
  <c r="N78" i="11"/>
  <c r="O78" i="5"/>
  <c r="N78" i="5"/>
  <c r="N78" i="6"/>
  <c r="O78" i="6"/>
  <c r="O78" i="14"/>
  <c r="N78" i="14"/>
  <c r="N78" i="7"/>
  <c r="O78" i="7"/>
  <c r="O78" i="18"/>
  <c r="N78" i="18"/>
  <c r="O78" i="12"/>
  <c r="N78" i="12"/>
  <c r="M79" i="12"/>
  <c r="M79" i="22"/>
  <c r="M79" i="16"/>
  <c r="M79" i="14"/>
  <c r="M79" i="23"/>
  <c r="M79" i="21"/>
  <c r="M79" i="13"/>
  <c r="M79" i="8"/>
  <c r="M79" i="7"/>
  <c r="M79" i="6"/>
  <c r="M79" i="11"/>
  <c r="M79" i="20"/>
  <c r="M79" i="19"/>
  <c r="M79" i="5"/>
  <c r="M79" i="10"/>
  <c r="M79" i="9"/>
  <c r="M79" i="18"/>
  <c r="M79" i="17"/>
  <c r="M79" i="15"/>
  <c r="N78" i="8"/>
  <c r="O78" i="8"/>
  <c r="O78" i="19"/>
  <c r="N78" i="19"/>
  <c r="Z63" i="51"/>
  <c r="R63" i="51"/>
  <c r="Y63" i="51"/>
  <c r="Q63" i="51"/>
  <c r="X63" i="51"/>
  <c r="P63" i="51"/>
  <c r="W63" i="51"/>
  <c r="O63" i="51"/>
  <c r="V63" i="51"/>
  <c r="U63" i="51"/>
  <c r="T63" i="51"/>
  <c r="S63" i="51"/>
  <c r="N78" i="4"/>
  <c r="O78" i="4"/>
  <c r="I65" i="51"/>
  <c r="M79" i="4"/>
  <c r="N64" i="51"/>
  <c r="J64" i="51"/>
  <c r="H64" i="51"/>
  <c r="W78" i="4" l="1"/>
  <c r="AL78" i="4"/>
  <c r="AI78" i="4"/>
  <c r="Q78" i="4"/>
  <c r="T78" i="4"/>
  <c r="AB63" i="51"/>
  <c r="AK63" i="51"/>
  <c r="O79" i="5"/>
  <c r="N79" i="5"/>
  <c r="O79" i="21"/>
  <c r="N79" i="21"/>
  <c r="O79" i="20"/>
  <c r="N79" i="20"/>
  <c r="O79" i="14"/>
  <c r="N79" i="14"/>
  <c r="N79" i="15"/>
  <c r="O79" i="15"/>
  <c r="O79" i="11"/>
  <c r="N79" i="11"/>
  <c r="O79" i="16"/>
  <c r="N79" i="16"/>
  <c r="O79" i="17"/>
  <c r="N79" i="17"/>
  <c r="O79" i="6"/>
  <c r="N79" i="6"/>
  <c r="O79" i="22"/>
  <c r="N79" i="22"/>
  <c r="O79" i="18"/>
  <c r="N79" i="18"/>
  <c r="N79" i="7"/>
  <c r="O79" i="7"/>
  <c r="O79" i="12"/>
  <c r="N79" i="12"/>
  <c r="O79" i="19"/>
  <c r="N79" i="19"/>
  <c r="N79" i="23"/>
  <c r="O79" i="23"/>
  <c r="M80" i="22"/>
  <c r="M80" i="16"/>
  <c r="M80" i="14"/>
  <c r="M80" i="20"/>
  <c r="M80" i="17"/>
  <c r="M80" i="15"/>
  <c r="M80" i="23"/>
  <c r="M80" i="21"/>
  <c r="M80" i="12"/>
  <c r="M80" i="18"/>
  <c r="M80" i="10"/>
  <c r="M80" i="9"/>
  <c r="M80" i="11"/>
  <c r="M80" i="19"/>
  <c r="M80" i="8"/>
  <c r="M80" i="7"/>
  <c r="M80" i="13"/>
  <c r="M80" i="6"/>
  <c r="M80" i="5"/>
  <c r="O79" i="9"/>
  <c r="N79" i="9"/>
  <c r="O79" i="8"/>
  <c r="N79" i="8"/>
  <c r="O79" i="10"/>
  <c r="N79" i="10"/>
  <c r="O79" i="13"/>
  <c r="N79" i="13"/>
  <c r="V64" i="51"/>
  <c r="U64" i="51"/>
  <c r="T64" i="51"/>
  <c r="S64" i="51"/>
  <c r="Z64" i="51"/>
  <c r="R64" i="51"/>
  <c r="Y64" i="51"/>
  <c r="Q64" i="51"/>
  <c r="X64" i="51"/>
  <c r="P64" i="51"/>
  <c r="O64" i="51"/>
  <c r="W64" i="51"/>
  <c r="O79" i="4"/>
  <c r="N79" i="4"/>
  <c r="I66" i="51"/>
  <c r="M80" i="4"/>
  <c r="H65" i="51"/>
  <c r="J65" i="51"/>
  <c r="N65" i="51"/>
  <c r="W79" i="4" l="1"/>
  <c r="T79" i="4"/>
  <c r="AI79" i="4"/>
  <c r="AL79" i="4"/>
  <c r="Q79" i="4"/>
  <c r="AB64" i="51"/>
  <c r="AK64" i="51"/>
  <c r="N80" i="6"/>
  <c r="O80" i="6"/>
  <c r="O80" i="18"/>
  <c r="N80" i="18"/>
  <c r="O80" i="16"/>
  <c r="N80" i="16"/>
  <c r="N80" i="7"/>
  <c r="O80" i="7"/>
  <c r="N80" i="21"/>
  <c r="O80" i="21"/>
  <c r="N80" i="8"/>
  <c r="O80" i="8"/>
  <c r="N80" i="23"/>
  <c r="O80" i="23"/>
  <c r="O80" i="19"/>
  <c r="N80" i="19"/>
  <c r="N80" i="15"/>
  <c r="O80" i="15"/>
  <c r="O80" i="11"/>
  <c r="N80" i="11"/>
  <c r="N80" i="17"/>
  <c r="O80" i="17"/>
  <c r="O80" i="13"/>
  <c r="N80" i="13"/>
  <c r="O80" i="12"/>
  <c r="N80" i="12"/>
  <c r="N80" i="22"/>
  <c r="O80" i="22"/>
  <c r="M81" i="13"/>
  <c r="M81" i="22"/>
  <c r="M81" i="20"/>
  <c r="M81" i="17"/>
  <c r="M81" i="15"/>
  <c r="M81" i="19"/>
  <c r="M81" i="18"/>
  <c r="M81" i="23"/>
  <c r="M81" i="21"/>
  <c r="M81" i="10"/>
  <c r="M81" i="9"/>
  <c r="M81" i="16"/>
  <c r="M81" i="14"/>
  <c r="M81" i="8"/>
  <c r="M81" i="7"/>
  <c r="M81" i="11"/>
  <c r="M81" i="12"/>
  <c r="M81" i="6"/>
  <c r="M81" i="5"/>
  <c r="O80" i="9"/>
  <c r="N80" i="9"/>
  <c r="N80" i="20"/>
  <c r="O80" i="20"/>
  <c r="O80" i="5"/>
  <c r="N80" i="5"/>
  <c r="O80" i="10"/>
  <c r="N80" i="10"/>
  <c r="O80" i="14"/>
  <c r="N80" i="14"/>
  <c r="Z65" i="51"/>
  <c r="R65" i="51"/>
  <c r="Y65" i="51"/>
  <c r="Q65" i="51"/>
  <c r="X65" i="51"/>
  <c r="P65" i="51"/>
  <c r="W65" i="51"/>
  <c r="O65" i="51"/>
  <c r="V65" i="51"/>
  <c r="U65" i="51"/>
  <c r="T65" i="51"/>
  <c r="S65" i="51"/>
  <c r="I67" i="51"/>
  <c r="M81" i="4"/>
  <c r="H66" i="51"/>
  <c r="N66" i="51"/>
  <c r="J66" i="51"/>
  <c r="O80" i="4"/>
  <c r="N80" i="4"/>
  <c r="AI80" i="4" l="1"/>
  <c r="AL80" i="4"/>
  <c r="W80" i="4"/>
  <c r="T80" i="4"/>
  <c r="Q80" i="4"/>
  <c r="AB65" i="51"/>
  <c r="AK65" i="51"/>
  <c r="M82" i="22"/>
  <c r="M82" i="20"/>
  <c r="M82" i="19"/>
  <c r="M82" i="18"/>
  <c r="M82" i="11"/>
  <c r="M82" i="23"/>
  <c r="M82" i="21"/>
  <c r="M82" i="13"/>
  <c r="M82" i="8"/>
  <c r="M82" i="7"/>
  <c r="M82" i="6"/>
  <c r="M82" i="15"/>
  <c r="M82" i="12"/>
  <c r="M82" i="5"/>
  <c r="M82" i="17"/>
  <c r="M82" i="10"/>
  <c r="M82" i="9"/>
  <c r="M82" i="16"/>
  <c r="M82" i="14"/>
  <c r="O81" i="16"/>
  <c r="N81" i="16"/>
  <c r="O81" i="17"/>
  <c r="N81" i="17"/>
  <c r="O81" i="6"/>
  <c r="N81" i="6"/>
  <c r="O81" i="10"/>
  <c r="N81" i="10"/>
  <c r="N81" i="22"/>
  <c r="O81" i="22"/>
  <c r="O81" i="12"/>
  <c r="N81" i="12"/>
  <c r="O81" i="21"/>
  <c r="N81" i="21"/>
  <c r="O81" i="13"/>
  <c r="N81" i="13"/>
  <c r="O81" i="5"/>
  <c r="N81" i="5"/>
  <c r="O81" i="9"/>
  <c r="N81" i="9"/>
  <c r="O81" i="20"/>
  <c r="N81" i="20"/>
  <c r="O81" i="11"/>
  <c r="N81" i="11"/>
  <c r="N81" i="23"/>
  <c r="O81" i="23"/>
  <c r="O81" i="7"/>
  <c r="N81" i="7"/>
  <c r="O81" i="18"/>
  <c r="N81" i="18"/>
  <c r="O81" i="8"/>
  <c r="N81" i="8"/>
  <c r="O81" i="19"/>
  <c r="N81" i="19"/>
  <c r="O81" i="14"/>
  <c r="N81" i="14"/>
  <c r="O81" i="15"/>
  <c r="N81" i="15"/>
  <c r="V66" i="51"/>
  <c r="U66" i="51"/>
  <c r="T66" i="51"/>
  <c r="S66" i="51"/>
  <c r="Z66" i="51"/>
  <c r="R66" i="51"/>
  <c r="Y66" i="51"/>
  <c r="Q66" i="51"/>
  <c r="X66" i="51"/>
  <c r="P66" i="51"/>
  <c r="W66" i="51"/>
  <c r="O66" i="51"/>
  <c r="N81" i="4"/>
  <c r="O81" i="4"/>
  <c r="I68" i="51"/>
  <c r="M82" i="4"/>
  <c r="H67" i="51"/>
  <c r="N67" i="51"/>
  <c r="J67" i="51"/>
  <c r="Q81" i="4" l="1"/>
  <c r="AL81" i="4"/>
  <c r="T81" i="4"/>
  <c r="W81" i="4"/>
  <c r="AI81" i="4"/>
  <c r="AK66" i="51"/>
  <c r="AB66" i="51"/>
  <c r="M83" i="22"/>
  <c r="M83" i="16"/>
  <c r="M83" i="14"/>
  <c r="M83" i="20"/>
  <c r="M83" i="23"/>
  <c r="M83" i="21"/>
  <c r="M83" i="12"/>
  <c r="M83" i="18"/>
  <c r="M83" i="15"/>
  <c r="M83" i="13"/>
  <c r="M83" i="11"/>
  <c r="M83" i="19"/>
  <c r="M83" i="5"/>
  <c r="M83" i="17"/>
  <c r="M83" i="8"/>
  <c r="M83" i="7"/>
  <c r="M83" i="6"/>
  <c r="M83" i="10"/>
  <c r="M83" i="9"/>
  <c r="O82" i="10"/>
  <c r="N82" i="10"/>
  <c r="O82" i="13"/>
  <c r="N82" i="13"/>
  <c r="O82" i="5"/>
  <c r="N82" i="5"/>
  <c r="N82" i="23"/>
  <c r="O82" i="23"/>
  <c r="N82" i="17"/>
  <c r="O82" i="17"/>
  <c r="N82" i="21"/>
  <c r="O82" i="21"/>
  <c r="O82" i="12"/>
  <c r="N82" i="12"/>
  <c r="O82" i="11"/>
  <c r="N82" i="11"/>
  <c r="N82" i="15"/>
  <c r="O82" i="15"/>
  <c r="O82" i="18"/>
  <c r="N82" i="18"/>
  <c r="O82" i="14"/>
  <c r="N82" i="14"/>
  <c r="O82" i="6"/>
  <c r="N82" i="6"/>
  <c r="O82" i="19"/>
  <c r="N82" i="19"/>
  <c r="N82" i="16"/>
  <c r="O82" i="16"/>
  <c r="N82" i="7"/>
  <c r="O82" i="7"/>
  <c r="N82" i="20"/>
  <c r="O82" i="20"/>
  <c r="O82" i="9"/>
  <c r="N82" i="9"/>
  <c r="O82" i="8"/>
  <c r="N82" i="8"/>
  <c r="O82" i="22"/>
  <c r="N82" i="22"/>
  <c r="Z67" i="51"/>
  <c r="R67" i="51"/>
  <c r="Y67" i="51"/>
  <c r="Q67" i="51"/>
  <c r="X67" i="51"/>
  <c r="P67" i="51"/>
  <c r="W67" i="51"/>
  <c r="O67" i="51"/>
  <c r="V67" i="51"/>
  <c r="U67" i="51"/>
  <c r="T67" i="51"/>
  <c r="S67" i="51"/>
  <c r="N82" i="4"/>
  <c r="O82" i="4"/>
  <c r="I69" i="51"/>
  <c r="M83" i="4"/>
  <c r="N68" i="51"/>
  <c r="H68" i="51"/>
  <c r="J68" i="51"/>
  <c r="AI82" i="4" l="1"/>
  <c r="T82" i="4"/>
  <c r="W82" i="4"/>
  <c r="AL82" i="4"/>
  <c r="Q82" i="4"/>
  <c r="AB67" i="51"/>
  <c r="AK67" i="51"/>
  <c r="O83" i="7"/>
  <c r="N83" i="7"/>
  <c r="O83" i="18"/>
  <c r="N83" i="18"/>
  <c r="N83" i="8"/>
  <c r="O83" i="8"/>
  <c r="O83" i="12"/>
  <c r="N83" i="12"/>
  <c r="O83" i="17"/>
  <c r="N83" i="17"/>
  <c r="O83" i="21"/>
  <c r="N83" i="21"/>
  <c r="O83" i="5"/>
  <c r="N83" i="5"/>
  <c r="N83" i="23"/>
  <c r="O83" i="23"/>
  <c r="O83" i="19"/>
  <c r="N83" i="19"/>
  <c r="O83" i="20"/>
  <c r="N83" i="20"/>
  <c r="O83" i="9"/>
  <c r="N83" i="9"/>
  <c r="O83" i="11"/>
  <c r="N83" i="11"/>
  <c r="O83" i="14"/>
  <c r="N83" i="14"/>
  <c r="M84" i="20"/>
  <c r="M84" i="17"/>
  <c r="M84" i="15"/>
  <c r="M84" i="23"/>
  <c r="M84" i="21"/>
  <c r="M84" i="12"/>
  <c r="M84" i="22"/>
  <c r="M84" i="16"/>
  <c r="M84" i="14"/>
  <c r="M84" i="13"/>
  <c r="M84" i="11"/>
  <c r="M84" i="10"/>
  <c r="M84" i="9"/>
  <c r="M84" i="18"/>
  <c r="M84" i="8"/>
  <c r="M84" i="19"/>
  <c r="M84" i="6"/>
  <c r="M84" i="5"/>
  <c r="M84" i="7"/>
  <c r="O83" i="10"/>
  <c r="N83" i="10"/>
  <c r="O83" i="13"/>
  <c r="N83" i="13"/>
  <c r="O83" i="16"/>
  <c r="N83" i="16"/>
  <c r="O83" i="6"/>
  <c r="N83" i="6"/>
  <c r="O83" i="15"/>
  <c r="N83" i="15"/>
  <c r="O83" i="22"/>
  <c r="N83" i="22"/>
  <c r="V68" i="51"/>
  <c r="U68" i="51"/>
  <c r="T68" i="51"/>
  <c r="S68" i="51"/>
  <c r="Z68" i="51"/>
  <c r="R68" i="51"/>
  <c r="Y68" i="51"/>
  <c r="Q68" i="51"/>
  <c r="X68" i="51"/>
  <c r="P68" i="51"/>
  <c r="W68" i="51"/>
  <c r="O68" i="51"/>
  <c r="N83" i="4"/>
  <c r="O83" i="4"/>
  <c r="I70" i="51"/>
  <c r="M84" i="4"/>
  <c r="H69" i="51"/>
  <c r="J69" i="51"/>
  <c r="N69" i="51"/>
  <c r="Q83" i="4" l="1"/>
  <c r="T83" i="4"/>
  <c r="AL83" i="4"/>
  <c r="W83" i="4"/>
  <c r="AI83" i="4"/>
  <c r="AB68" i="51"/>
  <c r="AK68" i="51"/>
  <c r="O84" i="18"/>
  <c r="N84" i="18"/>
  <c r="O84" i="12"/>
  <c r="N84" i="12"/>
  <c r="O84" i="10"/>
  <c r="N84" i="10"/>
  <c r="N84" i="23"/>
  <c r="O84" i="23"/>
  <c r="N84" i="7"/>
  <c r="O84" i="7"/>
  <c r="O84" i="11"/>
  <c r="N84" i="11"/>
  <c r="N84" i="15"/>
  <c r="O84" i="15"/>
  <c r="O84" i="5"/>
  <c r="N84" i="5"/>
  <c r="O84" i="13"/>
  <c r="N84" i="13"/>
  <c r="N84" i="17"/>
  <c r="O84" i="17"/>
  <c r="O84" i="9"/>
  <c r="N84" i="9"/>
  <c r="N84" i="21"/>
  <c r="O84" i="21"/>
  <c r="M85" i="19"/>
  <c r="M85" i="18"/>
  <c r="M85" i="23"/>
  <c r="M85" i="21"/>
  <c r="M85" i="13"/>
  <c r="M85" i="22"/>
  <c r="M85" i="20"/>
  <c r="M85" i="17"/>
  <c r="M85" i="15"/>
  <c r="M85" i="16"/>
  <c r="M85" i="8"/>
  <c r="M85" i="12"/>
  <c r="M85" i="10"/>
  <c r="M85" i="9"/>
  <c r="M85" i="14"/>
  <c r="M85" i="11"/>
  <c r="M85" i="5"/>
  <c r="M85" i="6"/>
  <c r="M85" i="7"/>
  <c r="N84" i="6"/>
  <c r="O84" i="6"/>
  <c r="O84" i="14"/>
  <c r="N84" i="14"/>
  <c r="N84" i="20"/>
  <c r="O84" i="20"/>
  <c r="O84" i="19"/>
  <c r="N84" i="19"/>
  <c r="O84" i="16"/>
  <c r="N84" i="16"/>
  <c r="O84" i="8"/>
  <c r="N84" i="8"/>
  <c r="N84" i="22"/>
  <c r="O84" i="22"/>
  <c r="Z69" i="51"/>
  <c r="R69" i="51"/>
  <c r="Y69" i="51"/>
  <c r="Q69" i="51"/>
  <c r="X69" i="51"/>
  <c r="P69" i="51"/>
  <c r="W69" i="51"/>
  <c r="O69" i="51"/>
  <c r="V69" i="51"/>
  <c r="U69" i="51"/>
  <c r="T69" i="51"/>
  <c r="S69" i="51"/>
  <c r="O84" i="4"/>
  <c r="N84" i="4"/>
  <c r="I71" i="51"/>
  <c r="M85" i="4"/>
  <c r="N70" i="51"/>
  <c r="J70" i="51"/>
  <c r="H70" i="51"/>
  <c r="T84" i="4" l="1"/>
  <c r="AI84" i="4"/>
  <c r="AL84" i="4"/>
  <c r="Q84" i="4"/>
  <c r="W84" i="4"/>
  <c r="AB69" i="51"/>
  <c r="AK69" i="51"/>
  <c r="O85" i="20"/>
  <c r="N85" i="20"/>
  <c r="O85" i="11"/>
  <c r="N85" i="11"/>
  <c r="O85" i="17"/>
  <c r="N85" i="17"/>
  <c r="N85" i="10"/>
  <c r="O85" i="10"/>
  <c r="O85" i="13"/>
  <c r="N85" i="13"/>
  <c r="O85" i="9"/>
  <c r="N85" i="9"/>
  <c r="O85" i="12"/>
  <c r="N85" i="12"/>
  <c r="O85" i="21"/>
  <c r="N85" i="21"/>
  <c r="O85" i="22"/>
  <c r="N85" i="22"/>
  <c r="M86" i="23"/>
  <c r="M86" i="21"/>
  <c r="M86" i="13"/>
  <c r="M86" i="22"/>
  <c r="M86" i="19"/>
  <c r="M86" i="18"/>
  <c r="M86" i="11"/>
  <c r="M86" i="16"/>
  <c r="M86" i="5"/>
  <c r="M86" i="17"/>
  <c r="M86" i="12"/>
  <c r="M86" i="10"/>
  <c r="M86" i="9"/>
  <c r="M86" i="20"/>
  <c r="M86" i="14"/>
  <c r="M86" i="8"/>
  <c r="M86" i="7"/>
  <c r="M86" i="6"/>
  <c r="M86" i="15"/>
  <c r="O85" i="7"/>
  <c r="N85" i="7"/>
  <c r="N85" i="8"/>
  <c r="O85" i="8"/>
  <c r="O85" i="23"/>
  <c r="N85" i="23"/>
  <c r="O85" i="14"/>
  <c r="N85" i="14"/>
  <c r="O85" i="6"/>
  <c r="N85" i="6"/>
  <c r="O85" i="16"/>
  <c r="N85" i="16"/>
  <c r="O85" i="18"/>
  <c r="N85" i="18"/>
  <c r="O85" i="5"/>
  <c r="N85" i="5"/>
  <c r="O85" i="15"/>
  <c r="N85" i="15"/>
  <c r="O85" i="19"/>
  <c r="N85" i="19"/>
  <c r="V70" i="51"/>
  <c r="U70" i="51"/>
  <c r="T70" i="51"/>
  <c r="S70" i="51"/>
  <c r="Z70" i="51"/>
  <c r="R70" i="51"/>
  <c r="Y70" i="51"/>
  <c r="Q70" i="51"/>
  <c r="X70" i="51"/>
  <c r="P70" i="51"/>
  <c r="W70" i="51"/>
  <c r="O70" i="51"/>
  <c r="I72" i="51"/>
  <c r="M86" i="4"/>
  <c r="H71" i="51"/>
  <c r="N71" i="51"/>
  <c r="J71" i="51"/>
  <c r="O85" i="4"/>
  <c r="N85" i="4"/>
  <c r="AI85" i="4" l="1"/>
  <c r="T85" i="4"/>
  <c r="W85" i="4"/>
  <c r="AL85" i="4"/>
  <c r="Q85" i="4"/>
  <c r="AK70" i="51"/>
  <c r="AB70" i="51"/>
  <c r="N86" i="20"/>
  <c r="O86" i="20"/>
  <c r="O86" i="18"/>
  <c r="N86" i="18"/>
  <c r="N86" i="15"/>
  <c r="O86" i="15"/>
  <c r="O86" i="12"/>
  <c r="N86" i="12"/>
  <c r="O86" i="13"/>
  <c r="N86" i="13"/>
  <c r="O86" i="10"/>
  <c r="N86" i="10"/>
  <c r="N86" i="22"/>
  <c r="O86" i="22"/>
  <c r="N86" i="6"/>
  <c r="O86" i="6"/>
  <c r="N86" i="17"/>
  <c r="O86" i="17"/>
  <c r="N86" i="21"/>
  <c r="O86" i="21"/>
  <c r="N86" i="7"/>
  <c r="O86" i="7"/>
  <c r="O86" i="5"/>
  <c r="N86" i="5"/>
  <c r="N86" i="23"/>
  <c r="O86" i="23"/>
  <c r="O86" i="8"/>
  <c r="N86" i="8"/>
  <c r="N86" i="16"/>
  <c r="O86" i="16"/>
  <c r="N86" i="9"/>
  <c r="O86" i="9"/>
  <c r="O86" i="19"/>
  <c r="N86" i="19"/>
  <c r="M87" i="12"/>
  <c r="M87" i="22"/>
  <c r="M87" i="16"/>
  <c r="M87" i="14"/>
  <c r="M87" i="23"/>
  <c r="M87" i="21"/>
  <c r="M87" i="19"/>
  <c r="M87" i="20"/>
  <c r="M87" i="8"/>
  <c r="M87" i="7"/>
  <c r="M87" i="6"/>
  <c r="M87" i="13"/>
  <c r="M87" i="5"/>
  <c r="M87" i="18"/>
  <c r="M87" i="17"/>
  <c r="M87" i="11"/>
  <c r="M87" i="15"/>
  <c r="M87" i="10"/>
  <c r="M87" i="9"/>
  <c r="O86" i="14"/>
  <c r="N86" i="14"/>
  <c r="O86" i="11"/>
  <c r="N86" i="11"/>
  <c r="Z71" i="51"/>
  <c r="R71" i="51"/>
  <c r="Y71" i="51"/>
  <c r="Q71" i="51"/>
  <c r="X71" i="51"/>
  <c r="P71" i="51"/>
  <c r="W71" i="51"/>
  <c r="O71" i="51"/>
  <c r="V71" i="51"/>
  <c r="U71" i="51"/>
  <c r="T71" i="51"/>
  <c r="S71" i="51"/>
  <c r="O86" i="4"/>
  <c r="N86" i="4"/>
  <c r="I73" i="51"/>
  <c r="M87" i="4"/>
  <c r="J72" i="51"/>
  <c r="N72" i="51"/>
  <c r="H72" i="51"/>
  <c r="Q86" i="4" l="1"/>
  <c r="W86" i="4"/>
  <c r="AL86" i="4"/>
  <c r="T86" i="4"/>
  <c r="AI86" i="4"/>
  <c r="AK71" i="51"/>
  <c r="AB71" i="51"/>
  <c r="O87" i="23"/>
  <c r="N87" i="23"/>
  <c r="O87" i="13"/>
  <c r="N87" i="13"/>
  <c r="O87" i="14"/>
  <c r="N87" i="14"/>
  <c r="O87" i="9"/>
  <c r="N87" i="9"/>
  <c r="O87" i="6"/>
  <c r="N87" i="6"/>
  <c r="O87" i="16"/>
  <c r="N87" i="16"/>
  <c r="O87" i="10"/>
  <c r="N87" i="10"/>
  <c r="N87" i="7"/>
  <c r="O87" i="7"/>
  <c r="O87" i="22"/>
  <c r="N87" i="22"/>
  <c r="O87" i="18"/>
  <c r="N87" i="18"/>
  <c r="O87" i="21"/>
  <c r="N87" i="21"/>
  <c r="M88" i="22"/>
  <c r="M88" i="16"/>
  <c r="M88" i="14"/>
  <c r="M88" i="20"/>
  <c r="M88" i="17"/>
  <c r="M88" i="15"/>
  <c r="M88" i="23"/>
  <c r="M88" i="21"/>
  <c r="M88" i="12"/>
  <c r="M88" i="19"/>
  <c r="M88" i="18"/>
  <c r="M88" i="11"/>
  <c r="M88" i="10"/>
  <c r="M88" i="9"/>
  <c r="M88" i="6"/>
  <c r="M88" i="5"/>
  <c r="M88" i="13"/>
  <c r="M88" i="7"/>
  <c r="M88" i="8"/>
  <c r="O87" i="15"/>
  <c r="N87" i="15"/>
  <c r="O87" i="8"/>
  <c r="N87" i="8"/>
  <c r="O87" i="12"/>
  <c r="N87" i="12"/>
  <c r="O87" i="5"/>
  <c r="N87" i="5"/>
  <c r="O87" i="11"/>
  <c r="N87" i="11"/>
  <c r="O87" i="20"/>
  <c r="N87" i="20"/>
  <c r="O87" i="17"/>
  <c r="N87" i="17"/>
  <c r="O87" i="19"/>
  <c r="N87" i="19"/>
  <c r="V72" i="51"/>
  <c r="U72" i="51"/>
  <c r="T72" i="51"/>
  <c r="S72" i="51"/>
  <c r="Z72" i="51"/>
  <c r="R72" i="51"/>
  <c r="Y72" i="51"/>
  <c r="Q72" i="51"/>
  <c r="X72" i="51"/>
  <c r="P72" i="51"/>
  <c r="O72" i="51"/>
  <c r="W72" i="51"/>
  <c r="N87" i="4"/>
  <c r="O87" i="4"/>
  <c r="I74" i="51"/>
  <c r="M88" i="4"/>
  <c r="H73" i="51"/>
  <c r="J73" i="51"/>
  <c r="N73" i="51"/>
  <c r="T87" i="4" l="1"/>
  <c r="AI87" i="4"/>
  <c r="Q87" i="4"/>
  <c r="W87" i="4"/>
  <c r="AL87" i="4"/>
  <c r="AB72" i="51"/>
  <c r="AK72" i="51"/>
  <c r="N88" i="7"/>
  <c r="O88" i="7"/>
  <c r="O88" i="19"/>
  <c r="N88" i="19"/>
  <c r="O88" i="16"/>
  <c r="N88" i="16"/>
  <c r="O88" i="5"/>
  <c r="N88" i="5"/>
  <c r="N88" i="21"/>
  <c r="O88" i="21"/>
  <c r="N88" i="6"/>
  <c r="O88" i="6"/>
  <c r="N88" i="23"/>
  <c r="O88" i="23"/>
  <c r="O88" i="12"/>
  <c r="N88" i="12"/>
  <c r="O88" i="9"/>
  <c r="N88" i="9"/>
  <c r="N88" i="15"/>
  <c r="O88" i="15"/>
  <c r="O88" i="10"/>
  <c r="N88" i="10"/>
  <c r="N88" i="17"/>
  <c r="O88" i="17"/>
  <c r="O88" i="13"/>
  <c r="N88" i="13"/>
  <c r="N88" i="22"/>
  <c r="O88" i="22"/>
  <c r="M89" i="13"/>
  <c r="M89" i="22"/>
  <c r="M89" i="20"/>
  <c r="M89" i="17"/>
  <c r="M89" i="15"/>
  <c r="M89" i="19"/>
  <c r="M89" i="18"/>
  <c r="M89" i="11"/>
  <c r="M89" i="23"/>
  <c r="M89" i="21"/>
  <c r="M89" i="10"/>
  <c r="M89" i="9"/>
  <c r="M89" i="8"/>
  <c r="M89" i="14"/>
  <c r="M89" i="16"/>
  <c r="M89" i="6"/>
  <c r="M89" i="5"/>
  <c r="M89" i="12"/>
  <c r="M89" i="7"/>
  <c r="O88" i="11"/>
  <c r="N88" i="11"/>
  <c r="N88" i="20"/>
  <c r="O88" i="20"/>
  <c r="O88" i="8"/>
  <c r="N88" i="8"/>
  <c r="O88" i="18"/>
  <c r="N88" i="18"/>
  <c r="O88" i="14"/>
  <c r="N88" i="14"/>
  <c r="Z73" i="51"/>
  <c r="R73" i="51"/>
  <c r="Y73" i="51"/>
  <c r="Q73" i="51"/>
  <c r="X73" i="51"/>
  <c r="P73" i="51"/>
  <c r="W73" i="51"/>
  <c r="O73" i="51"/>
  <c r="V73" i="51"/>
  <c r="U73" i="51"/>
  <c r="T73" i="51"/>
  <c r="S73" i="51"/>
  <c r="O88" i="4"/>
  <c r="N88" i="4"/>
  <c r="I75" i="51"/>
  <c r="M89" i="4"/>
  <c r="H74" i="51"/>
  <c r="J74" i="51"/>
  <c r="N74" i="51"/>
  <c r="Q88" i="4" l="1"/>
  <c r="AL88" i="4"/>
  <c r="W88" i="4"/>
  <c r="T88" i="4"/>
  <c r="AI88" i="4"/>
  <c r="AB73" i="51"/>
  <c r="AK73" i="51"/>
  <c r="O89" i="9"/>
  <c r="N89" i="9"/>
  <c r="O89" i="17"/>
  <c r="N89" i="17"/>
  <c r="O89" i="5"/>
  <c r="N89" i="5"/>
  <c r="O89" i="23"/>
  <c r="N89" i="23"/>
  <c r="O89" i="13"/>
  <c r="N89" i="13"/>
  <c r="O89" i="21"/>
  <c r="N89" i="21"/>
  <c r="N89" i="6"/>
  <c r="O89" i="6"/>
  <c r="O89" i="11"/>
  <c r="N89" i="11"/>
  <c r="O89" i="12"/>
  <c r="N89" i="12"/>
  <c r="N89" i="22"/>
  <c r="O89" i="22"/>
  <c r="M90" i="22"/>
  <c r="M90" i="20"/>
  <c r="M90" i="19"/>
  <c r="M90" i="11"/>
  <c r="M90" i="23"/>
  <c r="M90" i="21"/>
  <c r="M90" i="13"/>
  <c r="M90" i="7"/>
  <c r="M90" i="6"/>
  <c r="M90" i="17"/>
  <c r="M90" i="12"/>
  <c r="M90" i="18"/>
  <c r="M90" i="5"/>
  <c r="M90" i="15"/>
  <c r="M90" i="10"/>
  <c r="M90" i="9"/>
  <c r="M90" i="16"/>
  <c r="M90" i="14"/>
  <c r="M90" i="8"/>
  <c r="O89" i="16"/>
  <c r="N89" i="16"/>
  <c r="O89" i="18"/>
  <c r="N89" i="18"/>
  <c r="O89" i="14"/>
  <c r="N89" i="14"/>
  <c r="O89" i="19"/>
  <c r="N89" i="19"/>
  <c r="O89" i="7"/>
  <c r="N89" i="7"/>
  <c r="O89" i="10"/>
  <c r="N89" i="10"/>
  <c r="O89" i="20"/>
  <c r="N89" i="20"/>
  <c r="O89" i="8"/>
  <c r="N89" i="8"/>
  <c r="O89" i="15"/>
  <c r="N89" i="15"/>
  <c r="V74" i="51"/>
  <c r="U74" i="51"/>
  <c r="T74" i="51"/>
  <c r="S74" i="51"/>
  <c r="Z74" i="51"/>
  <c r="R74" i="51"/>
  <c r="Y74" i="51"/>
  <c r="Q74" i="51"/>
  <c r="X74" i="51"/>
  <c r="P74" i="51"/>
  <c r="W74" i="51"/>
  <c r="O74" i="51"/>
  <c r="O89" i="4"/>
  <c r="N89" i="4"/>
  <c r="I76" i="51"/>
  <c r="M90" i="4"/>
  <c r="H75" i="51"/>
  <c r="N75" i="51"/>
  <c r="J75" i="51"/>
  <c r="T89" i="4" l="1"/>
  <c r="W89" i="4"/>
  <c r="Q89" i="4"/>
  <c r="AI89" i="4"/>
  <c r="AL89" i="4"/>
  <c r="AB74" i="51"/>
  <c r="AK74" i="51"/>
  <c r="O90" i="18"/>
  <c r="N90" i="18"/>
  <c r="O90" i="11"/>
  <c r="N90" i="11"/>
  <c r="N90" i="16"/>
  <c r="O90" i="16"/>
  <c r="O90" i="6"/>
  <c r="N90" i="6"/>
  <c r="N90" i="22"/>
  <c r="O90" i="22"/>
  <c r="N90" i="17"/>
  <c r="O90" i="17"/>
  <c r="O90" i="9"/>
  <c r="N90" i="9"/>
  <c r="N90" i="7"/>
  <c r="O90" i="7"/>
  <c r="O90" i="14"/>
  <c r="N90" i="14"/>
  <c r="N90" i="20"/>
  <c r="O90" i="20"/>
  <c r="M91" i="16"/>
  <c r="M91" i="14"/>
  <c r="M91" i="20"/>
  <c r="M91" i="23"/>
  <c r="M91" i="21"/>
  <c r="M91" i="12"/>
  <c r="M91" i="22"/>
  <c r="M91" i="17"/>
  <c r="M91" i="18"/>
  <c r="M91" i="5"/>
  <c r="M91" i="15"/>
  <c r="M91" i="11"/>
  <c r="M91" i="13"/>
  <c r="M91" i="8"/>
  <c r="M91" i="19"/>
  <c r="M91" i="7"/>
  <c r="M91" i="6"/>
  <c r="M91" i="10"/>
  <c r="M91" i="9"/>
  <c r="O90" i="10"/>
  <c r="N90" i="10"/>
  <c r="O90" i="13"/>
  <c r="N90" i="13"/>
  <c r="N90" i="8"/>
  <c r="O90" i="8"/>
  <c r="O90" i="12"/>
  <c r="N90" i="12"/>
  <c r="O90" i="19"/>
  <c r="N90" i="19"/>
  <c r="N90" i="15"/>
  <c r="O90" i="15"/>
  <c r="N90" i="21"/>
  <c r="O90" i="21"/>
  <c r="O90" i="5"/>
  <c r="N90" i="5"/>
  <c r="N90" i="23"/>
  <c r="O90" i="23"/>
  <c r="Z75" i="51"/>
  <c r="R75" i="51"/>
  <c r="Y75" i="51"/>
  <c r="Q75" i="51"/>
  <c r="X75" i="51"/>
  <c r="P75" i="51"/>
  <c r="W75" i="51"/>
  <c r="O75" i="51"/>
  <c r="V75" i="51"/>
  <c r="U75" i="51"/>
  <c r="T75" i="51"/>
  <c r="S75" i="51"/>
  <c r="N90" i="4"/>
  <c r="O90" i="4"/>
  <c r="I77" i="51"/>
  <c r="M91" i="4"/>
  <c r="H76" i="51"/>
  <c r="N76" i="51"/>
  <c r="J76" i="51"/>
  <c r="W90" i="4" l="1"/>
  <c r="AL90" i="4"/>
  <c r="Q90" i="4"/>
  <c r="T90" i="4"/>
  <c r="AI90" i="4"/>
  <c r="AB75" i="51"/>
  <c r="AK75" i="51"/>
  <c r="O91" i="11"/>
  <c r="N91" i="11"/>
  <c r="O91" i="23"/>
  <c r="N91" i="23"/>
  <c r="O91" i="10"/>
  <c r="N91" i="10"/>
  <c r="O91" i="5"/>
  <c r="N91" i="5"/>
  <c r="O91" i="14"/>
  <c r="N91" i="14"/>
  <c r="O91" i="6"/>
  <c r="N91" i="6"/>
  <c r="O91" i="18"/>
  <c r="N91" i="18"/>
  <c r="O91" i="16"/>
  <c r="N91" i="16"/>
  <c r="O91" i="9"/>
  <c r="N91" i="9"/>
  <c r="O91" i="20"/>
  <c r="N91" i="20"/>
  <c r="O91" i="7"/>
  <c r="N91" i="7"/>
  <c r="O91" i="17"/>
  <c r="N91" i="17"/>
  <c r="M92" i="20"/>
  <c r="M92" i="18"/>
  <c r="M92" i="17"/>
  <c r="M92" i="15"/>
  <c r="M92" i="23"/>
  <c r="M92" i="21"/>
  <c r="M92" i="12"/>
  <c r="M92" i="22"/>
  <c r="M92" i="16"/>
  <c r="M92" i="14"/>
  <c r="M92" i="11"/>
  <c r="M92" i="9"/>
  <c r="M92" i="13"/>
  <c r="M92" i="8"/>
  <c r="M92" i="10"/>
  <c r="M92" i="19"/>
  <c r="M92" i="5"/>
  <c r="M92" i="7"/>
  <c r="M92" i="6"/>
  <c r="O91" i="19"/>
  <c r="N91" i="19"/>
  <c r="O91" i="22"/>
  <c r="N91" i="22"/>
  <c r="O91" i="8"/>
  <c r="N91" i="8"/>
  <c r="O91" i="12"/>
  <c r="N91" i="12"/>
  <c r="N91" i="15"/>
  <c r="O91" i="15"/>
  <c r="O91" i="13"/>
  <c r="N91" i="13"/>
  <c r="O91" i="21"/>
  <c r="N91" i="21"/>
  <c r="V76" i="51"/>
  <c r="U76" i="51"/>
  <c r="T76" i="51"/>
  <c r="S76" i="51"/>
  <c r="Z76" i="51"/>
  <c r="R76" i="51"/>
  <c r="Y76" i="51"/>
  <c r="Q76" i="51"/>
  <c r="X76" i="51"/>
  <c r="P76" i="51"/>
  <c r="W76" i="51"/>
  <c r="O76" i="51"/>
  <c r="O91" i="4"/>
  <c r="N91" i="4"/>
  <c r="I78" i="51"/>
  <c r="M92" i="4"/>
  <c r="N77" i="51"/>
  <c r="J77" i="51"/>
  <c r="H77" i="51"/>
  <c r="W91" i="4" l="1"/>
  <c r="T91" i="4"/>
  <c r="AL91" i="4"/>
  <c r="Q91" i="4"/>
  <c r="AI91" i="4"/>
  <c r="AB76" i="51"/>
  <c r="AK76" i="51"/>
  <c r="O92" i="19"/>
  <c r="N92" i="19"/>
  <c r="O92" i="22"/>
  <c r="N92" i="22"/>
  <c r="O92" i="10"/>
  <c r="N92" i="10"/>
  <c r="O92" i="12"/>
  <c r="N92" i="12"/>
  <c r="O92" i="8"/>
  <c r="N92" i="8"/>
  <c r="N92" i="21"/>
  <c r="O92" i="21"/>
  <c r="O92" i="13"/>
  <c r="N92" i="13"/>
  <c r="N92" i="23"/>
  <c r="O92" i="23"/>
  <c r="O92" i="9"/>
  <c r="N92" i="9"/>
  <c r="N92" i="15"/>
  <c r="O92" i="15"/>
  <c r="N92" i="6"/>
  <c r="O92" i="6"/>
  <c r="O92" i="11"/>
  <c r="N92" i="11"/>
  <c r="N92" i="17"/>
  <c r="O92" i="17"/>
  <c r="N92" i="7"/>
  <c r="O92" i="7"/>
  <c r="O92" i="14"/>
  <c r="N92" i="14"/>
  <c r="O92" i="18"/>
  <c r="N92" i="18"/>
  <c r="M93" i="19"/>
  <c r="M93" i="11"/>
  <c r="M93" i="23"/>
  <c r="M93" i="21"/>
  <c r="M93" i="13"/>
  <c r="M93" i="22"/>
  <c r="M93" i="20"/>
  <c r="M93" i="18"/>
  <c r="M93" i="17"/>
  <c r="M93" i="15"/>
  <c r="M93" i="12"/>
  <c r="M93" i="14"/>
  <c r="M93" i="8"/>
  <c r="M93" i="10"/>
  <c r="M93" i="9"/>
  <c r="M93" i="16"/>
  <c r="M93" i="7"/>
  <c r="M93" i="6"/>
  <c r="M93" i="5"/>
  <c r="O92" i="5"/>
  <c r="N92" i="5"/>
  <c r="N92" i="16"/>
  <c r="O92" i="16"/>
  <c r="N92" i="20"/>
  <c r="O92" i="20"/>
  <c r="Z77" i="51"/>
  <c r="R77" i="51"/>
  <c r="Y77" i="51"/>
  <c r="Q77" i="51"/>
  <c r="X77" i="51"/>
  <c r="P77" i="51"/>
  <c r="W77" i="51"/>
  <c r="O77" i="51"/>
  <c r="V77" i="51"/>
  <c r="U77" i="51"/>
  <c r="T77" i="51"/>
  <c r="S77" i="51"/>
  <c r="I79" i="51"/>
  <c r="M93" i="4"/>
  <c r="H78" i="51"/>
  <c r="N78" i="51"/>
  <c r="J78" i="51"/>
  <c r="O92" i="4"/>
  <c r="N92" i="4"/>
  <c r="T92" i="4" l="1"/>
  <c r="AL92" i="4"/>
  <c r="AI92" i="4"/>
  <c r="Q92" i="4"/>
  <c r="W92" i="4"/>
  <c r="AK77" i="51"/>
  <c r="AB77" i="51"/>
  <c r="O93" i="16"/>
  <c r="N93" i="16"/>
  <c r="N93" i="18"/>
  <c r="O93" i="18"/>
  <c r="O93" i="9"/>
  <c r="N93" i="9"/>
  <c r="O93" i="20"/>
  <c r="N93" i="20"/>
  <c r="O93" i="10"/>
  <c r="N93" i="10"/>
  <c r="O93" i="22"/>
  <c r="N93" i="22"/>
  <c r="O93" i="8"/>
  <c r="N93" i="8"/>
  <c r="O93" i="13"/>
  <c r="N93" i="13"/>
  <c r="O93" i="14"/>
  <c r="N93" i="14"/>
  <c r="O93" i="21"/>
  <c r="N93" i="21"/>
  <c r="O93" i="5"/>
  <c r="N93" i="5"/>
  <c r="O93" i="12"/>
  <c r="N93" i="12"/>
  <c r="O93" i="23"/>
  <c r="N93" i="23"/>
  <c r="O93" i="6"/>
  <c r="N93" i="6"/>
  <c r="O93" i="15"/>
  <c r="N93" i="15"/>
  <c r="O93" i="11"/>
  <c r="N93" i="11"/>
  <c r="M94" i="23"/>
  <c r="M94" i="21"/>
  <c r="M94" i="13"/>
  <c r="M94" i="22"/>
  <c r="M94" i="19"/>
  <c r="M94" i="11"/>
  <c r="M94" i="14"/>
  <c r="M94" i="5"/>
  <c r="M94" i="20"/>
  <c r="M94" i="15"/>
  <c r="M94" i="10"/>
  <c r="M94" i="9"/>
  <c r="M94" i="16"/>
  <c r="M94" i="7"/>
  <c r="M94" i="6"/>
  <c r="M94" i="17"/>
  <c r="M94" i="12"/>
  <c r="M94" i="18"/>
  <c r="M94" i="8"/>
  <c r="O93" i="7"/>
  <c r="N93" i="7"/>
  <c r="O93" i="17"/>
  <c r="N93" i="17"/>
  <c r="O93" i="19"/>
  <c r="N93" i="19"/>
  <c r="V78" i="51"/>
  <c r="U78" i="51"/>
  <c r="T78" i="51"/>
  <c r="S78" i="51"/>
  <c r="Z78" i="51"/>
  <c r="R78" i="51"/>
  <c r="Y78" i="51"/>
  <c r="Q78" i="51"/>
  <c r="X78" i="51"/>
  <c r="P78" i="51"/>
  <c r="W78" i="51"/>
  <c r="O78" i="51"/>
  <c r="I80" i="51"/>
  <c r="M94" i="4"/>
  <c r="H79" i="51"/>
  <c r="N79" i="51"/>
  <c r="J79" i="51"/>
  <c r="N93" i="4"/>
  <c r="O93" i="4"/>
  <c r="Q93" i="4" l="1"/>
  <c r="AL93" i="4"/>
  <c r="T93" i="4"/>
  <c r="W93" i="4"/>
  <c r="AI93" i="4"/>
  <c r="AB78" i="51"/>
  <c r="AK78" i="51"/>
  <c r="N94" i="17"/>
  <c r="O94" i="17"/>
  <c r="O94" i="5"/>
  <c r="N94" i="5"/>
  <c r="N94" i="6"/>
  <c r="O94" i="6"/>
  <c r="O94" i="14"/>
  <c r="N94" i="14"/>
  <c r="N94" i="7"/>
  <c r="O94" i="7"/>
  <c r="O94" i="11"/>
  <c r="N94" i="11"/>
  <c r="N94" i="16"/>
  <c r="O94" i="16"/>
  <c r="O94" i="19"/>
  <c r="N94" i="19"/>
  <c r="O94" i="9"/>
  <c r="N94" i="9"/>
  <c r="N94" i="22"/>
  <c r="O94" i="22"/>
  <c r="N94" i="8"/>
  <c r="O94" i="8"/>
  <c r="O94" i="10"/>
  <c r="N94" i="10"/>
  <c r="O94" i="13"/>
  <c r="N94" i="13"/>
  <c r="O94" i="18"/>
  <c r="N94" i="18"/>
  <c r="N94" i="15"/>
  <c r="O94" i="15"/>
  <c r="N94" i="21"/>
  <c r="O94" i="21"/>
  <c r="M95" i="12"/>
  <c r="M95" i="22"/>
  <c r="M95" i="16"/>
  <c r="M95" i="14"/>
  <c r="M95" i="23"/>
  <c r="M95" i="21"/>
  <c r="M95" i="20"/>
  <c r="M95" i="18"/>
  <c r="M95" i="13"/>
  <c r="M95" i="7"/>
  <c r="M95" i="6"/>
  <c r="M95" i="19"/>
  <c r="M95" i="5"/>
  <c r="M95" i="8"/>
  <c r="M95" i="17"/>
  <c r="M95" i="11"/>
  <c r="M95" i="15"/>
  <c r="M95" i="10"/>
  <c r="M95" i="9"/>
  <c r="O94" i="12"/>
  <c r="N94" i="12"/>
  <c r="N94" i="20"/>
  <c r="O94" i="20"/>
  <c r="N94" i="23"/>
  <c r="O94" i="23"/>
  <c r="Z79" i="51"/>
  <c r="R79" i="51"/>
  <c r="Y79" i="51"/>
  <c r="Q79" i="51"/>
  <c r="X79" i="51"/>
  <c r="P79" i="51"/>
  <c r="W79" i="51"/>
  <c r="O79" i="51"/>
  <c r="V79" i="51"/>
  <c r="U79" i="51"/>
  <c r="T79" i="51"/>
  <c r="S79" i="51"/>
  <c r="O94" i="4"/>
  <c r="N94" i="4"/>
  <c r="I81" i="51"/>
  <c r="M95" i="4"/>
  <c r="H80" i="51"/>
  <c r="J80" i="51"/>
  <c r="N80" i="51"/>
  <c r="W94" i="4" l="1"/>
  <c r="T94" i="4"/>
  <c r="AI94" i="4"/>
  <c r="Q94" i="4"/>
  <c r="AL94" i="4"/>
  <c r="AK79" i="51"/>
  <c r="AB79" i="51"/>
  <c r="O95" i="11"/>
  <c r="N95" i="11"/>
  <c r="O95" i="18"/>
  <c r="N95" i="18"/>
  <c r="O95" i="17"/>
  <c r="N95" i="17"/>
  <c r="O95" i="20"/>
  <c r="N95" i="20"/>
  <c r="O95" i="8"/>
  <c r="N95" i="8"/>
  <c r="O95" i="21"/>
  <c r="N95" i="21"/>
  <c r="O95" i="5"/>
  <c r="N95" i="5"/>
  <c r="N95" i="23"/>
  <c r="O95" i="23"/>
  <c r="O95" i="19"/>
  <c r="N95" i="19"/>
  <c r="O95" i="14"/>
  <c r="N95" i="14"/>
  <c r="O95" i="9"/>
  <c r="N95" i="9"/>
  <c r="O95" i="6"/>
  <c r="N95" i="6"/>
  <c r="O95" i="16"/>
  <c r="N95" i="16"/>
  <c r="M96" i="22"/>
  <c r="M96" i="16"/>
  <c r="M96" i="14"/>
  <c r="M96" i="20"/>
  <c r="M96" i="18"/>
  <c r="M96" i="17"/>
  <c r="M96" i="15"/>
  <c r="M96" i="23"/>
  <c r="M96" i="21"/>
  <c r="M96" i="12"/>
  <c r="M96" i="8"/>
  <c r="M96" i="10"/>
  <c r="M96" i="11"/>
  <c r="M96" i="9"/>
  <c r="M96" i="19"/>
  <c r="M96" i="7"/>
  <c r="M96" i="13"/>
  <c r="M96" i="6"/>
  <c r="M96" i="5"/>
  <c r="O95" i="10"/>
  <c r="N95" i="10"/>
  <c r="N95" i="7"/>
  <c r="O95" i="7"/>
  <c r="O95" i="22"/>
  <c r="N95" i="22"/>
  <c r="N95" i="15"/>
  <c r="O95" i="15"/>
  <c r="O95" i="13"/>
  <c r="N95" i="13"/>
  <c r="O95" i="12"/>
  <c r="N95" i="12"/>
  <c r="V80" i="51"/>
  <c r="U80" i="51"/>
  <c r="T80" i="51"/>
  <c r="S80" i="51"/>
  <c r="Z80" i="51"/>
  <c r="R80" i="51"/>
  <c r="Y80" i="51"/>
  <c r="Q80" i="51"/>
  <c r="X80" i="51"/>
  <c r="P80" i="51"/>
  <c r="O80" i="51"/>
  <c r="W80" i="51"/>
  <c r="N95" i="4"/>
  <c r="O95" i="4"/>
  <c r="I82" i="51"/>
  <c r="M96" i="4"/>
  <c r="H81" i="51"/>
  <c r="N81" i="51"/>
  <c r="J81" i="51"/>
  <c r="AL95" i="4" l="1"/>
  <c r="W95" i="4"/>
  <c r="T95" i="4"/>
  <c r="AI95" i="4"/>
  <c r="Q95" i="4"/>
  <c r="AB80" i="51"/>
  <c r="AK80" i="51"/>
  <c r="O96" i="9"/>
  <c r="N96" i="9"/>
  <c r="N96" i="17"/>
  <c r="O96" i="17"/>
  <c r="O96" i="11"/>
  <c r="N96" i="11"/>
  <c r="O96" i="18"/>
  <c r="N96" i="18"/>
  <c r="O96" i="10"/>
  <c r="N96" i="10"/>
  <c r="N96" i="20"/>
  <c r="O96" i="20"/>
  <c r="O96" i="5"/>
  <c r="N96" i="5"/>
  <c r="N96" i="8"/>
  <c r="O96" i="8"/>
  <c r="O96" i="14"/>
  <c r="N96" i="14"/>
  <c r="N96" i="6"/>
  <c r="O96" i="6"/>
  <c r="O96" i="12"/>
  <c r="N96" i="12"/>
  <c r="O96" i="16"/>
  <c r="N96" i="16"/>
  <c r="N96" i="22"/>
  <c r="O96" i="22"/>
  <c r="N96" i="7"/>
  <c r="O96" i="7"/>
  <c r="N96" i="23"/>
  <c r="O96" i="23"/>
  <c r="M97" i="13"/>
  <c r="M97" i="22"/>
  <c r="M97" i="20"/>
  <c r="M97" i="18"/>
  <c r="M97" i="17"/>
  <c r="M97" i="15"/>
  <c r="M97" i="19"/>
  <c r="M97" i="11"/>
  <c r="M97" i="23"/>
  <c r="M97" i="21"/>
  <c r="M97" i="10"/>
  <c r="M97" i="9"/>
  <c r="M97" i="6"/>
  <c r="M97" i="16"/>
  <c r="M97" i="14"/>
  <c r="M97" i="8"/>
  <c r="M97" i="7"/>
  <c r="M97" i="12"/>
  <c r="M97" i="5"/>
  <c r="O96" i="13"/>
  <c r="N96" i="13"/>
  <c r="O96" i="21"/>
  <c r="N96" i="21"/>
  <c r="O96" i="19"/>
  <c r="N96" i="19"/>
  <c r="N96" i="15"/>
  <c r="O96" i="15"/>
  <c r="Z81" i="51"/>
  <c r="R81" i="51"/>
  <c r="Y81" i="51"/>
  <c r="Q81" i="51"/>
  <c r="X81" i="51"/>
  <c r="P81" i="51"/>
  <c r="W81" i="51"/>
  <c r="O81" i="51"/>
  <c r="V81" i="51"/>
  <c r="U81" i="51"/>
  <c r="T81" i="51"/>
  <c r="S81" i="51"/>
  <c r="I83" i="51"/>
  <c r="M97" i="4"/>
  <c r="J82" i="51"/>
  <c r="H82" i="51"/>
  <c r="N82" i="51"/>
  <c r="N96" i="4"/>
  <c r="O96" i="4"/>
  <c r="T96" i="4" l="1"/>
  <c r="AL96" i="4"/>
  <c r="W96" i="4"/>
  <c r="AI96" i="4"/>
  <c r="Q96" i="4"/>
  <c r="AK81" i="51"/>
  <c r="AB81" i="51"/>
  <c r="O97" i="12"/>
  <c r="N97" i="12"/>
  <c r="O97" i="21"/>
  <c r="N97" i="21"/>
  <c r="N97" i="22"/>
  <c r="O97" i="22"/>
  <c r="O97" i="7"/>
  <c r="N97" i="7"/>
  <c r="N97" i="23"/>
  <c r="O97" i="23"/>
  <c r="O97" i="13"/>
  <c r="N97" i="13"/>
  <c r="O97" i="14"/>
  <c r="N97" i="14"/>
  <c r="N97" i="19"/>
  <c r="O97" i="19"/>
  <c r="N97" i="8"/>
  <c r="O97" i="8"/>
  <c r="O97" i="16"/>
  <c r="N97" i="16"/>
  <c r="O97" i="15"/>
  <c r="N97" i="15"/>
  <c r="O97" i="6"/>
  <c r="N97" i="6"/>
  <c r="O97" i="17"/>
  <c r="N97" i="17"/>
  <c r="O97" i="9"/>
  <c r="N97" i="9"/>
  <c r="O97" i="18"/>
  <c r="N97" i="18"/>
  <c r="O97" i="11"/>
  <c r="N97" i="11"/>
  <c r="M98" i="22"/>
  <c r="M98" i="20"/>
  <c r="M98" i="19"/>
  <c r="M98" i="11"/>
  <c r="M98" i="23"/>
  <c r="M98" i="21"/>
  <c r="M98" i="13"/>
  <c r="M98" i="18"/>
  <c r="M98" i="7"/>
  <c r="M98" i="15"/>
  <c r="M98" i="5"/>
  <c r="M98" i="17"/>
  <c r="M98" i="12"/>
  <c r="M98" i="10"/>
  <c r="M98" i="9"/>
  <c r="M98" i="6"/>
  <c r="M98" i="16"/>
  <c r="M98" i="14"/>
  <c r="M98" i="8"/>
  <c r="O97" i="5"/>
  <c r="N97" i="5"/>
  <c r="O97" i="10"/>
  <c r="N97" i="10"/>
  <c r="O97" i="20"/>
  <c r="N97" i="20"/>
  <c r="V82" i="51"/>
  <c r="U82" i="51"/>
  <c r="T82" i="51"/>
  <c r="S82" i="51"/>
  <c r="O82" i="51"/>
  <c r="Z82" i="51"/>
  <c r="R82" i="51"/>
  <c r="Y82" i="51"/>
  <c r="Q82" i="51"/>
  <c r="X82" i="51"/>
  <c r="P82" i="51"/>
  <c r="W82" i="51"/>
  <c r="O97" i="4"/>
  <c r="N97" i="4"/>
  <c r="I84" i="51"/>
  <c r="M98" i="4"/>
  <c r="H83" i="51"/>
  <c r="N83" i="51"/>
  <c r="J83" i="51"/>
  <c r="Q97" i="4" l="1"/>
  <c r="W97" i="4"/>
  <c r="AL97" i="4"/>
  <c r="AI97" i="4"/>
  <c r="T97" i="4"/>
  <c r="AB82" i="51"/>
  <c r="AK82" i="51"/>
  <c r="O98" i="6"/>
  <c r="N98" i="6"/>
  <c r="O98" i="18"/>
  <c r="N98" i="18"/>
  <c r="N98" i="9"/>
  <c r="O98" i="9"/>
  <c r="O98" i="13"/>
  <c r="N98" i="13"/>
  <c r="O98" i="10"/>
  <c r="N98" i="10"/>
  <c r="O98" i="21"/>
  <c r="N98" i="21"/>
  <c r="O98" i="12"/>
  <c r="N98" i="12"/>
  <c r="N98" i="23"/>
  <c r="O98" i="23"/>
  <c r="N98" i="17"/>
  <c r="O98" i="17"/>
  <c r="O98" i="11"/>
  <c r="N98" i="11"/>
  <c r="O98" i="5"/>
  <c r="N98" i="5"/>
  <c r="O98" i="14"/>
  <c r="N98" i="14"/>
  <c r="N98" i="15"/>
  <c r="O98" i="15"/>
  <c r="N98" i="20"/>
  <c r="O98" i="20"/>
  <c r="M99" i="16"/>
  <c r="M99" i="14"/>
  <c r="M99" i="20"/>
  <c r="M99" i="23"/>
  <c r="M99" i="21"/>
  <c r="M99" i="12"/>
  <c r="M99" i="22"/>
  <c r="M99" i="15"/>
  <c r="M99" i="11"/>
  <c r="M99" i="13"/>
  <c r="M99" i="19"/>
  <c r="M99" i="5"/>
  <c r="M99" i="17"/>
  <c r="M99" i="8"/>
  <c r="M99" i="18"/>
  <c r="M99" i="7"/>
  <c r="M99" i="6"/>
  <c r="M99" i="10"/>
  <c r="M99" i="9"/>
  <c r="N98" i="8"/>
  <c r="O98" i="8"/>
  <c r="O98" i="19"/>
  <c r="N98" i="19"/>
  <c r="N98" i="16"/>
  <c r="O98" i="16"/>
  <c r="N98" i="7"/>
  <c r="O98" i="7"/>
  <c r="O98" i="22"/>
  <c r="N98" i="22"/>
  <c r="Z83" i="51"/>
  <c r="R83" i="51"/>
  <c r="Y83" i="51"/>
  <c r="Q83" i="51"/>
  <c r="X83" i="51"/>
  <c r="P83" i="51"/>
  <c r="W83" i="51"/>
  <c r="O83" i="51"/>
  <c r="S83" i="51"/>
  <c r="V83" i="51"/>
  <c r="U83" i="51"/>
  <c r="T83" i="51"/>
  <c r="I85" i="51"/>
  <c r="M99" i="4"/>
  <c r="H84" i="51"/>
  <c r="N84" i="51"/>
  <c r="J84" i="51"/>
  <c r="N98" i="4"/>
  <c r="O98" i="4"/>
  <c r="W98" i="4" l="1"/>
  <c r="AL98" i="4"/>
  <c r="T98" i="4"/>
  <c r="AI98" i="4"/>
  <c r="Q98" i="4"/>
  <c r="AB83" i="51"/>
  <c r="AK83" i="51"/>
  <c r="O99" i="5"/>
  <c r="N99" i="5"/>
  <c r="O99" i="23"/>
  <c r="N99" i="23"/>
  <c r="O99" i="9"/>
  <c r="N99" i="9"/>
  <c r="O99" i="19"/>
  <c r="N99" i="19"/>
  <c r="O99" i="20"/>
  <c r="N99" i="20"/>
  <c r="O99" i="10"/>
  <c r="N99" i="10"/>
  <c r="O99" i="13"/>
  <c r="N99" i="13"/>
  <c r="O99" i="14"/>
  <c r="N99" i="14"/>
  <c r="N99" i="6"/>
  <c r="O99" i="6"/>
  <c r="O99" i="11"/>
  <c r="N99" i="11"/>
  <c r="O99" i="16"/>
  <c r="N99" i="16"/>
  <c r="N99" i="7"/>
  <c r="O99" i="7"/>
  <c r="O99" i="15"/>
  <c r="N99" i="15"/>
  <c r="O99" i="18"/>
  <c r="N99" i="18"/>
  <c r="O99" i="22"/>
  <c r="N99" i="22"/>
  <c r="O99" i="8"/>
  <c r="N99" i="8"/>
  <c r="O99" i="12"/>
  <c r="N99" i="12"/>
  <c r="M100" i="20"/>
  <c r="M100" i="18"/>
  <c r="M100" i="17"/>
  <c r="M100" i="15"/>
  <c r="M100" i="23"/>
  <c r="M100" i="21"/>
  <c r="M100" i="12"/>
  <c r="M100" i="22"/>
  <c r="M100" i="16"/>
  <c r="M100" i="14"/>
  <c r="M100" i="13"/>
  <c r="M100" i="10"/>
  <c r="M100" i="8"/>
  <c r="M100" i="9"/>
  <c r="M100" i="11"/>
  <c r="M100" i="6"/>
  <c r="M100" i="5"/>
  <c r="M100" i="19"/>
  <c r="M100" i="7"/>
  <c r="O99" i="17"/>
  <c r="N99" i="17"/>
  <c r="O99" i="21"/>
  <c r="N99" i="21"/>
  <c r="V84" i="51"/>
  <c r="O84" i="51"/>
  <c r="U84" i="51"/>
  <c r="T84" i="51"/>
  <c r="S84" i="51"/>
  <c r="Z84" i="51"/>
  <c r="R84" i="51"/>
  <c r="Y84" i="51"/>
  <c r="Q84" i="51"/>
  <c r="X84" i="51"/>
  <c r="P84" i="51"/>
  <c r="W84" i="51"/>
  <c r="N99" i="4"/>
  <c r="O99" i="4"/>
  <c r="I86" i="51"/>
  <c r="M100" i="4"/>
  <c r="H85" i="51"/>
  <c r="N85" i="51"/>
  <c r="J85" i="51"/>
  <c r="T99" i="4" l="1"/>
  <c r="AI99" i="4"/>
  <c r="Q99" i="4"/>
  <c r="W99" i="4"/>
  <c r="AL99" i="4"/>
  <c r="AK84" i="51"/>
  <c r="AB84" i="51"/>
  <c r="O100" i="9"/>
  <c r="N100" i="9"/>
  <c r="O100" i="21"/>
  <c r="N100" i="21"/>
  <c r="O100" i="10"/>
  <c r="N100" i="10"/>
  <c r="N100" i="15"/>
  <c r="O100" i="15"/>
  <c r="O100" i="8"/>
  <c r="N100" i="8"/>
  <c r="N100" i="23"/>
  <c r="O100" i="23"/>
  <c r="N100" i="7"/>
  <c r="O100" i="7"/>
  <c r="O100" i="13"/>
  <c r="N100" i="13"/>
  <c r="O100" i="17"/>
  <c r="N100" i="17"/>
  <c r="O100" i="19"/>
  <c r="N100" i="19"/>
  <c r="O100" i="14"/>
  <c r="N100" i="14"/>
  <c r="O100" i="18"/>
  <c r="N100" i="18"/>
  <c r="O100" i="5"/>
  <c r="N100" i="5"/>
  <c r="O100" i="16"/>
  <c r="N100" i="16"/>
  <c r="N100" i="20"/>
  <c r="O100" i="20"/>
  <c r="M101" i="19"/>
  <c r="M101" i="11"/>
  <c r="M101" i="23"/>
  <c r="M101" i="21"/>
  <c r="M101" i="13"/>
  <c r="M101" i="22"/>
  <c r="M101" i="20"/>
  <c r="M101" i="18"/>
  <c r="M101" i="17"/>
  <c r="M101" i="15"/>
  <c r="M101" i="16"/>
  <c r="M101" i="8"/>
  <c r="M101" i="12"/>
  <c r="M101" i="10"/>
  <c r="M101" i="9"/>
  <c r="M101" i="6"/>
  <c r="M101" i="14"/>
  <c r="M101" i="5"/>
  <c r="M101" i="7"/>
  <c r="N100" i="6"/>
  <c r="O100" i="6"/>
  <c r="O100" i="22"/>
  <c r="N100" i="22"/>
  <c r="O100" i="11"/>
  <c r="N100" i="11"/>
  <c r="O100" i="12"/>
  <c r="N100" i="12"/>
  <c r="Z85" i="51"/>
  <c r="R85" i="51"/>
  <c r="Y85" i="51"/>
  <c r="Q85" i="51"/>
  <c r="X85" i="51"/>
  <c r="P85" i="51"/>
  <c r="W85" i="51"/>
  <c r="O85" i="51"/>
  <c r="V85" i="51"/>
  <c r="S85" i="51"/>
  <c r="U85" i="51"/>
  <c r="T85" i="51"/>
  <c r="O100" i="4"/>
  <c r="N100" i="4"/>
  <c r="I87" i="51"/>
  <c r="M101" i="4"/>
  <c r="N86" i="51"/>
  <c r="J86" i="51"/>
  <c r="H86" i="51"/>
  <c r="AL100" i="4" l="1"/>
  <c r="Q100" i="4"/>
  <c r="W100" i="4"/>
  <c r="AI100" i="4"/>
  <c r="T100" i="4"/>
  <c r="AB85" i="51"/>
  <c r="AK85" i="51"/>
  <c r="O101" i="5"/>
  <c r="N101" i="5"/>
  <c r="O101" i="15"/>
  <c r="N101" i="15"/>
  <c r="O101" i="11"/>
  <c r="N101" i="11"/>
  <c r="O101" i="6"/>
  <c r="N101" i="6"/>
  <c r="O101" i="18"/>
  <c r="N101" i="18"/>
  <c r="O101" i="9"/>
  <c r="N101" i="9"/>
  <c r="O101" i="20"/>
  <c r="N101" i="20"/>
  <c r="N101" i="10"/>
  <c r="O101" i="10"/>
  <c r="O101" i="22"/>
  <c r="N101" i="22"/>
  <c r="O101" i="14"/>
  <c r="N101" i="14"/>
  <c r="O101" i="17"/>
  <c r="N101" i="17"/>
  <c r="O101" i="19"/>
  <c r="N101" i="19"/>
  <c r="M102" i="23"/>
  <c r="M102" i="21"/>
  <c r="M102" i="13"/>
  <c r="M102" i="22"/>
  <c r="M102" i="19"/>
  <c r="M102" i="11"/>
  <c r="M102" i="20"/>
  <c r="M102" i="16"/>
  <c r="M102" i="5"/>
  <c r="M102" i="17"/>
  <c r="M102" i="12"/>
  <c r="M102" i="10"/>
  <c r="M102" i="9"/>
  <c r="M102" i="6"/>
  <c r="M102" i="14"/>
  <c r="M102" i="7"/>
  <c r="M102" i="15"/>
  <c r="M102" i="18"/>
  <c r="M102" i="8"/>
  <c r="O101" i="12"/>
  <c r="N101" i="12"/>
  <c r="O101" i="13"/>
  <c r="N101" i="13"/>
  <c r="N101" i="8"/>
  <c r="O101" i="8"/>
  <c r="O101" i="21"/>
  <c r="N101" i="21"/>
  <c r="O101" i="7"/>
  <c r="N101" i="7"/>
  <c r="O101" i="16"/>
  <c r="N101" i="16"/>
  <c r="O101" i="23"/>
  <c r="N101" i="23"/>
  <c r="V86" i="51"/>
  <c r="U86" i="51"/>
  <c r="W86" i="51"/>
  <c r="T86" i="51"/>
  <c r="O86" i="51"/>
  <c r="S86" i="51"/>
  <c r="Z86" i="51"/>
  <c r="R86" i="51"/>
  <c r="Y86" i="51"/>
  <c r="Q86" i="51"/>
  <c r="X86" i="51"/>
  <c r="P86" i="51"/>
  <c r="I88" i="51"/>
  <c r="M102" i="4"/>
  <c r="N87" i="51"/>
  <c r="H87" i="51"/>
  <c r="J87" i="51"/>
  <c r="O101" i="4"/>
  <c r="N101" i="4"/>
  <c r="Q101" i="4" l="1"/>
  <c r="AI101" i="4"/>
  <c r="T101" i="4"/>
  <c r="AL101" i="4"/>
  <c r="W101" i="4"/>
  <c r="AK86" i="51"/>
  <c r="AB86" i="51"/>
  <c r="N102" i="7"/>
  <c r="O102" i="7"/>
  <c r="N102" i="16"/>
  <c r="O102" i="16"/>
  <c r="N102" i="6"/>
  <c r="O102" i="6"/>
  <c r="O102" i="11"/>
  <c r="N102" i="11"/>
  <c r="O102" i="9"/>
  <c r="N102" i="9"/>
  <c r="O102" i="19"/>
  <c r="N102" i="19"/>
  <c r="O102" i="14"/>
  <c r="N102" i="14"/>
  <c r="N102" i="20"/>
  <c r="O102" i="20"/>
  <c r="O102" i="10"/>
  <c r="N102" i="10"/>
  <c r="N102" i="22"/>
  <c r="O102" i="22"/>
  <c r="O102" i="8"/>
  <c r="N102" i="8"/>
  <c r="O102" i="12"/>
  <c r="N102" i="12"/>
  <c r="O102" i="13"/>
  <c r="N102" i="13"/>
  <c r="O102" i="18"/>
  <c r="N102" i="18"/>
  <c r="N102" i="17"/>
  <c r="O102" i="17"/>
  <c r="N102" i="21"/>
  <c r="O102" i="21"/>
  <c r="M103" i="12"/>
  <c r="M103" i="22"/>
  <c r="M103" i="16"/>
  <c r="M103" i="14"/>
  <c r="M103" i="23"/>
  <c r="M103" i="21"/>
  <c r="M103" i="19"/>
  <c r="M103" i="8"/>
  <c r="M103" i="7"/>
  <c r="M103" i="18"/>
  <c r="M103" i="20"/>
  <c r="M103" i="13"/>
  <c r="M103" i="5"/>
  <c r="M103" i="17"/>
  <c r="M103" i="11"/>
  <c r="M103" i="6"/>
  <c r="M103" i="15"/>
  <c r="M103" i="10"/>
  <c r="M103" i="9"/>
  <c r="N102" i="15"/>
  <c r="O102" i="15"/>
  <c r="O102" i="5"/>
  <c r="N102" i="5"/>
  <c r="O102" i="23"/>
  <c r="N102" i="23"/>
  <c r="Z87" i="51"/>
  <c r="R87" i="51"/>
  <c r="Y87" i="51"/>
  <c r="Q87" i="51"/>
  <c r="X87" i="51"/>
  <c r="P87" i="51"/>
  <c r="W87" i="51"/>
  <c r="O87" i="51"/>
  <c r="S87" i="51"/>
  <c r="V87" i="51"/>
  <c r="U87" i="51"/>
  <c r="T87" i="51"/>
  <c r="O102" i="4"/>
  <c r="N102" i="4"/>
  <c r="I89" i="51"/>
  <c r="M103" i="4"/>
  <c r="J88" i="51"/>
  <c r="N88" i="51"/>
  <c r="H88" i="51"/>
  <c r="Q102" i="4" l="1"/>
  <c r="AL102" i="4"/>
  <c r="W102" i="4"/>
  <c r="AI102" i="4"/>
  <c r="T102" i="4"/>
  <c r="AK87" i="51"/>
  <c r="AB87" i="51"/>
  <c r="N103" i="6"/>
  <c r="O103" i="6"/>
  <c r="O103" i="8"/>
  <c r="N103" i="8"/>
  <c r="O103" i="17"/>
  <c r="N103" i="17"/>
  <c r="O103" i="21"/>
  <c r="N103" i="21"/>
  <c r="O103" i="5"/>
  <c r="N103" i="5"/>
  <c r="N103" i="23"/>
  <c r="O103" i="23"/>
  <c r="O103" i="13"/>
  <c r="N103" i="13"/>
  <c r="O103" i="14"/>
  <c r="N103" i="14"/>
  <c r="O103" i="11"/>
  <c r="N103" i="11"/>
  <c r="O103" i="19"/>
  <c r="N103" i="19"/>
  <c r="M104" i="22"/>
  <c r="M104" i="16"/>
  <c r="M104" i="14"/>
  <c r="M104" i="20"/>
  <c r="M104" i="18"/>
  <c r="M104" i="17"/>
  <c r="M104" i="15"/>
  <c r="M104" i="23"/>
  <c r="M104" i="21"/>
  <c r="M104" i="12"/>
  <c r="M104" i="19"/>
  <c r="M104" i="8"/>
  <c r="M104" i="10"/>
  <c r="M104" i="11"/>
  <c r="M104" i="9"/>
  <c r="M104" i="6"/>
  <c r="M104" i="13"/>
  <c r="M104" i="5"/>
  <c r="M104" i="7"/>
  <c r="O103" i="9"/>
  <c r="N103" i="9"/>
  <c r="O103" i="20"/>
  <c r="N103" i="20"/>
  <c r="O103" i="16"/>
  <c r="N103" i="16"/>
  <c r="O103" i="10"/>
  <c r="N103" i="10"/>
  <c r="O103" i="18"/>
  <c r="N103" i="18"/>
  <c r="O103" i="22"/>
  <c r="N103" i="22"/>
  <c r="N103" i="15"/>
  <c r="O103" i="15"/>
  <c r="N103" i="7"/>
  <c r="O103" i="7"/>
  <c r="O103" i="12"/>
  <c r="N103" i="12"/>
  <c r="V88" i="51"/>
  <c r="O88" i="51"/>
  <c r="U88" i="51"/>
  <c r="T88" i="51"/>
  <c r="S88" i="51"/>
  <c r="W88" i="51"/>
  <c r="Z88" i="51"/>
  <c r="R88" i="51"/>
  <c r="Y88" i="51"/>
  <c r="Q88" i="51"/>
  <c r="X88" i="51"/>
  <c r="P88" i="51"/>
  <c r="O103" i="4"/>
  <c r="N103" i="4"/>
  <c r="I90" i="51"/>
  <c r="M104" i="4"/>
  <c r="J89" i="51"/>
  <c r="N89" i="51"/>
  <c r="H89" i="51"/>
  <c r="Q103" i="4" l="1"/>
  <c r="T103" i="4"/>
  <c r="AI103" i="4"/>
  <c r="AL103" i="4"/>
  <c r="W103" i="4"/>
  <c r="AB88" i="51"/>
  <c r="AK88" i="51"/>
  <c r="O104" i="8"/>
  <c r="N104" i="8"/>
  <c r="N104" i="20"/>
  <c r="O104" i="20"/>
  <c r="N104" i="7"/>
  <c r="O104" i="7"/>
  <c r="O104" i="19"/>
  <c r="N104" i="19"/>
  <c r="O104" i="14"/>
  <c r="N104" i="14"/>
  <c r="O104" i="5"/>
  <c r="N104" i="5"/>
  <c r="O104" i="12"/>
  <c r="N104" i="12"/>
  <c r="O104" i="16"/>
  <c r="N104" i="16"/>
  <c r="O104" i="13"/>
  <c r="N104" i="13"/>
  <c r="N104" i="21"/>
  <c r="O104" i="21"/>
  <c r="N104" i="22"/>
  <c r="O104" i="22"/>
  <c r="N104" i="6"/>
  <c r="O104" i="6"/>
  <c r="N104" i="23"/>
  <c r="O104" i="23"/>
  <c r="O104" i="9"/>
  <c r="N104" i="9"/>
  <c r="N104" i="15"/>
  <c r="O104" i="15"/>
  <c r="M105" i="13"/>
  <c r="M105" i="22"/>
  <c r="M105" i="20"/>
  <c r="M105" i="18"/>
  <c r="M105" i="17"/>
  <c r="M105" i="15"/>
  <c r="M105" i="19"/>
  <c r="M105" i="11"/>
  <c r="M105" i="23"/>
  <c r="M105" i="21"/>
  <c r="M105" i="10"/>
  <c r="M105" i="9"/>
  <c r="M105" i="6"/>
  <c r="M105" i="14"/>
  <c r="M105" i="16"/>
  <c r="M105" i="8"/>
  <c r="M105" i="12"/>
  <c r="M105" i="5"/>
  <c r="M105" i="7"/>
  <c r="O104" i="11"/>
  <c r="N104" i="11"/>
  <c r="N104" i="17"/>
  <c r="O104" i="17"/>
  <c r="O104" i="10"/>
  <c r="N104" i="10"/>
  <c r="O104" i="18"/>
  <c r="N104" i="18"/>
  <c r="Z89" i="51"/>
  <c r="R89" i="51"/>
  <c r="S89" i="51"/>
  <c r="Y89" i="51"/>
  <c r="Q89" i="51"/>
  <c r="X89" i="51"/>
  <c r="P89" i="51"/>
  <c r="W89" i="51"/>
  <c r="O89" i="51"/>
  <c r="V89" i="51"/>
  <c r="U89" i="51"/>
  <c r="T89" i="51"/>
  <c r="N104" i="4"/>
  <c r="O104" i="4"/>
  <c r="I91" i="51"/>
  <c r="M105" i="4"/>
  <c r="N90" i="51"/>
  <c r="J90" i="51"/>
  <c r="H90" i="51"/>
  <c r="AI104" i="4" l="1"/>
  <c r="AL104" i="4"/>
  <c r="T104" i="4"/>
  <c r="Q104" i="4"/>
  <c r="W104" i="4"/>
  <c r="AB89" i="51"/>
  <c r="AK89" i="51"/>
  <c r="O105" i="5"/>
  <c r="N105" i="5"/>
  <c r="O105" i="21"/>
  <c r="N105" i="21"/>
  <c r="N105" i="22"/>
  <c r="O105" i="22"/>
  <c r="O105" i="8"/>
  <c r="N105" i="8"/>
  <c r="O105" i="11"/>
  <c r="N105" i="11"/>
  <c r="O105" i="16"/>
  <c r="N105" i="16"/>
  <c r="O105" i="19"/>
  <c r="N105" i="19"/>
  <c r="O105" i="14"/>
  <c r="N105" i="14"/>
  <c r="O105" i="15"/>
  <c r="N105" i="15"/>
  <c r="O105" i="6"/>
  <c r="N105" i="6"/>
  <c r="O105" i="17"/>
  <c r="N105" i="17"/>
  <c r="O105" i="12"/>
  <c r="N105" i="12"/>
  <c r="N105" i="23"/>
  <c r="O105" i="23"/>
  <c r="O105" i="13"/>
  <c r="N105" i="13"/>
  <c r="M106" i="22"/>
  <c r="M106" i="20"/>
  <c r="M106" i="19"/>
  <c r="M106" i="11"/>
  <c r="M106" i="23"/>
  <c r="M106" i="21"/>
  <c r="M106" i="13"/>
  <c r="M106" i="7"/>
  <c r="M106" i="17"/>
  <c r="M106" i="12"/>
  <c r="M106" i="18"/>
  <c r="M106" i="5"/>
  <c r="M106" i="15"/>
  <c r="M106" i="10"/>
  <c r="M106" i="9"/>
  <c r="M106" i="6"/>
  <c r="M106" i="16"/>
  <c r="M106" i="14"/>
  <c r="M106" i="8"/>
  <c r="O105" i="9"/>
  <c r="N105" i="9"/>
  <c r="O105" i="18"/>
  <c r="N105" i="18"/>
  <c r="O105" i="7"/>
  <c r="N105" i="7"/>
  <c r="O105" i="10"/>
  <c r="N105" i="10"/>
  <c r="O105" i="20"/>
  <c r="N105" i="20"/>
  <c r="V90" i="51"/>
  <c r="W90" i="51"/>
  <c r="U90" i="51"/>
  <c r="T90" i="51"/>
  <c r="S90" i="51"/>
  <c r="O90" i="51"/>
  <c r="Z90" i="51"/>
  <c r="R90" i="51"/>
  <c r="Y90" i="51"/>
  <c r="Q90" i="51"/>
  <c r="X90" i="51"/>
  <c r="P90" i="51"/>
  <c r="O105" i="4"/>
  <c r="N105" i="4"/>
  <c r="I92" i="51"/>
  <c r="M106" i="4"/>
  <c r="H91" i="51"/>
  <c r="N91" i="51"/>
  <c r="J91" i="51"/>
  <c r="Q105" i="4" l="1"/>
  <c r="AI105" i="4"/>
  <c r="T105" i="4"/>
  <c r="AL105" i="4"/>
  <c r="W105" i="4"/>
  <c r="AK90" i="51"/>
  <c r="AB90" i="51"/>
  <c r="O106" i="5"/>
  <c r="N106" i="5"/>
  <c r="O106" i="11"/>
  <c r="N106" i="11"/>
  <c r="N106" i="8"/>
  <c r="O106" i="8"/>
  <c r="O106" i="18"/>
  <c r="N106" i="18"/>
  <c r="O106" i="19"/>
  <c r="N106" i="19"/>
  <c r="O106" i="14"/>
  <c r="N106" i="14"/>
  <c r="O106" i="12"/>
  <c r="N106" i="12"/>
  <c r="N106" i="20"/>
  <c r="O106" i="20"/>
  <c r="N106" i="16"/>
  <c r="O106" i="16"/>
  <c r="N106" i="17"/>
  <c r="O106" i="17"/>
  <c r="O106" i="22"/>
  <c r="N106" i="22"/>
  <c r="O106" i="6"/>
  <c r="N106" i="6"/>
  <c r="N106" i="7"/>
  <c r="O106" i="7"/>
  <c r="M107" i="16"/>
  <c r="M107" i="14"/>
  <c r="M107" i="20"/>
  <c r="M107" i="23"/>
  <c r="M107" i="21"/>
  <c r="M107" i="12"/>
  <c r="M107" i="22"/>
  <c r="M107" i="17"/>
  <c r="M107" i="18"/>
  <c r="M107" i="5"/>
  <c r="M107" i="8"/>
  <c r="M107" i="15"/>
  <c r="M107" i="11"/>
  <c r="M107" i="13"/>
  <c r="M107" i="19"/>
  <c r="M107" i="7"/>
  <c r="M107" i="10"/>
  <c r="M107" i="9"/>
  <c r="M107" i="6"/>
  <c r="N106" i="9"/>
  <c r="O106" i="9"/>
  <c r="O106" i="13"/>
  <c r="N106" i="13"/>
  <c r="O106" i="10"/>
  <c r="N106" i="10"/>
  <c r="O106" i="21"/>
  <c r="N106" i="21"/>
  <c r="N106" i="15"/>
  <c r="O106" i="15"/>
  <c r="N106" i="23"/>
  <c r="O106" i="23"/>
  <c r="Z91" i="51"/>
  <c r="R91" i="51"/>
  <c r="Y91" i="51"/>
  <c r="Q91" i="51"/>
  <c r="S91" i="51"/>
  <c r="X91" i="51"/>
  <c r="P91" i="51"/>
  <c r="W91" i="51"/>
  <c r="O91" i="51"/>
  <c r="V91" i="51"/>
  <c r="U91" i="51"/>
  <c r="T91" i="51"/>
  <c r="N106" i="4"/>
  <c r="O106" i="4"/>
  <c r="I93" i="51"/>
  <c r="M107" i="4"/>
  <c r="N92" i="51"/>
  <c r="H92" i="51"/>
  <c r="J92" i="51"/>
  <c r="AI106" i="4" l="1"/>
  <c r="Q106" i="4"/>
  <c r="T106" i="4"/>
  <c r="W106" i="4"/>
  <c r="AL106" i="4"/>
  <c r="AB91" i="51"/>
  <c r="AK91" i="51"/>
  <c r="O107" i="13"/>
  <c r="N107" i="13"/>
  <c r="O107" i="12"/>
  <c r="N107" i="12"/>
  <c r="N107" i="15"/>
  <c r="O107" i="15"/>
  <c r="O107" i="23"/>
  <c r="N107" i="23"/>
  <c r="O107" i="11"/>
  <c r="N107" i="11"/>
  <c r="O107" i="21"/>
  <c r="N107" i="21"/>
  <c r="O107" i="6"/>
  <c r="N107" i="6"/>
  <c r="O107" i="8"/>
  <c r="N107" i="8"/>
  <c r="O107" i="20"/>
  <c r="N107" i="20"/>
  <c r="O107" i="9"/>
  <c r="N107" i="9"/>
  <c r="O107" i="5"/>
  <c r="N107" i="5"/>
  <c r="O107" i="14"/>
  <c r="N107" i="14"/>
  <c r="O107" i="10"/>
  <c r="N107" i="10"/>
  <c r="O107" i="18"/>
  <c r="N107" i="18"/>
  <c r="O107" i="16"/>
  <c r="N107" i="16"/>
  <c r="M108" i="20"/>
  <c r="M108" i="18"/>
  <c r="M108" i="17"/>
  <c r="M108" i="15"/>
  <c r="M108" i="19"/>
  <c r="M108" i="23"/>
  <c r="M108" i="21"/>
  <c r="M108" i="12"/>
  <c r="M108" i="22"/>
  <c r="M108" i="16"/>
  <c r="M108" i="14"/>
  <c r="M108" i="11"/>
  <c r="M108" i="9"/>
  <c r="M108" i="13"/>
  <c r="M108" i="8"/>
  <c r="M108" i="10"/>
  <c r="M108" i="5"/>
  <c r="M108" i="7"/>
  <c r="M108" i="6"/>
  <c r="N107" i="7"/>
  <c r="O107" i="7"/>
  <c r="O107" i="17"/>
  <c r="N107" i="17"/>
  <c r="O107" i="19"/>
  <c r="N107" i="19"/>
  <c r="O107" i="22"/>
  <c r="N107" i="22"/>
  <c r="V92" i="51"/>
  <c r="W92" i="51"/>
  <c r="U92" i="51"/>
  <c r="T92" i="51"/>
  <c r="O92" i="51"/>
  <c r="S92" i="51"/>
  <c r="Z92" i="51"/>
  <c r="R92" i="51"/>
  <c r="Y92" i="51"/>
  <c r="Q92" i="51"/>
  <c r="X92" i="51"/>
  <c r="P92" i="51"/>
  <c r="N107" i="4"/>
  <c r="O107" i="4"/>
  <c r="I94" i="51"/>
  <c r="M108" i="4"/>
  <c r="N93" i="51"/>
  <c r="J93" i="51"/>
  <c r="H93" i="51"/>
  <c r="W107" i="4" l="1"/>
  <c r="AI107" i="4"/>
  <c r="T107" i="4"/>
  <c r="Q107" i="4"/>
  <c r="AL107" i="4"/>
  <c r="AB92" i="51"/>
  <c r="AK92" i="51"/>
  <c r="M109" i="19"/>
  <c r="M109" i="11"/>
  <c r="M109" i="23"/>
  <c r="M109" i="21"/>
  <c r="M109" i="13"/>
  <c r="M109" i="22"/>
  <c r="M109" i="20"/>
  <c r="M109" i="18"/>
  <c r="M109" i="17"/>
  <c r="M109" i="15"/>
  <c r="M109" i="12"/>
  <c r="M109" i="14"/>
  <c r="M109" i="8"/>
  <c r="M109" i="10"/>
  <c r="M109" i="9"/>
  <c r="M109" i="6"/>
  <c r="M109" i="16"/>
  <c r="M109" i="7"/>
  <c r="M109" i="5"/>
  <c r="N108" i="7"/>
  <c r="O108" i="7"/>
  <c r="N108" i="16"/>
  <c r="O108" i="16"/>
  <c r="O108" i="18"/>
  <c r="N108" i="18"/>
  <c r="O108" i="5"/>
  <c r="N108" i="5"/>
  <c r="O108" i="22"/>
  <c r="N108" i="22"/>
  <c r="N108" i="20"/>
  <c r="O108" i="20"/>
  <c r="O108" i="10"/>
  <c r="N108" i="10"/>
  <c r="O108" i="12"/>
  <c r="N108" i="12"/>
  <c r="O108" i="8"/>
  <c r="N108" i="8"/>
  <c r="N108" i="21"/>
  <c r="O108" i="21"/>
  <c r="O108" i="13"/>
  <c r="N108" i="13"/>
  <c r="N108" i="23"/>
  <c r="O108" i="23"/>
  <c r="O108" i="9"/>
  <c r="N108" i="9"/>
  <c r="O108" i="19"/>
  <c r="N108" i="19"/>
  <c r="O108" i="11"/>
  <c r="N108" i="11"/>
  <c r="N108" i="15"/>
  <c r="O108" i="15"/>
  <c r="N108" i="6"/>
  <c r="O108" i="6"/>
  <c r="O108" i="14"/>
  <c r="N108" i="14"/>
  <c r="N108" i="17"/>
  <c r="O108" i="17"/>
  <c r="Z93" i="51"/>
  <c r="R93" i="51"/>
  <c r="Y93" i="51"/>
  <c r="Q93" i="51"/>
  <c r="X93" i="51"/>
  <c r="P93" i="51"/>
  <c r="W93" i="51"/>
  <c r="O93" i="51"/>
  <c r="V93" i="51"/>
  <c r="S93" i="51"/>
  <c r="U93" i="51"/>
  <c r="T93" i="51"/>
  <c r="O108" i="4"/>
  <c r="N108" i="4"/>
  <c r="I95" i="51"/>
  <c r="M109" i="4"/>
  <c r="H94" i="51"/>
  <c r="N94" i="51"/>
  <c r="J94" i="51"/>
  <c r="AI108" i="4" l="1"/>
  <c r="T108" i="4"/>
  <c r="AL108" i="4"/>
  <c r="Q108" i="4"/>
  <c r="W108" i="4"/>
  <c r="AB93" i="51"/>
  <c r="AK93" i="51"/>
  <c r="O109" i="9"/>
  <c r="N109" i="9"/>
  <c r="O109" i="20"/>
  <c r="N109" i="20"/>
  <c r="O109" i="10"/>
  <c r="N109" i="10"/>
  <c r="O109" i="22"/>
  <c r="N109" i="22"/>
  <c r="O109" i="6"/>
  <c r="N109" i="6"/>
  <c r="N109" i="18"/>
  <c r="O109" i="18"/>
  <c r="O109" i="8"/>
  <c r="N109" i="8"/>
  <c r="O109" i="13"/>
  <c r="N109" i="13"/>
  <c r="O109" i="14"/>
  <c r="N109" i="14"/>
  <c r="O109" i="21"/>
  <c r="N109" i="21"/>
  <c r="O109" i="5"/>
  <c r="N109" i="5"/>
  <c r="O109" i="12"/>
  <c r="N109" i="12"/>
  <c r="N109" i="23"/>
  <c r="O109" i="23"/>
  <c r="O109" i="7"/>
  <c r="N109" i="7"/>
  <c r="O109" i="15"/>
  <c r="N109" i="15"/>
  <c r="O109" i="11"/>
  <c r="N109" i="11"/>
  <c r="M110" i="23"/>
  <c r="M110" i="21"/>
  <c r="M110" i="13"/>
  <c r="M110" i="22"/>
  <c r="M110" i="19"/>
  <c r="M110" i="11"/>
  <c r="M110" i="14"/>
  <c r="M110" i="5"/>
  <c r="M110" i="15"/>
  <c r="M110" i="10"/>
  <c r="M110" i="9"/>
  <c r="M110" i="6"/>
  <c r="M110" i="16"/>
  <c r="M110" i="7"/>
  <c r="M110" i="20"/>
  <c r="M110" i="17"/>
  <c r="M110" i="12"/>
  <c r="M110" i="8"/>
  <c r="M110" i="18"/>
  <c r="O109" i="16"/>
  <c r="N109" i="16"/>
  <c r="O109" i="17"/>
  <c r="N109" i="17"/>
  <c r="O109" i="19"/>
  <c r="N109" i="19"/>
  <c r="V94" i="51"/>
  <c r="U94" i="51"/>
  <c r="T94" i="51"/>
  <c r="S94" i="51"/>
  <c r="W94" i="51"/>
  <c r="Z94" i="51"/>
  <c r="R94" i="51"/>
  <c r="Y94" i="51"/>
  <c r="Q94" i="51"/>
  <c r="X94" i="51"/>
  <c r="P94" i="51"/>
  <c r="O94" i="51"/>
  <c r="O109" i="4"/>
  <c r="N109" i="4"/>
  <c r="M110" i="4"/>
  <c r="H95" i="51"/>
  <c r="H96" i="51" s="1"/>
  <c r="J95" i="51"/>
  <c r="N95" i="51"/>
  <c r="Q109" i="4" l="1"/>
  <c r="W109" i="4"/>
  <c r="AL109" i="4"/>
  <c r="AI109" i="4"/>
  <c r="T109" i="4"/>
  <c r="AB94" i="51"/>
  <c r="N110" i="17"/>
  <c r="O110" i="17"/>
  <c r="O110" i="5"/>
  <c r="N110" i="5"/>
  <c r="N110" i="20"/>
  <c r="O110" i="20"/>
  <c r="O110" i="14"/>
  <c r="N110" i="14"/>
  <c r="N110" i="7"/>
  <c r="O110" i="7"/>
  <c r="O110" i="11"/>
  <c r="N110" i="11"/>
  <c r="N110" i="16"/>
  <c r="O110" i="16"/>
  <c r="O110" i="19"/>
  <c r="N110" i="19"/>
  <c r="O110" i="6"/>
  <c r="N110" i="6"/>
  <c r="N110" i="22"/>
  <c r="O110" i="22"/>
  <c r="O110" i="18"/>
  <c r="N110" i="18"/>
  <c r="O110" i="9"/>
  <c r="N110" i="9"/>
  <c r="O110" i="13"/>
  <c r="N110" i="13"/>
  <c r="N110" i="8"/>
  <c r="O110" i="8"/>
  <c r="O110" i="10"/>
  <c r="N110" i="10"/>
  <c r="N110" i="21"/>
  <c r="O110" i="21"/>
  <c r="O110" i="12"/>
  <c r="N110" i="12"/>
  <c r="N110" i="15"/>
  <c r="O110" i="15"/>
  <c r="N110" i="23"/>
  <c r="O110" i="23"/>
  <c r="Z95" i="51"/>
  <c r="R95" i="51"/>
  <c r="Y95" i="51"/>
  <c r="Q95" i="51"/>
  <c r="X95" i="51"/>
  <c r="P95" i="51"/>
  <c r="W95" i="51"/>
  <c r="O95" i="51"/>
  <c r="V95" i="51"/>
  <c r="U95" i="51"/>
  <c r="S95" i="51"/>
  <c r="T95" i="51"/>
  <c r="O110" i="4"/>
  <c r="N110" i="4"/>
  <c r="J96" i="51"/>
  <c r="K95" i="51" s="1"/>
  <c r="P110" i="23" s="1"/>
  <c r="T110" i="4" l="1"/>
  <c r="W110" i="4"/>
  <c r="Q110" i="4"/>
  <c r="AI110" i="4"/>
  <c r="AL110" i="4"/>
  <c r="AK95" i="51"/>
  <c r="X132" i="51" s="1" a="1"/>
  <c r="X132" i="51" s="1"/>
  <c r="AO147" i="51" s="1"/>
  <c r="AK94" i="51"/>
  <c r="W308" i="51" a="1"/>
  <c r="W308" i="51" s="1"/>
  <c r="W309" i="51" a="1"/>
  <c r="W309" i="51" s="1"/>
  <c r="W312" i="51" a="1"/>
  <c r="W312" i="51" s="1"/>
  <c r="W310" i="51" a="1"/>
  <c r="W310" i="51" s="1"/>
  <c r="W311" i="51" a="1"/>
  <c r="W311" i="51" s="1"/>
  <c r="P308" i="51" a="1"/>
  <c r="P308" i="51" s="1"/>
  <c r="P311" i="51" a="1"/>
  <c r="P311" i="51" s="1"/>
  <c r="P312" i="51" a="1"/>
  <c r="P312" i="51" s="1"/>
  <c r="P309" i="51" a="1"/>
  <c r="P309" i="51" s="1"/>
  <c r="P310" i="51" a="1"/>
  <c r="P310" i="51" s="1"/>
  <c r="X308" i="51" a="1"/>
  <c r="X308" i="51" s="1"/>
  <c r="X311" i="51" a="1"/>
  <c r="X311" i="51" s="1"/>
  <c r="X309" i="51" a="1"/>
  <c r="X309" i="51" s="1"/>
  <c r="X312" i="51" a="1"/>
  <c r="X312" i="51" s="1"/>
  <c r="X310" i="51" a="1"/>
  <c r="X310" i="51" s="1"/>
  <c r="T308" i="51" a="1"/>
  <c r="T308" i="51" s="1"/>
  <c r="T312" i="51" a="1"/>
  <c r="T312" i="51" s="1"/>
  <c r="T309" i="51" a="1"/>
  <c r="T309" i="51" s="1"/>
  <c r="T311" i="51" a="1"/>
  <c r="T311" i="51" s="1"/>
  <c r="T310" i="51" a="1"/>
  <c r="T310" i="51" s="1"/>
  <c r="Q308" i="51" a="1"/>
  <c r="Q308" i="51" s="1"/>
  <c r="Q311" i="51" a="1"/>
  <c r="Q311" i="51" s="1"/>
  <c r="Q310" i="51" a="1"/>
  <c r="Q310" i="51" s="1"/>
  <c r="Q309" i="51" a="1"/>
  <c r="Q309" i="51" s="1"/>
  <c r="Q312" i="51" a="1"/>
  <c r="Q312" i="51" s="1"/>
  <c r="S308" i="51" a="1"/>
  <c r="S308" i="51" s="1"/>
  <c r="S309" i="51" a="1"/>
  <c r="S309" i="51" s="1"/>
  <c r="S311" i="51" a="1"/>
  <c r="S311" i="51" s="1"/>
  <c r="S312" i="51" a="1"/>
  <c r="S312" i="51" s="1"/>
  <c r="S310" i="51" a="1"/>
  <c r="S310" i="51" s="1"/>
  <c r="Y308" i="51" a="1"/>
  <c r="Y308" i="51" s="1"/>
  <c r="Y309" i="51" a="1"/>
  <c r="Y309" i="51" s="1"/>
  <c r="Y311" i="51" a="1"/>
  <c r="Y311" i="51" s="1"/>
  <c r="Y312" i="51" a="1"/>
  <c r="Y312" i="51" s="1"/>
  <c r="Y310" i="51" a="1"/>
  <c r="Y310" i="51" s="1"/>
  <c r="U308" i="51" a="1"/>
  <c r="U308" i="51" s="1"/>
  <c r="U310" i="51" a="1"/>
  <c r="U310" i="51" s="1"/>
  <c r="U312" i="51" a="1"/>
  <c r="U312" i="51" s="1"/>
  <c r="U309" i="51" a="1"/>
  <c r="U309" i="51" s="1"/>
  <c r="U311" i="51" a="1"/>
  <c r="U311" i="51" s="1"/>
  <c r="R308" i="51" a="1"/>
  <c r="R308" i="51" s="1"/>
  <c r="R309" i="51" a="1"/>
  <c r="R309" i="51" s="1"/>
  <c r="R311" i="51" a="1"/>
  <c r="R311" i="51" s="1"/>
  <c r="R312" i="51" a="1"/>
  <c r="R312" i="51" s="1"/>
  <c r="R310" i="51" a="1"/>
  <c r="R310" i="51" s="1"/>
  <c r="Z308" i="51" a="1"/>
  <c r="Z308" i="51" s="1"/>
  <c r="Z311" i="51" a="1"/>
  <c r="Z311" i="51" s="1"/>
  <c r="Z309" i="51" a="1"/>
  <c r="Z309" i="51" s="1"/>
  <c r="Z312" i="51" a="1"/>
  <c r="Z312" i="51" s="1"/>
  <c r="Z310" i="51" a="1"/>
  <c r="Z310" i="51" s="1"/>
  <c r="V308" i="51" a="1"/>
  <c r="V308" i="51" s="1"/>
  <c r="V312" i="51" a="1"/>
  <c r="V312" i="51" s="1"/>
  <c r="V310" i="51" a="1"/>
  <c r="V310" i="51" s="1"/>
  <c r="V311" i="51" a="1"/>
  <c r="V311" i="51" s="1"/>
  <c r="V309" i="51" a="1"/>
  <c r="V309" i="51" s="1"/>
  <c r="O308" i="51" a="1"/>
  <c r="O308" i="51" s="1"/>
  <c r="O311" i="51" a="1"/>
  <c r="O311" i="51" s="1"/>
  <c r="O309" i="51" a="1"/>
  <c r="O309" i="51" s="1"/>
  <c r="O312" i="51" a="1"/>
  <c r="O312" i="51" s="1"/>
  <c r="O310" i="51" a="1"/>
  <c r="O310" i="51" s="1"/>
  <c r="W321" i="51" a="1"/>
  <c r="W321" i="51" s="1"/>
  <c r="W358" i="51" a="1"/>
  <c r="W358" i="51" s="1"/>
  <c r="W352" i="51" a="1"/>
  <c r="W352" i="51" s="1"/>
  <c r="W360" i="51" a="1"/>
  <c r="W360" i="51" s="1"/>
  <c r="W337" i="51" a="1"/>
  <c r="W337" i="51" s="1"/>
  <c r="W340" i="51" a="1"/>
  <c r="W340" i="51" s="1"/>
  <c r="W356" i="51" a="1"/>
  <c r="W356" i="51" s="1"/>
  <c r="W349" i="51" a="1"/>
  <c r="W349" i="51" s="1"/>
  <c r="W332" i="51" a="1"/>
  <c r="W332" i="51" s="1"/>
  <c r="W323" i="51" a="1"/>
  <c r="W323" i="51" s="1"/>
  <c r="W379" i="51" a="1"/>
  <c r="W379" i="51" s="1"/>
  <c r="W375" i="51" a="1"/>
  <c r="W375" i="51" s="1"/>
  <c r="W351" i="51" a="1"/>
  <c r="W351" i="51" s="1"/>
  <c r="W368" i="51" a="1"/>
  <c r="W368" i="51" s="1"/>
  <c r="W328" i="51" a="1"/>
  <c r="W328" i="51" s="1"/>
  <c r="W330" i="51" a="1"/>
  <c r="W330" i="51" s="1"/>
  <c r="W377" i="51" a="1"/>
  <c r="W377" i="51" s="1"/>
  <c r="W322" i="51" a="1"/>
  <c r="W322" i="51" s="1"/>
  <c r="W378" i="51" a="1"/>
  <c r="W378" i="51" s="1"/>
  <c r="W355" i="51" a="1"/>
  <c r="W355" i="51" s="1"/>
  <c r="W329" i="51" a="1"/>
  <c r="W329" i="51" s="1"/>
  <c r="W374" i="51" a="1"/>
  <c r="W374" i="51" s="1"/>
  <c r="W324" i="51" a="1"/>
  <c r="W324" i="51" s="1"/>
  <c r="W336" i="51" a="1"/>
  <c r="W336" i="51" s="1"/>
  <c r="W331" i="51" a="1"/>
  <c r="W331" i="51" s="1"/>
  <c r="W325" i="51" a="1"/>
  <c r="W325" i="51" s="1"/>
  <c r="W370" i="51" a="1"/>
  <c r="W370" i="51" s="1"/>
  <c r="W369" i="51" a="1"/>
  <c r="W369" i="51" s="1"/>
  <c r="W366" i="51" a="1"/>
  <c r="W366" i="51" s="1"/>
  <c r="W367" i="51" a="1"/>
  <c r="W367" i="51" s="1"/>
  <c r="W339" i="51" a="1"/>
  <c r="W339" i="51" s="1"/>
  <c r="W343" i="51" a="1"/>
  <c r="W343" i="51" s="1"/>
  <c r="W345" i="51" a="1"/>
  <c r="W345" i="51" s="1"/>
  <c r="W376" i="51" a="1"/>
  <c r="W376" i="51" s="1"/>
  <c r="W373" i="51" a="1"/>
  <c r="W373" i="51" s="1"/>
  <c r="W362" i="51" a="1"/>
  <c r="W362" i="51" s="1"/>
  <c r="W342" i="51" a="1"/>
  <c r="W342" i="51" s="1"/>
  <c r="W363" i="51" a="1"/>
  <c r="W363" i="51" s="1"/>
  <c r="W344" i="51" a="1"/>
  <c r="W344" i="51" s="1"/>
  <c r="W371" i="51" a="1"/>
  <c r="W371" i="51" s="1"/>
  <c r="W353" i="51" a="1"/>
  <c r="W353" i="51" s="1"/>
  <c r="W365" i="51" a="1"/>
  <c r="W365" i="51" s="1"/>
  <c r="W334" i="51" a="1"/>
  <c r="W334" i="51" s="1"/>
  <c r="W346" i="51" a="1"/>
  <c r="W346" i="51" s="1"/>
  <c r="W338" i="51" a="1"/>
  <c r="W338" i="51" s="1"/>
  <c r="W354" i="51" a="1"/>
  <c r="W354" i="51" s="1"/>
  <c r="W333" i="51" a="1"/>
  <c r="W333" i="51" s="1"/>
  <c r="W357" i="51" a="1"/>
  <c r="W357" i="51" s="1"/>
  <c r="W347" i="51" a="1"/>
  <c r="W347" i="51" s="1"/>
  <c r="W335" i="51" a="1"/>
  <c r="W335" i="51" s="1"/>
  <c r="W327" i="51" a="1"/>
  <c r="W327" i="51" s="1"/>
  <c r="W361" i="51" a="1"/>
  <c r="W361" i="51" s="1"/>
  <c r="W359" i="51" a="1"/>
  <c r="W359" i="51" s="1"/>
  <c r="W364" i="51" a="1"/>
  <c r="W364" i="51" s="1"/>
  <c r="W326" i="51" a="1"/>
  <c r="W326" i="51" s="1"/>
  <c r="W341" i="51" a="1"/>
  <c r="W341" i="51" s="1"/>
  <c r="W380" i="51" a="1"/>
  <c r="W380" i="51" s="1"/>
  <c r="W350" i="51" a="1"/>
  <c r="W350" i="51" s="1"/>
  <c r="W372" i="51" a="1"/>
  <c r="W372" i="51" s="1"/>
  <c r="W348" i="51" a="1"/>
  <c r="W348" i="51" s="1"/>
  <c r="P321" i="51" a="1"/>
  <c r="P321" i="51" s="1"/>
  <c r="P357" i="51" a="1"/>
  <c r="P357" i="51" s="1"/>
  <c r="P367" i="51" a="1"/>
  <c r="P367" i="51" s="1"/>
  <c r="P335" i="51" a="1"/>
  <c r="P335" i="51" s="1"/>
  <c r="P323" i="51" a="1"/>
  <c r="P323" i="51" s="1"/>
  <c r="P332" i="51" a="1"/>
  <c r="P332" i="51" s="1"/>
  <c r="P345" i="51" a="1"/>
  <c r="P345" i="51" s="1"/>
  <c r="P377" i="51" a="1"/>
  <c r="P377" i="51" s="1"/>
  <c r="P364" i="51" a="1"/>
  <c r="P364" i="51" s="1"/>
  <c r="P343" i="51" a="1"/>
  <c r="P343" i="51" s="1"/>
  <c r="P353" i="51" a="1"/>
  <c r="P353" i="51" s="1"/>
  <c r="P337" i="51" a="1"/>
  <c r="P337" i="51" s="1"/>
  <c r="P355" i="51" a="1"/>
  <c r="P355" i="51" s="1"/>
  <c r="P349" i="51" a="1"/>
  <c r="P349" i="51" s="1"/>
  <c r="P370" i="51" a="1"/>
  <c r="P370" i="51" s="1"/>
  <c r="P359" i="51" a="1"/>
  <c r="P359" i="51" s="1"/>
  <c r="P344" i="51" a="1"/>
  <c r="P344" i="51" s="1"/>
  <c r="P326" i="51" a="1"/>
  <c r="P326" i="51" s="1"/>
  <c r="P371" i="51" a="1"/>
  <c r="P371" i="51" s="1"/>
  <c r="P352" i="51" a="1"/>
  <c r="P352" i="51" s="1"/>
  <c r="P330" i="51" a="1"/>
  <c r="P330" i="51" s="1"/>
  <c r="P334" i="51" a="1"/>
  <c r="P334" i="51" s="1"/>
  <c r="P347" i="51" a="1"/>
  <c r="P347" i="51" s="1"/>
  <c r="P336" i="51" a="1"/>
  <c r="P336" i="51" s="1"/>
  <c r="P356" i="51" a="1"/>
  <c r="P356" i="51" s="1"/>
  <c r="P373" i="51" a="1"/>
  <c r="P373" i="51" s="1"/>
  <c r="P369" i="51" a="1"/>
  <c r="P369" i="51" s="1"/>
  <c r="P328" i="51" a="1"/>
  <c r="P328" i="51" s="1"/>
  <c r="P378" i="51" a="1"/>
  <c r="P378" i="51" s="1"/>
  <c r="P331" i="51" a="1"/>
  <c r="P331" i="51" s="1"/>
  <c r="P361" i="51" a="1"/>
  <c r="P361" i="51" s="1"/>
  <c r="P354" i="51" a="1"/>
  <c r="P354" i="51" s="1"/>
  <c r="P376" i="51" a="1"/>
  <c r="P376" i="51" s="1"/>
  <c r="P366" i="51" a="1"/>
  <c r="P366" i="51" s="1"/>
  <c r="P375" i="51" a="1"/>
  <c r="P375" i="51" s="1"/>
  <c r="P351" i="51" a="1"/>
  <c r="P351" i="51" s="1"/>
  <c r="P372" i="51" a="1"/>
  <c r="P372" i="51" s="1"/>
  <c r="P350" i="51" a="1"/>
  <c r="P350" i="51" s="1"/>
  <c r="P380" i="51" a="1"/>
  <c r="P380" i="51" s="1"/>
  <c r="P363" i="51" a="1"/>
  <c r="P363" i="51" s="1"/>
  <c r="P358" i="51" a="1"/>
  <c r="P358" i="51" s="1"/>
  <c r="P338" i="51" a="1"/>
  <c r="P338" i="51" s="1"/>
  <c r="P379" i="51" a="1"/>
  <c r="P379" i="51" s="1"/>
  <c r="P322" i="51" a="1"/>
  <c r="P322" i="51" s="1"/>
  <c r="P341" i="51" a="1"/>
  <c r="P341" i="51" s="1"/>
  <c r="P342" i="51" a="1"/>
  <c r="P342" i="51" s="1"/>
  <c r="P348" i="51" a="1"/>
  <c r="P348" i="51" s="1"/>
  <c r="P374" i="51" a="1"/>
  <c r="P374" i="51" s="1"/>
  <c r="P325" i="51" a="1"/>
  <c r="P325" i="51" s="1"/>
  <c r="P339" i="51" a="1"/>
  <c r="P339" i="51" s="1"/>
  <c r="P362" i="51" a="1"/>
  <c r="P362" i="51" s="1"/>
  <c r="P327" i="51" a="1"/>
  <c r="P327" i="51" s="1"/>
  <c r="P368" i="51" a="1"/>
  <c r="P368" i="51" s="1"/>
  <c r="P346" i="51" a="1"/>
  <c r="P346" i="51" s="1"/>
  <c r="P329" i="51" a="1"/>
  <c r="P329" i="51" s="1"/>
  <c r="P340" i="51" a="1"/>
  <c r="P340" i="51" s="1"/>
  <c r="P333" i="51" a="1"/>
  <c r="P333" i="51" s="1"/>
  <c r="P365" i="51" a="1"/>
  <c r="P365" i="51" s="1"/>
  <c r="P324" i="51" a="1"/>
  <c r="P324" i="51" s="1"/>
  <c r="P360" i="51" a="1"/>
  <c r="P360" i="51" s="1"/>
  <c r="X321" i="51" a="1"/>
  <c r="X321" i="51" s="1"/>
  <c r="X354" i="51" a="1"/>
  <c r="X354" i="51" s="1"/>
  <c r="X332" i="51" a="1"/>
  <c r="X332" i="51" s="1"/>
  <c r="X372" i="51" a="1"/>
  <c r="X372" i="51" s="1"/>
  <c r="X353" i="51" a="1"/>
  <c r="X353" i="51" s="1"/>
  <c r="X361" i="51" a="1"/>
  <c r="X361" i="51" s="1"/>
  <c r="X358" i="51" a="1"/>
  <c r="X358" i="51" s="1"/>
  <c r="X367" i="51" a="1"/>
  <c r="X367" i="51" s="1"/>
  <c r="X371" i="51" a="1"/>
  <c r="X371" i="51" s="1"/>
  <c r="X339" i="51" a="1"/>
  <c r="X339" i="51" s="1"/>
  <c r="X346" i="51" a="1"/>
  <c r="X346" i="51" s="1"/>
  <c r="X336" i="51" a="1"/>
  <c r="X336" i="51" s="1"/>
  <c r="X334" i="51" a="1"/>
  <c r="X334" i="51" s="1"/>
  <c r="X337" i="51" a="1"/>
  <c r="X337" i="51" s="1"/>
  <c r="X366" i="51" a="1"/>
  <c r="X366" i="51" s="1"/>
  <c r="X333" i="51" a="1"/>
  <c r="X333" i="51" s="1"/>
  <c r="X343" i="51" a="1"/>
  <c r="X343" i="51" s="1"/>
  <c r="X376" i="51" a="1"/>
  <c r="X376" i="51" s="1"/>
  <c r="X377" i="51" a="1"/>
  <c r="X377" i="51" s="1"/>
  <c r="X363" i="51" a="1"/>
  <c r="X363" i="51" s="1"/>
  <c r="X330" i="51" a="1"/>
  <c r="X330" i="51" s="1"/>
  <c r="X355" i="51" a="1"/>
  <c r="X355" i="51" s="1"/>
  <c r="X357" i="51" a="1"/>
  <c r="X357" i="51" s="1"/>
  <c r="X360" i="51" a="1"/>
  <c r="X360" i="51" s="1"/>
  <c r="X341" i="51" a="1"/>
  <c r="X341" i="51" s="1"/>
  <c r="X349" i="51" a="1"/>
  <c r="X349" i="51" s="1"/>
  <c r="X378" i="51" a="1"/>
  <c r="X378" i="51" s="1"/>
  <c r="X370" i="51" a="1"/>
  <c r="X370" i="51" s="1"/>
  <c r="X329" i="51" a="1"/>
  <c r="X329" i="51" s="1"/>
  <c r="X328" i="51" a="1"/>
  <c r="X328" i="51" s="1"/>
  <c r="X373" i="51" a="1"/>
  <c r="X373" i="51" s="1"/>
  <c r="X331" i="51" a="1"/>
  <c r="X331" i="51" s="1"/>
  <c r="X345" i="51" a="1"/>
  <c r="X345" i="51" s="1"/>
  <c r="X342" i="51" a="1"/>
  <c r="X342" i="51" s="1"/>
  <c r="X324" i="51" a="1"/>
  <c r="X324" i="51" s="1"/>
  <c r="X348" i="51" a="1"/>
  <c r="X348" i="51" s="1"/>
  <c r="X359" i="51" a="1"/>
  <c r="X359" i="51" s="1"/>
  <c r="X356" i="51" a="1"/>
  <c r="X356" i="51" s="1"/>
  <c r="X326" i="51" a="1"/>
  <c r="X326" i="51" s="1"/>
  <c r="X322" i="51" a="1"/>
  <c r="X322" i="51" s="1"/>
  <c r="X362" i="51" a="1"/>
  <c r="X362" i="51" s="1"/>
  <c r="X369" i="51" a="1"/>
  <c r="X369" i="51" s="1"/>
  <c r="X368" i="51" a="1"/>
  <c r="X368" i="51" s="1"/>
  <c r="X335" i="51" a="1"/>
  <c r="X335" i="51" s="1"/>
  <c r="X327" i="51" a="1"/>
  <c r="X327" i="51" s="1"/>
  <c r="X350" i="51" a="1"/>
  <c r="X350" i="51" s="1"/>
  <c r="X375" i="51" a="1"/>
  <c r="X375" i="51" s="1"/>
  <c r="X351" i="51" a="1"/>
  <c r="X351" i="51" s="1"/>
  <c r="X340" i="51" a="1"/>
  <c r="X340" i="51" s="1"/>
  <c r="X323" i="51" a="1"/>
  <c r="X323" i="51" s="1"/>
  <c r="X380" i="51" a="1"/>
  <c r="X380" i="51" s="1"/>
  <c r="X374" i="51" a="1"/>
  <c r="X374" i="51" s="1"/>
  <c r="X352" i="51" a="1"/>
  <c r="X352" i="51" s="1"/>
  <c r="X364" i="51" a="1"/>
  <c r="X364" i="51" s="1"/>
  <c r="X365" i="51" a="1"/>
  <c r="X365" i="51" s="1"/>
  <c r="X325" i="51" a="1"/>
  <c r="X325" i="51" s="1"/>
  <c r="X344" i="51" a="1"/>
  <c r="X344" i="51" s="1"/>
  <c r="X338" i="51" a="1"/>
  <c r="X338" i="51" s="1"/>
  <c r="X347" i="51" a="1"/>
  <c r="X347" i="51" s="1"/>
  <c r="X379" i="51" a="1"/>
  <c r="X379" i="51" s="1"/>
  <c r="Q321" i="51" a="1"/>
  <c r="Q321" i="51" s="1"/>
  <c r="Q349" i="51" a="1"/>
  <c r="Q349" i="51" s="1"/>
  <c r="Q362" i="51" a="1"/>
  <c r="Q362" i="51" s="1"/>
  <c r="Q335" i="51" a="1"/>
  <c r="Q335" i="51" s="1"/>
  <c r="Q344" i="51" a="1"/>
  <c r="Q344" i="51" s="1"/>
  <c r="Q360" i="51" a="1"/>
  <c r="Q360" i="51" s="1"/>
  <c r="Q332" i="51" a="1"/>
  <c r="Q332" i="51" s="1"/>
  <c r="Q367" i="51" a="1"/>
  <c r="Q367" i="51" s="1"/>
  <c r="Q361" i="51" a="1"/>
  <c r="Q361" i="51" s="1"/>
  <c r="Q324" i="51" a="1"/>
  <c r="Q324" i="51" s="1"/>
  <c r="Q333" i="51" a="1"/>
  <c r="Q333" i="51" s="1"/>
  <c r="Q365" i="51" a="1"/>
  <c r="Q365" i="51" s="1"/>
  <c r="Q327" i="51" a="1"/>
  <c r="Q327" i="51" s="1"/>
  <c r="Q353" i="51" a="1"/>
  <c r="Q353" i="51" s="1"/>
  <c r="Q322" i="51" a="1"/>
  <c r="Q322" i="51" s="1"/>
  <c r="Q352" i="51" a="1"/>
  <c r="Q352" i="51" s="1"/>
  <c r="Q357" i="51" a="1"/>
  <c r="Q357" i="51" s="1"/>
  <c r="Q368" i="51" a="1"/>
  <c r="Q368" i="51" s="1"/>
  <c r="Q373" i="51" a="1"/>
  <c r="Q373" i="51" s="1"/>
  <c r="Q340" i="51" a="1"/>
  <c r="Q340" i="51" s="1"/>
  <c r="Q375" i="51" a="1"/>
  <c r="Q375" i="51" s="1"/>
  <c r="Q369" i="51" a="1"/>
  <c r="Q369" i="51" s="1"/>
  <c r="Q376" i="51" a="1"/>
  <c r="Q376" i="51" s="1"/>
  <c r="Q359" i="51" a="1"/>
  <c r="Q359" i="51" s="1"/>
  <c r="Q351" i="51" a="1"/>
  <c r="Q351" i="51" s="1"/>
  <c r="Q378" i="51" a="1"/>
  <c r="Q378" i="51" s="1"/>
  <c r="Q326" i="51" a="1"/>
  <c r="Q326" i="51" s="1"/>
  <c r="Q348" i="51" a="1"/>
  <c r="Q348" i="51" s="1"/>
  <c r="Q364" i="51" a="1"/>
  <c r="Q364" i="51" s="1"/>
  <c r="Q370" i="51" a="1"/>
  <c r="Q370" i="51" s="1"/>
  <c r="Q377" i="51" a="1"/>
  <c r="Q377" i="51" s="1"/>
  <c r="Q354" i="51" a="1"/>
  <c r="Q354" i="51" s="1"/>
  <c r="Q356" i="51" a="1"/>
  <c r="Q356" i="51" s="1"/>
  <c r="Q341" i="51" a="1"/>
  <c r="Q341" i="51" s="1"/>
  <c r="Q339" i="51" a="1"/>
  <c r="Q339" i="51" s="1"/>
  <c r="Q358" i="51" a="1"/>
  <c r="Q358" i="51" s="1"/>
  <c r="Q343" i="51" a="1"/>
  <c r="Q343" i="51" s="1"/>
  <c r="Q380" i="51" a="1"/>
  <c r="Q380" i="51" s="1"/>
  <c r="Q331" i="51" a="1"/>
  <c r="Q331" i="51" s="1"/>
  <c r="Q366" i="51" a="1"/>
  <c r="Q366" i="51" s="1"/>
  <c r="Q329" i="51" a="1"/>
  <c r="Q329" i="51" s="1"/>
  <c r="Q374" i="51" a="1"/>
  <c r="Q374" i="51" s="1"/>
  <c r="Q325" i="51" a="1"/>
  <c r="Q325" i="51" s="1"/>
  <c r="Q347" i="51" a="1"/>
  <c r="Q347" i="51" s="1"/>
  <c r="Q363" i="51" a="1"/>
  <c r="Q363" i="51" s="1"/>
  <c r="Q372" i="51" a="1"/>
  <c r="Q372" i="51" s="1"/>
  <c r="Q337" i="51" a="1"/>
  <c r="Q337" i="51" s="1"/>
  <c r="Q371" i="51" a="1"/>
  <c r="Q371" i="51" s="1"/>
  <c r="Q336" i="51" a="1"/>
  <c r="Q336" i="51" s="1"/>
  <c r="Q330" i="51" a="1"/>
  <c r="Q330" i="51" s="1"/>
  <c r="Q350" i="51" a="1"/>
  <c r="Q350" i="51" s="1"/>
  <c r="Q328" i="51" a="1"/>
  <c r="Q328" i="51" s="1"/>
  <c r="Q355" i="51" a="1"/>
  <c r="Q355" i="51" s="1"/>
  <c r="Q334" i="51" a="1"/>
  <c r="Q334" i="51" s="1"/>
  <c r="Q338" i="51" a="1"/>
  <c r="Q338" i="51" s="1"/>
  <c r="Q342" i="51" a="1"/>
  <c r="Q342" i="51" s="1"/>
  <c r="Q323" i="51" a="1"/>
  <c r="Q323" i="51" s="1"/>
  <c r="Q379" i="51" a="1"/>
  <c r="Q379" i="51" s="1"/>
  <c r="Q345" i="51" a="1"/>
  <c r="Q345" i="51" s="1"/>
  <c r="Q346" i="51" a="1"/>
  <c r="Q346" i="51" s="1"/>
  <c r="S321" i="51" a="1"/>
  <c r="S321" i="51" s="1"/>
  <c r="S344" i="51" a="1"/>
  <c r="S344" i="51" s="1"/>
  <c r="S379" i="51" a="1"/>
  <c r="S379" i="51" s="1"/>
  <c r="S361" i="51" a="1"/>
  <c r="S361" i="51" s="1"/>
  <c r="S378" i="51" a="1"/>
  <c r="S378" i="51" s="1"/>
  <c r="S338" i="51" a="1"/>
  <c r="S338" i="51" s="1"/>
  <c r="S334" i="51" a="1"/>
  <c r="S334" i="51" s="1"/>
  <c r="S345" i="51" a="1"/>
  <c r="S345" i="51" s="1"/>
  <c r="S363" i="51" a="1"/>
  <c r="S363" i="51" s="1"/>
  <c r="S375" i="51" a="1"/>
  <c r="S375" i="51" s="1"/>
  <c r="S341" i="51" a="1"/>
  <c r="S341" i="51" s="1"/>
  <c r="S327" i="51" a="1"/>
  <c r="S327" i="51" s="1"/>
  <c r="S364" i="51" a="1"/>
  <c r="S364" i="51" s="1"/>
  <c r="S354" i="51" a="1"/>
  <c r="S354" i="51" s="1"/>
  <c r="S337" i="51" a="1"/>
  <c r="S337" i="51" s="1"/>
  <c r="S330" i="51" a="1"/>
  <c r="S330" i="51" s="1"/>
  <c r="S352" i="51" a="1"/>
  <c r="S352" i="51" s="1"/>
  <c r="S350" i="51" a="1"/>
  <c r="S350" i="51" s="1"/>
  <c r="S332" i="51" a="1"/>
  <c r="S332" i="51" s="1"/>
  <c r="S324" i="51" a="1"/>
  <c r="S324" i="51" s="1"/>
  <c r="S367" i="51" a="1"/>
  <c r="S367" i="51" s="1"/>
  <c r="S325" i="51" a="1"/>
  <c r="S325" i="51" s="1"/>
  <c r="S340" i="51" a="1"/>
  <c r="S340" i="51" s="1"/>
  <c r="S347" i="51" a="1"/>
  <c r="S347" i="51" s="1"/>
  <c r="S328" i="51" a="1"/>
  <c r="S328" i="51" s="1"/>
  <c r="S370" i="51" a="1"/>
  <c r="S370" i="51" s="1"/>
  <c r="S357" i="51" a="1"/>
  <c r="S357" i="51" s="1"/>
  <c r="S359" i="51" a="1"/>
  <c r="S359" i="51" s="1"/>
  <c r="S356" i="51" a="1"/>
  <c r="S356" i="51" s="1"/>
  <c r="S331" i="51" a="1"/>
  <c r="S331" i="51" s="1"/>
  <c r="S377" i="51" a="1"/>
  <c r="S377" i="51" s="1"/>
  <c r="S353" i="51" a="1"/>
  <c r="S353" i="51" s="1"/>
  <c r="S362" i="51" a="1"/>
  <c r="S362" i="51" s="1"/>
  <c r="S360" i="51" a="1"/>
  <c r="S360" i="51" s="1"/>
  <c r="S322" i="51" a="1"/>
  <c r="S322" i="51" s="1"/>
  <c r="S333" i="51" a="1"/>
  <c r="S333" i="51" s="1"/>
  <c r="S376" i="51" a="1"/>
  <c r="S376" i="51" s="1"/>
  <c r="S336" i="51" a="1"/>
  <c r="S336" i="51" s="1"/>
  <c r="S335" i="51" a="1"/>
  <c r="S335" i="51" s="1"/>
  <c r="S326" i="51" a="1"/>
  <c r="S326" i="51" s="1"/>
  <c r="S368" i="51" a="1"/>
  <c r="S368" i="51" s="1"/>
  <c r="S346" i="51" a="1"/>
  <c r="S346" i="51" s="1"/>
  <c r="S365" i="51" a="1"/>
  <c r="S365" i="51" s="1"/>
  <c r="S329" i="51" a="1"/>
  <c r="S329" i="51" s="1"/>
  <c r="S374" i="51" a="1"/>
  <c r="S374" i="51" s="1"/>
  <c r="S351" i="51" a="1"/>
  <c r="S351" i="51" s="1"/>
  <c r="S369" i="51" a="1"/>
  <c r="S369" i="51" s="1"/>
  <c r="S373" i="51" a="1"/>
  <c r="S373" i="51" s="1"/>
  <c r="S355" i="51" a="1"/>
  <c r="S355" i="51" s="1"/>
  <c r="S349" i="51" a="1"/>
  <c r="S349" i="51" s="1"/>
  <c r="S339" i="51" a="1"/>
  <c r="S339" i="51" s="1"/>
  <c r="S366" i="51" a="1"/>
  <c r="S366" i="51" s="1"/>
  <c r="S380" i="51" a="1"/>
  <c r="S380" i="51" s="1"/>
  <c r="S343" i="51" a="1"/>
  <c r="S343" i="51" s="1"/>
  <c r="S372" i="51" a="1"/>
  <c r="S372" i="51" s="1"/>
  <c r="S342" i="51" a="1"/>
  <c r="S342" i="51" s="1"/>
  <c r="S323" i="51" a="1"/>
  <c r="S323" i="51" s="1"/>
  <c r="S371" i="51" a="1"/>
  <c r="S371" i="51" s="1"/>
  <c r="S348" i="51" a="1"/>
  <c r="S348" i="51" s="1"/>
  <c r="S358" i="51" a="1"/>
  <c r="S358" i="51" s="1"/>
  <c r="Y321" i="51" a="1"/>
  <c r="Y321" i="51" s="1"/>
  <c r="Y372" i="51" a="1"/>
  <c r="Y372" i="51" s="1"/>
  <c r="Y331" i="51" a="1"/>
  <c r="Y331" i="51" s="1"/>
  <c r="Y357" i="51" a="1"/>
  <c r="Y357" i="51" s="1"/>
  <c r="Y378" i="51" a="1"/>
  <c r="Y378" i="51" s="1"/>
  <c r="Y360" i="51" a="1"/>
  <c r="Y360" i="51" s="1"/>
  <c r="Y362" i="51" a="1"/>
  <c r="Y362" i="51" s="1"/>
  <c r="Y364" i="51" a="1"/>
  <c r="Y364" i="51" s="1"/>
  <c r="Y367" i="51" a="1"/>
  <c r="Y367" i="51" s="1"/>
  <c r="Y373" i="51" a="1"/>
  <c r="Y373" i="51" s="1"/>
  <c r="Y375" i="51" a="1"/>
  <c r="Y375" i="51" s="1"/>
  <c r="Y324" i="51" a="1"/>
  <c r="Y324" i="51" s="1"/>
  <c r="Y377" i="51" a="1"/>
  <c r="Y377" i="51" s="1"/>
  <c r="Y340" i="51" a="1"/>
  <c r="Y340" i="51" s="1"/>
  <c r="Y335" i="51" a="1"/>
  <c r="Y335" i="51" s="1"/>
  <c r="Y327" i="51" a="1"/>
  <c r="Y327" i="51" s="1"/>
  <c r="Y354" i="51" a="1"/>
  <c r="Y354" i="51" s="1"/>
  <c r="Y353" i="51" a="1"/>
  <c r="Y353" i="51" s="1"/>
  <c r="Y349" i="51" a="1"/>
  <c r="Y349" i="51" s="1"/>
  <c r="Y343" i="51" a="1"/>
  <c r="Y343" i="51" s="1"/>
  <c r="Y369" i="51" a="1"/>
  <c r="Y369" i="51" s="1"/>
  <c r="Y346" i="51" a="1"/>
  <c r="Y346" i="51" s="1"/>
  <c r="Y370" i="51" a="1"/>
  <c r="Y370" i="51" s="1"/>
  <c r="Y351" i="51" a="1"/>
  <c r="Y351" i="51" s="1"/>
  <c r="Y371" i="51" a="1"/>
  <c r="Y371" i="51" s="1"/>
  <c r="Y337" i="51" a="1"/>
  <c r="Y337" i="51" s="1"/>
  <c r="Y336" i="51" a="1"/>
  <c r="Y336" i="51" s="1"/>
  <c r="Y350" i="51" a="1"/>
  <c r="Y350" i="51" s="1"/>
  <c r="Y338" i="51" a="1"/>
  <c r="Y338" i="51" s="1"/>
  <c r="Y359" i="51" a="1"/>
  <c r="Y359" i="51" s="1"/>
  <c r="Y347" i="51" a="1"/>
  <c r="Y347" i="51" s="1"/>
  <c r="Y356" i="51" a="1"/>
  <c r="Y356" i="51" s="1"/>
  <c r="Y374" i="51" a="1"/>
  <c r="Y374" i="51" s="1"/>
  <c r="Y333" i="51" a="1"/>
  <c r="Y333" i="51" s="1"/>
  <c r="Y322" i="51" a="1"/>
  <c r="Y322" i="51" s="1"/>
  <c r="Y334" i="51" a="1"/>
  <c r="Y334" i="51" s="1"/>
  <c r="Y365" i="51" a="1"/>
  <c r="Y365" i="51" s="1"/>
  <c r="Y326" i="51" a="1"/>
  <c r="Y326" i="51" s="1"/>
  <c r="Y352" i="51" a="1"/>
  <c r="Y352" i="51" s="1"/>
  <c r="Y332" i="51" a="1"/>
  <c r="Y332" i="51" s="1"/>
  <c r="Y325" i="51" a="1"/>
  <c r="Y325" i="51" s="1"/>
  <c r="Y358" i="51" a="1"/>
  <c r="Y358" i="51" s="1"/>
  <c r="Y376" i="51" a="1"/>
  <c r="Y376" i="51" s="1"/>
  <c r="Y339" i="51" a="1"/>
  <c r="Y339" i="51" s="1"/>
  <c r="Y323" i="51" a="1"/>
  <c r="Y323" i="51" s="1"/>
  <c r="Y348" i="51" a="1"/>
  <c r="Y348" i="51" s="1"/>
  <c r="Y345" i="51" a="1"/>
  <c r="Y345" i="51" s="1"/>
  <c r="Y379" i="51" a="1"/>
  <c r="Y379" i="51" s="1"/>
  <c r="Y342" i="51" a="1"/>
  <c r="Y342" i="51" s="1"/>
  <c r="Y344" i="51" a="1"/>
  <c r="Y344" i="51" s="1"/>
  <c r="Y380" i="51" a="1"/>
  <c r="Y380" i="51" s="1"/>
  <c r="Y329" i="51" a="1"/>
  <c r="Y329" i="51" s="1"/>
  <c r="Y328" i="51" a="1"/>
  <c r="Y328" i="51" s="1"/>
  <c r="Y355" i="51" a="1"/>
  <c r="Y355" i="51" s="1"/>
  <c r="Y330" i="51" a="1"/>
  <c r="Y330" i="51" s="1"/>
  <c r="Y361" i="51" a="1"/>
  <c r="Y361" i="51" s="1"/>
  <c r="Y368" i="51" a="1"/>
  <c r="Y368" i="51" s="1"/>
  <c r="Y363" i="51" a="1"/>
  <c r="Y363" i="51" s="1"/>
  <c r="Y341" i="51" a="1"/>
  <c r="Y341" i="51" s="1"/>
  <c r="Y366" i="51" a="1"/>
  <c r="Y366" i="51" s="1"/>
  <c r="T321" i="51" a="1"/>
  <c r="T321" i="51" s="1"/>
  <c r="T351" i="51" a="1"/>
  <c r="T351" i="51" s="1"/>
  <c r="T363" i="51" a="1"/>
  <c r="T363" i="51" s="1"/>
  <c r="T323" i="51" a="1"/>
  <c r="T323" i="51" s="1"/>
  <c r="T332" i="51" a="1"/>
  <c r="T332" i="51" s="1"/>
  <c r="T337" i="51" a="1"/>
  <c r="T337" i="51" s="1"/>
  <c r="T359" i="51" a="1"/>
  <c r="T359" i="51" s="1"/>
  <c r="T347" i="51" a="1"/>
  <c r="T347" i="51" s="1"/>
  <c r="T324" i="51" a="1"/>
  <c r="T324" i="51" s="1"/>
  <c r="T361" i="51" a="1"/>
  <c r="T361" i="51" s="1"/>
  <c r="T374" i="51" a="1"/>
  <c r="T374" i="51" s="1"/>
  <c r="T345" i="51" a="1"/>
  <c r="T345" i="51" s="1"/>
  <c r="T367" i="51" a="1"/>
  <c r="T367" i="51" s="1"/>
  <c r="T350" i="51" a="1"/>
  <c r="T350" i="51" s="1"/>
  <c r="T335" i="51" a="1"/>
  <c r="T335" i="51" s="1"/>
  <c r="T360" i="51" a="1"/>
  <c r="T360" i="51" s="1"/>
  <c r="T365" i="51" a="1"/>
  <c r="T365" i="51" s="1"/>
  <c r="T380" i="51" a="1"/>
  <c r="T380" i="51" s="1"/>
  <c r="T330" i="51" a="1"/>
  <c r="T330" i="51" s="1"/>
  <c r="T339" i="51" a="1"/>
  <c r="T339" i="51" s="1"/>
  <c r="T364" i="51" a="1"/>
  <c r="T364" i="51" s="1"/>
  <c r="T357" i="51" a="1"/>
  <c r="T357" i="51" s="1"/>
  <c r="T322" i="51" a="1"/>
  <c r="T322" i="51" s="1"/>
  <c r="T379" i="51" a="1"/>
  <c r="T379" i="51" s="1"/>
  <c r="T373" i="51" a="1"/>
  <c r="T373" i="51" s="1"/>
  <c r="T368" i="51" a="1"/>
  <c r="T368" i="51" s="1"/>
  <c r="T333" i="51" a="1"/>
  <c r="T333" i="51" s="1"/>
  <c r="T366" i="51" a="1"/>
  <c r="T366" i="51" s="1"/>
  <c r="T353" i="51" a="1"/>
  <c r="T353" i="51" s="1"/>
  <c r="T355" i="51" a="1"/>
  <c r="T355" i="51" s="1"/>
  <c r="T375" i="51" a="1"/>
  <c r="T375" i="51" s="1"/>
  <c r="T342" i="51" a="1"/>
  <c r="T342" i="51" s="1"/>
  <c r="T325" i="51" a="1"/>
  <c r="T325" i="51" s="1"/>
  <c r="T326" i="51" a="1"/>
  <c r="T326" i="51" s="1"/>
  <c r="T378" i="51" a="1"/>
  <c r="T378" i="51" s="1"/>
  <c r="T349" i="51" a="1"/>
  <c r="T349" i="51" s="1"/>
  <c r="T327" i="51" a="1"/>
  <c r="T327" i="51" s="1"/>
  <c r="T354" i="51" a="1"/>
  <c r="T354" i="51" s="1"/>
  <c r="T358" i="51" a="1"/>
  <c r="T358" i="51" s="1"/>
  <c r="T340" i="51" a="1"/>
  <c r="T340" i="51" s="1"/>
  <c r="T376" i="51" a="1"/>
  <c r="T376" i="51" s="1"/>
  <c r="T331" i="51" a="1"/>
  <c r="T331" i="51" s="1"/>
  <c r="T338" i="51" a="1"/>
  <c r="T338" i="51" s="1"/>
  <c r="T336" i="51" a="1"/>
  <c r="T336" i="51" s="1"/>
  <c r="T348" i="51" a="1"/>
  <c r="T348" i="51" s="1"/>
  <c r="T343" i="51" a="1"/>
  <c r="T343" i="51" s="1"/>
  <c r="T372" i="51" a="1"/>
  <c r="T372" i="51" s="1"/>
  <c r="T352" i="51" a="1"/>
  <c r="T352" i="51" s="1"/>
  <c r="T334" i="51" a="1"/>
  <c r="T334" i="51" s="1"/>
  <c r="T341" i="51" a="1"/>
  <c r="T341" i="51" s="1"/>
  <c r="T377" i="51" a="1"/>
  <c r="T377" i="51" s="1"/>
  <c r="T328" i="51" a="1"/>
  <c r="T328" i="51" s="1"/>
  <c r="T371" i="51" a="1"/>
  <c r="T371" i="51" s="1"/>
  <c r="T346" i="51" a="1"/>
  <c r="T346" i="51" s="1"/>
  <c r="T370" i="51" a="1"/>
  <c r="T370" i="51" s="1"/>
  <c r="T344" i="51" a="1"/>
  <c r="T344" i="51" s="1"/>
  <c r="T356" i="51" a="1"/>
  <c r="T356" i="51" s="1"/>
  <c r="T329" i="51" a="1"/>
  <c r="T329" i="51" s="1"/>
  <c r="T369" i="51" a="1"/>
  <c r="T369" i="51" s="1"/>
  <c r="T362" i="51" a="1"/>
  <c r="T362" i="51" s="1"/>
  <c r="R321" i="51" a="1"/>
  <c r="R321" i="51" s="1"/>
  <c r="R368" i="51" a="1"/>
  <c r="R368" i="51" s="1"/>
  <c r="R361" i="51" a="1"/>
  <c r="R361" i="51" s="1"/>
  <c r="R379" i="51" a="1"/>
  <c r="R379" i="51" s="1"/>
  <c r="R351" i="51" a="1"/>
  <c r="R351" i="51" s="1"/>
  <c r="R330" i="51" a="1"/>
  <c r="R330" i="51" s="1"/>
  <c r="R347" i="51" a="1"/>
  <c r="R347" i="51" s="1"/>
  <c r="R354" i="51" a="1"/>
  <c r="R354" i="51" s="1"/>
  <c r="R339" i="51" a="1"/>
  <c r="R339" i="51" s="1"/>
  <c r="R357" i="51" a="1"/>
  <c r="R357" i="51" s="1"/>
  <c r="R380" i="51" a="1"/>
  <c r="R380" i="51" s="1"/>
  <c r="R359" i="51" a="1"/>
  <c r="R359" i="51" s="1"/>
  <c r="R324" i="51" a="1"/>
  <c r="R324" i="51" s="1"/>
  <c r="R350" i="51" a="1"/>
  <c r="R350" i="51" s="1"/>
  <c r="R374" i="51" a="1"/>
  <c r="R374" i="51" s="1"/>
  <c r="R355" i="51" a="1"/>
  <c r="R355" i="51" s="1"/>
  <c r="R349" i="51" a="1"/>
  <c r="R349" i="51" s="1"/>
  <c r="R362" i="51" a="1"/>
  <c r="R362" i="51" s="1"/>
  <c r="R346" i="51" a="1"/>
  <c r="R346" i="51" s="1"/>
  <c r="R325" i="51" a="1"/>
  <c r="R325" i="51" s="1"/>
  <c r="R377" i="51" a="1"/>
  <c r="R377" i="51" s="1"/>
  <c r="R358" i="51" a="1"/>
  <c r="R358" i="51" s="1"/>
  <c r="R343" i="51" a="1"/>
  <c r="R343" i="51" s="1"/>
  <c r="R367" i="51" a="1"/>
  <c r="R367" i="51" s="1"/>
  <c r="R370" i="51" a="1"/>
  <c r="R370" i="51" s="1"/>
  <c r="R328" i="51" a="1"/>
  <c r="R328" i="51" s="1"/>
  <c r="R332" i="51" a="1"/>
  <c r="R332" i="51" s="1"/>
  <c r="R360" i="51" a="1"/>
  <c r="R360" i="51" s="1"/>
  <c r="R356" i="51" a="1"/>
  <c r="R356" i="51" s="1"/>
  <c r="R376" i="51" a="1"/>
  <c r="R376" i="51" s="1"/>
  <c r="R338" i="51" a="1"/>
  <c r="R338" i="51" s="1"/>
  <c r="R372" i="51" a="1"/>
  <c r="R372" i="51" s="1"/>
  <c r="R322" i="51" a="1"/>
  <c r="R322" i="51" s="1"/>
  <c r="R329" i="51" a="1"/>
  <c r="R329" i="51" s="1"/>
  <c r="R364" i="51" a="1"/>
  <c r="R364" i="51" s="1"/>
  <c r="R340" i="51" a="1"/>
  <c r="R340" i="51" s="1"/>
  <c r="R373" i="51" a="1"/>
  <c r="R373" i="51" s="1"/>
  <c r="R345" i="51" a="1"/>
  <c r="R345" i="51" s="1"/>
  <c r="R344" i="51" a="1"/>
  <c r="R344" i="51" s="1"/>
  <c r="R341" i="51" a="1"/>
  <c r="R341" i="51" s="1"/>
  <c r="R375" i="51" a="1"/>
  <c r="R375" i="51" s="1"/>
  <c r="R378" i="51" a="1"/>
  <c r="R378" i="51" s="1"/>
  <c r="R331" i="51" a="1"/>
  <c r="R331" i="51" s="1"/>
  <c r="R352" i="51" a="1"/>
  <c r="R352" i="51" s="1"/>
  <c r="R366" i="51" a="1"/>
  <c r="R366" i="51" s="1"/>
  <c r="R336" i="51" a="1"/>
  <c r="R336" i="51" s="1"/>
  <c r="R353" i="51" a="1"/>
  <c r="R353" i="51" s="1"/>
  <c r="R348" i="51" a="1"/>
  <c r="R348" i="51" s="1"/>
  <c r="R365" i="51" a="1"/>
  <c r="R365" i="51" s="1"/>
  <c r="R337" i="51" a="1"/>
  <c r="R337" i="51" s="1"/>
  <c r="R335" i="51" a="1"/>
  <c r="R335" i="51" s="1"/>
  <c r="R369" i="51" a="1"/>
  <c r="R369" i="51" s="1"/>
  <c r="R333" i="51" a="1"/>
  <c r="R333" i="51" s="1"/>
  <c r="R323" i="51" a="1"/>
  <c r="R323" i="51" s="1"/>
  <c r="R363" i="51" a="1"/>
  <c r="R363" i="51" s="1"/>
  <c r="R334" i="51" a="1"/>
  <c r="R334" i="51" s="1"/>
  <c r="R326" i="51" a="1"/>
  <c r="R326" i="51" s="1"/>
  <c r="R342" i="51" a="1"/>
  <c r="R342" i="51" s="1"/>
  <c r="R371" i="51" a="1"/>
  <c r="R371" i="51" s="1"/>
  <c r="R327" i="51" a="1"/>
  <c r="R327" i="51" s="1"/>
  <c r="U321" i="51" a="1"/>
  <c r="U321" i="51" s="1"/>
  <c r="U335" i="51" a="1"/>
  <c r="U335" i="51" s="1"/>
  <c r="U353" i="51" a="1"/>
  <c r="U353" i="51" s="1"/>
  <c r="U332" i="51" a="1"/>
  <c r="U332" i="51" s="1"/>
  <c r="U357" i="51" a="1"/>
  <c r="U357" i="51" s="1"/>
  <c r="U359" i="51" a="1"/>
  <c r="U359" i="51" s="1"/>
  <c r="U372" i="51" a="1"/>
  <c r="U372" i="51" s="1"/>
  <c r="U356" i="51" a="1"/>
  <c r="U356" i="51" s="1"/>
  <c r="U341" i="51" a="1"/>
  <c r="U341" i="51" s="1"/>
  <c r="U333" i="51" a="1"/>
  <c r="U333" i="51" s="1"/>
  <c r="U355" i="51" a="1"/>
  <c r="U355" i="51" s="1"/>
  <c r="U379" i="51" a="1"/>
  <c r="U379" i="51" s="1"/>
  <c r="U369" i="51" a="1"/>
  <c r="U369" i="51" s="1"/>
  <c r="U329" i="51" a="1"/>
  <c r="U329" i="51" s="1"/>
  <c r="U375" i="51" a="1"/>
  <c r="U375" i="51" s="1"/>
  <c r="U326" i="51" a="1"/>
  <c r="U326" i="51" s="1"/>
  <c r="U363" i="51" a="1"/>
  <c r="U363" i="51" s="1"/>
  <c r="U364" i="51" a="1"/>
  <c r="U364" i="51" s="1"/>
  <c r="U336" i="51" a="1"/>
  <c r="U336" i="51" s="1"/>
  <c r="U338" i="51" a="1"/>
  <c r="U338" i="51" s="1"/>
  <c r="U346" i="51" a="1"/>
  <c r="U346" i="51" s="1"/>
  <c r="U328" i="51" a="1"/>
  <c r="U328" i="51" s="1"/>
  <c r="U380" i="51" a="1"/>
  <c r="U380" i="51" s="1"/>
  <c r="U373" i="51" a="1"/>
  <c r="U373" i="51" s="1"/>
  <c r="U358" i="51" a="1"/>
  <c r="U358" i="51" s="1"/>
  <c r="U367" i="51" a="1"/>
  <c r="U367" i="51" s="1"/>
  <c r="U362" i="51" a="1"/>
  <c r="U362" i="51" s="1"/>
  <c r="U325" i="51" a="1"/>
  <c r="U325" i="51" s="1"/>
  <c r="U350" i="51" a="1"/>
  <c r="U350" i="51" s="1"/>
  <c r="U377" i="51" a="1"/>
  <c r="U377" i="51" s="1"/>
  <c r="U378" i="51" a="1"/>
  <c r="U378" i="51" s="1"/>
  <c r="U352" i="51" a="1"/>
  <c r="U352" i="51" s="1"/>
  <c r="U344" i="51" a="1"/>
  <c r="U344" i="51" s="1"/>
  <c r="U371" i="51" a="1"/>
  <c r="U371" i="51" s="1"/>
  <c r="U342" i="51" a="1"/>
  <c r="U342" i="51" s="1"/>
  <c r="U360" i="51" a="1"/>
  <c r="U360" i="51" s="1"/>
  <c r="U343" i="51" a="1"/>
  <c r="U343" i="51" s="1"/>
  <c r="U339" i="51" a="1"/>
  <c r="U339" i="51" s="1"/>
  <c r="U323" i="51" a="1"/>
  <c r="U323" i="51" s="1"/>
  <c r="U365" i="51" a="1"/>
  <c r="U365" i="51" s="1"/>
  <c r="U376" i="51" a="1"/>
  <c r="U376" i="51" s="1"/>
  <c r="U354" i="51" a="1"/>
  <c r="U354" i="51" s="1"/>
  <c r="U366" i="51" a="1"/>
  <c r="U366" i="51" s="1"/>
  <c r="U361" i="51" a="1"/>
  <c r="U361" i="51" s="1"/>
  <c r="U331" i="51" a="1"/>
  <c r="U331" i="51" s="1"/>
  <c r="U334" i="51" a="1"/>
  <c r="U334" i="51" s="1"/>
  <c r="U347" i="51" a="1"/>
  <c r="U347" i="51" s="1"/>
  <c r="U340" i="51" a="1"/>
  <c r="U340" i="51" s="1"/>
  <c r="U322" i="51" a="1"/>
  <c r="U322" i="51" s="1"/>
  <c r="U330" i="51" a="1"/>
  <c r="U330" i="51" s="1"/>
  <c r="U327" i="51" a="1"/>
  <c r="U327" i="51" s="1"/>
  <c r="U368" i="51" a="1"/>
  <c r="U368" i="51" s="1"/>
  <c r="U337" i="51" a="1"/>
  <c r="U337" i="51" s="1"/>
  <c r="U345" i="51" a="1"/>
  <c r="U345" i="51" s="1"/>
  <c r="U370" i="51" a="1"/>
  <c r="U370" i="51" s="1"/>
  <c r="U348" i="51" a="1"/>
  <c r="U348" i="51" s="1"/>
  <c r="U374" i="51" a="1"/>
  <c r="U374" i="51" s="1"/>
  <c r="U349" i="51" a="1"/>
  <c r="U349" i="51" s="1"/>
  <c r="U351" i="51" a="1"/>
  <c r="U351" i="51" s="1"/>
  <c r="U324" i="51" a="1"/>
  <c r="U324" i="51" s="1"/>
  <c r="Z321" i="51" a="1"/>
  <c r="Z321" i="51" s="1"/>
  <c r="Z349" i="51" a="1"/>
  <c r="Z349" i="51" s="1"/>
  <c r="Z369" i="51" a="1"/>
  <c r="Z369" i="51" s="1"/>
  <c r="Z345" i="51" a="1"/>
  <c r="Z345" i="51" s="1"/>
  <c r="Z376" i="51" a="1"/>
  <c r="Z376" i="51" s="1"/>
  <c r="Z367" i="51" a="1"/>
  <c r="Z367" i="51" s="1"/>
  <c r="Z334" i="51" a="1"/>
  <c r="Z334" i="51" s="1"/>
  <c r="Z379" i="51" a="1"/>
  <c r="Z379" i="51" s="1"/>
  <c r="Z352" i="51" a="1"/>
  <c r="Z352" i="51" s="1"/>
  <c r="Z336" i="51" a="1"/>
  <c r="Z336" i="51" s="1"/>
  <c r="Z355" i="51" a="1"/>
  <c r="Z355" i="51" s="1"/>
  <c r="Z332" i="51" a="1"/>
  <c r="Z332" i="51" s="1"/>
  <c r="Z361" i="51" a="1"/>
  <c r="Z361" i="51" s="1"/>
  <c r="Z364" i="51" a="1"/>
  <c r="Z364" i="51" s="1"/>
  <c r="Z375" i="51" a="1"/>
  <c r="Z375" i="51" s="1"/>
  <c r="Z356" i="51" a="1"/>
  <c r="Z356" i="51" s="1"/>
  <c r="Z353" i="51" a="1"/>
  <c r="Z353" i="51" s="1"/>
  <c r="Z370" i="51" a="1"/>
  <c r="Z370" i="51" s="1"/>
  <c r="Z339" i="51" a="1"/>
  <c r="Z339" i="51" s="1"/>
  <c r="Z341" i="51" a="1"/>
  <c r="Z341" i="51" s="1"/>
  <c r="Z358" i="51" a="1"/>
  <c r="Z358" i="51" s="1"/>
  <c r="Z373" i="51" a="1"/>
  <c r="Z373" i="51" s="1"/>
  <c r="Z347" i="51" a="1"/>
  <c r="Z347" i="51" s="1"/>
  <c r="Z323" i="51" a="1"/>
  <c r="Z323" i="51" s="1"/>
  <c r="Z337" i="51" a="1"/>
  <c r="Z337" i="51" s="1"/>
  <c r="Z374" i="51" a="1"/>
  <c r="Z374" i="51" s="1"/>
  <c r="Z350" i="51" a="1"/>
  <c r="Z350" i="51" s="1"/>
  <c r="Z328" i="51" a="1"/>
  <c r="Z328" i="51" s="1"/>
  <c r="Z377" i="51" a="1"/>
  <c r="Z377" i="51" s="1"/>
  <c r="Z348" i="51" a="1"/>
  <c r="Z348" i="51" s="1"/>
  <c r="Z363" i="51" a="1"/>
  <c r="Z363" i="51" s="1"/>
  <c r="Z371" i="51" a="1"/>
  <c r="Z371" i="51" s="1"/>
  <c r="Z378" i="51" a="1"/>
  <c r="Z378" i="51" s="1"/>
  <c r="Z330" i="51" a="1"/>
  <c r="Z330" i="51" s="1"/>
  <c r="Z372" i="51" a="1"/>
  <c r="Z372" i="51" s="1"/>
  <c r="Z331" i="51" a="1"/>
  <c r="Z331" i="51" s="1"/>
  <c r="Z333" i="51" a="1"/>
  <c r="Z333" i="51" s="1"/>
  <c r="Z342" i="51" a="1"/>
  <c r="Z342" i="51" s="1"/>
  <c r="Z366" i="51" a="1"/>
  <c r="Z366" i="51" s="1"/>
  <c r="Z357" i="51" a="1"/>
  <c r="Z357" i="51" s="1"/>
  <c r="Z360" i="51" a="1"/>
  <c r="Z360" i="51" s="1"/>
  <c r="Z354" i="51" a="1"/>
  <c r="Z354" i="51" s="1"/>
  <c r="Z327" i="51" a="1"/>
  <c r="Z327" i="51" s="1"/>
  <c r="Z322" i="51" a="1"/>
  <c r="Z322" i="51" s="1"/>
  <c r="Z344" i="51" a="1"/>
  <c r="Z344" i="51" s="1"/>
  <c r="Z380" i="51" a="1"/>
  <c r="Z380" i="51" s="1"/>
  <c r="Z346" i="51" a="1"/>
  <c r="Z346" i="51" s="1"/>
  <c r="Z335" i="51" a="1"/>
  <c r="Z335" i="51" s="1"/>
  <c r="Z338" i="51" a="1"/>
  <c r="Z338" i="51" s="1"/>
  <c r="Z362" i="51" a="1"/>
  <c r="Z362" i="51" s="1"/>
  <c r="Z329" i="51" a="1"/>
  <c r="Z329" i="51" s="1"/>
  <c r="Z368" i="51" a="1"/>
  <c r="Z368" i="51" s="1"/>
  <c r="Z365" i="51" a="1"/>
  <c r="Z365" i="51" s="1"/>
  <c r="Z351" i="51" a="1"/>
  <c r="Z351" i="51" s="1"/>
  <c r="Z343" i="51" a="1"/>
  <c r="Z343" i="51" s="1"/>
  <c r="Z324" i="51" a="1"/>
  <c r="Z324" i="51" s="1"/>
  <c r="Z325" i="51" a="1"/>
  <c r="Z325" i="51" s="1"/>
  <c r="Z340" i="51" a="1"/>
  <c r="Z340" i="51" s="1"/>
  <c r="Z359" i="51" a="1"/>
  <c r="Z359" i="51" s="1"/>
  <c r="Z326" i="51" a="1"/>
  <c r="Z326" i="51" s="1"/>
  <c r="V321" i="51" a="1"/>
  <c r="V321" i="51" s="1"/>
  <c r="V356" i="51" a="1"/>
  <c r="V356" i="51" s="1"/>
  <c r="V374" i="51" a="1"/>
  <c r="V374" i="51" s="1"/>
  <c r="V355" i="51" a="1"/>
  <c r="V355" i="51" s="1"/>
  <c r="V332" i="51" a="1"/>
  <c r="V332" i="51" s="1"/>
  <c r="V362" i="51" a="1"/>
  <c r="V362" i="51" s="1"/>
  <c r="V324" i="51" a="1"/>
  <c r="V324" i="51" s="1"/>
  <c r="V360" i="51" a="1"/>
  <c r="V360" i="51" s="1"/>
  <c r="V328" i="51" a="1"/>
  <c r="V328" i="51" s="1"/>
  <c r="V366" i="51" a="1"/>
  <c r="V366" i="51" s="1"/>
  <c r="V350" i="51" a="1"/>
  <c r="V350" i="51" s="1"/>
  <c r="V370" i="51" a="1"/>
  <c r="V370" i="51" s="1"/>
  <c r="V339" i="51" a="1"/>
  <c r="V339" i="51" s="1"/>
  <c r="V323" i="51" a="1"/>
  <c r="V323" i="51" s="1"/>
  <c r="V346" i="51" a="1"/>
  <c r="V346" i="51" s="1"/>
  <c r="V340" i="51" a="1"/>
  <c r="V340" i="51" s="1"/>
  <c r="V345" i="51" a="1"/>
  <c r="V345" i="51" s="1"/>
  <c r="V368" i="51" a="1"/>
  <c r="V368" i="51" s="1"/>
  <c r="V343" i="51" a="1"/>
  <c r="V343" i="51" s="1"/>
  <c r="V341" i="51" a="1"/>
  <c r="V341" i="51" s="1"/>
  <c r="V329" i="51" a="1"/>
  <c r="V329" i="51" s="1"/>
  <c r="V351" i="51" a="1"/>
  <c r="V351" i="51" s="1"/>
  <c r="V358" i="51" a="1"/>
  <c r="V358" i="51" s="1"/>
  <c r="V325" i="51" a="1"/>
  <c r="V325" i="51" s="1"/>
  <c r="V337" i="51" a="1"/>
  <c r="V337" i="51" s="1"/>
  <c r="V344" i="51" a="1"/>
  <c r="V344" i="51" s="1"/>
  <c r="V349" i="51" a="1"/>
  <c r="V349" i="51" s="1"/>
  <c r="V342" i="51" a="1"/>
  <c r="V342" i="51" s="1"/>
  <c r="V326" i="51" a="1"/>
  <c r="V326" i="51" s="1"/>
  <c r="V336" i="51" a="1"/>
  <c r="V336" i="51" s="1"/>
  <c r="V347" i="51" a="1"/>
  <c r="V347" i="51" s="1"/>
  <c r="V365" i="51" a="1"/>
  <c r="V365" i="51" s="1"/>
  <c r="V373" i="51" a="1"/>
  <c r="V373" i="51" s="1"/>
  <c r="V330" i="51" a="1"/>
  <c r="V330" i="51" s="1"/>
  <c r="V369" i="51" a="1"/>
  <c r="V369" i="51" s="1"/>
  <c r="V367" i="51" a="1"/>
  <c r="V367" i="51" s="1"/>
  <c r="V359" i="51" a="1"/>
  <c r="V359" i="51" s="1"/>
  <c r="V338" i="51" a="1"/>
  <c r="V338" i="51" s="1"/>
  <c r="V364" i="51" a="1"/>
  <c r="V364" i="51" s="1"/>
  <c r="V353" i="51" a="1"/>
  <c r="V353" i="51" s="1"/>
  <c r="V377" i="51" a="1"/>
  <c r="V377" i="51" s="1"/>
  <c r="V335" i="51" a="1"/>
  <c r="V335" i="51" s="1"/>
  <c r="V372" i="51" a="1"/>
  <c r="V372" i="51" s="1"/>
  <c r="V333" i="51" a="1"/>
  <c r="V333" i="51" s="1"/>
  <c r="V348" i="51" a="1"/>
  <c r="V348" i="51" s="1"/>
  <c r="V334" i="51" a="1"/>
  <c r="V334" i="51" s="1"/>
  <c r="V371" i="51" a="1"/>
  <c r="V371" i="51" s="1"/>
  <c r="V327" i="51" a="1"/>
  <c r="V327" i="51" s="1"/>
  <c r="V352" i="51" a="1"/>
  <c r="V352" i="51" s="1"/>
  <c r="V361" i="51" a="1"/>
  <c r="V361" i="51" s="1"/>
  <c r="V357" i="51" a="1"/>
  <c r="V357" i="51" s="1"/>
  <c r="V376" i="51" a="1"/>
  <c r="V376" i="51" s="1"/>
  <c r="V331" i="51" a="1"/>
  <c r="V331" i="51" s="1"/>
  <c r="V375" i="51" a="1"/>
  <c r="V375" i="51" s="1"/>
  <c r="V354" i="51" a="1"/>
  <c r="V354" i="51" s="1"/>
  <c r="V380" i="51" a="1"/>
  <c r="V380" i="51" s="1"/>
  <c r="V322" i="51" a="1"/>
  <c r="V322" i="51" s="1"/>
  <c r="V379" i="51" a="1"/>
  <c r="V379" i="51" s="1"/>
  <c r="V363" i="51" a="1"/>
  <c r="V363" i="51" s="1"/>
  <c r="V378" i="51" a="1"/>
  <c r="V378" i="51" s="1"/>
  <c r="O352" i="51" a="1"/>
  <c r="O352" i="51" s="1"/>
  <c r="O373" i="51" a="1"/>
  <c r="O373" i="51" s="1"/>
  <c r="O377" i="51" a="1"/>
  <c r="O377" i="51" s="1"/>
  <c r="O346" i="51" a="1"/>
  <c r="O346" i="51" s="1"/>
  <c r="O335" i="51" a="1"/>
  <c r="O335" i="51" s="1"/>
  <c r="O366" i="51" a="1"/>
  <c r="O366" i="51" s="1"/>
  <c r="O322" i="51" a="1"/>
  <c r="O322" i="51" s="1"/>
  <c r="O371" i="51" a="1"/>
  <c r="O371" i="51" s="1"/>
  <c r="O361" i="51" a="1"/>
  <c r="O361" i="51" s="1"/>
  <c r="O338" i="51" a="1"/>
  <c r="O338" i="51" s="1"/>
  <c r="O330" i="51" a="1"/>
  <c r="O330" i="51" s="1"/>
  <c r="O375" i="51" a="1"/>
  <c r="O375" i="51" s="1"/>
  <c r="O334" i="51" a="1"/>
  <c r="O334" i="51" s="1"/>
  <c r="O342" i="51" a="1"/>
  <c r="O342" i="51" s="1"/>
  <c r="O337" i="51" a="1"/>
  <c r="O337" i="51" s="1"/>
  <c r="O349" i="51" a="1"/>
  <c r="O349" i="51" s="1"/>
  <c r="O340" i="51" a="1"/>
  <c r="O340" i="51" s="1"/>
  <c r="O372" i="51" a="1"/>
  <c r="O372" i="51" s="1"/>
  <c r="O374" i="51" a="1"/>
  <c r="O374" i="51" s="1"/>
  <c r="O341" i="51" a="1"/>
  <c r="O341" i="51" s="1"/>
  <c r="O347" i="51" a="1"/>
  <c r="O347" i="51" s="1"/>
  <c r="O333" i="51" a="1"/>
  <c r="O333" i="51" s="1"/>
  <c r="O350" i="51" a="1"/>
  <c r="O350" i="51" s="1"/>
  <c r="O368" i="51" a="1"/>
  <c r="O368" i="51" s="1"/>
  <c r="O328" i="51" a="1"/>
  <c r="O328" i="51" s="1"/>
  <c r="O360" i="51" a="1"/>
  <c r="O360" i="51" s="1"/>
  <c r="O379" i="51" a="1"/>
  <c r="O379" i="51" s="1"/>
  <c r="O367" i="51" a="1"/>
  <c r="O367" i="51" s="1"/>
  <c r="O345" i="51" a="1"/>
  <c r="O345" i="51" s="1"/>
  <c r="O357" i="51" a="1"/>
  <c r="O357" i="51" s="1"/>
  <c r="O325" i="51" a="1"/>
  <c r="O325" i="51" s="1"/>
  <c r="O329" i="51" a="1"/>
  <c r="O329" i="51" s="1"/>
  <c r="O359" i="51" a="1"/>
  <c r="O359" i="51" s="1"/>
  <c r="O351" i="51" a="1"/>
  <c r="O351" i="51" s="1"/>
  <c r="O324" i="51" a="1"/>
  <c r="O324" i="51" s="1"/>
  <c r="O332" i="51" a="1"/>
  <c r="O332" i="51" s="1"/>
  <c r="O356" i="51" a="1"/>
  <c r="O356" i="51" s="1"/>
  <c r="O376" i="51" a="1"/>
  <c r="O376" i="51" s="1"/>
  <c r="O326" i="51" a="1"/>
  <c r="O326" i="51" s="1"/>
  <c r="O323" i="51" a="1"/>
  <c r="O323" i="51" s="1"/>
  <c r="O339" i="51" a="1"/>
  <c r="O339" i="51" s="1"/>
  <c r="O355" i="51" a="1"/>
  <c r="O355" i="51" s="1"/>
  <c r="O344" i="51" a="1"/>
  <c r="O344" i="51" s="1"/>
  <c r="O378" i="51" a="1"/>
  <c r="O378" i="51" s="1"/>
  <c r="O365" i="51" a="1"/>
  <c r="O365" i="51" s="1"/>
  <c r="O358" i="51" a="1"/>
  <c r="O358" i="51" s="1"/>
  <c r="O343" i="51" a="1"/>
  <c r="O343" i="51" s="1"/>
  <c r="O336" i="51" a="1"/>
  <c r="O336" i="51" s="1"/>
  <c r="O363" i="51" a="1"/>
  <c r="O363" i="51" s="1"/>
  <c r="O331" i="51" a="1"/>
  <c r="O331" i="51" s="1"/>
  <c r="O370" i="51" a="1"/>
  <c r="O370" i="51" s="1"/>
  <c r="O364" i="51" a="1"/>
  <c r="O364" i="51" s="1"/>
  <c r="O327" i="51" a="1"/>
  <c r="O327" i="51" s="1"/>
  <c r="O348" i="51" a="1"/>
  <c r="O348" i="51" s="1"/>
  <c r="O353" i="51" a="1"/>
  <c r="O353" i="51" s="1"/>
  <c r="O369" i="51" a="1"/>
  <c r="O369" i="51" s="1"/>
  <c r="O380" i="51" a="1"/>
  <c r="O380" i="51" s="1"/>
  <c r="O362" i="51" a="1"/>
  <c r="O362" i="51" s="1"/>
  <c r="O354" i="51" a="1"/>
  <c r="O354" i="51" s="1"/>
  <c r="V271" i="51" a="1"/>
  <c r="V271" i="51" s="1"/>
  <c r="V281" i="51" a="1"/>
  <c r="V281" i="51" s="1"/>
  <c r="V268" i="51" a="1"/>
  <c r="V268" i="51" s="1"/>
  <c r="V298" i="51" a="1"/>
  <c r="V298" i="51" s="1"/>
  <c r="V280" i="51" a="1"/>
  <c r="V280" i="51" s="1"/>
  <c r="V279" i="51" a="1"/>
  <c r="V279" i="51" s="1"/>
  <c r="V249" i="51" a="1"/>
  <c r="V249" i="51" s="1"/>
  <c r="V267" i="51" a="1"/>
  <c r="V267" i="51" s="1"/>
  <c r="V287" i="51" a="1"/>
  <c r="V287" i="51" s="1"/>
  <c r="V284" i="51" a="1"/>
  <c r="V284" i="51" s="1"/>
  <c r="V260" i="51" a="1"/>
  <c r="V260" i="51" s="1"/>
  <c r="V270" i="51" a="1"/>
  <c r="V270" i="51" s="1"/>
  <c r="V265" i="51" a="1"/>
  <c r="V265" i="51" s="1"/>
  <c r="V302" i="51" a="1"/>
  <c r="V302" i="51" s="1"/>
  <c r="V285" i="51" a="1"/>
  <c r="V285" i="51" s="1"/>
  <c r="V294" i="51" a="1"/>
  <c r="V294" i="51" s="1"/>
  <c r="V292" i="51" a="1"/>
  <c r="V292" i="51" s="1"/>
  <c r="V264" i="51" a="1"/>
  <c r="V264" i="51" s="1"/>
  <c r="V297" i="51" a="1"/>
  <c r="V297" i="51" s="1"/>
  <c r="V293" i="51" a="1"/>
  <c r="V293" i="51" s="1"/>
  <c r="V296" i="51" a="1"/>
  <c r="V296" i="51" s="1"/>
  <c r="V258" i="51" a="1"/>
  <c r="V258" i="51" s="1"/>
  <c r="V300" i="51" a="1"/>
  <c r="V300" i="51" s="1"/>
  <c r="V291" i="51" a="1"/>
  <c r="V291" i="51" s="1"/>
  <c r="V295" i="51" a="1"/>
  <c r="V295" i="51" s="1"/>
  <c r="V259" i="51" a="1"/>
  <c r="V259" i="51" s="1"/>
  <c r="V303" i="51" a="1"/>
  <c r="V303" i="51" s="1"/>
  <c r="V289" i="51" a="1"/>
  <c r="V289" i="51" s="1"/>
  <c r="V301" i="51" a="1"/>
  <c r="V301" i="51" s="1"/>
  <c r="V304" i="51" a="1"/>
  <c r="V304" i="51" s="1"/>
  <c r="V276" i="51" a="1"/>
  <c r="V276" i="51" s="1"/>
  <c r="V275" i="51" a="1"/>
  <c r="V275" i="51" s="1"/>
  <c r="V262" i="51" a="1"/>
  <c r="V262" i="51" s="1"/>
  <c r="V257" i="51" a="1"/>
  <c r="V257" i="51" s="1"/>
  <c r="V282" i="51" a="1"/>
  <c r="V282" i="51" s="1"/>
  <c r="V250" i="51" a="1"/>
  <c r="V250" i="51" s="1"/>
  <c r="V266" i="51" a="1"/>
  <c r="V266" i="51" s="1"/>
  <c r="V283" i="51" a="1"/>
  <c r="V283" i="51" s="1"/>
  <c r="V277" i="51" a="1"/>
  <c r="V277" i="51" s="1"/>
  <c r="V256" i="51" a="1"/>
  <c r="V256" i="51" s="1"/>
  <c r="V286" i="51" a="1"/>
  <c r="V286" i="51" s="1"/>
  <c r="V269" i="51" a="1"/>
  <c r="V269" i="51" s="1"/>
  <c r="V274" i="51" a="1"/>
  <c r="V274" i="51" s="1"/>
  <c r="V278" i="51" a="1"/>
  <c r="V278" i="51" s="1"/>
  <c r="V246" i="51" a="1"/>
  <c r="V246" i="51" s="1"/>
  <c r="V247" i="51" a="1"/>
  <c r="V247" i="51" s="1"/>
  <c r="V263" i="51" a="1"/>
  <c r="V263" i="51" s="1"/>
  <c r="V261" i="51" a="1"/>
  <c r="V261" i="51" s="1"/>
  <c r="V273" i="51" a="1"/>
  <c r="V273" i="51" s="1"/>
  <c r="V272" i="51" a="1"/>
  <c r="V272" i="51" s="1"/>
  <c r="V288" i="51" a="1"/>
  <c r="V288" i="51" s="1"/>
  <c r="V255" i="51" a="1"/>
  <c r="V255" i="51" s="1"/>
  <c r="V290" i="51" a="1"/>
  <c r="V290" i="51" s="1"/>
  <c r="V299" i="51" a="1"/>
  <c r="V299" i="51" s="1"/>
  <c r="W260" i="51" a="1"/>
  <c r="W260" i="51" s="1"/>
  <c r="W271" i="51" a="1"/>
  <c r="W271" i="51" s="1"/>
  <c r="W286" i="51" a="1"/>
  <c r="W286" i="51" s="1"/>
  <c r="W265" i="51" a="1"/>
  <c r="W265" i="51" s="1"/>
  <c r="W295" i="51" a="1"/>
  <c r="W295" i="51" s="1"/>
  <c r="W263" i="51" a="1"/>
  <c r="W263" i="51" s="1"/>
  <c r="W300" i="51" a="1"/>
  <c r="W300" i="51" s="1"/>
  <c r="W282" i="51" a="1"/>
  <c r="W282" i="51" s="1"/>
  <c r="W273" i="51" a="1"/>
  <c r="W273" i="51" s="1"/>
  <c r="W246" i="51" a="1"/>
  <c r="W246" i="51" s="1"/>
  <c r="W259" i="51" a="1"/>
  <c r="W259" i="51" s="1"/>
  <c r="W258" i="51" a="1"/>
  <c r="W258" i="51" s="1"/>
  <c r="W290" i="51" a="1"/>
  <c r="W290" i="51" s="1"/>
  <c r="W287" i="51" a="1"/>
  <c r="W287" i="51" s="1"/>
  <c r="W299" i="51" a="1"/>
  <c r="W299" i="51" s="1"/>
  <c r="W269" i="51" a="1"/>
  <c r="W269" i="51" s="1"/>
  <c r="W284" i="51" a="1"/>
  <c r="W284" i="51" s="1"/>
  <c r="W278" i="51" a="1"/>
  <c r="W278" i="51" s="1"/>
  <c r="W301" i="51" a="1"/>
  <c r="W301" i="51" s="1"/>
  <c r="W297" i="51" a="1"/>
  <c r="W297" i="51" s="1"/>
  <c r="W275" i="51" a="1"/>
  <c r="W275" i="51" s="1"/>
  <c r="W250" i="51" a="1"/>
  <c r="W250" i="51" s="1"/>
  <c r="W279" i="51" a="1"/>
  <c r="W279" i="51" s="1"/>
  <c r="W266" i="51" a="1"/>
  <c r="W266" i="51" s="1"/>
  <c r="W285" i="51" a="1"/>
  <c r="W285" i="51" s="1"/>
  <c r="W292" i="51" a="1"/>
  <c r="W292" i="51" s="1"/>
  <c r="W293" i="51" a="1"/>
  <c r="W293" i="51" s="1"/>
  <c r="W272" i="51" a="1"/>
  <c r="W272" i="51" s="1"/>
  <c r="W270" i="51" a="1"/>
  <c r="W270" i="51" s="1"/>
  <c r="W304" i="51" a="1"/>
  <c r="W304" i="51" s="1"/>
  <c r="W277" i="51" a="1"/>
  <c r="W277" i="51" s="1"/>
  <c r="W283" i="51" a="1"/>
  <c r="W283" i="51" s="1"/>
  <c r="W276" i="51" a="1"/>
  <c r="W276" i="51" s="1"/>
  <c r="W291" i="51" a="1"/>
  <c r="W291" i="51" s="1"/>
  <c r="W288" i="51" a="1"/>
  <c r="W288" i="51" s="1"/>
  <c r="W303" i="51" a="1"/>
  <c r="W303" i="51" s="1"/>
  <c r="W267" i="51" a="1"/>
  <c r="W267" i="51" s="1"/>
  <c r="W298" i="51" a="1"/>
  <c r="W298" i="51" s="1"/>
  <c r="W261" i="51" a="1"/>
  <c r="W261" i="51" s="1"/>
  <c r="W264" i="51" a="1"/>
  <c r="W264" i="51" s="1"/>
  <c r="W249" i="51" a="1"/>
  <c r="W249" i="51" s="1"/>
  <c r="W256" i="51" a="1"/>
  <c r="W256" i="51" s="1"/>
  <c r="W268" i="51" a="1"/>
  <c r="W268" i="51" s="1"/>
  <c r="W281" i="51" a="1"/>
  <c r="W281" i="51" s="1"/>
  <c r="W255" i="51" a="1"/>
  <c r="W255" i="51" s="1"/>
  <c r="W296" i="51" a="1"/>
  <c r="W296" i="51" s="1"/>
  <c r="W302" i="51" a="1"/>
  <c r="W302" i="51" s="1"/>
  <c r="W294" i="51" a="1"/>
  <c r="W294" i="51" s="1"/>
  <c r="W280" i="51" a="1"/>
  <c r="W280" i="51" s="1"/>
  <c r="W262" i="51" a="1"/>
  <c r="W262" i="51" s="1"/>
  <c r="W247" i="51" a="1"/>
  <c r="W247" i="51" s="1"/>
  <c r="W257" i="51" a="1"/>
  <c r="W257" i="51" s="1"/>
  <c r="W274" i="51" a="1"/>
  <c r="W274" i="51" s="1"/>
  <c r="W289" i="51" a="1"/>
  <c r="W289" i="51" s="1"/>
  <c r="P282" i="51" a="1"/>
  <c r="P282" i="51" s="1"/>
  <c r="P262" i="51" a="1"/>
  <c r="P262" i="51" s="1"/>
  <c r="P273" i="51" a="1"/>
  <c r="P273" i="51" s="1"/>
  <c r="P304" i="51" a="1"/>
  <c r="P304" i="51" s="1"/>
  <c r="P247" i="51" a="1"/>
  <c r="P247" i="51" s="1"/>
  <c r="P281" i="51" a="1"/>
  <c r="P281" i="51" s="1"/>
  <c r="P291" i="51" a="1"/>
  <c r="P291" i="51" s="1"/>
  <c r="P287" i="51" a="1"/>
  <c r="P287" i="51" s="1"/>
  <c r="P266" i="51" a="1"/>
  <c r="P266" i="51" s="1"/>
  <c r="P269" i="51" a="1"/>
  <c r="P269" i="51" s="1"/>
  <c r="P284" i="51" a="1"/>
  <c r="P284" i="51" s="1"/>
  <c r="P277" i="51" a="1"/>
  <c r="P277" i="51" s="1"/>
  <c r="P259" i="51" a="1"/>
  <c r="P259" i="51" s="1"/>
  <c r="P289" i="51" a="1"/>
  <c r="P289" i="51" s="1"/>
  <c r="P258" i="51" a="1"/>
  <c r="P258" i="51" s="1"/>
  <c r="P294" i="51" a="1"/>
  <c r="P294" i="51" s="1"/>
  <c r="P250" i="51" a="1"/>
  <c r="P250" i="51" s="1"/>
  <c r="P301" i="51" a="1"/>
  <c r="P301" i="51" s="1"/>
  <c r="P275" i="51" a="1"/>
  <c r="P275" i="51" s="1"/>
  <c r="P292" i="51" a="1"/>
  <c r="P292" i="51" s="1"/>
  <c r="P274" i="51" a="1"/>
  <c r="P274" i="51" s="1"/>
  <c r="P268" i="51" a="1"/>
  <c r="P268" i="51" s="1"/>
  <c r="P297" i="51" a="1"/>
  <c r="P297" i="51" s="1"/>
  <c r="P293" i="51" a="1"/>
  <c r="P293" i="51" s="1"/>
  <c r="P279" i="51" a="1"/>
  <c r="P279" i="51" s="1"/>
  <c r="P283" i="51" a="1"/>
  <c r="P283" i="51" s="1"/>
  <c r="P272" i="51" a="1"/>
  <c r="P272" i="51" s="1"/>
  <c r="P263" i="51" a="1"/>
  <c r="P263" i="51" s="1"/>
  <c r="P285" i="51" a="1"/>
  <c r="P285" i="51" s="1"/>
  <c r="P249" i="51" a="1"/>
  <c r="P249" i="51" s="1"/>
  <c r="P302" i="51" a="1"/>
  <c r="P302" i="51" s="1"/>
  <c r="P295" i="51" a="1"/>
  <c r="P295" i="51" s="1"/>
  <c r="P267" i="51" a="1"/>
  <c r="P267" i="51" s="1"/>
  <c r="P256" i="51" a="1"/>
  <c r="P256" i="51" s="1"/>
  <c r="P257" i="51" a="1"/>
  <c r="P257" i="51" s="1"/>
  <c r="P286" i="51" a="1"/>
  <c r="P286" i="51" s="1"/>
  <c r="P264" i="51" a="1"/>
  <c r="P264" i="51" s="1"/>
  <c r="P260" i="51" a="1"/>
  <c r="P260" i="51" s="1"/>
  <c r="P271" i="51" a="1"/>
  <c r="P271" i="51" s="1"/>
  <c r="P265" i="51" a="1"/>
  <c r="P265" i="51" s="1"/>
  <c r="P290" i="51" a="1"/>
  <c r="P290" i="51" s="1"/>
  <c r="P300" i="51" a="1"/>
  <c r="P300" i="51" s="1"/>
  <c r="P299" i="51" a="1"/>
  <c r="P299" i="51" s="1"/>
  <c r="P270" i="51" a="1"/>
  <c r="P270" i="51" s="1"/>
  <c r="P303" i="51" a="1"/>
  <c r="P303" i="51" s="1"/>
  <c r="P246" i="51" a="1"/>
  <c r="P246" i="51" s="1"/>
  <c r="P276" i="51" a="1"/>
  <c r="P276" i="51" s="1"/>
  <c r="P280" i="51" a="1"/>
  <c r="P280" i="51" s="1"/>
  <c r="P288" i="51" a="1"/>
  <c r="P288" i="51" s="1"/>
  <c r="P261" i="51" a="1"/>
  <c r="P261" i="51" s="1"/>
  <c r="P298" i="51" a="1"/>
  <c r="P298" i="51" s="1"/>
  <c r="P255" i="51" a="1"/>
  <c r="P255" i="51" s="1"/>
  <c r="P296" i="51" a="1"/>
  <c r="P296" i="51" s="1"/>
  <c r="P278" i="51" a="1"/>
  <c r="P278" i="51" s="1"/>
  <c r="X296" i="51" a="1"/>
  <c r="X296" i="51" s="1"/>
  <c r="X250" i="51" a="1"/>
  <c r="X250" i="51" s="1"/>
  <c r="X286" i="51" a="1"/>
  <c r="X286" i="51" s="1"/>
  <c r="X269" i="51" a="1"/>
  <c r="X269" i="51" s="1"/>
  <c r="X285" i="51" a="1"/>
  <c r="X285" i="51" s="1"/>
  <c r="X258" i="51" a="1"/>
  <c r="X258" i="51" s="1"/>
  <c r="X283" i="51" a="1"/>
  <c r="X283" i="51" s="1"/>
  <c r="X271" i="51" a="1"/>
  <c r="X271" i="51" s="1"/>
  <c r="X279" i="51" a="1"/>
  <c r="X279" i="51" s="1"/>
  <c r="X290" i="51" a="1"/>
  <c r="X290" i="51" s="1"/>
  <c r="X300" i="51" a="1"/>
  <c r="X300" i="51" s="1"/>
  <c r="X281" i="51" a="1"/>
  <c r="X281" i="51" s="1"/>
  <c r="X302" i="51" a="1"/>
  <c r="X302" i="51" s="1"/>
  <c r="X277" i="51" a="1"/>
  <c r="X277" i="51" s="1"/>
  <c r="X256" i="51" a="1"/>
  <c r="X256" i="51" s="1"/>
  <c r="X259" i="51" a="1"/>
  <c r="X259" i="51" s="1"/>
  <c r="X301" i="51" a="1"/>
  <c r="X301" i="51" s="1"/>
  <c r="X264" i="51" a="1"/>
  <c r="X264" i="51" s="1"/>
  <c r="X255" i="51" a="1"/>
  <c r="X255" i="51" s="1"/>
  <c r="X270" i="51" a="1"/>
  <c r="X270" i="51" s="1"/>
  <c r="X297" i="51" a="1"/>
  <c r="X297" i="51" s="1"/>
  <c r="X303" i="51" a="1"/>
  <c r="X303" i="51" s="1"/>
  <c r="X274" i="51" a="1"/>
  <c r="X274" i="51" s="1"/>
  <c r="X268" i="51" a="1"/>
  <c r="X268" i="51" s="1"/>
  <c r="X280" i="51" a="1"/>
  <c r="X280" i="51" s="1"/>
  <c r="X276" i="51" a="1"/>
  <c r="X276" i="51" s="1"/>
  <c r="X266" i="51" a="1"/>
  <c r="X266" i="51" s="1"/>
  <c r="X291" i="51" a="1"/>
  <c r="X291" i="51" s="1"/>
  <c r="X246" i="51" a="1"/>
  <c r="X246" i="51" s="1"/>
  <c r="X275" i="51" a="1"/>
  <c r="X275" i="51" s="1"/>
  <c r="X284" i="51" a="1"/>
  <c r="X284" i="51" s="1"/>
  <c r="X288" i="51" a="1"/>
  <c r="X288" i="51" s="1"/>
  <c r="X247" i="51" a="1"/>
  <c r="X247" i="51" s="1"/>
  <c r="X249" i="51" a="1"/>
  <c r="X249" i="51" s="1"/>
  <c r="X294" i="51" a="1"/>
  <c r="X294" i="51" s="1"/>
  <c r="X263" i="51" a="1"/>
  <c r="X263" i="51" s="1"/>
  <c r="X287" i="51" a="1"/>
  <c r="X287" i="51" s="1"/>
  <c r="X257" i="51" a="1"/>
  <c r="X257" i="51" s="1"/>
  <c r="X272" i="51" a="1"/>
  <c r="X272" i="51" s="1"/>
  <c r="X298" i="51" a="1"/>
  <c r="X298" i="51" s="1"/>
  <c r="X265" i="51" a="1"/>
  <c r="X265" i="51" s="1"/>
  <c r="X262" i="51" a="1"/>
  <c r="X262" i="51" s="1"/>
  <c r="X278" i="51" a="1"/>
  <c r="X278" i="51" s="1"/>
  <c r="X289" i="51" a="1"/>
  <c r="X289" i="51" s="1"/>
  <c r="X282" i="51" a="1"/>
  <c r="X282" i="51" s="1"/>
  <c r="X293" i="51" a="1"/>
  <c r="X293" i="51" s="1"/>
  <c r="X295" i="51" a="1"/>
  <c r="X295" i="51" s="1"/>
  <c r="X273" i="51" a="1"/>
  <c r="X273" i="51" s="1"/>
  <c r="X261" i="51" a="1"/>
  <c r="X261" i="51" s="1"/>
  <c r="X299" i="51" a="1"/>
  <c r="X299" i="51" s="1"/>
  <c r="X267" i="51" a="1"/>
  <c r="X267" i="51" s="1"/>
  <c r="X292" i="51" a="1"/>
  <c r="X292" i="51" s="1"/>
  <c r="X304" i="51" a="1"/>
  <c r="X304" i="51" s="1"/>
  <c r="X260" i="51" a="1"/>
  <c r="X260" i="51" s="1"/>
  <c r="T256" i="51" a="1"/>
  <c r="T256" i="51" s="1"/>
  <c r="T284" i="51" a="1"/>
  <c r="T284" i="51" s="1"/>
  <c r="T266" i="51" a="1"/>
  <c r="T266" i="51" s="1"/>
  <c r="T300" i="51" a="1"/>
  <c r="T300" i="51" s="1"/>
  <c r="T255" i="51" a="1"/>
  <c r="T255" i="51" s="1"/>
  <c r="T250" i="51" a="1"/>
  <c r="T250" i="51" s="1"/>
  <c r="T283" i="51" a="1"/>
  <c r="T283" i="51" s="1"/>
  <c r="T288" i="51" a="1"/>
  <c r="T288" i="51" s="1"/>
  <c r="T277" i="51" a="1"/>
  <c r="T277" i="51" s="1"/>
  <c r="T257" i="51" a="1"/>
  <c r="T257" i="51" s="1"/>
  <c r="T263" i="51" a="1"/>
  <c r="T263" i="51" s="1"/>
  <c r="T267" i="51" a="1"/>
  <c r="T267" i="51" s="1"/>
  <c r="T259" i="51" a="1"/>
  <c r="T259" i="51" s="1"/>
  <c r="T265" i="51" a="1"/>
  <c r="T265" i="51" s="1"/>
  <c r="T291" i="51" a="1"/>
  <c r="T291" i="51" s="1"/>
  <c r="T301" i="51" a="1"/>
  <c r="T301" i="51" s="1"/>
  <c r="T299" i="51" a="1"/>
  <c r="T299" i="51" s="1"/>
  <c r="T274" i="51" a="1"/>
  <c r="T274" i="51" s="1"/>
  <c r="T303" i="51" a="1"/>
  <c r="T303" i="51" s="1"/>
  <c r="T269" i="51" a="1"/>
  <c r="T269" i="51" s="1"/>
  <c r="T292" i="51" a="1"/>
  <c r="T292" i="51" s="1"/>
  <c r="T275" i="51" a="1"/>
  <c r="T275" i="51" s="1"/>
  <c r="T294" i="51" a="1"/>
  <c r="T294" i="51" s="1"/>
  <c r="T297" i="51" a="1"/>
  <c r="T297" i="51" s="1"/>
  <c r="T270" i="51" a="1"/>
  <c r="T270" i="51" s="1"/>
  <c r="T280" i="51" a="1"/>
  <c r="T280" i="51" s="1"/>
  <c r="T281" i="51" a="1"/>
  <c r="T281" i="51" s="1"/>
  <c r="T296" i="51" a="1"/>
  <c r="T296" i="51" s="1"/>
  <c r="T286" i="51" a="1"/>
  <c r="T286" i="51" s="1"/>
  <c r="T276" i="51" a="1"/>
  <c r="T276" i="51" s="1"/>
  <c r="T268" i="51" a="1"/>
  <c r="T268" i="51" s="1"/>
  <c r="T282" i="51" a="1"/>
  <c r="T282" i="51" s="1"/>
  <c r="T264" i="51" a="1"/>
  <c r="T264" i="51" s="1"/>
  <c r="T271" i="51" a="1"/>
  <c r="T271" i="51" s="1"/>
  <c r="T278" i="51" a="1"/>
  <c r="T278" i="51" s="1"/>
  <c r="T295" i="51" a="1"/>
  <c r="T295" i="51" s="1"/>
  <c r="T290" i="51" a="1"/>
  <c r="T290" i="51" s="1"/>
  <c r="T246" i="51" a="1"/>
  <c r="T246" i="51" s="1"/>
  <c r="T261" i="51" a="1"/>
  <c r="T261" i="51" s="1"/>
  <c r="T298" i="51" a="1"/>
  <c r="T298" i="51" s="1"/>
  <c r="T272" i="51" a="1"/>
  <c r="T272" i="51" s="1"/>
  <c r="T279" i="51" a="1"/>
  <c r="T279" i="51" s="1"/>
  <c r="T258" i="51" a="1"/>
  <c r="T258" i="51" s="1"/>
  <c r="T260" i="51" a="1"/>
  <c r="T260" i="51" s="1"/>
  <c r="T262" i="51" a="1"/>
  <c r="T262" i="51" s="1"/>
  <c r="T304" i="51" a="1"/>
  <c r="T304" i="51" s="1"/>
  <c r="T285" i="51" a="1"/>
  <c r="T285" i="51" s="1"/>
  <c r="T249" i="51" a="1"/>
  <c r="T249" i="51" s="1"/>
  <c r="T287" i="51" a="1"/>
  <c r="T287" i="51" s="1"/>
  <c r="T247" i="51" a="1"/>
  <c r="T247" i="51" s="1"/>
  <c r="T302" i="51" a="1"/>
  <c r="T302" i="51" s="1"/>
  <c r="T289" i="51" a="1"/>
  <c r="T289" i="51" s="1"/>
  <c r="T273" i="51" a="1"/>
  <c r="T273" i="51" s="1"/>
  <c r="T293" i="51" a="1"/>
  <c r="T293" i="51" s="1"/>
  <c r="Q276" i="51" a="1"/>
  <c r="Q276" i="51" s="1"/>
  <c r="Q272" i="51" a="1"/>
  <c r="Q272" i="51" s="1"/>
  <c r="Q294" i="51" a="1"/>
  <c r="Q294" i="51" s="1"/>
  <c r="Q250" i="51" a="1"/>
  <c r="Q250" i="51" s="1"/>
  <c r="Q280" i="51" a="1"/>
  <c r="Q280" i="51" s="1"/>
  <c r="Q296" i="51" a="1"/>
  <c r="Q296" i="51" s="1"/>
  <c r="Q289" i="51" a="1"/>
  <c r="Q289" i="51" s="1"/>
  <c r="Q285" i="51" a="1"/>
  <c r="Q285" i="51" s="1"/>
  <c r="Q249" i="51" a="1"/>
  <c r="Q249" i="51" s="1"/>
  <c r="Q295" i="51" a="1"/>
  <c r="Q295" i="51" s="1"/>
  <c r="Q291" i="51" a="1"/>
  <c r="Q291" i="51" s="1"/>
  <c r="Q271" i="51" a="1"/>
  <c r="Q271" i="51" s="1"/>
  <c r="Q269" i="51" a="1"/>
  <c r="Q269" i="51" s="1"/>
  <c r="Q278" i="51" a="1"/>
  <c r="Q278" i="51" s="1"/>
  <c r="Q281" i="51" a="1"/>
  <c r="Q281" i="51" s="1"/>
  <c r="Q303" i="51" a="1"/>
  <c r="Q303" i="51" s="1"/>
  <c r="Q267" i="51" a="1"/>
  <c r="Q267" i="51" s="1"/>
  <c r="Q258" i="51" a="1"/>
  <c r="Q258" i="51" s="1"/>
  <c r="Q265" i="51" a="1"/>
  <c r="Q265" i="51" s="1"/>
  <c r="Q275" i="51" a="1"/>
  <c r="Q275" i="51" s="1"/>
  <c r="Q266" i="51" a="1"/>
  <c r="Q266" i="51" s="1"/>
  <c r="Q301" i="51" a="1"/>
  <c r="Q301" i="51" s="1"/>
  <c r="Q299" i="51" a="1"/>
  <c r="Q299" i="51" s="1"/>
  <c r="Q255" i="51" a="1"/>
  <c r="Q255" i="51" s="1"/>
  <c r="Q302" i="51" a="1"/>
  <c r="Q302" i="51" s="1"/>
  <c r="Q264" i="51" a="1"/>
  <c r="Q264" i="51" s="1"/>
  <c r="Q273" i="51" a="1"/>
  <c r="Q273" i="51" s="1"/>
  <c r="Q300" i="51" a="1"/>
  <c r="Q300" i="51" s="1"/>
  <c r="Q247" i="51" a="1"/>
  <c r="Q247" i="51" s="1"/>
  <c r="Q292" i="51" a="1"/>
  <c r="Q292" i="51" s="1"/>
  <c r="Q257" i="51" a="1"/>
  <c r="Q257" i="51" s="1"/>
  <c r="Q284" i="51" a="1"/>
  <c r="Q284" i="51" s="1"/>
  <c r="Q261" i="51" a="1"/>
  <c r="Q261" i="51" s="1"/>
  <c r="Q293" i="51" a="1"/>
  <c r="Q293" i="51" s="1"/>
  <c r="Q297" i="51" a="1"/>
  <c r="Q297" i="51" s="1"/>
  <c r="Q256" i="51" a="1"/>
  <c r="Q256" i="51" s="1"/>
  <c r="Q268" i="51" a="1"/>
  <c r="Q268" i="51" s="1"/>
  <c r="Q246" i="51" a="1"/>
  <c r="Q246" i="51" s="1"/>
  <c r="Q282" i="51" a="1"/>
  <c r="Q282" i="51" s="1"/>
  <c r="Q287" i="51" a="1"/>
  <c r="Q287" i="51" s="1"/>
  <c r="Q259" i="51" a="1"/>
  <c r="Q259" i="51" s="1"/>
  <c r="Q262" i="51" a="1"/>
  <c r="Q262" i="51" s="1"/>
  <c r="Q274" i="51" a="1"/>
  <c r="Q274" i="51" s="1"/>
  <c r="Q270" i="51" a="1"/>
  <c r="Q270" i="51" s="1"/>
  <c r="Q298" i="51" a="1"/>
  <c r="Q298" i="51" s="1"/>
  <c r="Q283" i="51" a="1"/>
  <c r="Q283" i="51" s="1"/>
  <c r="Q263" i="51" a="1"/>
  <c r="Q263" i="51" s="1"/>
  <c r="Q279" i="51" a="1"/>
  <c r="Q279" i="51" s="1"/>
  <c r="Q288" i="51" a="1"/>
  <c r="Q288" i="51" s="1"/>
  <c r="Q304" i="51" a="1"/>
  <c r="Q304" i="51" s="1"/>
  <c r="Q286" i="51" a="1"/>
  <c r="Q286" i="51" s="1"/>
  <c r="Q260" i="51" a="1"/>
  <c r="Q260" i="51" s="1"/>
  <c r="Q290" i="51" a="1"/>
  <c r="Q290" i="51" s="1"/>
  <c r="Q277" i="51" a="1"/>
  <c r="Q277" i="51" s="1"/>
  <c r="S247" i="51" a="1"/>
  <c r="S247" i="51" s="1"/>
  <c r="S282" i="51" a="1"/>
  <c r="S282" i="51" s="1"/>
  <c r="S293" i="51" a="1"/>
  <c r="S293" i="51" s="1"/>
  <c r="S272" i="51" a="1"/>
  <c r="S272" i="51" s="1"/>
  <c r="S289" i="51" a="1"/>
  <c r="S289" i="51" s="1"/>
  <c r="S279" i="51" a="1"/>
  <c r="S279" i="51" s="1"/>
  <c r="S267" i="51" a="1"/>
  <c r="S267" i="51" s="1"/>
  <c r="S274" i="51" a="1"/>
  <c r="S274" i="51" s="1"/>
  <c r="S258" i="51" a="1"/>
  <c r="S258" i="51" s="1"/>
  <c r="S270" i="51" a="1"/>
  <c r="S270" i="51" s="1"/>
  <c r="S271" i="51" a="1"/>
  <c r="S271" i="51" s="1"/>
  <c r="S281" i="51" a="1"/>
  <c r="S281" i="51" s="1"/>
  <c r="S297" i="51" a="1"/>
  <c r="S297" i="51" s="1"/>
  <c r="S300" i="51" a="1"/>
  <c r="S300" i="51" s="1"/>
  <c r="S298" i="51" a="1"/>
  <c r="S298" i="51" s="1"/>
  <c r="S299" i="51" a="1"/>
  <c r="S299" i="51" s="1"/>
  <c r="S262" i="51" a="1"/>
  <c r="S262" i="51" s="1"/>
  <c r="S276" i="51" a="1"/>
  <c r="S276" i="51" s="1"/>
  <c r="S283" i="51" a="1"/>
  <c r="S283" i="51" s="1"/>
  <c r="S246" i="51" a="1"/>
  <c r="S246" i="51" s="1"/>
  <c r="S301" i="51" a="1"/>
  <c r="S301" i="51" s="1"/>
  <c r="S265" i="51" a="1"/>
  <c r="S265" i="51" s="1"/>
  <c r="S302" i="51" a="1"/>
  <c r="S302" i="51" s="1"/>
  <c r="S259" i="51" a="1"/>
  <c r="S259" i="51" s="1"/>
  <c r="S288" i="51" a="1"/>
  <c r="S288" i="51" s="1"/>
  <c r="S261" i="51" a="1"/>
  <c r="S261" i="51" s="1"/>
  <c r="S285" i="51" a="1"/>
  <c r="S285" i="51" s="1"/>
  <c r="S256" i="51" a="1"/>
  <c r="S256" i="51" s="1"/>
  <c r="S291" i="51" a="1"/>
  <c r="S291" i="51" s="1"/>
  <c r="S294" i="51" a="1"/>
  <c r="S294" i="51" s="1"/>
  <c r="S277" i="51" a="1"/>
  <c r="S277" i="51" s="1"/>
  <c r="S268" i="51" a="1"/>
  <c r="S268" i="51" s="1"/>
  <c r="S250" i="51" a="1"/>
  <c r="S250" i="51" s="1"/>
  <c r="S264" i="51" a="1"/>
  <c r="S264" i="51" s="1"/>
  <c r="S255" i="51" a="1"/>
  <c r="S255" i="51" s="1"/>
  <c r="S260" i="51" a="1"/>
  <c r="S260" i="51" s="1"/>
  <c r="S275" i="51" a="1"/>
  <c r="S275" i="51" s="1"/>
  <c r="S304" i="51" a="1"/>
  <c r="S304" i="51" s="1"/>
  <c r="S303" i="51" a="1"/>
  <c r="S303" i="51" s="1"/>
  <c r="S290" i="51" a="1"/>
  <c r="S290" i="51" s="1"/>
  <c r="S292" i="51" a="1"/>
  <c r="S292" i="51" s="1"/>
  <c r="S280" i="51" a="1"/>
  <c r="S280" i="51" s="1"/>
  <c r="S249" i="51" a="1"/>
  <c r="S249" i="51" s="1"/>
  <c r="S284" i="51" a="1"/>
  <c r="S284" i="51" s="1"/>
  <c r="S269" i="51" a="1"/>
  <c r="S269" i="51" s="1"/>
  <c r="S263" i="51" a="1"/>
  <c r="S263" i="51" s="1"/>
  <c r="S287" i="51" a="1"/>
  <c r="S287" i="51" s="1"/>
  <c r="S266" i="51" a="1"/>
  <c r="S266" i="51" s="1"/>
  <c r="S296" i="51" a="1"/>
  <c r="S296" i="51" s="1"/>
  <c r="S286" i="51" a="1"/>
  <c r="S286" i="51" s="1"/>
  <c r="S295" i="51" a="1"/>
  <c r="S295" i="51" s="1"/>
  <c r="S257" i="51" a="1"/>
  <c r="S257" i="51" s="1"/>
  <c r="S278" i="51" a="1"/>
  <c r="S278" i="51" s="1"/>
  <c r="S273" i="51" a="1"/>
  <c r="S273" i="51" s="1"/>
  <c r="Y282" i="51" a="1"/>
  <c r="Y282" i="51" s="1"/>
  <c r="Y291" i="51" a="1"/>
  <c r="Y291" i="51" s="1"/>
  <c r="Y246" i="51" a="1"/>
  <c r="Y246" i="51" s="1"/>
  <c r="Y262" i="51" a="1"/>
  <c r="Y262" i="51" s="1"/>
  <c r="Y303" i="51" a="1"/>
  <c r="Y303" i="51" s="1"/>
  <c r="Y277" i="51" a="1"/>
  <c r="Y277" i="51" s="1"/>
  <c r="Y270" i="51" a="1"/>
  <c r="Y270" i="51" s="1"/>
  <c r="Y300" i="51" a="1"/>
  <c r="Y300" i="51" s="1"/>
  <c r="Y273" i="51" a="1"/>
  <c r="Y273" i="51" s="1"/>
  <c r="Y286" i="51" a="1"/>
  <c r="Y286" i="51" s="1"/>
  <c r="Y296" i="51" a="1"/>
  <c r="Y296" i="51" s="1"/>
  <c r="Y258" i="51" a="1"/>
  <c r="Y258" i="51" s="1"/>
  <c r="Y266" i="51" a="1"/>
  <c r="Y266" i="51" s="1"/>
  <c r="Y299" i="51" a="1"/>
  <c r="Y299" i="51" s="1"/>
  <c r="Y301" i="51" a="1"/>
  <c r="Y301" i="51" s="1"/>
  <c r="Y274" i="51" a="1"/>
  <c r="Y274" i="51" s="1"/>
  <c r="Y292" i="51" a="1"/>
  <c r="Y292" i="51" s="1"/>
  <c r="Y285" i="51" a="1"/>
  <c r="Y285" i="51" s="1"/>
  <c r="Y247" i="51" a="1"/>
  <c r="Y247" i="51" s="1"/>
  <c r="Y295" i="51" a="1"/>
  <c r="Y295" i="51" s="1"/>
  <c r="Y298" i="51" a="1"/>
  <c r="Y298" i="51" s="1"/>
  <c r="Y278" i="51" a="1"/>
  <c r="Y278" i="51" s="1"/>
  <c r="Y275" i="51" a="1"/>
  <c r="Y275" i="51" s="1"/>
  <c r="Y294" i="51" a="1"/>
  <c r="Y294" i="51" s="1"/>
  <c r="Y280" i="51" a="1"/>
  <c r="Y280" i="51" s="1"/>
  <c r="Y279" i="51" a="1"/>
  <c r="Y279" i="51" s="1"/>
  <c r="Y283" i="51" a="1"/>
  <c r="Y283" i="51" s="1"/>
  <c r="Y269" i="51" a="1"/>
  <c r="Y269" i="51" s="1"/>
  <c r="Y264" i="51" a="1"/>
  <c r="Y264" i="51" s="1"/>
  <c r="Y293" i="51" a="1"/>
  <c r="Y293" i="51" s="1"/>
  <c r="Y257" i="51" a="1"/>
  <c r="Y257" i="51" s="1"/>
  <c r="Y297" i="51" a="1"/>
  <c r="Y297" i="51" s="1"/>
  <c r="Y290" i="51" a="1"/>
  <c r="Y290" i="51" s="1"/>
  <c r="Y284" i="51" a="1"/>
  <c r="Y284" i="51" s="1"/>
  <c r="Y263" i="51" a="1"/>
  <c r="Y263" i="51" s="1"/>
  <c r="Y256" i="51" a="1"/>
  <c r="Y256" i="51" s="1"/>
  <c r="Y288" i="51" a="1"/>
  <c r="Y288" i="51" s="1"/>
  <c r="Y249" i="51" a="1"/>
  <c r="Y249" i="51" s="1"/>
  <c r="Y289" i="51" a="1"/>
  <c r="Y289" i="51" s="1"/>
  <c r="Y250" i="51" a="1"/>
  <c r="Y250" i="51" s="1"/>
  <c r="Y276" i="51" a="1"/>
  <c r="Y276" i="51" s="1"/>
  <c r="Y267" i="51" a="1"/>
  <c r="Y267" i="51" s="1"/>
  <c r="Y265" i="51" a="1"/>
  <c r="Y265" i="51" s="1"/>
  <c r="Y260" i="51" a="1"/>
  <c r="Y260" i="51" s="1"/>
  <c r="Y302" i="51" a="1"/>
  <c r="Y302" i="51" s="1"/>
  <c r="Y255" i="51" a="1"/>
  <c r="Y255" i="51" s="1"/>
  <c r="Y281" i="51" a="1"/>
  <c r="Y281" i="51" s="1"/>
  <c r="Y272" i="51" a="1"/>
  <c r="Y272" i="51" s="1"/>
  <c r="Y261" i="51" a="1"/>
  <c r="Y261" i="51" s="1"/>
  <c r="Y259" i="51" a="1"/>
  <c r="Y259" i="51" s="1"/>
  <c r="Y271" i="51" a="1"/>
  <c r="Y271" i="51" s="1"/>
  <c r="Y304" i="51" a="1"/>
  <c r="Y304" i="51" s="1"/>
  <c r="Y268" i="51" a="1"/>
  <c r="Y268" i="51" s="1"/>
  <c r="Y287" i="51" a="1"/>
  <c r="Y287" i="51" s="1"/>
  <c r="R297" i="51" a="1"/>
  <c r="R297" i="51" s="1"/>
  <c r="R246" i="51" a="1"/>
  <c r="R246" i="51" s="1"/>
  <c r="R257" i="51" a="1"/>
  <c r="R257" i="51" s="1"/>
  <c r="R275" i="51" a="1"/>
  <c r="R275" i="51" s="1"/>
  <c r="R295" i="51" a="1"/>
  <c r="R295" i="51" s="1"/>
  <c r="R255" i="51" a="1"/>
  <c r="R255" i="51" s="1"/>
  <c r="R284" i="51" a="1"/>
  <c r="R284" i="51" s="1"/>
  <c r="R262" i="51" a="1"/>
  <c r="R262" i="51" s="1"/>
  <c r="R259" i="51" a="1"/>
  <c r="R259" i="51" s="1"/>
  <c r="R249" i="51" a="1"/>
  <c r="R249" i="51" s="1"/>
  <c r="R288" i="51" a="1"/>
  <c r="R288" i="51" s="1"/>
  <c r="R282" i="51" a="1"/>
  <c r="R282" i="51" s="1"/>
  <c r="R302" i="51" a="1"/>
  <c r="R302" i="51" s="1"/>
  <c r="R266" i="51" a="1"/>
  <c r="R266" i="51" s="1"/>
  <c r="R300" i="51" a="1"/>
  <c r="R300" i="51" s="1"/>
  <c r="R279" i="51" a="1"/>
  <c r="R279" i="51" s="1"/>
  <c r="R264" i="51" a="1"/>
  <c r="R264" i="51" s="1"/>
  <c r="R260" i="51" a="1"/>
  <c r="R260" i="51" s="1"/>
  <c r="R289" i="51" a="1"/>
  <c r="R289" i="51" s="1"/>
  <c r="R277" i="51" a="1"/>
  <c r="R277" i="51" s="1"/>
  <c r="R276" i="51" a="1"/>
  <c r="R276" i="51" s="1"/>
  <c r="R304" i="51" a="1"/>
  <c r="R304" i="51" s="1"/>
  <c r="R298" i="51" a="1"/>
  <c r="R298" i="51" s="1"/>
  <c r="R268" i="51" a="1"/>
  <c r="R268" i="51" s="1"/>
  <c r="R294" i="51" a="1"/>
  <c r="R294" i="51" s="1"/>
  <c r="R267" i="51" a="1"/>
  <c r="R267" i="51" s="1"/>
  <c r="R256" i="51" a="1"/>
  <c r="R256" i="51" s="1"/>
  <c r="R283" i="51" a="1"/>
  <c r="R283" i="51" s="1"/>
  <c r="R274" i="51" a="1"/>
  <c r="R274" i="51" s="1"/>
  <c r="R269" i="51" a="1"/>
  <c r="R269" i="51" s="1"/>
  <c r="R293" i="51" a="1"/>
  <c r="R293" i="51" s="1"/>
  <c r="R258" i="51" a="1"/>
  <c r="R258" i="51" s="1"/>
  <c r="R291" i="51" a="1"/>
  <c r="R291" i="51" s="1"/>
  <c r="R278" i="51" a="1"/>
  <c r="R278" i="51" s="1"/>
  <c r="R299" i="51" a="1"/>
  <c r="R299" i="51" s="1"/>
  <c r="R273" i="51" a="1"/>
  <c r="R273" i="51" s="1"/>
  <c r="R265" i="51" a="1"/>
  <c r="R265" i="51" s="1"/>
  <c r="R286" i="51" a="1"/>
  <c r="R286" i="51" s="1"/>
  <c r="R247" i="51" a="1"/>
  <c r="R247" i="51" s="1"/>
  <c r="R285" i="51" a="1"/>
  <c r="R285" i="51" s="1"/>
  <c r="R303" i="51" a="1"/>
  <c r="R303" i="51" s="1"/>
  <c r="R280" i="51" a="1"/>
  <c r="R280" i="51" s="1"/>
  <c r="R270" i="51" a="1"/>
  <c r="R270" i="51" s="1"/>
  <c r="R292" i="51" a="1"/>
  <c r="R292" i="51" s="1"/>
  <c r="R287" i="51" a="1"/>
  <c r="R287" i="51" s="1"/>
  <c r="R281" i="51" a="1"/>
  <c r="R281" i="51" s="1"/>
  <c r="R290" i="51" a="1"/>
  <c r="R290" i="51" s="1"/>
  <c r="R261" i="51" a="1"/>
  <c r="R261" i="51" s="1"/>
  <c r="R296" i="51" a="1"/>
  <c r="R296" i="51" s="1"/>
  <c r="R250" i="51" a="1"/>
  <c r="R250" i="51" s="1"/>
  <c r="R272" i="51" a="1"/>
  <c r="R272" i="51" s="1"/>
  <c r="R263" i="51" a="1"/>
  <c r="R263" i="51" s="1"/>
  <c r="R301" i="51" a="1"/>
  <c r="R301" i="51" s="1"/>
  <c r="R271" i="51" a="1"/>
  <c r="R271" i="51" s="1"/>
  <c r="Z271" i="51" a="1"/>
  <c r="Z271" i="51" s="1"/>
  <c r="Z281" i="51" a="1"/>
  <c r="Z281" i="51" s="1"/>
  <c r="Z256" i="51" a="1"/>
  <c r="Z256" i="51" s="1"/>
  <c r="Z262" i="51" a="1"/>
  <c r="Z262" i="51" s="1"/>
  <c r="Z284" i="51" a="1"/>
  <c r="Z284" i="51" s="1"/>
  <c r="Z255" i="51" a="1"/>
  <c r="Z255" i="51" s="1"/>
  <c r="Z293" i="51" a="1"/>
  <c r="Z293" i="51" s="1"/>
  <c r="Z247" i="51" a="1"/>
  <c r="Z247" i="51" s="1"/>
  <c r="Z265" i="51" a="1"/>
  <c r="Z265" i="51" s="1"/>
  <c r="Z275" i="51" a="1"/>
  <c r="Z275" i="51" s="1"/>
  <c r="Z290" i="51" a="1"/>
  <c r="Z290" i="51" s="1"/>
  <c r="Z268" i="51" a="1"/>
  <c r="Z268" i="51" s="1"/>
  <c r="Z300" i="51" a="1"/>
  <c r="Z300" i="51" s="1"/>
  <c r="Z273" i="51" a="1"/>
  <c r="Z273" i="51" s="1"/>
  <c r="Z287" i="51" a="1"/>
  <c r="Z287" i="51" s="1"/>
  <c r="Z277" i="51" a="1"/>
  <c r="Z277" i="51" s="1"/>
  <c r="Z276" i="51" a="1"/>
  <c r="Z276" i="51" s="1"/>
  <c r="Z249" i="51" a="1"/>
  <c r="Z249" i="51" s="1"/>
  <c r="Z269" i="51" a="1"/>
  <c r="Z269" i="51" s="1"/>
  <c r="Z298" i="51" a="1"/>
  <c r="Z298" i="51" s="1"/>
  <c r="Z302" i="51" a="1"/>
  <c r="Z302" i="51" s="1"/>
  <c r="Z282" i="51" a="1"/>
  <c r="Z282" i="51" s="1"/>
  <c r="Z296" i="51" a="1"/>
  <c r="Z296" i="51" s="1"/>
  <c r="Z270" i="51" a="1"/>
  <c r="Z270" i="51" s="1"/>
  <c r="Z288" i="51" a="1"/>
  <c r="Z288" i="51" s="1"/>
  <c r="Z299" i="51" a="1"/>
  <c r="Z299" i="51" s="1"/>
  <c r="Z278" i="51" a="1"/>
  <c r="Z278" i="51" s="1"/>
  <c r="Z291" i="51" a="1"/>
  <c r="Z291" i="51" s="1"/>
  <c r="Z285" i="51" a="1"/>
  <c r="Z285" i="51" s="1"/>
  <c r="Z261" i="51" a="1"/>
  <c r="Z261" i="51" s="1"/>
  <c r="Z257" i="51" a="1"/>
  <c r="Z257" i="51" s="1"/>
  <c r="Z283" i="51" a="1"/>
  <c r="Z283" i="51" s="1"/>
  <c r="Z263" i="51" a="1"/>
  <c r="Z263" i="51" s="1"/>
  <c r="Z303" i="51" a="1"/>
  <c r="Z303" i="51" s="1"/>
  <c r="Z292" i="51" a="1"/>
  <c r="Z292" i="51" s="1"/>
  <c r="Z301" i="51" a="1"/>
  <c r="Z301" i="51" s="1"/>
  <c r="Z259" i="51" a="1"/>
  <c r="Z259" i="51" s="1"/>
  <c r="Z258" i="51" a="1"/>
  <c r="Z258" i="51" s="1"/>
  <c r="Z297" i="51" a="1"/>
  <c r="Z297" i="51" s="1"/>
  <c r="Z280" i="51" a="1"/>
  <c r="Z280" i="51" s="1"/>
  <c r="Z260" i="51" a="1"/>
  <c r="Z260" i="51" s="1"/>
  <c r="Z274" i="51" a="1"/>
  <c r="Z274" i="51" s="1"/>
  <c r="Z295" i="51" a="1"/>
  <c r="Z295" i="51" s="1"/>
  <c r="Z266" i="51" a="1"/>
  <c r="Z266" i="51" s="1"/>
  <c r="Z272" i="51" a="1"/>
  <c r="Z272" i="51" s="1"/>
  <c r="Z286" i="51" a="1"/>
  <c r="Z286" i="51" s="1"/>
  <c r="Z267" i="51" a="1"/>
  <c r="Z267" i="51" s="1"/>
  <c r="Z279" i="51" a="1"/>
  <c r="Z279" i="51" s="1"/>
  <c r="Z294" i="51" a="1"/>
  <c r="Z294" i="51" s="1"/>
  <c r="Z250" i="51" a="1"/>
  <c r="Z250" i="51" s="1"/>
  <c r="Z246" i="51" a="1"/>
  <c r="Z246" i="51" s="1"/>
  <c r="Z264" i="51" a="1"/>
  <c r="Z264" i="51" s="1"/>
  <c r="Z289" i="51" a="1"/>
  <c r="Z289" i="51" s="1"/>
  <c r="Z304" i="51" a="1"/>
  <c r="Z304" i="51" s="1"/>
  <c r="U270" i="51" a="1"/>
  <c r="U270" i="51" s="1"/>
  <c r="U249" i="51" a="1"/>
  <c r="U249" i="51" s="1"/>
  <c r="U273" i="51" a="1"/>
  <c r="U273" i="51" s="1"/>
  <c r="U288" i="51" a="1"/>
  <c r="U288" i="51" s="1"/>
  <c r="U282" i="51" a="1"/>
  <c r="U282" i="51" s="1"/>
  <c r="U293" i="51" a="1"/>
  <c r="U293" i="51" s="1"/>
  <c r="U277" i="51" a="1"/>
  <c r="U277" i="51" s="1"/>
  <c r="U300" i="51" a="1"/>
  <c r="U300" i="51" s="1"/>
  <c r="U266" i="51" a="1"/>
  <c r="U266" i="51" s="1"/>
  <c r="U302" i="51" a="1"/>
  <c r="U302" i="51" s="1"/>
  <c r="U268" i="51" a="1"/>
  <c r="U268" i="51" s="1"/>
  <c r="U267" i="51" a="1"/>
  <c r="U267" i="51" s="1"/>
  <c r="U295" i="51" a="1"/>
  <c r="U295" i="51" s="1"/>
  <c r="U301" i="51" a="1"/>
  <c r="U301" i="51" s="1"/>
  <c r="U274" i="51" a="1"/>
  <c r="U274" i="51" s="1"/>
  <c r="U263" i="51" a="1"/>
  <c r="U263" i="51" s="1"/>
  <c r="U257" i="51" a="1"/>
  <c r="U257" i="51" s="1"/>
  <c r="U297" i="51" a="1"/>
  <c r="U297" i="51" s="1"/>
  <c r="U281" i="51" a="1"/>
  <c r="U281" i="51" s="1"/>
  <c r="U247" i="51" a="1"/>
  <c r="U247" i="51" s="1"/>
  <c r="U292" i="51" a="1"/>
  <c r="U292" i="51" s="1"/>
  <c r="U262" i="51" a="1"/>
  <c r="U262" i="51" s="1"/>
  <c r="U289" i="51" a="1"/>
  <c r="U289" i="51" s="1"/>
  <c r="U285" i="51" a="1"/>
  <c r="U285" i="51" s="1"/>
  <c r="U272" i="51" a="1"/>
  <c r="U272" i="51" s="1"/>
  <c r="U284" i="51" a="1"/>
  <c r="U284" i="51" s="1"/>
  <c r="U291" i="51" a="1"/>
  <c r="U291" i="51" s="1"/>
  <c r="U265" i="51" a="1"/>
  <c r="U265" i="51" s="1"/>
  <c r="U258" i="51" a="1"/>
  <c r="U258" i="51" s="1"/>
  <c r="U256" i="51" a="1"/>
  <c r="U256" i="51" s="1"/>
  <c r="U298" i="51" a="1"/>
  <c r="U298" i="51" s="1"/>
  <c r="U259" i="51" a="1"/>
  <c r="U259" i="51" s="1"/>
  <c r="U283" i="51" a="1"/>
  <c r="U283" i="51" s="1"/>
  <c r="U275" i="51" a="1"/>
  <c r="U275" i="51" s="1"/>
  <c r="U271" i="51" a="1"/>
  <c r="U271" i="51" s="1"/>
  <c r="U304" i="51" a="1"/>
  <c r="U304" i="51" s="1"/>
  <c r="U287" i="51" a="1"/>
  <c r="U287" i="51" s="1"/>
  <c r="U296" i="51" a="1"/>
  <c r="U296" i="51" s="1"/>
  <c r="U255" i="51" a="1"/>
  <c r="U255" i="51" s="1"/>
  <c r="U276" i="51" a="1"/>
  <c r="U276" i="51" s="1"/>
  <c r="U261" i="51" a="1"/>
  <c r="U261" i="51" s="1"/>
  <c r="U250" i="51" a="1"/>
  <c r="U250" i="51" s="1"/>
  <c r="U286" i="51" a="1"/>
  <c r="U286" i="51" s="1"/>
  <c r="U264" i="51" a="1"/>
  <c r="U264" i="51" s="1"/>
  <c r="U246" i="51" a="1"/>
  <c r="U246" i="51" s="1"/>
  <c r="U290" i="51" a="1"/>
  <c r="U290" i="51" s="1"/>
  <c r="U269" i="51" a="1"/>
  <c r="U269" i="51" s="1"/>
  <c r="U260" i="51" a="1"/>
  <c r="U260" i="51" s="1"/>
  <c r="U280" i="51" a="1"/>
  <c r="U280" i="51" s="1"/>
  <c r="U279" i="51" a="1"/>
  <c r="U279" i="51" s="1"/>
  <c r="U299" i="51" a="1"/>
  <c r="U299" i="51" s="1"/>
  <c r="U278" i="51" a="1"/>
  <c r="U278" i="51" s="1"/>
  <c r="U303" i="51" a="1"/>
  <c r="U303" i="51" s="1"/>
  <c r="U294" i="51" a="1"/>
  <c r="U294" i="51" s="1"/>
  <c r="O247" i="51" a="1"/>
  <c r="O247" i="51" s="1"/>
  <c r="O260" i="51" a="1"/>
  <c r="O260" i="51" s="1"/>
  <c r="O271" i="51" a="1"/>
  <c r="O271" i="51" s="1"/>
  <c r="O304" i="51" a="1"/>
  <c r="O304" i="51" s="1"/>
  <c r="O298" i="51" a="1"/>
  <c r="O298" i="51" s="1"/>
  <c r="O258" i="51" a="1"/>
  <c r="O258" i="51" s="1"/>
  <c r="O302" i="51" a="1"/>
  <c r="O302" i="51" s="1"/>
  <c r="O270" i="51" a="1"/>
  <c r="O270" i="51" s="1"/>
  <c r="O265" i="51" a="1"/>
  <c r="O265" i="51" s="1"/>
  <c r="O301" i="51" a="1"/>
  <c r="O301" i="51" s="1"/>
  <c r="O295" i="51" a="1"/>
  <c r="O295" i="51" s="1"/>
  <c r="O272" i="51" a="1"/>
  <c r="O272" i="51" s="1"/>
  <c r="O293" i="51" a="1"/>
  <c r="O293" i="51" s="1"/>
  <c r="O259" i="51" a="1"/>
  <c r="O259" i="51" s="1"/>
  <c r="O282" i="51" a="1"/>
  <c r="O282" i="51" s="1"/>
  <c r="O281" i="51" a="1"/>
  <c r="O281" i="51" s="1"/>
  <c r="O276" i="51" a="1"/>
  <c r="O276" i="51" s="1"/>
  <c r="O279" i="51" a="1"/>
  <c r="O279" i="51" s="1"/>
  <c r="O250" i="51" a="1"/>
  <c r="O250" i="51" s="1"/>
  <c r="O261" i="51" a="1"/>
  <c r="O261" i="51" s="1"/>
  <c r="O274" i="51" a="1"/>
  <c r="O274" i="51" s="1"/>
  <c r="O277" i="51" a="1"/>
  <c r="O277" i="51" s="1"/>
  <c r="O256" i="51" a="1"/>
  <c r="O256" i="51" s="1"/>
  <c r="O284" i="51" a="1"/>
  <c r="O284" i="51" s="1"/>
  <c r="O269" i="51" a="1"/>
  <c r="O269" i="51" s="1"/>
  <c r="O287" i="51" a="1"/>
  <c r="O287" i="51" s="1"/>
  <c r="O278" i="51" a="1"/>
  <c r="O278" i="51" s="1"/>
  <c r="O285" i="51" a="1"/>
  <c r="O285" i="51" s="1"/>
  <c r="O300" i="51" a="1"/>
  <c r="O300" i="51" s="1"/>
  <c r="O288" i="51" a="1"/>
  <c r="O288" i="51" s="1"/>
  <c r="O266" i="51" a="1"/>
  <c r="O266" i="51" s="1"/>
  <c r="O263" i="51" a="1"/>
  <c r="O263" i="51" s="1"/>
  <c r="O296" i="51" a="1"/>
  <c r="O296" i="51" s="1"/>
  <c r="O289" i="51" a="1"/>
  <c r="O289" i="51" s="1"/>
  <c r="O290" i="51" a="1"/>
  <c r="O290" i="51" s="1"/>
  <c r="O297" i="51" a="1"/>
  <c r="O297" i="51" s="1"/>
  <c r="O294" i="51" a="1"/>
  <c r="O294" i="51" s="1"/>
  <c r="O303" i="51" a="1"/>
  <c r="O303" i="51" s="1"/>
  <c r="O255" i="51" a="1"/>
  <c r="O255" i="51" s="1"/>
  <c r="O299" i="51" a="1"/>
  <c r="O299" i="51" s="1"/>
  <c r="O280" i="51" a="1"/>
  <c r="O280" i="51" s="1"/>
  <c r="O286" i="51" a="1"/>
  <c r="O286" i="51" s="1"/>
  <c r="O257" i="51" a="1"/>
  <c r="O257" i="51" s="1"/>
  <c r="O283" i="51" a="1"/>
  <c r="O283" i="51" s="1"/>
  <c r="O268" i="51" a="1"/>
  <c r="O268" i="51" s="1"/>
  <c r="O275" i="51" a="1"/>
  <c r="O275" i="51" s="1"/>
  <c r="O267" i="51" a="1"/>
  <c r="O267" i="51" s="1"/>
  <c r="O262" i="51" a="1"/>
  <c r="O262" i="51" s="1"/>
  <c r="O291" i="51" a="1"/>
  <c r="O291" i="51" s="1"/>
  <c r="O249" i="51" a="1"/>
  <c r="O249" i="51" s="1"/>
  <c r="O246" i="51" a="1"/>
  <c r="O246" i="51" s="1"/>
  <c r="O292" i="51" a="1"/>
  <c r="O292" i="51" s="1"/>
  <c r="O264" i="51" a="1"/>
  <c r="O264" i="51" s="1"/>
  <c r="O273" i="51" a="1"/>
  <c r="O273" i="51" s="1"/>
  <c r="O321" i="51" a="1"/>
  <c r="O321" i="51" s="1"/>
  <c r="AF238" i="51" s="1"/>
  <c r="T237" i="51" a="1"/>
  <c r="T237" i="51" s="1"/>
  <c r="T200" i="51" a="1"/>
  <c r="T200" i="51" s="1"/>
  <c r="T234" i="51" a="1"/>
  <c r="T234" i="51" s="1"/>
  <c r="T232" i="51" a="1"/>
  <c r="T232" i="51" s="1"/>
  <c r="T216" i="51" a="1"/>
  <c r="T216" i="51" s="1"/>
  <c r="T199" i="51" a="1"/>
  <c r="T199" i="51" s="1"/>
  <c r="T194" i="51" a="1"/>
  <c r="T194" i="51" s="1"/>
  <c r="T197" i="51" a="1"/>
  <c r="T197" i="51" s="1"/>
  <c r="T243" i="51" a="1"/>
  <c r="T243" i="51" s="1"/>
  <c r="T220" i="51" a="1"/>
  <c r="T220" i="51" s="1"/>
  <c r="T222" i="51" a="1"/>
  <c r="T222" i="51" s="1"/>
  <c r="T225" i="51" a="1"/>
  <c r="T225" i="51" s="1"/>
  <c r="T205" i="51" a="1"/>
  <c r="T205" i="51" s="1"/>
  <c r="T215" i="51" a="1"/>
  <c r="T215" i="51" s="1"/>
  <c r="T201" i="51" a="1"/>
  <c r="T201" i="51" s="1"/>
  <c r="T241" i="51" a="1"/>
  <c r="T241" i="51" s="1"/>
  <c r="T233" i="51" a="1"/>
  <c r="T233" i="51" s="1"/>
  <c r="T214" i="51" a="1"/>
  <c r="T214" i="51" s="1"/>
  <c r="T186" i="51" a="1"/>
  <c r="T186" i="51" s="1"/>
  <c r="T231" i="51" a="1"/>
  <c r="T231" i="51" s="1"/>
  <c r="T206" i="51" a="1"/>
  <c r="T206" i="51" s="1"/>
  <c r="T198" i="51" a="1"/>
  <c r="T198" i="51" s="1"/>
  <c r="T223" i="51" a="1"/>
  <c r="T223" i="51" s="1"/>
  <c r="T204" i="51" a="1"/>
  <c r="T204" i="51" s="1"/>
  <c r="T226" i="51" a="1"/>
  <c r="T226" i="51" s="1"/>
  <c r="T195" i="51" a="1"/>
  <c r="T195" i="51" s="1"/>
  <c r="T238" i="51" a="1"/>
  <c r="T238" i="51" s="1"/>
  <c r="T219" i="51" a="1"/>
  <c r="T219" i="51" s="1"/>
  <c r="T196" i="51" a="1"/>
  <c r="T196" i="51" s="1"/>
  <c r="T213" i="51" a="1"/>
  <c r="T213" i="51" s="1"/>
  <c r="T211" i="51" a="1"/>
  <c r="T211" i="51" s="1"/>
  <c r="T202" i="51" a="1"/>
  <c r="T202" i="51" s="1"/>
  <c r="T203" i="51" a="1"/>
  <c r="T203" i="51" s="1"/>
  <c r="T221" i="51" a="1"/>
  <c r="T221" i="51" s="1"/>
  <c r="T217" i="51" a="1"/>
  <c r="T217" i="51" s="1"/>
  <c r="T207" i="51" a="1"/>
  <c r="T207" i="51" s="1"/>
  <c r="T236" i="51" a="1"/>
  <c r="T236" i="51" s="1"/>
  <c r="T188" i="51" a="1"/>
  <c r="T188" i="51" s="1"/>
  <c r="T189" i="51" a="1"/>
  <c r="T189" i="51" s="1"/>
  <c r="T228" i="51" a="1"/>
  <c r="T228" i="51" s="1"/>
  <c r="T185" i="51" a="1"/>
  <c r="T185" i="51" s="1"/>
  <c r="T239" i="51" a="1"/>
  <c r="T239" i="51" s="1"/>
  <c r="T224" i="51" a="1"/>
  <c r="T224" i="51" s="1"/>
  <c r="T208" i="51" a="1"/>
  <c r="T208" i="51" s="1"/>
  <c r="T212" i="51" a="1"/>
  <c r="T212" i="51" s="1"/>
  <c r="T235" i="51" a="1"/>
  <c r="T235" i="51" s="1"/>
  <c r="T242" i="51" a="1"/>
  <c r="T242" i="51" s="1"/>
  <c r="T227" i="51" a="1"/>
  <c r="T227" i="51" s="1"/>
  <c r="T209" i="51" a="1"/>
  <c r="T209" i="51" s="1"/>
  <c r="T210" i="51" a="1"/>
  <c r="T210" i="51" s="1"/>
  <c r="T230" i="51" a="1"/>
  <c r="T230" i="51" s="1"/>
  <c r="T218" i="51" a="1"/>
  <c r="T218" i="51" s="1"/>
  <c r="T240" i="51" a="1"/>
  <c r="T240" i="51" s="1"/>
  <c r="T229" i="51" a="1"/>
  <c r="T229" i="51" s="1"/>
  <c r="Q234" i="51" a="1"/>
  <c r="Q234" i="51" s="1"/>
  <c r="Q198" i="51" a="1"/>
  <c r="Q198" i="51" s="1"/>
  <c r="Q214" i="51" a="1"/>
  <c r="Q214" i="51" s="1"/>
  <c r="Q220" i="51" a="1"/>
  <c r="Q220" i="51" s="1"/>
  <c r="Q218" i="51" a="1"/>
  <c r="Q218" i="51" s="1"/>
  <c r="Q199" i="51" a="1"/>
  <c r="Q199" i="51" s="1"/>
  <c r="Q235" i="51" a="1"/>
  <c r="Q235" i="51" s="1"/>
  <c r="Q204" i="51" a="1"/>
  <c r="Q204" i="51" s="1"/>
  <c r="Q243" i="51" a="1"/>
  <c r="Q243" i="51" s="1"/>
  <c r="Q233" i="51" a="1"/>
  <c r="Q233" i="51" s="1"/>
  <c r="Q239" i="51" a="1"/>
  <c r="Q239" i="51" s="1"/>
  <c r="Q226" i="51" a="1"/>
  <c r="Q226" i="51" s="1"/>
  <c r="Q205" i="51" a="1"/>
  <c r="Q205" i="51" s="1"/>
  <c r="Q223" i="51" a="1"/>
  <c r="Q223" i="51" s="1"/>
  <c r="Q197" i="51" a="1"/>
  <c r="Q197" i="51" s="1"/>
  <c r="Q227" i="51" a="1"/>
  <c r="Q227" i="51" s="1"/>
  <c r="Q229" i="51" a="1"/>
  <c r="Q229" i="51" s="1"/>
  <c r="Q208" i="51" a="1"/>
  <c r="Q208" i="51" s="1"/>
  <c r="Q210" i="51" a="1"/>
  <c r="Q210" i="51" s="1"/>
  <c r="Q232" i="51" a="1"/>
  <c r="Q232" i="51" s="1"/>
  <c r="Q230" i="51" a="1"/>
  <c r="Q230" i="51" s="1"/>
  <c r="Q209" i="51" a="1"/>
  <c r="Q209" i="51" s="1"/>
  <c r="Q224" i="51" a="1"/>
  <c r="Q224" i="51" s="1"/>
  <c r="Q194" i="51" a="1"/>
  <c r="Q194" i="51" s="1"/>
  <c r="Q236" i="51" a="1"/>
  <c r="Q236" i="51" s="1"/>
  <c r="Q207" i="51" a="1"/>
  <c r="Q207" i="51" s="1"/>
  <c r="Q216" i="51" a="1"/>
  <c r="Q216" i="51" s="1"/>
  <c r="Q242" i="51" a="1"/>
  <c r="Q242" i="51" s="1"/>
  <c r="Q185" i="51" a="1"/>
  <c r="Q185" i="51" s="1"/>
  <c r="Q225" i="51" a="1"/>
  <c r="Q225" i="51" s="1"/>
  <c r="Q195" i="51" a="1"/>
  <c r="Q195" i="51" s="1"/>
  <c r="Q211" i="51" a="1"/>
  <c r="Q211" i="51" s="1"/>
  <c r="Q203" i="51" a="1"/>
  <c r="Q203" i="51" s="1"/>
  <c r="Q196" i="51" a="1"/>
  <c r="Q196" i="51" s="1"/>
  <c r="Q201" i="51" a="1"/>
  <c r="Q201" i="51" s="1"/>
  <c r="Q189" i="51" a="1"/>
  <c r="Q189" i="51" s="1"/>
  <c r="Q240" i="51" a="1"/>
  <c r="Q240" i="51" s="1"/>
  <c r="Q213" i="51" a="1"/>
  <c r="Q213" i="51" s="1"/>
  <c r="Q221" i="51" a="1"/>
  <c r="Q221" i="51" s="1"/>
  <c r="Q217" i="51" a="1"/>
  <c r="Q217" i="51" s="1"/>
  <c r="Q219" i="51" a="1"/>
  <c r="Q219" i="51" s="1"/>
  <c r="Q228" i="51" a="1"/>
  <c r="Q228" i="51" s="1"/>
  <c r="Q215" i="51" a="1"/>
  <c r="Q215" i="51" s="1"/>
  <c r="Q238" i="51" a="1"/>
  <c r="Q238" i="51" s="1"/>
  <c r="Q231" i="51" a="1"/>
  <c r="Q231" i="51" s="1"/>
  <c r="Q206" i="51" a="1"/>
  <c r="Q206" i="51" s="1"/>
  <c r="Q212" i="51" a="1"/>
  <c r="Q212" i="51" s="1"/>
  <c r="Q202" i="51" a="1"/>
  <c r="Q202" i="51" s="1"/>
  <c r="Q188" i="51" a="1"/>
  <c r="Q188" i="51" s="1"/>
  <c r="Q241" i="51" a="1"/>
  <c r="Q241" i="51" s="1"/>
  <c r="Q200" i="51" a="1"/>
  <c r="Q200" i="51" s="1"/>
  <c r="Q237" i="51" a="1"/>
  <c r="Q237" i="51" s="1"/>
  <c r="Q222" i="51" a="1"/>
  <c r="Q222" i="51" s="1"/>
  <c r="Q186" i="51" a="1"/>
  <c r="Q186" i="51" s="1"/>
  <c r="S232" i="51" a="1"/>
  <c r="S232" i="51" s="1"/>
  <c r="S185" i="51" a="1"/>
  <c r="S185" i="51" s="1"/>
  <c r="S220" i="51" a="1"/>
  <c r="S220" i="51" s="1"/>
  <c r="S241" i="51" a="1"/>
  <c r="S241" i="51" s="1"/>
  <c r="S235" i="51" a="1"/>
  <c r="S235" i="51" s="1"/>
  <c r="S218" i="51" a="1"/>
  <c r="S218" i="51" s="1"/>
  <c r="S228" i="51" a="1"/>
  <c r="S228" i="51" s="1"/>
  <c r="S233" i="51" a="1"/>
  <c r="S233" i="51" s="1"/>
  <c r="S222" i="51" a="1"/>
  <c r="S222" i="51" s="1"/>
  <c r="S238" i="51" a="1"/>
  <c r="S238" i="51" s="1"/>
  <c r="S221" i="51" a="1"/>
  <c r="S221" i="51" s="1"/>
  <c r="S196" i="51" a="1"/>
  <c r="S196" i="51" s="1"/>
  <c r="S237" i="51" a="1"/>
  <c r="S237" i="51" s="1"/>
  <c r="S234" i="51" a="1"/>
  <c r="S234" i="51" s="1"/>
  <c r="S231" i="51" a="1"/>
  <c r="S231" i="51" s="1"/>
  <c r="S208" i="51" a="1"/>
  <c r="S208" i="51" s="1"/>
  <c r="S211" i="51" a="1"/>
  <c r="S211" i="51" s="1"/>
  <c r="S197" i="51" a="1"/>
  <c r="S197" i="51" s="1"/>
  <c r="S207" i="51" a="1"/>
  <c r="S207" i="51" s="1"/>
  <c r="S199" i="51" a="1"/>
  <c r="S199" i="51" s="1"/>
  <c r="S212" i="51" a="1"/>
  <c r="S212" i="51" s="1"/>
  <c r="S198" i="51" a="1"/>
  <c r="S198" i="51" s="1"/>
  <c r="S203" i="51" a="1"/>
  <c r="S203" i="51" s="1"/>
  <c r="S224" i="51" a="1"/>
  <c r="S224" i="51" s="1"/>
  <c r="S227" i="51" a="1"/>
  <c r="S227" i="51" s="1"/>
  <c r="S229" i="51" a="1"/>
  <c r="S229" i="51" s="1"/>
  <c r="S213" i="51" a="1"/>
  <c r="S213" i="51" s="1"/>
  <c r="S186" i="51" a="1"/>
  <c r="S186" i="51" s="1"/>
  <c r="S225" i="51" a="1"/>
  <c r="S225" i="51" s="1"/>
  <c r="S215" i="51" a="1"/>
  <c r="S215" i="51" s="1"/>
  <c r="S205" i="51" a="1"/>
  <c r="S205" i="51" s="1"/>
  <c r="S210" i="51" a="1"/>
  <c r="S210" i="51" s="1"/>
  <c r="S206" i="51" a="1"/>
  <c r="S206" i="51" s="1"/>
  <c r="S194" i="51" a="1"/>
  <c r="S194" i="51" s="1"/>
  <c r="S236" i="51" a="1"/>
  <c r="S236" i="51" s="1"/>
  <c r="S217" i="51" a="1"/>
  <c r="S217" i="51" s="1"/>
  <c r="S240" i="51" a="1"/>
  <c r="S240" i="51" s="1"/>
  <c r="S219" i="51" a="1"/>
  <c r="S219" i="51" s="1"/>
  <c r="S242" i="51" a="1"/>
  <c r="S242" i="51" s="1"/>
  <c r="S209" i="51" a="1"/>
  <c r="S209" i="51" s="1"/>
  <c r="S204" i="51" a="1"/>
  <c r="S204" i="51" s="1"/>
  <c r="S189" i="51" a="1"/>
  <c r="S189" i="51" s="1"/>
  <c r="S202" i="51" a="1"/>
  <c r="S202" i="51" s="1"/>
  <c r="S230" i="51" a="1"/>
  <c r="S230" i="51" s="1"/>
  <c r="S226" i="51" a="1"/>
  <c r="S226" i="51" s="1"/>
  <c r="S239" i="51" a="1"/>
  <c r="S239" i="51" s="1"/>
  <c r="S188" i="51" a="1"/>
  <c r="S188" i="51" s="1"/>
  <c r="S214" i="51" a="1"/>
  <c r="S214" i="51" s="1"/>
  <c r="S201" i="51" a="1"/>
  <c r="S201" i="51" s="1"/>
  <c r="S216" i="51" a="1"/>
  <c r="S216" i="51" s="1"/>
  <c r="S223" i="51" a="1"/>
  <c r="S223" i="51" s="1"/>
  <c r="S195" i="51" a="1"/>
  <c r="S195" i="51" s="1"/>
  <c r="S243" i="51" a="1"/>
  <c r="S243" i="51" s="1"/>
  <c r="S200" i="51" a="1"/>
  <c r="S200" i="51" s="1"/>
  <c r="Y197" i="51" a="1"/>
  <c r="Y197" i="51" s="1"/>
  <c r="Y232" i="51" a="1"/>
  <c r="Y232" i="51" s="1"/>
  <c r="Y186" i="51" a="1"/>
  <c r="Y186" i="51" s="1"/>
  <c r="Y212" i="51" a="1"/>
  <c r="Y212" i="51" s="1"/>
  <c r="Y220" i="51" a="1"/>
  <c r="Y220" i="51" s="1"/>
  <c r="Y204" i="51" a="1"/>
  <c r="Y204" i="51" s="1"/>
  <c r="Y221" i="51" a="1"/>
  <c r="Y221" i="51" s="1"/>
  <c r="Y238" i="51" a="1"/>
  <c r="Y238" i="51" s="1"/>
  <c r="Y216" i="51" a="1"/>
  <c r="Y216" i="51" s="1"/>
  <c r="Y203" i="51" a="1"/>
  <c r="Y203" i="51" s="1"/>
  <c r="Y213" i="51" a="1"/>
  <c r="Y213" i="51" s="1"/>
  <c r="Y230" i="51" a="1"/>
  <c r="Y230" i="51" s="1"/>
  <c r="Y233" i="51" a="1"/>
  <c r="Y233" i="51" s="1"/>
  <c r="Y189" i="51" a="1"/>
  <c r="Y189" i="51" s="1"/>
  <c r="Y226" i="51" a="1"/>
  <c r="Y226" i="51" s="1"/>
  <c r="Y188" i="51" a="1"/>
  <c r="Y188" i="51" s="1"/>
  <c r="Y235" i="51" a="1"/>
  <c r="Y235" i="51" s="1"/>
  <c r="Y215" i="51" a="1"/>
  <c r="Y215" i="51" s="1"/>
  <c r="Y242" i="51" a="1"/>
  <c r="Y242" i="51" s="1"/>
  <c r="Y211" i="51" a="1"/>
  <c r="Y211" i="51" s="1"/>
  <c r="Y200" i="51" a="1"/>
  <c r="Y200" i="51" s="1"/>
  <c r="Y229" i="51" a="1"/>
  <c r="Y229" i="51" s="1"/>
  <c r="Y202" i="51" a="1"/>
  <c r="Y202" i="51" s="1"/>
  <c r="Y199" i="51" a="1"/>
  <c r="Y199" i="51" s="1"/>
  <c r="Y231" i="51" a="1"/>
  <c r="Y231" i="51" s="1"/>
  <c r="Y196" i="51" a="1"/>
  <c r="Y196" i="51" s="1"/>
  <c r="Y185" i="51" a="1"/>
  <c r="Y185" i="51" s="1"/>
  <c r="Y206" i="51" a="1"/>
  <c r="Y206" i="51" s="1"/>
  <c r="Y243" i="51" a="1"/>
  <c r="Y243" i="51" s="1"/>
  <c r="Y207" i="51" a="1"/>
  <c r="Y207" i="51" s="1"/>
  <c r="Y227" i="51" a="1"/>
  <c r="Y227" i="51" s="1"/>
  <c r="Y209" i="51" a="1"/>
  <c r="Y209" i="51" s="1"/>
  <c r="Y194" i="51" a="1"/>
  <c r="Y194" i="51" s="1"/>
  <c r="Y214" i="51" a="1"/>
  <c r="Y214" i="51" s="1"/>
  <c r="Y208" i="51" a="1"/>
  <c r="Y208" i="51" s="1"/>
  <c r="Y224" i="51" a="1"/>
  <c r="Y224" i="51" s="1"/>
  <c r="Y228" i="51" a="1"/>
  <c r="Y228" i="51" s="1"/>
  <c r="Y198" i="51" a="1"/>
  <c r="Y198" i="51" s="1"/>
  <c r="Y225" i="51" a="1"/>
  <c r="Y225" i="51" s="1"/>
  <c r="Y218" i="51" a="1"/>
  <c r="Y218" i="51" s="1"/>
  <c r="Y223" i="51" a="1"/>
  <c r="Y223" i="51" s="1"/>
  <c r="Y234" i="51" a="1"/>
  <c r="Y234" i="51" s="1"/>
  <c r="Y236" i="51" a="1"/>
  <c r="Y236" i="51" s="1"/>
  <c r="Y210" i="51" a="1"/>
  <c r="Y210" i="51" s="1"/>
  <c r="Y240" i="51" a="1"/>
  <c r="Y240" i="51" s="1"/>
  <c r="Y217" i="51" a="1"/>
  <c r="Y217" i="51" s="1"/>
  <c r="Y237" i="51" a="1"/>
  <c r="Y237" i="51" s="1"/>
  <c r="Y241" i="51" a="1"/>
  <c r="Y241" i="51" s="1"/>
  <c r="Y222" i="51" a="1"/>
  <c r="Y222" i="51" s="1"/>
  <c r="Y219" i="51" a="1"/>
  <c r="Y219" i="51" s="1"/>
  <c r="Y201" i="51" a="1"/>
  <c r="Y201" i="51" s="1"/>
  <c r="Y205" i="51" a="1"/>
  <c r="Y205" i="51" s="1"/>
  <c r="Y195" i="51" a="1"/>
  <c r="Y195" i="51" s="1"/>
  <c r="Y239" i="51" a="1"/>
  <c r="Y239" i="51" s="1"/>
  <c r="R217" i="51" a="1"/>
  <c r="R217" i="51" s="1"/>
  <c r="R195" i="51" a="1"/>
  <c r="R195" i="51" s="1"/>
  <c r="R196" i="51" a="1"/>
  <c r="R196" i="51" s="1"/>
  <c r="R206" i="51" a="1"/>
  <c r="R206" i="51" s="1"/>
  <c r="R200" i="51" a="1"/>
  <c r="R200" i="51" s="1"/>
  <c r="R243" i="51" a="1"/>
  <c r="R243" i="51" s="1"/>
  <c r="R211" i="51" a="1"/>
  <c r="R211" i="51" s="1"/>
  <c r="R202" i="51" a="1"/>
  <c r="R202" i="51" s="1"/>
  <c r="R239" i="51" a="1"/>
  <c r="R239" i="51" s="1"/>
  <c r="R241" i="51" a="1"/>
  <c r="R241" i="51" s="1"/>
  <c r="R237" i="51" a="1"/>
  <c r="R237" i="51" s="1"/>
  <c r="R199" i="51" a="1"/>
  <c r="R199" i="51" s="1"/>
  <c r="R226" i="51" a="1"/>
  <c r="R226" i="51" s="1"/>
  <c r="R232" i="51" a="1"/>
  <c r="R232" i="51" s="1"/>
  <c r="R197" i="51" a="1"/>
  <c r="R197" i="51" s="1"/>
  <c r="R227" i="51" a="1"/>
  <c r="R227" i="51" s="1"/>
  <c r="R198" i="51" a="1"/>
  <c r="R198" i="51" s="1"/>
  <c r="R224" i="51" a="1"/>
  <c r="R224" i="51" s="1"/>
  <c r="R228" i="51" a="1"/>
  <c r="R228" i="51" s="1"/>
  <c r="R203" i="51" a="1"/>
  <c r="R203" i="51" s="1"/>
  <c r="R242" i="51" a="1"/>
  <c r="R242" i="51" s="1"/>
  <c r="R210" i="51" a="1"/>
  <c r="R210" i="51" s="1"/>
  <c r="R205" i="51" a="1"/>
  <c r="R205" i="51" s="1"/>
  <c r="R240" i="51" a="1"/>
  <c r="R240" i="51" s="1"/>
  <c r="R236" i="51" a="1"/>
  <c r="R236" i="51" s="1"/>
  <c r="R238" i="51" a="1"/>
  <c r="R238" i="51" s="1"/>
  <c r="R204" i="51" a="1"/>
  <c r="R204" i="51" s="1"/>
  <c r="R213" i="51" a="1"/>
  <c r="R213" i="51" s="1"/>
  <c r="R194" i="51" a="1"/>
  <c r="R194" i="51" s="1"/>
  <c r="R235" i="51" a="1"/>
  <c r="R235" i="51" s="1"/>
  <c r="R229" i="51" a="1"/>
  <c r="R229" i="51" s="1"/>
  <c r="R189" i="51" a="1"/>
  <c r="R189" i="51" s="1"/>
  <c r="R208" i="51" a="1"/>
  <c r="R208" i="51" s="1"/>
  <c r="R214" i="51" a="1"/>
  <c r="R214" i="51" s="1"/>
  <c r="R220" i="51" a="1"/>
  <c r="R220" i="51" s="1"/>
  <c r="R234" i="51" a="1"/>
  <c r="R234" i="51" s="1"/>
  <c r="R233" i="51" a="1"/>
  <c r="R233" i="51" s="1"/>
  <c r="R185" i="51" a="1"/>
  <c r="R185" i="51" s="1"/>
  <c r="R218" i="51" a="1"/>
  <c r="R218" i="51" s="1"/>
  <c r="R221" i="51" a="1"/>
  <c r="R221" i="51" s="1"/>
  <c r="R201" i="51" a="1"/>
  <c r="R201" i="51" s="1"/>
  <c r="R209" i="51" a="1"/>
  <c r="R209" i="51" s="1"/>
  <c r="R207" i="51" a="1"/>
  <c r="R207" i="51" s="1"/>
  <c r="R230" i="51" a="1"/>
  <c r="R230" i="51" s="1"/>
  <c r="R188" i="51" a="1"/>
  <c r="R188" i="51" s="1"/>
  <c r="R231" i="51" a="1"/>
  <c r="R231" i="51" s="1"/>
  <c r="R216" i="51" a="1"/>
  <c r="R216" i="51" s="1"/>
  <c r="R219" i="51" a="1"/>
  <c r="R219" i="51" s="1"/>
  <c r="R212" i="51" a="1"/>
  <c r="R212" i="51" s="1"/>
  <c r="R225" i="51" a="1"/>
  <c r="R225" i="51" s="1"/>
  <c r="R186" i="51" a="1"/>
  <c r="R186" i="51" s="1"/>
  <c r="R222" i="51" a="1"/>
  <c r="R222" i="51" s="1"/>
  <c r="R215" i="51" a="1"/>
  <c r="R215" i="51" s="1"/>
  <c r="R223" i="51" a="1"/>
  <c r="R223" i="51" s="1"/>
  <c r="Z186" i="51" a="1"/>
  <c r="Z186" i="51" s="1"/>
  <c r="Z211" i="51" a="1"/>
  <c r="Z211" i="51" s="1"/>
  <c r="Z202" i="51" a="1"/>
  <c r="Z202" i="51" s="1"/>
  <c r="Z233" i="51" a="1"/>
  <c r="Z233" i="51" s="1"/>
  <c r="Z185" i="51" a="1"/>
  <c r="Z185" i="51" s="1"/>
  <c r="Z194" i="51" a="1"/>
  <c r="Z194" i="51" s="1"/>
  <c r="Z219" i="51" a="1"/>
  <c r="Z219" i="51" s="1"/>
  <c r="Z230" i="51" a="1"/>
  <c r="Z230" i="51" s="1"/>
  <c r="Z201" i="51" a="1"/>
  <c r="Z201" i="51" s="1"/>
  <c r="Z234" i="51" a="1"/>
  <c r="Z234" i="51" s="1"/>
  <c r="Z204" i="51" a="1"/>
  <c r="Z204" i="51" s="1"/>
  <c r="Z236" i="51" a="1"/>
  <c r="Z236" i="51" s="1"/>
  <c r="Z222" i="51" a="1"/>
  <c r="Z222" i="51" s="1"/>
  <c r="Z216" i="51" a="1"/>
  <c r="Z216" i="51" s="1"/>
  <c r="Z210" i="51" a="1"/>
  <c r="Z210" i="51" s="1"/>
  <c r="Z214" i="51" a="1"/>
  <c r="Z214" i="51" s="1"/>
  <c r="Z215" i="51" a="1"/>
  <c r="Z215" i="51" s="1"/>
  <c r="Z224" i="51" a="1"/>
  <c r="Z224" i="51" s="1"/>
  <c r="Z188" i="51" a="1"/>
  <c r="Z188" i="51" s="1"/>
  <c r="Z235" i="51" a="1"/>
  <c r="Z235" i="51" s="1"/>
  <c r="Z197" i="51" a="1"/>
  <c r="Z197" i="51" s="1"/>
  <c r="Z226" i="51" a="1"/>
  <c r="Z226" i="51" s="1"/>
  <c r="Z198" i="51" a="1"/>
  <c r="Z198" i="51" s="1"/>
  <c r="Z239" i="51" a="1"/>
  <c r="Z239" i="51" s="1"/>
  <c r="Z196" i="51" a="1"/>
  <c r="Z196" i="51" s="1"/>
  <c r="Z207" i="51" a="1"/>
  <c r="Z207" i="51" s="1"/>
  <c r="Z228" i="51" a="1"/>
  <c r="Z228" i="51" s="1"/>
  <c r="Z242" i="51" a="1"/>
  <c r="Z242" i="51" s="1"/>
  <c r="Z200" i="51" a="1"/>
  <c r="Z200" i="51" s="1"/>
  <c r="Z203" i="51" a="1"/>
  <c r="Z203" i="51" s="1"/>
  <c r="Z205" i="51" a="1"/>
  <c r="Z205" i="51" s="1"/>
  <c r="Z240" i="51" a="1"/>
  <c r="Z240" i="51" s="1"/>
  <c r="Z238" i="51" a="1"/>
  <c r="Z238" i="51" s="1"/>
  <c r="Z231" i="51" a="1"/>
  <c r="Z231" i="51" s="1"/>
  <c r="Z206" i="51" a="1"/>
  <c r="Z206" i="51" s="1"/>
  <c r="Z243" i="51" a="1"/>
  <c r="Z243" i="51" s="1"/>
  <c r="Z229" i="51" a="1"/>
  <c r="Z229" i="51" s="1"/>
  <c r="Z227" i="51" a="1"/>
  <c r="Z227" i="51" s="1"/>
  <c r="Z209" i="51" a="1"/>
  <c r="Z209" i="51" s="1"/>
  <c r="Z223" i="51" a="1"/>
  <c r="Z223" i="51" s="1"/>
  <c r="Z232" i="51" a="1"/>
  <c r="Z232" i="51" s="1"/>
  <c r="Z199" i="51" a="1"/>
  <c r="Z199" i="51" s="1"/>
  <c r="Z189" i="51" a="1"/>
  <c r="Z189" i="51" s="1"/>
  <c r="Z195" i="51" a="1"/>
  <c r="Z195" i="51" s="1"/>
  <c r="Z217" i="51" a="1"/>
  <c r="Z217" i="51" s="1"/>
  <c r="Z225" i="51" a="1"/>
  <c r="Z225" i="51" s="1"/>
  <c r="Z218" i="51" a="1"/>
  <c r="Z218" i="51" s="1"/>
  <c r="Z221" i="51" a="1"/>
  <c r="Z221" i="51" s="1"/>
  <c r="Z241" i="51" a="1"/>
  <c r="Z241" i="51" s="1"/>
  <c r="Z208" i="51" a="1"/>
  <c r="Z208" i="51" s="1"/>
  <c r="Z213" i="51" a="1"/>
  <c r="Z213" i="51" s="1"/>
  <c r="Z220" i="51" a="1"/>
  <c r="Z220" i="51" s="1"/>
  <c r="Z212" i="51" a="1"/>
  <c r="Z212" i="51" s="1"/>
  <c r="Z237" i="51" a="1"/>
  <c r="Z237" i="51" s="1"/>
  <c r="U206" i="51" a="1"/>
  <c r="U206" i="51" s="1"/>
  <c r="U223" i="51" a="1"/>
  <c r="U223" i="51" s="1"/>
  <c r="U215" i="51" a="1"/>
  <c r="U215" i="51" s="1"/>
  <c r="U204" i="51" a="1"/>
  <c r="U204" i="51" s="1"/>
  <c r="U208" i="51" a="1"/>
  <c r="U208" i="51" s="1"/>
  <c r="U238" i="51" a="1"/>
  <c r="U238" i="51" s="1"/>
  <c r="U197" i="51" a="1"/>
  <c r="U197" i="51" s="1"/>
  <c r="U237" i="51" a="1"/>
  <c r="U237" i="51" s="1"/>
  <c r="U226" i="51" a="1"/>
  <c r="U226" i="51" s="1"/>
  <c r="U239" i="51" a="1"/>
  <c r="U239" i="51" s="1"/>
  <c r="U210" i="51" a="1"/>
  <c r="U210" i="51" s="1"/>
  <c r="U188" i="51" a="1"/>
  <c r="U188" i="51" s="1"/>
  <c r="U214" i="51" a="1"/>
  <c r="U214" i="51" s="1"/>
  <c r="U198" i="51" a="1"/>
  <c r="U198" i="51" s="1"/>
  <c r="U236" i="51" a="1"/>
  <c r="U236" i="51" s="1"/>
  <c r="U228" i="51" a="1"/>
  <c r="U228" i="51" s="1"/>
  <c r="U242" i="51" a="1"/>
  <c r="U242" i="51" s="1"/>
  <c r="U227" i="51" a="1"/>
  <c r="U227" i="51" s="1"/>
  <c r="U234" i="51" a="1"/>
  <c r="U234" i="51" s="1"/>
  <c r="U240" i="51" a="1"/>
  <c r="U240" i="51" s="1"/>
  <c r="U218" i="51" a="1"/>
  <c r="U218" i="51" s="1"/>
  <c r="U195" i="51" a="1"/>
  <c r="U195" i="51" s="1"/>
  <c r="U216" i="51" a="1"/>
  <c r="U216" i="51" s="1"/>
  <c r="U205" i="51" a="1"/>
  <c r="U205" i="51" s="1"/>
  <c r="U232" i="51" a="1"/>
  <c r="U232" i="51" s="1"/>
  <c r="U200" i="51" a="1"/>
  <c r="U200" i="51" s="1"/>
  <c r="U186" i="51" a="1"/>
  <c r="U186" i="51" s="1"/>
  <c r="U222" i="51" a="1"/>
  <c r="U222" i="51" s="1"/>
  <c r="U207" i="51" a="1"/>
  <c r="U207" i="51" s="1"/>
  <c r="U231" i="51" a="1"/>
  <c r="U231" i="51" s="1"/>
  <c r="U225" i="51" a="1"/>
  <c r="U225" i="51" s="1"/>
  <c r="U202" i="51" a="1"/>
  <c r="U202" i="51" s="1"/>
  <c r="U241" i="51" a="1"/>
  <c r="U241" i="51" s="1"/>
  <c r="U229" i="51" a="1"/>
  <c r="U229" i="51" s="1"/>
  <c r="U185" i="51" a="1"/>
  <c r="U185" i="51" s="1"/>
  <c r="U209" i="51" a="1"/>
  <c r="U209" i="51" s="1"/>
  <c r="U217" i="51" a="1"/>
  <c r="U217" i="51" s="1"/>
  <c r="U211" i="51" a="1"/>
  <c r="U211" i="51" s="1"/>
  <c r="U189" i="51" a="1"/>
  <c r="U189" i="51" s="1"/>
  <c r="U235" i="51" a="1"/>
  <c r="U235" i="51" s="1"/>
  <c r="U224" i="51" a="1"/>
  <c r="U224" i="51" s="1"/>
  <c r="U203" i="51" a="1"/>
  <c r="U203" i="51" s="1"/>
  <c r="U220" i="51" a="1"/>
  <c r="U220" i="51" s="1"/>
  <c r="U221" i="51" a="1"/>
  <c r="U221" i="51" s="1"/>
  <c r="U233" i="51" a="1"/>
  <c r="U233" i="51" s="1"/>
  <c r="U196" i="51" a="1"/>
  <c r="U196" i="51" s="1"/>
  <c r="U243" i="51" a="1"/>
  <c r="U243" i="51" s="1"/>
  <c r="U201" i="51" a="1"/>
  <c r="U201" i="51" s="1"/>
  <c r="U219" i="51" a="1"/>
  <c r="U219" i="51" s="1"/>
  <c r="U213" i="51" a="1"/>
  <c r="U213" i="51" s="1"/>
  <c r="U230" i="51" a="1"/>
  <c r="U230" i="51" s="1"/>
  <c r="U194" i="51" a="1"/>
  <c r="U194" i="51" s="1"/>
  <c r="U212" i="51" a="1"/>
  <c r="U212" i="51" s="1"/>
  <c r="U199" i="51" a="1"/>
  <c r="U199" i="51" s="1"/>
  <c r="O202" i="51" a="1"/>
  <c r="O202" i="51" s="1"/>
  <c r="O210" i="51" a="1"/>
  <c r="O210" i="51" s="1"/>
  <c r="O241" i="51" a="1"/>
  <c r="O241" i="51" s="1"/>
  <c r="O219" i="51" a="1"/>
  <c r="O219" i="51" s="1"/>
  <c r="O195" i="51" a="1"/>
  <c r="O195" i="51" s="1"/>
  <c r="O199" i="51" a="1"/>
  <c r="O199" i="51" s="1"/>
  <c r="O231" i="51" a="1"/>
  <c r="O231" i="51" s="1"/>
  <c r="O221" i="51" a="1"/>
  <c r="O221" i="51" s="1"/>
  <c r="O239" i="51" a="1"/>
  <c r="O239" i="51" s="1"/>
  <c r="O223" i="51" a="1"/>
  <c r="O223" i="51" s="1"/>
  <c r="O200" i="51" a="1"/>
  <c r="O200" i="51" s="1"/>
  <c r="O198" i="51" a="1"/>
  <c r="O198" i="51" s="1"/>
  <c r="O226" i="51" a="1"/>
  <c r="O226" i="51" s="1"/>
  <c r="O194" i="51" a="1"/>
  <c r="O194" i="51" s="1"/>
  <c r="O213" i="51" a="1"/>
  <c r="O213" i="51" s="1"/>
  <c r="O189" i="51" a="1"/>
  <c r="O189" i="51" s="1"/>
  <c r="O211" i="51" a="1"/>
  <c r="O211" i="51" s="1"/>
  <c r="O185" i="51" a="1"/>
  <c r="O185" i="51" s="1"/>
  <c r="O206" i="51" a="1"/>
  <c r="O206" i="51" s="1"/>
  <c r="O224" i="51" a="1"/>
  <c r="O224" i="51" s="1"/>
  <c r="O237" i="51" a="1"/>
  <c r="O237" i="51" s="1"/>
  <c r="O205" i="51" a="1"/>
  <c r="O205" i="51" s="1"/>
  <c r="O238" i="51" a="1"/>
  <c r="O238" i="51" s="1"/>
  <c r="O197" i="51" a="1"/>
  <c r="O197" i="51" s="1"/>
  <c r="O236" i="51" a="1"/>
  <c r="O236" i="51" s="1"/>
  <c r="O240" i="51" a="1"/>
  <c r="O240" i="51" s="1"/>
  <c r="O208" i="51" a="1"/>
  <c r="O208" i="51" s="1"/>
  <c r="O186" i="51" a="1"/>
  <c r="O186" i="51" s="1"/>
  <c r="O230" i="51" a="1"/>
  <c r="O230" i="51" s="1"/>
  <c r="O203" i="51" a="1"/>
  <c r="O203" i="51" s="1"/>
  <c r="O216" i="51" a="1"/>
  <c r="O216" i="51" s="1"/>
  <c r="O229" i="51" a="1"/>
  <c r="O229" i="51" s="1"/>
  <c r="O227" i="51" a="1"/>
  <c r="O227" i="51" s="1"/>
  <c r="O217" i="51" a="1"/>
  <c r="O217" i="51" s="1"/>
  <c r="O222" i="51" a="1"/>
  <c r="O222" i="51" s="1"/>
  <c r="O201" i="51" a="1"/>
  <c r="O201" i="51" s="1"/>
  <c r="O225" i="51" a="1"/>
  <c r="O225" i="51" s="1"/>
  <c r="O218" i="51" a="1"/>
  <c r="O218" i="51" s="1"/>
  <c r="O215" i="51" a="1"/>
  <c r="O215" i="51" s="1"/>
  <c r="O242" i="51" a="1"/>
  <c r="O242" i="51" s="1"/>
  <c r="O243" i="51" a="1"/>
  <c r="O243" i="51" s="1"/>
  <c r="O234" i="51" a="1"/>
  <c r="O234" i="51" s="1"/>
  <c r="O220" i="51" a="1"/>
  <c r="O220" i="51" s="1"/>
  <c r="O228" i="51" a="1"/>
  <c r="O228" i="51" s="1"/>
  <c r="O212" i="51" a="1"/>
  <c r="O212" i="51" s="1"/>
  <c r="O232" i="51" a="1"/>
  <c r="O232" i="51" s="1"/>
  <c r="O188" i="51" a="1"/>
  <c r="O188" i="51" s="1"/>
  <c r="O204" i="51" a="1"/>
  <c r="O204" i="51" s="1"/>
  <c r="O214" i="51" a="1"/>
  <c r="O214" i="51" s="1"/>
  <c r="O209" i="51" a="1"/>
  <c r="O209" i="51" s="1"/>
  <c r="O235" i="51" a="1"/>
  <c r="O235" i="51" s="1"/>
  <c r="O196" i="51" a="1"/>
  <c r="O196" i="51" s="1"/>
  <c r="O233" i="51" a="1"/>
  <c r="O233" i="51" s="1"/>
  <c r="O207" i="51" a="1"/>
  <c r="O207" i="51" s="1"/>
  <c r="V202" i="51" a="1"/>
  <c r="V202" i="51" s="1"/>
  <c r="V214" i="51" a="1"/>
  <c r="V214" i="51" s="1"/>
  <c r="V199" i="51" a="1"/>
  <c r="V199" i="51" s="1"/>
  <c r="V217" i="51" a="1"/>
  <c r="V217" i="51" s="1"/>
  <c r="V234" i="51" a="1"/>
  <c r="V234" i="51" s="1"/>
  <c r="V220" i="51" a="1"/>
  <c r="V220" i="51" s="1"/>
  <c r="V222" i="51" a="1"/>
  <c r="V222" i="51" s="1"/>
  <c r="V230" i="51" a="1"/>
  <c r="V230" i="51" s="1"/>
  <c r="V224" i="51" a="1"/>
  <c r="V224" i="51" s="1"/>
  <c r="V236" i="51" a="1"/>
  <c r="V236" i="51" s="1"/>
  <c r="V243" i="51" a="1"/>
  <c r="V243" i="51" s="1"/>
  <c r="V242" i="51" a="1"/>
  <c r="V242" i="51" s="1"/>
  <c r="V238" i="51" a="1"/>
  <c r="V238" i="51" s="1"/>
  <c r="V197" i="51" a="1"/>
  <c r="V197" i="51" s="1"/>
  <c r="V241" i="51" a="1"/>
  <c r="V241" i="51" s="1"/>
  <c r="V223" i="51" a="1"/>
  <c r="V223" i="51" s="1"/>
  <c r="V225" i="51" a="1"/>
  <c r="V225" i="51" s="1"/>
  <c r="V195" i="51" a="1"/>
  <c r="V195" i="51" s="1"/>
  <c r="V188" i="51" a="1"/>
  <c r="V188" i="51" s="1"/>
  <c r="V208" i="51" a="1"/>
  <c r="V208" i="51" s="1"/>
  <c r="V227" i="51" a="1"/>
  <c r="V227" i="51" s="1"/>
  <c r="V240" i="51" a="1"/>
  <c r="V240" i="51" s="1"/>
  <c r="V231" i="51" a="1"/>
  <c r="V231" i="51" s="1"/>
  <c r="V211" i="51" a="1"/>
  <c r="V211" i="51" s="1"/>
  <c r="V228" i="51" a="1"/>
  <c r="V228" i="51" s="1"/>
  <c r="V216" i="51" a="1"/>
  <c r="V216" i="51" s="1"/>
  <c r="V237" i="51" a="1"/>
  <c r="V237" i="51" s="1"/>
  <c r="V212" i="51" a="1"/>
  <c r="V212" i="51" s="1"/>
  <c r="V226" i="51" a="1"/>
  <c r="V226" i="51" s="1"/>
  <c r="V198" i="51" a="1"/>
  <c r="V198" i="51" s="1"/>
  <c r="V203" i="51" a="1"/>
  <c r="V203" i="51" s="1"/>
  <c r="V221" i="51" a="1"/>
  <c r="V221" i="51" s="1"/>
  <c r="V206" i="51" a="1"/>
  <c r="V206" i="51" s="1"/>
  <c r="V189" i="51" a="1"/>
  <c r="V189" i="51" s="1"/>
  <c r="V186" i="51" a="1"/>
  <c r="V186" i="51" s="1"/>
  <c r="V218" i="51" a="1"/>
  <c r="V218" i="51" s="1"/>
  <c r="V210" i="51" a="1"/>
  <c r="V210" i="51" s="1"/>
  <c r="V207" i="51" a="1"/>
  <c r="V207" i="51" s="1"/>
  <c r="V201" i="51" a="1"/>
  <c r="V201" i="51" s="1"/>
  <c r="V215" i="51" a="1"/>
  <c r="V215" i="51" s="1"/>
  <c r="V194" i="51" a="1"/>
  <c r="V194" i="51" s="1"/>
  <c r="V229" i="51" a="1"/>
  <c r="V229" i="51" s="1"/>
  <c r="V232" i="51" a="1"/>
  <c r="V232" i="51" s="1"/>
  <c r="V239" i="51" a="1"/>
  <c r="V239" i="51" s="1"/>
  <c r="V185" i="51" a="1"/>
  <c r="V185" i="51" s="1"/>
  <c r="V196" i="51" a="1"/>
  <c r="V196" i="51" s="1"/>
  <c r="V219" i="51" a="1"/>
  <c r="V219" i="51" s="1"/>
  <c r="V233" i="51" a="1"/>
  <c r="V233" i="51" s="1"/>
  <c r="V204" i="51" a="1"/>
  <c r="V204" i="51" s="1"/>
  <c r="V213" i="51" a="1"/>
  <c r="V213" i="51" s="1"/>
  <c r="V205" i="51" a="1"/>
  <c r="V205" i="51" s="1"/>
  <c r="V200" i="51" a="1"/>
  <c r="V200" i="51" s="1"/>
  <c r="V209" i="51" a="1"/>
  <c r="V209" i="51" s="1"/>
  <c r="V235" i="51" a="1"/>
  <c r="V235" i="51" s="1"/>
  <c r="W185" i="51" a="1"/>
  <c r="W185" i="51" s="1"/>
  <c r="W239" i="51" a="1"/>
  <c r="W239" i="51" s="1"/>
  <c r="W216" i="51" a="1"/>
  <c r="W216" i="51" s="1"/>
  <c r="W242" i="51" a="1"/>
  <c r="W242" i="51" s="1"/>
  <c r="W223" i="51" a="1"/>
  <c r="W223" i="51" s="1"/>
  <c r="W236" i="51" a="1"/>
  <c r="W236" i="51" s="1"/>
  <c r="W199" i="51" a="1"/>
  <c r="W199" i="51" s="1"/>
  <c r="W205" i="51" a="1"/>
  <c r="W205" i="51" s="1"/>
  <c r="W207" i="51" a="1"/>
  <c r="W207" i="51" s="1"/>
  <c r="W198" i="51" a="1"/>
  <c r="W198" i="51" s="1"/>
  <c r="W209" i="51" a="1"/>
  <c r="W209" i="51" s="1"/>
  <c r="W243" i="51" a="1"/>
  <c r="W243" i="51" s="1"/>
  <c r="W186" i="51" a="1"/>
  <c r="W186" i="51" s="1"/>
  <c r="W231" i="51" a="1"/>
  <c r="W231" i="51" s="1"/>
  <c r="W232" i="51" a="1"/>
  <c r="W232" i="51" s="1"/>
  <c r="W215" i="51" a="1"/>
  <c r="W215" i="51" s="1"/>
  <c r="W217" i="51" a="1"/>
  <c r="W217" i="51" s="1"/>
  <c r="W204" i="51" a="1"/>
  <c r="W204" i="51" s="1"/>
  <c r="W225" i="51" a="1"/>
  <c r="W225" i="51" s="1"/>
  <c r="W219" i="51" a="1"/>
  <c r="W219" i="51" s="1"/>
  <c r="W202" i="51" a="1"/>
  <c r="W202" i="51" s="1"/>
  <c r="W214" i="51" a="1"/>
  <c r="W214" i="51" s="1"/>
  <c r="W234" i="51" a="1"/>
  <c r="W234" i="51" s="1"/>
  <c r="W203" i="51" a="1"/>
  <c r="W203" i="51" s="1"/>
  <c r="W224" i="51" a="1"/>
  <c r="W224" i="51" s="1"/>
  <c r="W237" i="51" a="1"/>
  <c r="W237" i="51" s="1"/>
  <c r="W221" i="51" a="1"/>
  <c r="W221" i="51" s="1"/>
  <c r="W229" i="51" a="1"/>
  <c r="W229" i="51" s="1"/>
  <c r="W206" i="51" a="1"/>
  <c r="W206" i="51" s="1"/>
  <c r="W195" i="51" a="1"/>
  <c r="W195" i="51" s="1"/>
  <c r="W210" i="51" a="1"/>
  <c r="W210" i="51" s="1"/>
  <c r="W201" i="51" a="1"/>
  <c r="W201" i="51" s="1"/>
  <c r="W222" i="51" a="1"/>
  <c r="W222" i="51" s="1"/>
  <c r="W241" i="51" a="1"/>
  <c r="W241" i="51" s="1"/>
  <c r="W235" i="51" a="1"/>
  <c r="W235" i="51" s="1"/>
  <c r="W189" i="51" a="1"/>
  <c r="W189" i="51" s="1"/>
  <c r="W240" i="51" a="1"/>
  <c r="W240" i="51" s="1"/>
  <c r="W226" i="51" a="1"/>
  <c r="W226" i="51" s="1"/>
  <c r="W230" i="51" a="1"/>
  <c r="W230" i="51" s="1"/>
  <c r="W213" i="51" a="1"/>
  <c r="W213" i="51" s="1"/>
  <c r="W196" i="51" a="1"/>
  <c r="W196" i="51" s="1"/>
  <c r="W200" i="51" a="1"/>
  <c r="W200" i="51" s="1"/>
  <c r="W208" i="51" a="1"/>
  <c r="W208" i="51" s="1"/>
  <c r="W212" i="51" a="1"/>
  <c r="W212" i="51" s="1"/>
  <c r="W197" i="51" a="1"/>
  <c r="W197" i="51" s="1"/>
  <c r="W228" i="51" a="1"/>
  <c r="W228" i="51" s="1"/>
  <c r="W220" i="51" a="1"/>
  <c r="W220" i="51" s="1"/>
  <c r="W194" i="51" a="1"/>
  <c r="W194" i="51" s="1"/>
  <c r="W211" i="51" a="1"/>
  <c r="W211" i="51" s="1"/>
  <c r="W238" i="51" a="1"/>
  <c r="W238" i="51" s="1"/>
  <c r="W188" i="51" a="1"/>
  <c r="W188" i="51" s="1"/>
  <c r="W227" i="51" a="1"/>
  <c r="W227" i="51" s="1"/>
  <c r="W233" i="51" a="1"/>
  <c r="W233" i="51" s="1"/>
  <c r="W218" i="51" a="1"/>
  <c r="W218" i="51" s="1"/>
  <c r="X198" i="51" a="1"/>
  <c r="X198" i="51" s="1"/>
  <c r="X200" i="51" a="1"/>
  <c r="X200" i="51" s="1"/>
  <c r="X215" i="51" a="1"/>
  <c r="X215" i="51" s="1"/>
  <c r="X234" i="51" a="1"/>
  <c r="X234" i="51" s="1"/>
  <c r="X195" i="51" a="1"/>
  <c r="X195" i="51" s="1"/>
  <c r="X228" i="51" a="1"/>
  <c r="X228" i="51" s="1"/>
  <c r="X209" i="51" a="1"/>
  <c r="X209" i="51" s="1"/>
  <c r="X229" i="51" a="1"/>
  <c r="X229" i="51" s="1"/>
  <c r="X217" i="51" a="1"/>
  <c r="X217" i="51" s="1"/>
  <c r="X242" i="51" a="1"/>
  <c r="X242" i="51" s="1"/>
  <c r="X231" i="51" a="1"/>
  <c r="X231" i="51" s="1"/>
  <c r="X199" i="51" a="1"/>
  <c r="X199" i="51" s="1"/>
  <c r="X197" i="51" a="1"/>
  <c r="X197" i="51" s="1"/>
  <c r="X219" i="51" a="1"/>
  <c r="X219" i="51" s="1"/>
  <c r="X205" i="51" a="1"/>
  <c r="X205" i="51" s="1"/>
  <c r="X221" i="51" a="1"/>
  <c r="X221" i="51" s="1"/>
  <c r="X202" i="51" a="1"/>
  <c r="X202" i="51" s="1"/>
  <c r="X216" i="51" a="1"/>
  <c r="X216" i="51" s="1"/>
  <c r="X224" i="51" a="1"/>
  <c r="X224" i="51" s="1"/>
  <c r="X213" i="51" a="1"/>
  <c r="X213" i="51" s="1"/>
  <c r="X203" i="51" a="1"/>
  <c r="X203" i="51" s="1"/>
  <c r="X194" i="51" a="1"/>
  <c r="X194" i="51" s="1"/>
  <c r="X212" i="51" a="1"/>
  <c r="X212" i="51" s="1"/>
  <c r="X230" i="51" a="1"/>
  <c r="X230" i="51" s="1"/>
  <c r="X237" i="51" a="1"/>
  <c r="X237" i="51" s="1"/>
  <c r="X225" i="51" a="1"/>
  <c r="X225" i="51" s="1"/>
  <c r="X207" i="51" a="1"/>
  <c r="X207" i="51" s="1"/>
  <c r="X235" i="51" a="1"/>
  <c r="X235" i="51" s="1"/>
  <c r="X240" i="51" a="1"/>
  <c r="X240" i="51" s="1"/>
  <c r="X222" i="51" a="1"/>
  <c r="X222" i="51" s="1"/>
  <c r="X206" i="51" a="1"/>
  <c r="X206" i="51" s="1"/>
  <c r="X186" i="51" a="1"/>
  <c r="X186" i="51" s="1"/>
  <c r="X233" i="51" a="1"/>
  <c r="X233" i="51" s="1"/>
  <c r="X227" i="51" a="1"/>
  <c r="X227" i="51" s="1"/>
  <c r="X196" i="51" a="1"/>
  <c r="X196" i="51" s="1"/>
  <c r="X226" i="51" a="1"/>
  <c r="X226" i="51" s="1"/>
  <c r="X211" i="51" a="1"/>
  <c r="X211" i="51" s="1"/>
  <c r="X185" i="51" a="1"/>
  <c r="X185" i="51" s="1"/>
  <c r="X232" i="51" a="1"/>
  <c r="X232" i="51" s="1"/>
  <c r="X208" i="51" a="1"/>
  <c r="X208" i="51" s="1"/>
  <c r="X238" i="51" a="1"/>
  <c r="X238" i="51" s="1"/>
  <c r="X239" i="51" a="1"/>
  <c r="X239" i="51" s="1"/>
  <c r="X223" i="51" a="1"/>
  <c r="X223" i="51" s="1"/>
  <c r="X201" i="51" a="1"/>
  <c r="X201" i="51" s="1"/>
  <c r="X189" i="51" a="1"/>
  <c r="X189" i="51" s="1"/>
  <c r="X204" i="51" a="1"/>
  <c r="X204" i="51" s="1"/>
  <c r="X241" i="51" a="1"/>
  <c r="X241" i="51" s="1"/>
  <c r="X243" i="51" a="1"/>
  <c r="X243" i="51" s="1"/>
  <c r="X236" i="51" a="1"/>
  <c r="X236" i="51" s="1"/>
  <c r="X210" i="51" a="1"/>
  <c r="X210" i="51" s="1"/>
  <c r="X214" i="51" a="1"/>
  <c r="X214" i="51" s="1"/>
  <c r="X220" i="51" a="1"/>
  <c r="X220" i="51" s="1"/>
  <c r="X218" i="51" a="1"/>
  <c r="X218" i="51" s="1"/>
  <c r="X188" i="51" a="1"/>
  <c r="X188" i="51" s="1"/>
  <c r="P207" i="51" a="1"/>
  <c r="P207" i="51" s="1"/>
  <c r="P199" i="51" a="1"/>
  <c r="P199" i="51" s="1"/>
  <c r="P241" i="51" a="1"/>
  <c r="P241" i="51" s="1"/>
  <c r="P209" i="51" a="1"/>
  <c r="P209" i="51" s="1"/>
  <c r="P234" i="51" a="1"/>
  <c r="P234" i="51" s="1"/>
  <c r="P205" i="51" a="1"/>
  <c r="P205" i="51" s="1"/>
  <c r="P208" i="51" a="1"/>
  <c r="P208" i="51" s="1"/>
  <c r="P219" i="51" a="1"/>
  <c r="P219" i="51" s="1"/>
  <c r="P237" i="51" a="1"/>
  <c r="P237" i="51" s="1"/>
  <c r="P214" i="51" a="1"/>
  <c r="P214" i="51" s="1"/>
  <c r="P225" i="51" a="1"/>
  <c r="P225" i="51" s="1"/>
  <c r="P188" i="51" a="1"/>
  <c r="P188" i="51" s="1"/>
  <c r="P230" i="51" a="1"/>
  <c r="P230" i="51" s="1"/>
  <c r="P202" i="51" a="1"/>
  <c r="P202" i="51" s="1"/>
  <c r="P243" i="51" a="1"/>
  <c r="P243" i="51" s="1"/>
  <c r="P201" i="51" a="1"/>
  <c r="P201" i="51" s="1"/>
  <c r="P218" i="51" a="1"/>
  <c r="P218" i="51" s="1"/>
  <c r="P240" i="51" a="1"/>
  <c r="P240" i="51" s="1"/>
  <c r="P215" i="51" a="1"/>
  <c r="P215" i="51" s="1"/>
  <c r="P197" i="51" a="1"/>
  <c r="P197" i="51" s="1"/>
  <c r="P233" i="51" a="1"/>
  <c r="P233" i="51" s="1"/>
  <c r="P217" i="51" a="1"/>
  <c r="P217" i="51" s="1"/>
  <c r="P200" i="51" a="1"/>
  <c r="P200" i="51" s="1"/>
  <c r="P220" i="51" a="1"/>
  <c r="P220" i="51" s="1"/>
  <c r="P231" i="51" a="1"/>
  <c r="P231" i="51" s="1"/>
  <c r="P213" i="51" a="1"/>
  <c r="P213" i="51" s="1"/>
  <c r="P195" i="51" a="1"/>
  <c r="P195" i="51" s="1"/>
  <c r="P189" i="51" a="1"/>
  <c r="P189" i="51" s="1"/>
  <c r="P211" i="51" a="1"/>
  <c r="P211" i="51" s="1"/>
  <c r="P223" i="51" a="1"/>
  <c r="P223" i="51" s="1"/>
  <c r="P224" i="51" a="1"/>
  <c r="P224" i="51" s="1"/>
  <c r="P238" i="51" a="1"/>
  <c r="P238" i="51" s="1"/>
  <c r="P194" i="51" a="1"/>
  <c r="P194" i="51" s="1"/>
  <c r="P222" i="51" a="1"/>
  <c r="P222" i="51" s="1"/>
  <c r="P196" i="51" a="1"/>
  <c r="P196" i="51" s="1"/>
  <c r="P185" i="51" a="1"/>
  <c r="P185" i="51" s="1"/>
  <c r="P221" i="51" a="1"/>
  <c r="P221" i="51" s="1"/>
  <c r="P242" i="51" a="1"/>
  <c r="P242" i="51" s="1"/>
  <c r="P204" i="51" a="1"/>
  <c r="P204" i="51" s="1"/>
  <c r="P226" i="51" a="1"/>
  <c r="P226" i="51" s="1"/>
  <c r="P227" i="51" a="1"/>
  <c r="P227" i="51" s="1"/>
  <c r="P232" i="51" a="1"/>
  <c r="P232" i="51" s="1"/>
  <c r="P206" i="51" a="1"/>
  <c r="P206" i="51" s="1"/>
  <c r="P229" i="51" a="1"/>
  <c r="P229" i="51" s="1"/>
  <c r="P228" i="51" a="1"/>
  <c r="P228" i="51" s="1"/>
  <c r="P236" i="51" a="1"/>
  <c r="P236" i="51" s="1"/>
  <c r="P198" i="51" a="1"/>
  <c r="P198" i="51" s="1"/>
  <c r="P239" i="51" a="1"/>
  <c r="P239" i="51" s="1"/>
  <c r="P186" i="51" a="1"/>
  <c r="P186" i="51" s="1"/>
  <c r="P203" i="51" a="1"/>
  <c r="P203" i="51" s="1"/>
  <c r="P212" i="51" a="1"/>
  <c r="P212" i="51" s="1"/>
  <c r="P210" i="51" a="1"/>
  <c r="P210" i="51" s="1"/>
  <c r="P235" i="51" a="1"/>
  <c r="P235" i="51" s="1"/>
  <c r="P216" i="51" a="1"/>
  <c r="P216" i="51" s="1"/>
  <c r="X171" i="51" a="1"/>
  <c r="X171" i="51" s="1"/>
  <c r="X139" i="51" a="1"/>
  <c r="X139" i="51" s="1"/>
  <c r="X141" i="51" a="1"/>
  <c r="X141" i="51" s="1"/>
  <c r="X145" i="51" a="1"/>
  <c r="X145" i="51" s="1"/>
  <c r="X168" i="51" a="1"/>
  <c r="X168" i="51" s="1"/>
  <c r="X161" i="51" a="1"/>
  <c r="X161" i="51" s="1"/>
  <c r="X124" i="51" a="1"/>
  <c r="X124" i="51" s="1"/>
  <c r="X170" i="51" a="1"/>
  <c r="X170" i="51" s="1"/>
  <c r="X127" i="51" a="1"/>
  <c r="X127" i="51" s="1"/>
  <c r="X179" i="51" a="1"/>
  <c r="X179" i="51" s="1"/>
  <c r="X146" i="51" a="1"/>
  <c r="X146" i="51" s="1"/>
  <c r="X150" i="51" a="1"/>
  <c r="X150" i="51" s="1"/>
  <c r="X180" i="51" a="1"/>
  <c r="X180" i="51" s="1"/>
  <c r="X156" i="51" a="1"/>
  <c r="X156" i="51" s="1"/>
  <c r="X164" i="51" a="1"/>
  <c r="X164" i="51" s="1"/>
  <c r="X158" i="51" a="1"/>
  <c r="X158" i="51" s="1"/>
  <c r="X176" i="51" a="1"/>
  <c r="X176" i="51" s="1"/>
  <c r="X155" i="51" a="1"/>
  <c r="X155" i="51" s="1"/>
  <c r="X143" i="51" a="1"/>
  <c r="X143" i="51" s="1"/>
  <c r="X152" i="51" a="1"/>
  <c r="X152" i="51" s="1"/>
  <c r="X138" i="51" a="1"/>
  <c r="X138" i="51" s="1"/>
  <c r="X163" i="51" a="1"/>
  <c r="X163" i="51" s="1"/>
  <c r="X134" i="51" a="1"/>
  <c r="X134" i="51" s="1"/>
  <c r="X137" i="51" a="1"/>
  <c r="X137" i="51" s="1"/>
  <c r="X174" i="51" a="1"/>
  <c r="X174" i="51" s="1"/>
  <c r="X162" i="51" a="1"/>
  <c r="X162" i="51" s="1"/>
  <c r="X154" i="51" a="1"/>
  <c r="X154" i="51" s="1"/>
  <c r="X178" i="51" a="1"/>
  <c r="X178" i="51" s="1"/>
  <c r="X136" i="51" a="1"/>
  <c r="X136" i="51" s="1"/>
  <c r="X142" i="51" a="1"/>
  <c r="X142" i="51" s="1"/>
  <c r="X159" i="51" a="1"/>
  <c r="X159" i="51" s="1"/>
  <c r="X166" i="51" a="1"/>
  <c r="X166" i="51" s="1"/>
  <c r="X133" i="51" a="1"/>
  <c r="X133" i="51" s="1"/>
  <c r="X177" i="51" a="1"/>
  <c r="X177" i="51" s="1"/>
  <c r="X147" i="51" a="1"/>
  <c r="X147" i="51" s="1"/>
  <c r="X151" i="51" a="1"/>
  <c r="X151" i="51" s="1"/>
  <c r="X160" i="51" a="1"/>
  <c r="X160" i="51" s="1"/>
  <c r="X125" i="51" a="1"/>
  <c r="X125" i="51" s="1"/>
  <c r="X135" i="51" a="1"/>
  <c r="X135" i="51" s="1"/>
  <c r="X149" i="51" a="1"/>
  <c r="X149" i="51" s="1"/>
  <c r="X173" i="51" a="1"/>
  <c r="X173" i="51" s="1"/>
  <c r="X144" i="51" a="1"/>
  <c r="X144" i="51" s="1"/>
  <c r="X181" i="51" a="1"/>
  <c r="X181" i="51" s="1"/>
  <c r="X153" i="51" a="1"/>
  <c r="X153" i="51" s="1"/>
  <c r="X175" i="51" a="1"/>
  <c r="X175" i="51" s="1"/>
  <c r="X172" i="51" a="1"/>
  <c r="X172" i="51" s="1"/>
  <c r="X157" i="51" a="1"/>
  <c r="X157" i="51" s="1"/>
  <c r="X128" i="51" a="1"/>
  <c r="X128" i="51" s="1"/>
  <c r="X148" i="51" a="1"/>
  <c r="X148" i="51" s="1"/>
  <c r="X167" i="51" a="1"/>
  <c r="X167" i="51" s="1"/>
  <c r="X165" i="51" a="1"/>
  <c r="X165" i="51" s="1"/>
  <c r="X140" i="51" a="1"/>
  <c r="X140" i="51" s="1"/>
  <c r="X182" i="51" a="1"/>
  <c r="X182" i="51" s="1"/>
  <c r="X169" i="51" a="1"/>
  <c r="X169" i="51" s="1"/>
  <c r="Q152" i="51" a="1"/>
  <c r="Q152" i="51" s="1"/>
  <c r="Q137" i="51" a="1"/>
  <c r="Q137" i="51" s="1"/>
  <c r="Q140" i="51" a="1"/>
  <c r="Q140" i="51" s="1"/>
  <c r="Q142" i="51" a="1"/>
  <c r="Q142" i="51" s="1"/>
  <c r="Q135" i="51" a="1"/>
  <c r="Q135" i="51" s="1"/>
  <c r="Q143" i="51" a="1"/>
  <c r="Q143" i="51" s="1"/>
  <c r="Q164" i="51" a="1"/>
  <c r="Q164" i="51" s="1"/>
  <c r="Q180" i="51" a="1"/>
  <c r="Q180" i="51" s="1"/>
  <c r="Q138" i="51" a="1"/>
  <c r="Q138" i="51" s="1"/>
  <c r="Q133" i="51" a="1"/>
  <c r="Q133" i="51" s="1"/>
  <c r="Q170" i="51" a="1"/>
  <c r="Q170" i="51" s="1"/>
  <c r="Q141" i="51" a="1"/>
  <c r="Q141" i="51" s="1"/>
  <c r="Q128" i="51" a="1"/>
  <c r="Q128" i="51" s="1"/>
  <c r="Q158" i="51" a="1"/>
  <c r="Q158" i="51" s="1"/>
  <c r="Q160" i="51" a="1"/>
  <c r="Q160" i="51" s="1"/>
  <c r="Q150" i="51" a="1"/>
  <c r="Q150" i="51" s="1"/>
  <c r="Q175" i="51" a="1"/>
  <c r="Q175" i="51" s="1"/>
  <c r="Q166" i="51" a="1"/>
  <c r="Q166" i="51" s="1"/>
  <c r="Q154" i="51" a="1"/>
  <c r="Q154" i="51" s="1"/>
  <c r="Q177" i="51" a="1"/>
  <c r="Q177" i="51" s="1"/>
  <c r="Q165" i="51" a="1"/>
  <c r="Q165" i="51" s="1"/>
  <c r="Q148" i="51" a="1"/>
  <c r="Q148" i="51" s="1"/>
  <c r="Q167" i="51" a="1"/>
  <c r="Q167" i="51" s="1"/>
  <c r="Q178" i="51" a="1"/>
  <c r="Q178" i="51" s="1"/>
  <c r="Q146" i="51" a="1"/>
  <c r="Q146" i="51" s="1"/>
  <c r="Q145" i="51" a="1"/>
  <c r="Q145" i="51" s="1"/>
  <c r="Q149" i="51" a="1"/>
  <c r="Q149" i="51" s="1"/>
  <c r="Q124" i="51" a="1"/>
  <c r="Q124" i="51" s="1"/>
  <c r="Q153" i="51" a="1"/>
  <c r="Q153" i="51" s="1"/>
  <c r="Q182" i="51" a="1"/>
  <c r="Q182" i="51" s="1"/>
  <c r="Q155" i="51" a="1"/>
  <c r="Q155" i="51" s="1"/>
  <c r="Q162" i="51" a="1"/>
  <c r="Q162" i="51" s="1"/>
  <c r="Q151" i="51" a="1"/>
  <c r="Q151" i="51" s="1"/>
  <c r="Q171" i="51" a="1"/>
  <c r="Q171" i="51" s="1"/>
  <c r="Q136" i="51" a="1"/>
  <c r="Q136" i="51" s="1"/>
  <c r="Q156" i="51" a="1"/>
  <c r="Q156" i="51" s="1"/>
  <c r="Q176" i="51" a="1"/>
  <c r="Q176" i="51" s="1"/>
  <c r="Q127" i="51" a="1"/>
  <c r="Q127" i="51" s="1"/>
  <c r="Q181" i="51" a="1"/>
  <c r="Q181" i="51" s="1"/>
  <c r="Q163" i="51" a="1"/>
  <c r="Q163" i="51" s="1"/>
  <c r="Q147" i="51" a="1"/>
  <c r="Q147" i="51" s="1"/>
  <c r="Q169" i="51" a="1"/>
  <c r="Q169" i="51" s="1"/>
  <c r="Q161" i="51" a="1"/>
  <c r="Q161" i="51" s="1"/>
  <c r="Q144" i="51" a="1"/>
  <c r="Q144" i="51" s="1"/>
  <c r="Q159" i="51" a="1"/>
  <c r="Q159" i="51" s="1"/>
  <c r="Q172" i="51" a="1"/>
  <c r="Q172" i="51" s="1"/>
  <c r="Q173" i="51" a="1"/>
  <c r="Q173" i="51" s="1"/>
  <c r="Q134" i="51" a="1"/>
  <c r="Q134" i="51" s="1"/>
  <c r="Q179" i="51" a="1"/>
  <c r="Q179" i="51" s="1"/>
  <c r="Q125" i="51" a="1"/>
  <c r="Q125" i="51" s="1"/>
  <c r="Q157" i="51" a="1"/>
  <c r="Q157" i="51" s="1"/>
  <c r="Q168" i="51" a="1"/>
  <c r="Q168" i="51" s="1"/>
  <c r="Q139" i="51" a="1"/>
  <c r="Q139" i="51" s="1"/>
  <c r="Q174" i="51" a="1"/>
  <c r="Q174" i="51" s="1"/>
  <c r="Y162" i="51" a="1"/>
  <c r="Y162" i="51" s="1"/>
  <c r="Y136" i="51" a="1"/>
  <c r="Y136" i="51" s="1"/>
  <c r="Y144" i="51" a="1"/>
  <c r="Y144" i="51" s="1"/>
  <c r="Y165" i="51" a="1"/>
  <c r="Y165" i="51" s="1"/>
  <c r="Y171" i="51" a="1"/>
  <c r="Y171" i="51" s="1"/>
  <c r="Y142" i="51" a="1"/>
  <c r="Y142" i="51" s="1"/>
  <c r="Y146" i="51" a="1"/>
  <c r="Y146" i="51" s="1"/>
  <c r="Y173" i="51" a="1"/>
  <c r="Y173" i="51" s="1"/>
  <c r="Y152" i="51" a="1"/>
  <c r="Y152" i="51" s="1"/>
  <c r="Y168" i="51" a="1"/>
  <c r="Y168" i="51" s="1"/>
  <c r="Y166" i="51" a="1"/>
  <c r="Y166" i="51" s="1"/>
  <c r="Y141" i="51" a="1"/>
  <c r="Y141" i="51" s="1"/>
  <c r="Y145" i="51" a="1"/>
  <c r="Y145" i="51" s="1"/>
  <c r="Y124" i="51" a="1"/>
  <c r="Y124" i="51" s="1"/>
  <c r="Y153" i="51" a="1"/>
  <c r="Y153" i="51" s="1"/>
  <c r="Y143" i="51" a="1"/>
  <c r="Y143" i="51" s="1"/>
  <c r="Y159" i="51" a="1"/>
  <c r="Y159" i="51" s="1"/>
  <c r="Y182" i="51" a="1"/>
  <c r="Y182" i="51" s="1"/>
  <c r="Y156" i="51" a="1"/>
  <c r="Y156" i="51" s="1"/>
  <c r="Y149" i="51" a="1"/>
  <c r="Y149" i="51" s="1"/>
  <c r="Y151" i="51" a="1"/>
  <c r="Y151" i="51" s="1"/>
  <c r="Y167" i="51" a="1"/>
  <c r="Y167" i="51" s="1"/>
  <c r="Y128" i="51" a="1"/>
  <c r="Y128" i="51" s="1"/>
  <c r="Y170" i="51" a="1"/>
  <c r="Y170" i="51" s="1"/>
  <c r="Y127" i="51" a="1"/>
  <c r="Y127" i="51" s="1"/>
  <c r="Y137" i="51" a="1"/>
  <c r="Y137" i="51" s="1"/>
  <c r="Y177" i="51" a="1"/>
  <c r="Y177" i="51" s="1"/>
  <c r="Y157" i="51" a="1"/>
  <c r="Y157" i="51" s="1"/>
  <c r="Y133" i="51" a="1"/>
  <c r="Y133" i="51" s="1"/>
  <c r="Y178" i="51" a="1"/>
  <c r="Y178" i="51" s="1"/>
  <c r="Y175" i="51" a="1"/>
  <c r="Y175" i="51" s="1"/>
  <c r="Y158" i="51" a="1"/>
  <c r="Y158" i="51" s="1"/>
  <c r="Y139" i="51" a="1"/>
  <c r="Y139" i="51" s="1"/>
  <c r="Y134" i="51" a="1"/>
  <c r="Y134" i="51" s="1"/>
  <c r="Y172" i="51" a="1"/>
  <c r="Y172" i="51" s="1"/>
  <c r="Y138" i="51" a="1"/>
  <c r="Y138" i="51" s="1"/>
  <c r="Y160" i="51" a="1"/>
  <c r="Y160" i="51" s="1"/>
  <c r="Y176" i="51" a="1"/>
  <c r="Y176" i="51" s="1"/>
  <c r="Y147" i="51" a="1"/>
  <c r="Y147" i="51" s="1"/>
  <c r="Y174" i="51" a="1"/>
  <c r="Y174" i="51" s="1"/>
  <c r="Y163" i="51" a="1"/>
  <c r="Y163" i="51" s="1"/>
  <c r="Y169" i="51" a="1"/>
  <c r="Y169" i="51" s="1"/>
  <c r="Y181" i="51" a="1"/>
  <c r="Y181" i="51" s="1"/>
  <c r="Y135" i="51" a="1"/>
  <c r="Y135" i="51" s="1"/>
  <c r="Y155" i="51" a="1"/>
  <c r="Y155" i="51" s="1"/>
  <c r="Y161" i="51" a="1"/>
  <c r="Y161" i="51" s="1"/>
  <c r="Y148" i="51" a="1"/>
  <c r="Y148" i="51" s="1"/>
  <c r="Y179" i="51" a="1"/>
  <c r="Y179" i="51" s="1"/>
  <c r="Y154" i="51" a="1"/>
  <c r="Y154" i="51" s="1"/>
  <c r="Y164" i="51" a="1"/>
  <c r="Y164" i="51" s="1"/>
  <c r="Y125" i="51" a="1"/>
  <c r="Y125" i="51" s="1"/>
  <c r="Y150" i="51" a="1"/>
  <c r="Y150" i="51" s="1"/>
  <c r="Y140" i="51" a="1"/>
  <c r="Y140" i="51" s="1"/>
  <c r="Y180" i="51" a="1"/>
  <c r="Y180" i="51" s="1"/>
  <c r="S124" i="51" a="1"/>
  <c r="S124" i="51" s="1"/>
  <c r="S181" i="51" a="1"/>
  <c r="S181" i="51" s="1"/>
  <c r="S179" i="51" a="1"/>
  <c r="S179" i="51" s="1"/>
  <c r="S168" i="51" a="1"/>
  <c r="S168" i="51" s="1"/>
  <c r="S162" i="51" a="1"/>
  <c r="S162" i="51" s="1"/>
  <c r="S149" i="51" a="1"/>
  <c r="S149" i="51" s="1"/>
  <c r="S140" i="51" a="1"/>
  <c r="S140" i="51" s="1"/>
  <c r="S133" i="51" a="1"/>
  <c r="S133" i="51" s="1"/>
  <c r="S158" i="51" a="1"/>
  <c r="S158" i="51" s="1"/>
  <c r="S148" i="51" a="1"/>
  <c r="S148" i="51" s="1"/>
  <c r="S167" i="51" a="1"/>
  <c r="S167" i="51" s="1"/>
  <c r="S177" i="51" a="1"/>
  <c r="S177" i="51" s="1"/>
  <c r="S125" i="51" a="1"/>
  <c r="S125" i="51" s="1"/>
  <c r="S134" i="51" a="1"/>
  <c r="S134" i="51" s="1"/>
  <c r="S135" i="51" a="1"/>
  <c r="S135" i="51" s="1"/>
  <c r="S147" i="51" a="1"/>
  <c r="S147" i="51" s="1"/>
  <c r="S164" i="51" a="1"/>
  <c r="S164" i="51" s="1"/>
  <c r="S139" i="51" a="1"/>
  <c r="S139" i="51" s="1"/>
  <c r="S145" i="51" a="1"/>
  <c r="S145" i="51" s="1"/>
  <c r="S141" i="51" a="1"/>
  <c r="S141" i="51" s="1"/>
  <c r="S174" i="51" a="1"/>
  <c r="S174" i="51" s="1"/>
  <c r="S170" i="51" a="1"/>
  <c r="S170" i="51" s="1"/>
  <c r="S150" i="51" a="1"/>
  <c r="S150" i="51" s="1"/>
  <c r="S165" i="51" a="1"/>
  <c r="S165" i="51" s="1"/>
  <c r="S161" i="51" a="1"/>
  <c r="S161" i="51" s="1"/>
  <c r="S169" i="51" a="1"/>
  <c r="S169" i="51" s="1"/>
  <c r="S156" i="51" a="1"/>
  <c r="S156" i="51" s="1"/>
  <c r="S171" i="51" a="1"/>
  <c r="S171" i="51" s="1"/>
  <c r="S166" i="51" a="1"/>
  <c r="S166" i="51" s="1"/>
  <c r="S173" i="51" a="1"/>
  <c r="S173" i="51" s="1"/>
  <c r="S151" i="51" a="1"/>
  <c r="S151" i="51" s="1"/>
  <c r="S137" i="51" a="1"/>
  <c r="S137" i="51" s="1"/>
  <c r="S128" i="51" a="1"/>
  <c r="S128" i="51" s="1"/>
  <c r="S157" i="51" a="1"/>
  <c r="S157" i="51" s="1"/>
  <c r="S182" i="51" a="1"/>
  <c r="S182" i="51" s="1"/>
  <c r="S163" i="51" a="1"/>
  <c r="S163" i="51" s="1"/>
  <c r="S142" i="51" a="1"/>
  <c r="S142" i="51" s="1"/>
  <c r="S153" i="51" a="1"/>
  <c r="S153" i="51" s="1"/>
  <c r="S136" i="51" a="1"/>
  <c r="S136" i="51" s="1"/>
  <c r="S175" i="51" a="1"/>
  <c r="S175" i="51" s="1"/>
  <c r="S160" i="51" a="1"/>
  <c r="S160" i="51" s="1"/>
  <c r="S146" i="51" a="1"/>
  <c r="S146" i="51" s="1"/>
  <c r="S143" i="51" a="1"/>
  <c r="S143" i="51" s="1"/>
  <c r="S154" i="51" a="1"/>
  <c r="S154" i="51" s="1"/>
  <c r="S152" i="51" a="1"/>
  <c r="S152" i="51" s="1"/>
  <c r="S178" i="51" a="1"/>
  <c r="S178" i="51" s="1"/>
  <c r="S127" i="51" a="1"/>
  <c r="S127" i="51" s="1"/>
  <c r="S138" i="51" a="1"/>
  <c r="S138" i="51" s="1"/>
  <c r="S144" i="51" a="1"/>
  <c r="S144" i="51" s="1"/>
  <c r="S180" i="51" a="1"/>
  <c r="S180" i="51" s="1"/>
  <c r="S176" i="51" a="1"/>
  <c r="S176" i="51" s="1"/>
  <c r="S159" i="51" a="1"/>
  <c r="S159" i="51" s="1"/>
  <c r="S172" i="51" a="1"/>
  <c r="S172" i="51" s="1"/>
  <c r="S155" i="51" a="1"/>
  <c r="S155" i="51" s="1"/>
  <c r="R158" i="51" a="1"/>
  <c r="R158" i="51" s="1"/>
  <c r="R133" i="51" a="1"/>
  <c r="R133" i="51" s="1"/>
  <c r="R127" i="51" a="1"/>
  <c r="R127" i="51" s="1"/>
  <c r="R132" i="51" a="1"/>
  <c r="R132" i="51" s="1"/>
  <c r="AI147" i="51" s="1"/>
  <c r="R182" i="51" a="1"/>
  <c r="R182" i="51" s="1"/>
  <c r="R153" i="51" a="1"/>
  <c r="R153" i="51" s="1"/>
  <c r="R147" i="51" a="1"/>
  <c r="R147" i="51" s="1"/>
  <c r="R148" i="51" a="1"/>
  <c r="R148" i="51" s="1"/>
  <c r="R144" i="51" a="1"/>
  <c r="R144" i="51" s="1"/>
  <c r="R143" i="51" a="1"/>
  <c r="R143" i="51" s="1"/>
  <c r="R140" i="51" a="1"/>
  <c r="R140" i="51" s="1"/>
  <c r="R177" i="51" a="1"/>
  <c r="R177" i="51" s="1"/>
  <c r="R173" i="51" a="1"/>
  <c r="R173" i="51" s="1"/>
  <c r="R138" i="51" a="1"/>
  <c r="R138" i="51" s="1"/>
  <c r="R170" i="51" a="1"/>
  <c r="R170" i="51" s="1"/>
  <c r="R150" i="51" a="1"/>
  <c r="R150" i="51" s="1"/>
  <c r="R180" i="51" a="1"/>
  <c r="R180" i="51" s="1"/>
  <c r="R166" i="51" a="1"/>
  <c r="R166" i="51" s="1"/>
  <c r="R135" i="51" a="1"/>
  <c r="R135" i="51" s="1"/>
  <c r="R172" i="51" a="1"/>
  <c r="R172" i="51" s="1"/>
  <c r="R145" i="51" a="1"/>
  <c r="R145" i="51" s="1"/>
  <c r="R136" i="51" a="1"/>
  <c r="R136" i="51" s="1"/>
  <c r="R137" i="51" a="1"/>
  <c r="R137" i="51" s="1"/>
  <c r="R157" i="51" a="1"/>
  <c r="R157" i="51" s="1"/>
  <c r="R124" i="51" a="1"/>
  <c r="R124" i="51" s="1"/>
  <c r="R167" i="51" a="1"/>
  <c r="R167" i="51" s="1"/>
  <c r="R149" i="51" a="1"/>
  <c r="R149" i="51" s="1"/>
  <c r="R154" i="51" a="1"/>
  <c r="R154" i="51" s="1"/>
  <c r="R164" i="51" a="1"/>
  <c r="R164" i="51" s="1"/>
  <c r="R128" i="51" a="1"/>
  <c r="R128" i="51" s="1"/>
  <c r="R181" i="51" a="1"/>
  <c r="R181" i="51" s="1"/>
  <c r="R169" i="51" a="1"/>
  <c r="R169" i="51" s="1"/>
  <c r="R161" i="51" a="1"/>
  <c r="R161" i="51" s="1"/>
  <c r="R146" i="51" a="1"/>
  <c r="R146" i="51" s="1"/>
  <c r="R165" i="51" a="1"/>
  <c r="R165" i="51" s="1"/>
  <c r="R141" i="51" a="1"/>
  <c r="R141" i="51" s="1"/>
  <c r="R134" i="51" a="1"/>
  <c r="R134" i="51" s="1"/>
  <c r="R152" i="51" a="1"/>
  <c r="R152" i="51" s="1"/>
  <c r="R162" i="51" a="1"/>
  <c r="R162" i="51" s="1"/>
  <c r="R168" i="51" a="1"/>
  <c r="R168" i="51" s="1"/>
  <c r="R174" i="51" a="1"/>
  <c r="R174" i="51" s="1"/>
  <c r="R125" i="51" a="1"/>
  <c r="R125" i="51" s="1"/>
  <c r="R160" i="51" a="1"/>
  <c r="R160" i="51" s="1"/>
  <c r="R175" i="51" a="1"/>
  <c r="R175" i="51" s="1"/>
  <c r="R178" i="51" a="1"/>
  <c r="R178" i="51" s="1"/>
  <c r="R176" i="51" a="1"/>
  <c r="R176" i="51" s="1"/>
  <c r="R139" i="51" a="1"/>
  <c r="R139" i="51" s="1"/>
  <c r="R156" i="51" a="1"/>
  <c r="R156" i="51" s="1"/>
  <c r="R171" i="51" a="1"/>
  <c r="R171" i="51" s="1"/>
  <c r="R142" i="51" a="1"/>
  <c r="R142" i="51" s="1"/>
  <c r="R163" i="51" a="1"/>
  <c r="R163" i="51" s="1"/>
  <c r="R155" i="51" a="1"/>
  <c r="R155" i="51" s="1"/>
  <c r="R179" i="51" a="1"/>
  <c r="R179" i="51" s="1"/>
  <c r="R159" i="51" a="1"/>
  <c r="R159" i="51" s="1"/>
  <c r="R151" i="51" a="1"/>
  <c r="R151" i="51" s="1"/>
  <c r="Z143" i="51" a="1"/>
  <c r="Z143" i="51" s="1"/>
  <c r="Z134" i="51" a="1"/>
  <c r="Z134" i="51" s="1"/>
  <c r="Z173" i="51" a="1"/>
  <c r="Z173" i="51" s="1"/>
  <c r="Z178" i="51" a="1"/>
  <c r="Z178" i="51" s="1"/>
  <c r="Z170" i="51" a="1"/>
  <c r="Z170" i="51" s="1"/>
  <c r="Z133" i="51" a="1"/>
  <c r="Z133" i="51" s="1"/>
  <c r="Z144" i="51" a="1"/>
  <c r="Z144" i="51" s="1"/>
  <c r="Z161" i="51" a="1"/>
  <c r="Z161" i="51" s="1"/>
  <c r="Z160" i="51" a="1"/>
  <c r="Z160" i="51" s="1"/>
  <c r="Z146" i="51" a="1"/>
  <c r="Z146" i="51" s="1"/>
  <c r="Z135" i="51" a="1"/>
  <c r="Z135" i="51" s="1"/>
  <c r="Z147" i="51" a="1"/>
  <c r="Z147" i="51" s="1"/>
  <c r="Z150" i="51" a="1"/>
  <c r="Z150" i="51" s="1"/>
  <c r="Z171" i="51" a="1"/>
  <c r="Z171" i="51" s="1"/>
  <c r="Z136" i="51" a="1"/>
  <c r="Z136" i="51" s="1"/>
  <c r="Z127" i="51" a="1"/>
  <c r="Z127" i="51" s="1"/>
  <c r="Z176" i="51" a="1"/>
  <c r="Z176" i="51" s="1"/>
  <c r="Z145" i="51" a="1"/>
  <c r="Z145" i="51" s="1"/>
  <c r="Z157" i="51" a="1"/>
  <c r="Z157" i="51" s="1"/>
  <c r="Z125" i="51" a="1"/>
  <c r="Z125" i="51" s="1"/>
  <c r="Z139" i="51" a="1"/>
  <c r="Z139" i="51" s="1"/>
  <c r="Z148" i="51" a="1"/>
  <c r="Z148" i="51" s="1"/>
  <c r="Z172" i="51" a="1"/>
  <c r="Z172" i="51" s="1"/>
  <c r="Z163" i="51" a="1"/>
  <c r="Z163" i="51" s="1"/>
  <c r="Z158" i="51" a="1"/>
  <c r="Z158" i="51" s="1"/>
  <c r="Z151" i="51" a="1"/>
  <c r="Z151" i="51" s="1"/>
  <c r="Z162" i="51" a="1"/>
  <c r="Z162" i="51" s="1"/>
  <c r="Z141" i="51" a="1"/>
  <c r="Z141" i="51" s="1"/>
  <c r="Z156" i="51" a="1"/>
  <c r="Z156" i="51" s="1"/>
  <c r="Z174" i="51" a="1"/>
  <c r="Z174" i="51" s="1"/>
  <c r="Z180" i="51" a="1"/>
  <c r="Z180" i="51" s="1"/>
  <c r="Z138" i="51" a="1"/>
  <c r="Z138" i="51" s="1"/>
  <c r="Z182" i="51" a="1"/>
  <c r="Z182" i="51" s="1"/>
  <c r="Z165" i="51" a="1"/>
  <c r="Z165" i="51" s="1"/>
  <c r="Z159" i="51" a="1"/>
  <c r="Z159" i="51" s="1"/>
  <c r="Z140" i="51" a="1"/>
  <c r="Z140" i="51" s="1"/>
  <c r="Z137" i="51" a="1"/>
  <c r="Z137" i="51" s="1"/>
  <c r="Z142" i="51" a="1"/>
  <c r="Z142" i="51" s="1"/>
  <c r="Z153" i="51" a="1"/>
  <c r="Z153" i="51" s="1"/>
  <c r="Z155" i="51" a="1"/>
  <c r="Z155" i="51" s="1"/>
  <c r="Z154" i="51" a="1"/>
  <c r="Z154" i="51" s="1"/>
  <c r="Z169" i="51" a="1"/>
  <c r="Z169" i="51" s="1"/>
  <c r="Z175" i="51" a="1"/>
  <c r="Z175" i="51" s="1"/>
  <c r="Z149" i="51" a="1"/>
  <c r="Z149" i="51" s="1"/>
  <c r="Z167" i="51" a="1"/>
  <c r="Z167" i="51" s="1"/>
  <c r="Z164" i="51" a="1"/>
  <c r="Z164" i="51" s="1"/>
  <c r="Z152" i="51" a="1"/>
  <c r="Z152" i="51" s="1"/>
  <c r="Z181" i="51" a="1"/>
  <c r="Z181" i="51" s="1"/>
  <c r="Z168" i="51" a="1"/>
  <c r="Z168" i="51" s="1"/>
  <c r="Z179" i="51" a="1"/>
  <c r="Z179" i="51" s="1"/>
  <c r="Z128" i="51" a="1"/>
  <c r="Z128" i="51" s="1"/>
  <c r="Z166" i="51" a="1"/>
  <c r="Z166" i="51" s="1"/>
  <c r="Z177" i="51" a="1"/>
  <c r="Z177" i="51" s="1"/>
  <c r="Z124" i="51" a="1"/>
  <c r="Z124" i="51" s="1"/>
  <c r="U170" i="51" a="1"/>
  <c r="U170" i="51" s="1"/>
  <c r="U145" i="51" a="1"/>
  <c r="U145" i="51" s="1"/>
  <c r="U137" i="51" a="1"/>
  <c r="U137" i="51" s="1"/>
  <c r="U167" i="51" a="1"/>
  <c r="U167" i="51" s="1"/>
  <c r="U133" i="51" a="1"/>
  <c r="U133" i="51" s="1"/>
  <c r="U140" i="51" a="1"/>
  <c r="U140" i="51" s="1"/>
  <c r="U161" i="51" a="1"/>
  <c r="U161" i="51" s="1"/>
  <c r="U136" i="51" a="1"/>
  <c r="U136" i="51" s="1"/>
  <c r="U153" i="51" a="1"/>
  <c r="U153" i="51" s="1"/>
  <c r="U163" i="51" a="1"/>
  <c r="U163" i="51" s="1"/>
  <c r="U158" i="51" a="1"/>
  <c r="U158" i="51" s="1"/>
  <c r="U143" i="51" a="1"/>
  <c r="U143" i="51" s="1"/>
  <c r="U181" i="51" a="1"/>
  <c r="U181" i="51" s="1"/>
  <c r="U152" i="51" a="1"/>
  <c r="U152" i="51" s="1"/>
  <c r="U166" i="51" a="1"/>
  <c r="U166" i="51" s="1"/>
  <c r="U171" i="51" a="1"/>
  <c r="U171" i="51" s="1"/>
  <c r="U157" i="51" a="1"/>
  <c r="U157" i="51" s="1"/>
  <c r="U154" i="51" a="1"/>
  <c r="U154" i="51" s="1"/>
  <c r="U149" i="51" a="1"/>
  <c r="U149" i="51" s="1"/>
  <c r="U128" i="51" a="1"/>
  <c r="U128" i="51" s="1"/>
  <c r="U159" i="51" a="1"/>
  <c r="U159" i="51" s="1"/>
  <c r="U175" i="51" a="1"/>
  <c r="U175" i="51" s="1"/>
  <c r="U151" i="51" a="1"/>
  <c r="U151" i="51" s="1"/>
  <c r="U141" i="51" a="1"/>
  <c r="U141" i="51" s="1"/>
  <c r="U138" i="51" a="1"/>
  <c r="U138" i="51" s="1"/>
  <c r="U147" i="51" a="1"/>
  <c r="U147" i="51" s="1"/>
  <c r="U174" i="51" a="1"/>
  <c r="U174" i="51" s="1"/>
  <c r="U146" i="51" a="1"/>
  <c r="U146" i="51" s="1"/>
  <c r="U165" i="51" a="1"/>
  <c r="U165" i="51" s="1"/>
  <c r="U124" i="51" a="1"/>
  <c r="U124" i="51" s="1"/>
  <c r="U155" i="51" a="1"/>
  <c r="U155" i="51" s="1"/>
  <c r="U125" i="51" a="1"/>
  <c r="U125" i="51" s="1"/>
  <c r="U172" i="51" a="1"/>
  <c r="U172" i="51" s="1"/>
  <c r="U180" i="51" a="1"/>
  <c r="U180" i="51" s="1"/>
  <c r="U142" i="51" a="1"/>
  <c r="U142" i="51" s="1"/>
  <c r="U156" i="51" a="1"/>
  <c r="U156" i="51" s="1"/>
  <c r="U164" i="51" a="1"/>
  <c r="U164" i="51" s="1"/>
  <c r="U168" i="51" a="1"/>
  <c r="U168" i="51" s="1"/>
  <c r="U162" i="51" a="1"/>
  <c r="U162" i="51" s="1"/>
  <c r="U144" i="51" a="1"/>
  <c r="U144" i="51" s="1"/>
  <c r="U150" i="51" a="1"/>
  <c r="U150" i="51" s="1"/>
  <c r="U127" i="51" a="1"/>
  <c r="U127" i="51" s="1"/>
  <c r="U182" i="51" a="1"/>
  <c r="U182" i="51" s="1"/>
  <c r="U135" i="51" a="1"/>
  <c r="U135" i="51" s="1"/>
  <c r="U179" i="51" a="1"/>
  <c r="U179" i="51" s="1"/>
  <c r="U139" i="51" a="1"/>
  <c r="U139" i="51" s="1"/>
  <c r="U169" i="51" a="1"/>
  <c r="U169" i="51" s="1"/>
  <c r="U173" i="51" a="1"/>
  <c r="U173" i="51" s="1"/>
  <c r="U160" i="51" a="1"/>
  <c r="U160" i="51" s="1"/>
  <c r="U177" i="51" a="1"/>
  <c r="U177" i="51" s="1"/>
  <c r="U134" i="51" a="1"/>
  <c r="U134" i="51" s="1"/>
  <c r="U178" i="51" a="1"/>
  <c r="U178" i="51" s="1"/>
  <c r="U176" i="51" a="1"/>
  <c r="U176" i="51" s="1"/>
  <c r="U148" i="51" a="1"/>
  <c r="U148" i="51" s="1"/>
  <c r="O141" i="51" a="1"/>
  <c r="O141" i="51" s="1"/>
  <c r="O149" i="51" a="1"/>
  <c r="O149" i="51" s="1"/>
  <c r="O159" i="51" a="1"/>
  <c r="O159" i="51" s="1"/>
  <c r="O142" i="51" a="1"/>
  <c r="O142" i="51" s="1"/>
  <c r="O177" i="51" a="1"/>
  <c r="O177" i="51" s="1"/>
  <c r="O158" i="51" a="1"/>
  <c r="O158" i="51" s="1"/>
  <c r="O172" i="51" a="1"/>
  <c r="O172" i="51" s="1"/>
  <c r="O139" i="51" a="1"/>
  <c r="O139" i="51" s="1"/>
  <c r="O128" i="51" a="1"/>
  <c r="O128" i="51" s="1"/>
  <c r="O138" i="51" a="1"/>
  <c r="O138" i="51" s="1"/>
  <c r="O179" i="51" a="1"/>
  <c r="O179" i="51" s="1"/>
  <c r="O174" i="51" a="1"/>
  <c r="O174" i="51" s="1"/>
  <c r="O127" i="51" a="1"/>
  <c r="O127" i="51" s="1"/>
  <c r="O164" i="51" a="1"/>
  <c r="O164" i="51" s="1"/>
  <c r="O176" i="51" a="1"/>
  <c r="O176" i="51" s="1"/>
  <c r="O152" i="51" a="1"/>
  <c r="O152" i="51" s="1"/>
  <c r="O134" i="51" a="1"/>
  <c r="O134" i="51" s="1"/>
  <c r="O146" i="51" a="1"/>
  <c r="O146" i="51" s="1"/>
  <c r="O145" i="51" a="1"/>
  <c r="O145" i="51" s="1"/>
  <c r="O162" i="51" a="1"/>
  <c r="O162" i="51" s="1"/>
  <c r="O153" i="51" a="1"/>
  <c r="O153" i="51" s="1"/>
  <c r="O173" i="51" a="1"/>
  <c r="O173" i="51" s="1"/>
  <c r="O181" i="51" a="1"/>
  <c r="O181" i="51" s="1"/>
  <c r="O151" i="51" a="1"/>
  <c r="O151" i="51" s="1"/>
  <c r="O163" i="51" a="1"/>
  <c r="O163" i="51" s="1"/>
  <c r="O166" i="51" a="1"/>
  <c r="O166" i="51" s="1"/>
  <c r="O125" i="51" a="1"/>
  <c r="O125" i="51" s="1"/>
  <c r="O137" i="51" a="1"/>
  <c r="O137" i="51" s="1"/>
  <c r="O157" i="51" a="1"/>
  <c r="O157" i="51" s="1"/>
  <c r="O133" i="51" a="1"/>
  <c r="O133" i="51" s="1"/>
  <c r="O167" i="51" a="1"/>
  <c r="O167" i="51" s="1"/>
  <c r="O178" i="51" a="1"/>
  <c r="O178" i="51" s="1"/>
  <c r="O165" i="51" a="1"/>
  <c r="O165" i="51" s="1"/>
  <c r="O136" i="51" a="1"/>
  <c r="O136" i="51" s="1"/>
  <c r="O156" i="51" a="1"/>
  <c r="O156" i="51" s="1"/>
  <c r="O182" i="51" a="1"/>
  <c r="O182" i="51" s="1"/>
  <c r="O171" i="51" a="1"/>
  <c r="O171" i="51" s="1"/>
  <c r="O124" i="51" a="1"/>
  <c r="O124" i="51" s="1"/>
  <c r="O144" i="51" a="1"/>
  <c r="O144" i="51" s="1"/>
  <c r="O143" i="51" a="1"/>
  <c r="O143" i="51" s="1"/>
  <c r="O175" i="51" a="1"/>
  <c r="O175" i="51" s="1"/>
  <c r="O150" i="51" a="1"/>
  <c r="O150" i="51" s="1"/>
  <c r="O140" i="51" a="1"/>
  <c r="O140" i="51" s="1"/>
  <c r="O161" i="51" a="1"/>
  <c r="O161" i="51" s="1"/>
  <c r="O169" i="51" a="1"/>
  <c r="O169" i="51" s="1"/>
  <c r="O154" i="51" a="1"/>
  <c r="O154" i="51" s="1"/>
  <c r="O147" i="51" a="1"/>
  <c r="O147" i="51" s="1"/>
  <c r="O180" i="51" a="1"/>
  <c r="O180" i="51" s="1"/>
  <c r="O160" i="51" a="1"/>
  <c r="O160" i="51" s="1"/>
  <c r="O170" i="51" a="1"/>
  <c r="O170" i="51" s="1"/>
  <c r="O135" i="51" a="1"/>
  <c r="O135" i="51" s="1"/>
  <c r="O155" i="51" a="1"/>
  <c r="O155" i="51" s="1"/>
  <c r="O148" i="51" a="1"/>
  <c r="O148" i="51" s="1"/>
  <c r="O168" i="51" a="1"/>
  <c r="O168" i="51" s="1"/>
  <c r="V149" i="51" a="1"/>
  <c r="V149" i="51" s="1"/>
  <c r="V136" i="51" a="1"/>
  <c r="V136" i="51" s="1"/>
  <c r="V127" i="51" a="1"/>
  <c r="V127" i="51" s="1"/>
  <c r="V148" i="51" a="1"/>
  <c r="V148" i="51" s="1"/>
  <c r="V179" i="51" a="1"/>
  <c r="V179" i="51" s="1"/>
  <c r="V167" i="51" a="1"/>
  <c r="V167" i="51" s="1"/>
  <c r="V144" i="51" a="1"/>
  <c r="V144" i="51" s="1"/>
  <c r="V125" i="51" a="1"/>
  <c r="V125" i="51" s="1"/>
  <c r="V150" i="51" a="1"/>
  <c r="V150" i="51" s="1"/>
  <c r="V173" i="51" a="1"/>
  <c r="V173" i="51" s="1"/>
  <c r="V134" i="51" a="1"/>
  <c r="V134" i="51" s="1"/>
  <c r="V141" i="51" a="1"/>
  <c r="V141" i="51" s="1"/>
  <c r="V151" i="51" a="1"/>
  <c r="V151" i="51" s="1"/>
  <c r="V156" i="51" a="1"/>
  <c r="V156" i="51" s="1"/>
  <c r="V171" i="51" a="1"/>
  <c r="V171" i="51" s="1"/>
  <c r="V169" i="51" a="1"/>
  <c r="V169" i="51" s="1"/>
  <c r="V162" i="51" a="1"/>
  <c r="V162" i="51" s="1"/>
  <c r="V165" i="51" a="1"/>
  <c r="V165" i="51" s="1"/>
  <c r="V135" i="51" a="1"/>
  <c r="V135" i="51" s="1"/>
  <c r="V146" i="51" a="1"/>
  <c r="V146" i="51" s="1"/>
  <c r="V157" i="51" a="1"/>
  <c r="V157" i="51" s="1"/>
  <c r="V178" i="51" a="1"/>
  <c r="V178" i="51" s="1"/>
  <c r="V133" i="51" a="1"/>
  <c r="V133" i="51" s="1"/>
  <c r="V147" i="51" a="1"/>
  <c r="V147" i="51" s="1"/>
  <c r="V160" i="51" a="1"/>
  <c r="V160" i="51" s="1"/>
  <c r="V177" i="51" a="1"/>
  <c r="V177" i="51" s="1"/>
  <c r="V132" i="51" a="1"/>
  <c r="V132" i="51" s="1"/>
  <c r="AM147" i="51" s="1"/>
  <c r="V170" i="51" a="1"/>
  <c r="V170" i="51" s="1"/>
  <c r="V172" i="51" a="1"/>
  <c r="V172" i="51" s="1"/>
  <c r="V168" i="51" a="1"/>
  <c r="V168" i="51" s="1"/>
  <c r="V128" i="51" a="1"/>
  <c r="V128" i="51" s="1"/>
  <c r="V176" i="51" a="1"/>
  <c r="V176" i="51" s="1"/>
  <c r="V154" i="51" a="1"/>
  <c r="V154" i="51" s="1"/>
  <c r="V161" i="51" a="1"/>
  <c r="V161" i="51" s="1"/>
  <c r="V182" i="51" a="1"/>
  <c r="V182" i="51" s="1"/>
  <c r="V163" i="51" a="1"/>
  <c r="V163" i="51" s="1"/>
  <c r="V164" i="51" a="1"/>
  <c r="V164" i="51" s="1"/>
  <c r="V124" i="51" a="1"/>
  <c r="V124" i="51" s="1"/>
  <c r="V143" i="51" a="1"/>
  <c r="V143" i="51" s="1"/>
  <c r="V152" i="51" a="1"/>
  <c r="V152" i="51" s="1"/>
  <c r="V145" i="51" a="1"/>
  <c r="V145" i="51" s="1"/>
  <c r="V166" i="51" a="1"/>
  <c r="V166" i="51" s="1"/>
  <c r="V138" i="51" a="1"/>
  <c r="V138" i="51" s="1"/>
  <c r="V174" i="51" a="1"/>
  <c r="V174" i="51" s="1"/>
  <c r="V180" i="51" a="1"/>
  <c r="V180" i="51" s="1"/>
  <c r="V142" i="51" a="1"/>
  <c r="V142" i="51" s="1"/>
  <c r="V175" i="51" a="1"/>
  <c r="V175" i="51" s="1"/>
  <c r="V181" i="51" a="1"/>
  <c r="V181" i="51" s="1"/>
  <c r="V159" i="51" a="1"/>
  <c r="V159" i="51" s="1"/>
  <c r="V140" i="51" a="1"/>
  <c r="V140" i="51" s="1"/>
  <c r="V155" i="51" a="1"/>
  <c r="V155" i="51" s="1"/>
  <c r="V139" i="51" a="1"/>
  <c r="V139" i="51" s="1"/>
  <c r="V137" i="51" a="1"/>
  <c r="V137" i="51" s="1"/>
  <c r="V158" i="51" a="1"/>
  <c r="V158" i="51" s="1"/>
  <c r="V153" i="51" a="1"/>
  <c r="V153" i="51" s="1"/>
  <c r="W124" i="51" a="1"/>
  <c r="W124" i="51" s="1"/>
  <c r="W172" i="51" a="1"/>
  <c r="W172" i="51" s="1"/>
  <c r="W179" i="51" a="1"/>
  <c r="W179" i="51" s="1"/>
  <c r="W161" i="51" a="1"/>
  <c r="W161" i="51" s="1"/>
  <c r="W168" i="51" a="1"/>
  <c r="W168" i="51" s="1"/>
  <c r="W177" i="51" a="1"/>
  <c r="W177" i="51" s="1"/>
  <c r="W167" i="51" a="1"/>
  <c r="W167" i="51" s="1"/>
  <c r="W163" i="51" a="1"/>
  <c r="W163" i="51" s="1"/>
  <c r="W158" i="51" a="1"/>
  <c r="W158" i="51" s="1"/>
  <c r="W139" i="51" a="1"/>
  <c r="W139" i="51" s="1"/>
  <c r="W146" i="51" a="1"/>
  <c r="W146" i="51" s="1"/>
  <c r="W154" i="51" a="1"/>
  <c r="W154" i="51" s="1"/>
  <c r="W166" i="51" a="1"/>
  <c r="W166" i="51" s="1"/>
  <c r="W175" i="51" a="1"/>
  <c r="W175" i="51" s="1"/>
  <c r="W150" i="51" a="1"/>
  <c r="W150" i="51" s="1"/>
  <c r="W144" i="51" a="1"/>
  <c r="W144" i="51" s="1"/>
  <c r="W180" i="51" a="1"/>
  <c r="W180" i="51" s="1"/>
  <c r="W178" i="51" a="1"/>
  <c r="W178" i="51" s="1"/>
  <c r="W132" i="51" a="1"/>
  <c r="W132" i="51" s="1"/>
  <c r="AN147" i="51" s="1"/>
  <c r="W127" i="51" a="1"/>
  <c r="W127" i="51" s="1"/>
  <c r="W182" i="51" a="1"/>
  <c r="W182" i="51" s="1"/>
  <c r="W151" i="51" a="1"/>
  <c r="W151" i="51" s="1"/>
  <c r="W152" i="51" a="1"/>
  <c r="W152" i="51" s="1"/>
  <c r="W160" i="51" a="1"/>
  <c r="W160" i="51" s="1"/>
  <c r="W140" i="51" a="1"/>
  <c r="W140" i="51" s="1"/>
  <c r="W149" i="51" a="1"/>
  <c r="W149" i="51" s="1"/>
  <c r="W153" i="51" a="1"/>
  <c r="W153" i="51" s="1"/>
  <c r="W136" i="51" a="1"/>
  <c r="W136" i="51" s="1"/>
  <c r="W173" i="51" a="1"/>
  <c r="W173" i="51" s="1"/>
  <c r="W157" i="51" a="1"/>
  <c r="W157" i="51" s="1"/>
  <c r="W169" i="51" a="1"/>
  <c r="W169" i="51" s="1"/>
  <c r="W164" i="51" a="1"/>
  <c r="W164" i="51" s="1"/>
  <c r="W142" i="51" a="1"/>
  <c r="W142" i="51" s="1"/>
  <c r="W176" i="51" a="1"/>
  <c r="W176" i="51" s="1"/>
  <c r="W171" i="51" a="1"/>
  <c r="W171" i="51" s="1"/>
  <c r="W162" i="51" a="1"/>
  <c r="W162" i="51" s="1"/>
  <c r="W137" i="51" a="1"/>
  <c r="W137" i="51" s="1"/>
  <c r="W147" i="51" a="1"/>
  <c r="W147" i="51" s="1"/>
  <c r="W141" i="51" a="1"/>
  <c r="W141" i="51" s="1"/>
  <c r="W134" i="51" a="1"/>
  <c r="W134" i="51" s="1"/>
  <c r="W135" i="51" a="1"/>
  <c r="W135" i="51" s="1"/>
  <c r="W133" i="51" a="1"/>
  <c r="W133" i="51" s="1"/>
  <c r="W159" i="51" a="1"/>
  <c r="W159" i="51" s="1"/>
  <c r="W145" i="51" a="1"/>
  <c r="W145" i="51" s="1"/>
  <c r="W155" i="51" a="1"/>
  <c r="W155" i="51" s="1"/>
  <c r="W138" i="51" a="1"/>
  <c r="W138" i="51" s="1"/>
  <c r="W148" i="51" a="1"/>
  <c r="W148" i="51" s="1"/>
  <c r="W128" i="51" a="1"/>
  <c r="W128" i="51" s="1"/>
  <c r="W170" i="51" a="1"/>
  <c r="W170" i="51" s="1"/>
  <c r="W165" i="51" a="1"/>
  <c r="W165" i="51" s="1"/>
  <c r="W143" i="51" a="1"/>
  <c r="W143" i="51" s="1"/>
  <c r="W174" i="51" a="1"/>
  <c r="W174" i="51" s="1"/>
  <c r="W181" i="51" a="1"/>
  <c r="W181" i="51" s="1"/>
  <c r="W125" i="51" a="1"/>
  <c r="W125" i="51" s="1"/>
  <c r="W156" i="51" a="1"/>
  <c r="W156" i="51" s="1"/>
  <c r="T163" i="51" a="1"/>
  <c r="T163" i="51" s="1"/>
  <c r="T139" i="51" a="1"/>
  <c r="T139" i="51" s="1"/>
  <c r="T155" i="51" a="1"/>
  <c r="T155" i="51" s="1"/>
  <c r="T162" i="51" a="1"/>
  <c r="T162" i="51" s="1"/>
  <c r="T165" i="51" a="1"/>
  <c r="T165" i="51" s="1"/>
  <c r="T147" i="51" a="1"/>
  <c r="T147" i="51" s="1"/>
  <c r="T167" i="51" a="1"/>
  <c r="T167" i="51" s="1"/>
  <c r="T146" i="51" a="1"/>
  <c r="T146" i="51" s="1"/>
  <c r="T134" i="51" a="1"/>
  <c r="T134" i="51" s="1"/>
  <c r="T164" i="51" a="1"/>
  <c r="T164" i="51" s="1"/>
  <c r="T144" i="51" a="1"/>
  <c r="T144" i="51" s="1"/>
  <c r="T128" i="51" a="1"/>
  <c r="T128" i="51" s="1"/>
  <c r="T171" i="51" a="1"/>
  <c r="T171" i="51" s="1"/>
  <c r="T177" i="51" a="1"/>
  <c r="T177" i="51" s="1"/>
  <c r="T137" i="51" a="1"/>
  <c r="T137" i="51" s="1"/>
  <c r="T169" i="51" a="1"/>
  <c r="T169" i="51" s="1"/>
  <c r="T141" i="51" a="1"/>
  <c r="T141" i="51" s="1"/>
  <c r="T173" i="51" a="1"/>
  <c r="T173" i="51" s="1"/>
  <c r="T159" i="51" a="1"/>
  <c r="T159" i="51" s="1"/>
  <c r="T182" i="51" a="1"/>
  <c r="T182" i="51" s="1"/>
  <c r="T127" i="51" a="1"/>
  <c r="T127" i="51" s="1"/>
  <c r="T143" i="51" a="1"/>
  <c r="T143" i="51" s="1"/>
  <c r="T160" i="51" a="1"/>
  <c r="T160" i="51" s="1"/>
  <c r="T156" i="51" a="1"/>
  <c r="T156" i="51" s="1"/>
  <c r="T166" i="51" a="1"/>
  <c r="T166" i="51" s="1"/>
  <c r="T170" i="51" a="1"/>
  <c r="T170" i="51" s="1"/>
  <c r="T158" i="51" a="1"/>
  <c r="T158" i="51" s="1"/>
  <c r="T175" i="51" a="1"/>
  <c r="T175" i="51" s="1"/>
  <c r="T124" i="51" a="1"/>
  <c r="T124" i="51" s="1"/>
  <c r="T181" i="51" a="1"/>
  <c r="T181" i="51" s="1"/>
  <c r="T180" i="51" a="1"/>
  <c r="T180" i="51" s="1"/>
  <c r="T174" i="51" a="1"/>
  <c r="T174" i="51" s="1"/>
  <c r="T149" i="51" a="1"/>
  <c r="T149" i="51" s="1"/>
  <c r="T157" i="51" a="1"/>
  <c r="T157" i="51" s="1"/>
  <c r="T161" i="51" a="1"/>
  <c r="T161" i="51" s="1"/>
  <c r="T154" i="51" a="1"/>
  <c r="T154" i="51" s="1"/>
  <c r="T176" i="51" a="1"/>
  <c r="T176" i="51" s="1"/>
  <c r="T153" i="51" a="1"/>
  <c r="T153" i="51" s="1"/>
  <c r="T142" i="51" a="1"/>
  <c r="T142" i="51" s="1"/>
  <c r="T179" i="51" a="1"/>
  <c r="T179" i="51" s="1"/>
  <c r="T133" i="51" a="1"/>
  <c r="T133" i="51" s="1"/>
  <c r="T136" i="51" a="1"/>
  <c r="T136" i="51" s="1"/>
  <c r="T178" i="51" a="1"/>
  <c r="T178" i="51" s="1"/>
  <c r="T152" i="51" a="1"/>
  <c r="T152" i="51" s="1"/>
  <c r="T135" i="51" a="1"/>
  <c r="T135" i="51" s="1"/>
  <c r="T172" i="51" a="1"/>
  <c r="T172" i="51" s="1"/>
  <c r="T151" i="51" a="1"/>
  <c r="T151" i="51" s="1"/>
  <c r="T150" i="51" a="1"/>
  <c r="T150" i="51" s="1"/>
  <c r="T145" i="51" a="1"/>
  <c r="T145" i="51" s="1"/>
  <c r="T148" i="51" a="1"/>
  <c r="T148" i="51" s="1"/>
  <c r="T140" i="51" a="1"/>
  <c r="T140" i="51" s="1"/>
  <c r="T168" i="51" a="1"/>
  <c r="T168" i="51" s="1"/>
  <c r="T125" i="51" a="1"/>
  <c r="T125" i="51" s="1"/>
  <c r="T138" i="51" a="1"/>
  <c r="T138" i="51" s="1"/>
  <c r="P175" i="51" a="1"/>
  <c r="P175" i="51" s="1"/>
  <c r="P146" i="51" a="1"/>
  <c r="P146" i="51" s="1"/>
  <c r="P136" i="51" a="1"/>
  <c r="P136" i="51" s="1"/>
  <c r="P173" i="51" a="1"/>
  <c r="P173" i="51" s="1"/>
  <c r="P181" i="51" a="1"/>
  <c r="P181" i="51" s="1"/>
  <c r="P147" i="51" a="1"/>
  <c r="P147" i="51" s="1"/>
  <c r="P153" i="51" a="1"/>
  <c r="P153" i="51" s="1"/>
  <c r="P137" i="51" a="1"/>
  <c r="P137" i="51" s="1"/>
  <c r="P135" i="51" a="1"/>
  <c r="P135" i="51" s="1"/>
  <c r="P148" i="51" a="1"/>
  <c r="P148" i="51" s="1"/>
  <c r="P127" i="51" a="1"/>
  <c r="P127" i="51" s="1"/>
  <c r="P125" i="51" a="1"/>
  <c r="P125" i="51" s="1"/>
  <c r="P168" i="51" a="1"/>
  <c r="P168" i="51" s="1"/>
  <c r="P171" i="51" a="1"/>
  <c r="P171" i="51" s="1"/>
  <c r="P182" i="51" a="1"/>
  <c r="P182" i="51" s="1"/>
  <c r="P158" i="51" a="1"/>
  <c r="P158" i="51" s="1"/>
  <c r="P166" i="51" a="1"/>
  <c r="P166" i="51" s="1"/>
  <c r="P172" i="51" a="1"/>
  <c r="P172" i="51" s="1"/>
  <c r="P177" i="51" a="1"/>
  <c r="P177" i="51" s="1"/>
  <c r="P162" i="51" a="1"/>
  <c r="P162" i="51" s="1"/>
  <c r="P145" i="51" a="1"/>
  <c r="P145" i="51" s="1"/>
  <c r="P149" i="51" a="1"/>
  <c r="P149" i="51" s="1"/>
  <c r="P144" i="51" a="1"/>
  <c r="P144" i="51" s="1"/>
  <c r="P133" i="51" a="1"/>
  <c r="P133" i="51" s="1"/>
  <c r="P161" i="51" a="1"/>
  <c r="P161" i="51" s="1"/>
  <c r="P167" i="51" a="1"/>
  <c r="P167" i="51" s="1"/>
  <c r="P128" i="51" a="1"/>
  <c r="P128" i="51" s="1"/>
  <c r="P180" i="51" a="1"/>
  <c r="P180" i="51" s="1"/>
  <c r="P170" i="51" a="1"/>
  <c r="P170" i="51" s="1"/>
  <c r="P159" i="51" a="1"/>
  <c r="P159" i="51" s="1"/>
  <c r="P138" i="51" a="1"/>
  <c r="P138" i="51" s="1"/>
  <c r="P139" i="51" a="1"/>
  <c r="P139" i="51" s="1"/>
  <c r="P156" i="51" a="1"/>
  <c r="P156" i="51" s="1"/>
  <c r="P134" i="51" a="1"/>
  <c r="P134" i="51" s="1"/>
  <c r="P165" i="51" a="1"/>
  <c r="P165" i="51" s="1"/>
  <c r="P141" i="51" a="1"/>
  <c r="P141" i="51" s="1"/>
  <c r="P150" i="51" a="1"/>
  <c r="P150" i="51" s="1"/>
  <c r="P140" i="51" a="1"/>
  <c r="P140" i="51" s="1"/>
  <c r="P143" i="51" a="1"/>
  <c r="P143" i="51" s="1"/>
  <c r="P179" i="51" a="1"/>
  <c r="P179" i="51" s="1"/>
  <c r="P163" i="51" a="1"/>
  <c r="P163" i="51" s="1"/>
  <c r="P155" i="51" a="1"/>
  <c r="P155" i="51" s="1"/>
  <c r="P164" i="51" a="1"/>
  <c r="P164" i="51" s="1"/>
  <c r="P169" i="51" a="1"/>
  <c r="P169" i="51" s="1"/>
  <c r="P142" i="51" a="1"/>
  <c r="P142" i="51" s="1"/>
  <c r="P124" i="51" a="1"/>
  <c r="P124" i="51" s="1"/>
  <c r="P151" i="51" a="1"/>
  <c r="P151" i="51" s="1"/>
  <c r="P160" i="51" a="1"/>
  <c r="P160" i="51" s="1"/>
  <c r="P176" i="51" a="1"/>
  <c r="P176" i="51" s="1"/>
  <c r="P154" i="51" a="1"/>
  <c r="P154" i="51" s="1"/>
  <c r="P152" i="51" a="1"/>
  <c r="P152" i="51" s="1"/>
  <c r="P157" i="51" a="1"/>
  <c r="P157" i="51" s="1"/>
  <c r="P174" i="51" a="1"/>
  <c r="P174" i="51" s="1"/>
  <c r="P178" i="51" a="1"/>
  <c r="P178" i="51" s="1"/>
  <c r="P132" i="51" a="1"/>
  <c r="P132" i="51" s="1"/>
  <c r="AG147" i="51" s="1"/>
  <c r="AB95" i="51"/>
  <c r="AB98" i="51" s="1"/>
  <c r="P110" i="21"/>
  <c r="P110" i="22"/>
  <c r="P110" i="19"/>
  <c r="P110" i="20"/>
  <c r="P110" i="17"/>
  <c r="P110" i="18"/>
  <c r="P110" i="15"/>
  <c r="P110" i="16"/>
  <c r="P110" i="13"/>
  <c r="P110" i="14"/>
  <c r="P110" i="11"/>
  <c r="P110" i="12"/>
  <c r="P110" i="9"/>
  <c r="P110" i="10"/>
  <c r="P110" i="7"/>
  <c r="P110" i="8"/>
  <c r="P110" i="5"/>
  <c r="P110" i="6"/>
  <c r="P110" i="4"/>
  <c r="K43" i="51"/>
  <c r="K44" i="51"/>
  <c r="K45" i="51"/>
  <c r="K46" i="51"/>
  <c r="K47" i="51"/>
  <c r="K48" i="51"/>
  <c r="K49" i="51"/>
  <c r="K50" i="51"/>
  <c r="K51" i="51"/>
  <c r="K52" i="51"/>
  <c r="K53" i="51"/>
  <c r="K54" i="51"/>
  <c r="K55" i="51"/>
  <c r="K56" i="51"/>
  <c r="K57" i="51"/>
  <c r="K58" i="51"/>
  <c r="K59" i="51"/>
  <c r="K60" i="51"/>
  <c r="K61" i="51"/>
  <c r="K62" i="51"/>
  <c r="K63" i="51"/>
  <c r="K64" i="51"/>
  <c r="K65" i="51"/>
  <c r="K66" i="51"/>
  <c r="K67" i="51"/>
  <c r="K68" i="51"/>
  <c r="K69" i="51"/>
  <c r="K70" i="51"/>
  <c r="K71" i="51"/>
  <c r="K72" i="51"/>
  <c r="K73" i="51"/>
  <c r="K74" i="51"/>
  <c r="K75" i="51"/>
  <c r="K76" i="51"/>
  <c r="K77" i="51"/>
  <c r="K78" i="51"/>
  <c r="K79" i="51"/>
  <c r="K80" i="51"/>
  <c r="K81" i="51"/>
  <c r="K82" i="51"/>
  <c r="K83" i="51"/>
  <c r="K84" i="51"/>
  <c r="K85" i="51"/>
  <c r="K86" i="51"/>
  <c r="K87" i="51"/>
  <c r="K88" i="51"/>
  <c r="K89" i="51"/>
  <c r="K90" i="51"/>
  <c r="K91" i="51"/>
  <c r="K92" i="51"/>
  <c r="K93" i="51"/>
  <c r="K94" i="51"/>
  <c r="Z110" i="4" l="1"/>
  <c r="AC110" i="4"/>
  <c r="U132" i="51" a="1"/>
  <c r="U132" i="51" s="1"/>
  <c r="AL147" i="51" s="1"/>
  <c r="O132" i="51" a="1"/>
  <c r="O132" i="51" s="1"/>
  <c r="T132" i="51" a="1"/>
  <c r="T132" i="51" s="1"/>
  <c r="AK147" i="51" s="1"/>
  <c r="S132" i="51" a="1"/>
  <c r="S132" i="51" s="1"/>
  <c r="AJ147" i="51" s="1"/>
  <c r="Z132" i="51" a="1"/>
  <c r="Z132" i="51" s="1"/>
  <c r="AQ147" i="51" s="1"/>
  <c r="Y132" i="51" a="1"/>
  <c r="Y132" i="51" s="1"/>
  <c r="AP147" i="51" s="1"/>
  <c r="Q132" i="51" a="1"/>
  <c r="Q132" i="51" s="1"/>
  <c r="AH147" i="51" s="1"/>
  <c r="AB335" i="51"/>
  <c r="AB362" i="51"/>
  <c r="AB355" i="51"/>
  <c r="AB372" i="51"/>
  <c r="AB327" i="51"/>
  <c r="AB365" i="51"/>
  <c r="AB356" i="51"/>
  <c r="AB345" i="51"/>
  <c r="AB347" i="51"/>
  <c r="AB334" i="51"/>
  <c r="AB331" i="51"/>
  <c r="AB360" i="51"/>
  <c r="AB338" i="51"/>
  <c r="AB348" i="51"/>
  <c r="AB321" i="51"/>
  <c r="AB364" i="51"/>
  <c r="AB378" i="51"/>
  <c r="AB332" i="51"/>
  <c r="AB367" i="51"/>
  <c r="AB341" i="51"/>
  <c r="AB375" i="51"/>
  <c r="AB346" i="51"/>
  <c r="AB354" i="51"/>
  <c r="AB370" i="51"/>
  <c r="AB344" i="51"/>
  <c r="AB324" i="51"/>
  <c r="AB379" i="51"/>
  <c r="AB374" i="51"/>
  <c r="AB330" i="51"/>
  <c r="AB377" i="51"/>
  <c r="AB373" i="51"/>
  <c r="AB380" i="51"/>
  <c r="AB363" i="51"/>
  <c r="AB339" i="51"/>
  <c r="AB359" i="51"/>
  <c r="AB328" i="51"/>
  <c r="AB340" i="51"/>
  <c r="AB361" i="51"/>
  <c r="AB352" i="51"/>
  <c r="AB369" i="51"/>
  <c r="AB336" i="51"/>
  <c r="AB323" i="51"/>
  <c r="AB329" i="51"/>
  <c r="AB368" i="51"/>
  <c r="AB349" i="51"/>
  <c r="AB371" i="51"/>
  <c r="AB351" i="51"/>
  <c r="AB353" i="51"/>
  <c r="AB343" i="51"/>
  <c r="AB326" i="51"/>
  <c r="AB325" i="51"/>
  <c r="AB350" i="51"/>
  <c r="AB337" i="51"/>
  <c r="AB322" i="51"/>
  <c r="AB358" i="51"/>
  <c r="AB376" i="51"/>
  <c r="AB357" i="51"/>
  <c r="AB333" i="51"/>
  <c r="AB342" i="51"/>
  <c r="AB366" i="51"/>
  <c r="AB312" i="51"/>
  <c r="AB310" i="51"/>
  <c r="AB309" i="51"/>
  <c r="AB311" i="51"/>
  <c r="AB308" i="51"/>
  <c r="AB151" i="51"/>
  <c r="E171" i="31" s="1"/>
  <c r="AB302" i="51"/>
  <c r="H200" i="31" s="1"/>
  <c r="AB147" i="51"/>
  <c r="E167" i="31" s="1"/>
  <c r="AB152" i="51"/>
  <c r="E172" i="31" s="1"/>
  <c r="AB215" i="51"/>
  <c r="F174" i="31" s="1"/>
  <c r="AB238" i="51"/>
  <c r="F197" i="31" s="1"/>
  <c r="AB213" i="51"/>
  <c r="F172" i="31" s="1"/>
  <c r="AB231" i="51"/>
  <c r="F190" i="31" s="1"/>
  <c r="AB262" i="51"/>
  <c r="H160" i="31" s="1"/>
  <c r="AB299" i="51"/>
  <c r="H197" i="31" s="1"/>
  <c r="AB263" i="51"/>
  <c r="H161" i="31" s="1"/>
  <c r="AB284" i="51"/>
  <c r="H182" i="31" s="1"/>
  <c r="AB281" i="51"/>
  <c r="H179" i="31" s="1"/>
  <c r="AB270" i="51"/>
  <c r="H168" i="31" s="1"/>
  <c r="AB287" i="51"/>
  <c r="H185" i="31" s="1"/>
  <c r="AB286" i="51"/>
  <c r="H184" i="31" s="1"/>
  <c r="AB188" i="51"/>
  <c r="AB154" i="51"/>
  <c r="E174" i="31" s="1"/>
  <c r="AB181" i="51"/>
  <c r="E201" i="31" s="1"/>
  <c r="AB207" i="51"/>
  <c r="F166" i="31" s="1"/>
  <c r="AB232" i="51"/>
  <c r="F191" i="31" s="1"/>
  <c r="AB218" i="51"/>
  <c r="F177" i="31" s="1"/>
  <c r="AB203" i="51"/>
  <c r="F162" i="31" s="1"/>
  <c r="AB205" i="51"/>
  <c r="F164" i="31" s="1"/>
  <c r="AB194" i="51"/>
  <c r="AB199" i="51"/>
  <c r="F158" i="31" s="1"/>
  <c r="AB267" i="51"/>
  <c r="H165" i="31" s="1"/>
  <c r="AB255" i="51"/>
  <c r="H153" i="31" s="1"/>
  <c r="AB266" i="51"/>
  <c r="H164" i="31" s="1"/>
  <c r="AB256" i="51"/>
  <c r="H154" i="31" s="1"/>
  <c r="AB282" i="51"/>
  <c r="H180" i="31" s="1"/>
  <c r="AB168" i="51"/>
  <c r="E188" i="31" s="1"/>
  <c r="AB167" i="51"/>
  <c r="E187" i="31" s="1"/>
  <c r="AB172" i="51"/>
  <c r="E192" i="31" s="1"/>
  <c r="AB148" i="51"/>
  <c r="E168" i="31" s="1"/>
  <c r="AB169" i="51"/>
  <c r="E189" i="31" s="1"/>
  <c r="AB171" i="51"/>
  <c r="E191" i="31" s="1"/>
  <c r="AB133" i="51"/>
  <c r="AB173" i="51"/>
  <c r="E193" i="31" s="1"/>
  <c r="AB164" i="51"/>
  <c r="E184" i="31" s="1"/>
  <c r="AB158" i="51"/>
  <c r="E178" i="31" s="1"/>
  <c r="AB233" i="51"/>
  <c r="F192" i="31" s="1"/>
  <c r="AB212" i="51"/>
  <c r="F171" i="31" s="1"/>
  <c r="AB225" i="51"/>
  <c r="F184" i="31" s="1"/>
  <c r="AB230" i="51"/>
  <c r="F189" i="31" s="1"/>
  <c r="AB237" i="51"/>
  <c r="F196" i="31" s="1"/>
  <c r="AB226" i="51"/>
  <c r="F185" i="31" s="1"/>
  <c r="AB195" i="51"/>
  <c r="AB273" i="51"/>
  <c r="H171" i="31" s="1"/>
  <c r="AB275" i="51"/>
  <c r="H173" i="31" s="1"/>
  <c r="AB303" i="51"/>
  <c r="H201" i="31" s="1"/>
  <c r="AB288" i="51"/>
  <c r="H186" i="31" s="1"/>
  <c r="AB277" i="51"/>
  <c r="H175" i="31" s="1"/>
  <c r="AB259" i="51"/>
  <c r="H157" i="31" s="1"/>
  <c r="AB258" i="51"/>
  <c r="H156" i="31" s="1"/>
  <c r="AB144" i="51"/>
  <c r="E164" i="31" s="1"/>
  <c r="AB216" i="51"/>
  <c r="F175" i="31" s="1"/>
  <c r="AB124" i="51"/>
  <c r="AB176" i="51"/>
  <c r="E196" i="31" s="1"/>
  <c r="AB155" i="51"/>
  <c r="E175" i="31" s="1"/>
  <c r="AB161" i="51"/>
  <c r="E181" i="31" s="1"/>
  <c r="AB157" i="51"/>
  <c r="E177" i="31" s="1"/>
  <c r="AB153" i="51"/>
  <c r="E173" i="31" s="1"/>
  <c r="AB127" i="51"/>
  <c r="AB177" i="51"/>
  <c r="E197" i="31" s="1"/>
  <c r="AB196" i="51"/>
  <c r="AB228" i="51"/>
  <c r="F187" i="31" s="1"/>
  <c r="AB201" i="51"/>
  <c r="F160" i="31" s="1"/>
  <c r="AB186" i="51"/>
  <c r="AB224" i="51"/>
  <c r="F183" i="31" s="1"/>
  <c r="AB198" i="51"/>
  <c r="F157" i="31" s="1"/>
  <c r="AB219" i="51"/>
  <c r="F178" i="31" s="1"/>
  <c r="AB264" i="51"/>
  <c r="H162" i="31" s="1"/>
  <c r="AB268" i="51"/>
  <c r="H166" i="31" s="1"/>
  <c r="AB294" i="51"/>
  <c r="H192" i="31" s="1"/>
  <c r="AB300" i="51"/>
  <c r="H198" i="31" s="1"/>
  <c r="AB274" i="51"/>
  <c r="H172" i="31" s="1"/>
  <c r="AB293" i="51"/>
  <c r="H191" i="31" s="1"/>
  <c r="AB298" i="51"/>
  <c r="H196" i="31" s="1"/>
  <c r="AB178" i="51"/>
  <c r="E198" i="31" s="1"/>
  <c r="AB135" i="51"/>
  <c r="AB140" i="51"/>
  <c r="E160" i="31" s="1"/>
  <c r="AB182" i="51"/>
  <c r="E202" i="31" s="1"/>
  <c r="AB137" i="51"/>
  <c r="E157" i="31" s="1"/>
  <c r="AB162" i="51"/>
  <c r="E182" i="31" s="1"/>
  <c r="AB174" i="51"/>
  <c r="E194" i="31" s="1"/>
  <c r="AB142" i="51"/>
  <c r="E162" i="31" s="1"/>
  <c r="AB235" i="51"/>
  <c r="F194" i="31" s="1"/>
  <c r="AB220" i="51"/>
  <c r="F179" i="31" s="1"/>
  <c r="AB222" i="51"/>
  <c r="F181" i="31" s="1"/>
  <c r="AB208" i="51"/>
  <c r="F167" i="31" s="1"/>
  <c r="AB206" i="51"/>
  <c r="F165" i="31" s="1"/>
  <c r="AB200" i="51"/>
  <c r="F159" i="31" s="1"/>
  <c r="AB241" i="51"/>
  <c r="F200" i="31" s="1"/>
  <c r="AB292" i="51"/>
  <c r="H190" i="31" s="1"/>
  <c r="AB283" i="51"/>
  <c r="H181" i="31" s="1"/>
  <c r="AB297" i="51"/>
  <c r="H195" i="31" s="1"/>
  <c r="AB285" i="51"/>
  <c r="H183" i="31" s="1"/>
  <c r="AB261" i="51"/>
  <c r="H159" i="31" s="1"/>
  <c r="AB272" i="51"/>
  <c r="H170" i="31" s="1"/>
  <c r="AB304" i="51"/>
  <c r="H202" i="31" s="1"/>
  <c r="AB170" i="51"/>
  <c r="E190" i="31" s="1"/>
  <c r="AB150" i="51"/>
  <c r="E170" i="31" s="1"/>
  <c r="AB156" i="51"/>
  <c r="E176" i="31" s="1"/>
  <c r="AB125" i="51"/>
  <c r="AB145" i="51"/>
  <c r="E165" i="31" s="1"/>
  <c r="AB179" i="51"/>
  <c r="E199" i="31" s="1"/>
  <c r="AB159" i="51"/>
  <c r="E179" i="31" s="1"/>
  <c r="AB209" i="51"/>
  <c r="F168" i="31" s="1"/>
  <c r="AB234" i="51"/>
  <c r="F193" i="31" s="1"/>
  <c r="AB217" i="51"/>
  <c r="F176" i="31" s="1"/>
  <c r="AB240" i="51"/>
  <c r="F199" i="31" s="1"/>
  <c r="AB185" i="51"/>
  <c r="AB223" i="51"/>
  <c r="F182" i="31" s="1"/>
  <c r="AB210" i="51"/>
  <c r="F169" i="31" s="1"/>
  <c r="AB246" i="51"/>
  <c r="H144" i="31" s="1"/>
  <c r="AB257" i="51"/>
  <c r="H155" i="31" s="1"/>
  <c r="AB290" i="51"/>
  <c r="H188" i="31" s="1"/>
  <c r="AB278" i="51"/>
  <c r="H176" i="31" s="1"/>
  <c r="AB250" i="51"/>
  <c r="H148" i="31" s="1"/>
  <c r="AB295" i="51"/>
  <c r="H193" i="31" s="1"/>
  <c r="AB271" i="51"/>
  <c r="H169" i="31" s="1"/>
  <c r="AB214" i="51"/>
  <c r="F173" i="31" s="1"/>
  <c r="AB243" i="51"/>
  <c r="F202" i="31" s="1"/>
  <c r="AB227" i="51"/>
  <c r="F186" i="31" s="1"/>
  <c r="AB236" i="51"/>
  <c r="F195" i="31" s="1"/>
  <c r="AB211" i="51"/>
  <c r="F170" i="31" s="1"/>
  <c r="AB239" i="51"/>
  <c r="F198" i="31" s="1"/>
  <c r="AB202" i="51"/>
  <c r="F161" i="31" s="1"/>
  <c r="AB249" i="51"/>
  <c r="H147" i="31" s="1"/>
  <c r="AB289" i="51"/>
  <c r="H187" i="31" s="1"/>
  <c r="AB279" i="51"/>
  <c r="H177" i="31" s="1"/>
  <c r="AB301" i="51"/>
  <c r="H199" i="31" s="1"/>
  <c r="AB260" i="51"/>
  <c r="H158" i="31" s="1"/>
  <c r="AB139" i="51"/>
  <c r="E159" i="31" s="1"/>
  <c r="AB160" i="51"/>
  <c r="E180" i="31" s="1"/>
  <c r="AB175" i="51"/>
  <c r="E195" i="31" s="1"/>
  <c r="AB136" i="51"/>
  <c r="E156" i="31" s="1"/>
  <c r="AB166" i="51"/>
  <c r="E186" i="31" s="1"/>
  <c r="AB146" i="51"/>
  <c r="E166" i="31" s="1"/>
  <c r="AB138" i="51"/>
  <c r="E158" i="31" s="1"/>
  <c r="AB149" i="51"/>
  <c r="E169" i="31" s="1"/>
  <c r="AB180" i="51"/>
  <c r="E200" i="31" s="1"/>
  <c r="AB143" i="51"/>
  <c r="E163" i="31" s="1"/>
  <c r="AB165" i="51"/>
  <c r="E185" i="31" s="1"/>
  <c r="AB163" i="51"/>
  <c r="E183" i="31" s="1"/>
  <c r="AB134" i="51"/>
  <c r="AB128" i="51"/>
  <c r="AB141" i="51"/>
  <c r="E161" i="31" s="1"/>
  <c r="AB204" i="51"/>
  <c r="F163" i="31" s="1"/>
  <c r="AB242" i="51"/>
  <c r="F201" i="31" s="1"/>
  <c r="AB229" i="51"/>
  <c r="F188" i="31" s="1"/>
  <c r="AB197" i="51"/>
  <c r="F156" i="31" s="1"/>
  <c r="AB189" i="51"/>
  <c r="AB221" i="51"/>
  <c r="F180" i="31" s="1"/>
  <c r="AB291" i="51"/>
  <c r="H189" i="31" s="1"/>
  <c r="AB280" i="51"/>
  <c r="H178" i="31" s="1"/>
  <c r="AB296" i="51"/>
  <c r="H194" i="31" s="1"/>
  <c r="AB269" i="51"/>
  <c r="H167" i="31" s="1"/>
  <c r="AB276" i="51"/>
  <c r="H174" i="31" s="1"/>
  <c r="AB265" i="51"/>
  <c r="H163" i="31" s="1"/>
  <c r="AB247" i="51"/>
  <c r="H145" i="31" s="1"/>
  <c r="AF147" i="51"/>
  <c r="AI95" i="51"/>
  <c r="AJ95" i="51"/>
  <c r="AH95" i="51"/>
  <c r="AK97" i="51"/>
  <c r="AK98" i="51"/>
  <c r="AP236" i="51"/>
  <c r="AP234" i="51"/>
  <c r="AF236" i="51"/>
  <c r="AF234" i="51"/>
  <c r="AM236" i="51"/>
  <c r="AM234" i="51"/>
  <c r="AG236" i="51"/>
  <c r="AG234" i="51"/>
  <c r="AN236" i="51"/>
  <c r="AN234" i="51"/>
  <c r="AH236" i="51"/>
  <c r="AH234" i="51"/>
  <c r="AQ236" i="51"/>
  <c r="AQ234" i="51"/>
  <c r="AL236" i="51"/>
  <c r="AL234" i="51"/>
  <c r="AJ236" i="51"/>
  <c r="AJ234" i="51"/>
  <c r="AO236" i="51"/>
  <c r="AO234" i="51"/>
  <c r="AI236" i="51"/>
  <c r="AI234" i="51"/>
  <c r="AK236" i="51"/>
  <c r="AK234" i="51"/>
  <c r="AC310" i="51"/>
  <c r="AC312" i="51"/>
  <c r="AC311" i="51"/>
  <c r="AC309" i="51"/>
  <c r="AA338" i="51"/>
  <c r="AA373" i="51"/>
  <c r="AA347" i="51"/>
  <c r="AA345" i="51"/>
  <c r="AA350" i="51"/>
  <c r="AA360" i="51"/>
  <c r="AA376" i="51"/>
  <c r="AA354" i="51"/>
  <c r="AA356" i="51"/>
  <c r="AA378" i="51"/>
  <c r="AA352" i="51"/>
  <c r="AA370" i="51"/>
  <c r="AA344" i="51"/>
  <c r="AA365" i="51"/>
  <c r="AA367" i="51"/>
  <c r="AA357" i="51"/>
  <c r="AA334" i="51"/>
  <c r="AA355" i="51"/>
  <c r="AA371" i="51"/>
  <c r="AA335" i="51"/>
  <c r="AA343" i="51"/>
  <c r="AA361" i="51"/>
  <c r="AA353" i="51"/>
  <c r="AA348" i="51"/>
  <c r="AA359" i="51"/>
  <c r="AA380" i="51"/>
  <c r="AA326" i="51"/>
  <c r="I31" i="44" s="1"/>
  <c r="AA349" i="51"/>
  <c r="AA342" i="51"/>
  <c r="AA368" i="51"/>
  <c r="AA341" i="51"/>
  <c r="AA340" i="51"/>
  <c r="AA375" i="51"/>
  <c r="AA377" i="51"/>
  <c r="AA332" i="51"/>
  <c r="I39" i="44" s="1"/>
  <c r="AA358" i="51"/>
  <c r="AA339" i="51"/>
  <c r="AA366" i="51"/>
  <c r="AA372" i="51"/>
  <c r="AA322" i="51"/>
  <c r="AA331" i="51"/>
  <c r="AA364" i="51"/>
  <c r="AA336" i="51"/>
  <c r="AA351" i="51"/>
  <c r="AA369" i="51"/>
  <c r="AA374" i="51"/>
  <c r="AA323" i="51"/>
  <c r="I27" i="44" s="1"/>
  <c r="AA333" i="51"/>
  <c r="AA379" i="51"/>
  <c r="AA363" i="51"/>
  <c r="AA346" i="51"/>
  <c r="AA325" i="51"/>
  <c r="AA337" i="51"/>
  <c r="AA330" i="51"/>
  <c r="I37" i="44" s="1"/>
  <c r="AA362" i="51"/>
  <c r="AA261" i="51"/>
  <c r="AA294" i="51"/>
  <c r="AA262" i="51"/>
  <c r="AA295" i="51"/>
  <c r="AA258" i="51"/>
  <c r="AA293" i="51"/>
  <c r="AA271" i="51"/>
  <c r="AA280" i="51"/>
  <c r="AA284" i="51"/>
  <c r="AA267" i="51"/>
  <c r="AA304" i="51"/>
  <c r="AA277" i="51"/>
  <c r="AA260" i="51"/>
  <c r="AA263" i="51"/>
  <c r="AA257" i="51"/>
  <c r="AA296" i="51"/>
  <c r="AA269" i="51"/>
  <c r="AA272" i="51"/>
  <c r="AA256" i="51"/>
  <c r="H39" i="44" s="1"/>
  <c r="AA246" i="51"/>
  <c r="AA259" i="51"/>
  <c r="AA290" i="51"/>
  <c r="AA287" i="51"/>
  <c r="AA303" i="51"/>
  <c r="AA250" i="51"/>
  <c r="H31" i="44" s="1"/>
  <c r="AA282" i="51"/>
  <c r="AA273" i="51"/>
  <c r="AA270" i="51"/>
  <c r="AA289" i="51"/>
  <c r="AA249" i="51"/>
  <c r="AA291" i="51"/>
  <c r="AA298" i="51"/>
  <c r="AA302" i="51"/>
  <c r="AA281" i="51"/>
  <c r="AA279" i="51"/>
  <c r="AA268" i="51"/>
  <c r="AA286" i="51"/>
  <c r="AA265" i="51"/>
  <c r="AA292" i="51"/>
  <c r="AA300" i="51"/>
  <c r="AA275" i="51"/>
  <c r="AA285" i="51"/>
  <c r="AA288" i="51"/>
  <c r="AA274" i="51"/>
  <c r="AA278" i="51"/>
  <c r="AA264" i="51"/>
  <c r="AA255" i="51"/>
  <c r="AA299" i="51"/>
  <c r="AA301" i="51"/>
  <c r="AA247" i="51"/>
  <c r="H27" i="44" s="1"/>
  <c r="AA297" i="51"/>
  <c r="AA283" i="51"/>
  <c r="AA276" i="51"/>
  <c r="AA266" i="51"/>
  <c r="AA170" i="51"/>
  <c r="AA150" i="51"/>
  <c r="AA156" i="51"/>
  <c r="AA125" i="51"/>
  <c r="F27" i="44" s="1"/>
  <c r="AA145" i="51"/>
  <c r="AA179" i="51"/>
  <c r="AA159" i="51"/>
  <c r="AA160" i="51"/>
  <c r="AA175" i="51"/>
  <c r="AA136" i="51"/>
  <c r="AA166" i="51"/>
  <c r="AA146" i="51"/>
  <c r="AA138" i="51"/>
  <c r="AA149" i="51"/>
  <c r="AA180" i="51"/>
  <c r="AA143" i="51"/>
  <c r="AA165" i="51"/>
  <c r="AA163" i="51"/>
  <c r="AA134" i="51"/>
  <c r="F39" i="44" s="1"/>
  <c r="AA128" i="51"/>
  <c r="F31" i="44" s="1"/>
  <c r="AA141" i="51"/>
  <c r="AA147" i="51"/>
  <c r="AA144" i="51"/>
  <c r="AA178" i="51"/>
  <c r="AA151" i="51"/>
  <c r="AA152" i="51"/>
  <c r="AA139" i="51"/>
  <c r="AA168" i="51"/>
  <c r="AA154" i="51"/>
  <c r="AA124" i="51"/>
  <c r="AA167" i="51"/>
  <c r="AA181" i="51"/>
  <c r="AA176" i="51"/>
  <c r="AA172" i="51"/>
  <c r="AA148" i="51"/>
  <c r="AA169" i="51"/>
  <c r="AA171" i="51"/>
  <c r="AA133" i="51"/>
  <c r="AA173" i="51"/>
  <c r="AA164" i="51"/>
  <c r="AA158" i="51"/>
  <c r="AA155" i="51"/>
  <c r="AA161" i="51"/>
  <c r="AA157" i="51"/>
  <c r="AA153" i="51"/>
  <c r="AA127" i="51"/>
  <c r="AA177" i="51"/>
  <c r="AA135" i="51"/>
  <c r="AA140" i="51"/>
  <c r="AA182" i="51"/>
  <c r="AA137" i="51"/>
  <c r="AA162" i="51"/>
  <c r="AA174" i="51"/>
  <c r="AA142" i="51"/>
  <c r="AA218" i="51"/>
  <c r="AA213" i="51"/>
  <c r="AA231" i="51"/>
  <c r="AA207" i="51"/>
  <c r="AA233" i="51"/>
  <c r="AA212" i="51"/>
  <c r="AA225" i="51"/>
  <c r="AA205" i="51"/>
  <c r="AA194" i="51"/>
  <c r="AA199" i="51"/>
  <c r="AA238" i="51"/>
  <c r="AA196" i="51"/>
  <c r="AA228" i="51"/>
  <c r="AA201" i="51"/>
  <c r="AA230" i="51"/>
  <c r="AA237" i="51"/>
  <c r="AA226" i="51"/>
  <c r="AA195" i="51"/>
  <c r="G39" i="44" s="1"/>
  <c r="AA232" i="51"/>
  <c r="AA235" i="51"/>
  <c r="AA220" i="51"/>
  <c r="AA222" i="51"/>
  <c r="AA186" i="51"/>
  <c r="G27" i="44" s="1"/>
  <c r="AA224" i="51"/>
  <c r="AA198" i="51"/>
  <c r="AA219" i="51"/>
  <c r="AA209" i="51"/>
  <c r="AA234" i="51"/>
  <c r="AA217" i="51"/>
  <c r="AA208" i="51"/>
  <c r="AA206" i="51"/>
  <c r="AA200" i="51"/>
  <c r="AA241" i="51"/>
  <c r="AA214" i="51"/>
  <c r="AA243" i="51"/>
  <c r="AA227" i="51"/>
  <c r="AA240" i="51"/>
  <c r="AA185" i="51"/>
  <c r="AA223" i="51"/>
  <c r="AA210" i="51"/>
  <c r="AA203" i="51"/>
  <c r="AA204" i="51"/>
  <c r="AA242" i="51"/>
  <c r="AA229" i="51"/>
  <c r="AA236" i="51"/>
  <c r="AA211" i="51"/>
  <c r="AA239" i="51"/>
  <c r="AA202" i="51"/>
  <c r="AA188" i="51"/>
  <c r="AA215" i="51"/>
  <c r="AA216" i="51"/>
  <c r="AA197" i="51"/>
  <c r="AA189" i="51"/>
  <c r="G31" i="44" s="1"/>
  <c r="AA221" i="51"/>
  <c r="AB97" i="51"/>
  <c r="P123" i="51" a="1"/>
  <c r="P123" i="51" s="1"/>
  <c r="T123" i="51" a="1"/>
  <c r="T123" i="51" s="1"/>
  <c r="W123" i="51" a="1"/>
  <c r="W123" i="51" s="1"/>
  <c r="V123" i="51" a="1"/>
  <c r="V123" i="51" s="1"/>
  <c r="O123" i="51" a="1"/>
  <c r="O123" i="51" s="1"/>
  <c r="U123" i="51" a="1"/>
  <c r="U123" i="51" s="1"/>
  <c r="Z123" i="51" a="1"/>
  <c r="Z123" i="51" s="1"/>
  <c r="R123" i="51" a="1"/>
  <c r="R123" i="51" s="1"/>
  <c r="S123" i="51" a="1"/>
  <c r="S123" i="51" s="1"/>
  <c r="Y123" i="51" a="1"/>
  <c r="Y123" i="51" s="1"/>
  <c r="Q123" i="51" a="1"/>
  <c r="Q123" i="51" s="1"/>
  <c r="X123" i="51" a="1"/>
  <c r="X123" i="51" s="1"/>
  <c r="P109" i="22"/>
  <c r="P109" i="23"/>
  <c r="P108" i="22"/>
  <c r="P108" i="23"/>
  <c r="P107" i="22"/>
  <c r="P107" i="23"/>
  <c r="P106" i="22"/>
  <c r="P106" i="23"/>
  <c r="P105" i="22"/>
  <c r="P105" i="23"/>
  <c r="P104" i="22"/>
  <c r="P104" i="23"/>
  <c r="P103" i="22"/>
  <c r="P103" i="23"/>
  <c r="P102" i="22"/>
  <c r="P102" i="23"/>
  <c r="P101" i="22"/>
  <c r="P101" i="23"/>
  <c r="P100" i="22"/>
  <c r="P100" i="23"/>
  <c r="P99" i="22"/>
  <c r="P99" i="23"/>
  <c r="P98" i="22"/>
  <c r="P98" i="23"/>
  <c r="P97" i="22"/>
  <c r="P97" i="23"/>
  <c r="P96" i="22"/>
  <c r="P96" i="23"/>
  <c r="P95" i="22"/>
  <c r="P95" i="23"/>
  <c r="P94" i="22"/>
  <c r="P94" i="23"/>
  <c r="P93" i="22"/>
  <c r="P93" i="23"/>
  <c r="P92" i="22"/>
  <c r="P92" i="23"/>
  <c r="P91" i="22"/>
  <c r="P91" i="23"/>
  <c r="P90" i="22"/>
  <c r="P90" i="23"/>
  <c r="P89" i="22"/>
  <c r="P89" i="23"/>
  <c r="P88" i="22"/>
  <c r="P88" i="23"/>
  <c r="P87" i="22"/>
  <c r="P87" i="23"/>
  <c r="P86" i="22"/>
  <c r="P86" i="23"/>
  <c r="P85" i="22"/>
  <c r="P85" i="23"/>
  <c r="P84" i="22"/>
  <c r="P84" i="23"/>
  <c r="P83" i="22"/>
  <c r="P83" i="23"/>
  <c r="P82" i="22"/>
  <c r="P82" i="23"/>
  <c r="P81" i="22"/>
  <c r="P81" i="23"/>
  <c r="P80" i="22"/>
  <c r="P80" i="23"/>
  <c r="P79" i="22"/>
  <c r="P79" i="23"/>
  <c r="P78" i="22"/>
  <c r="P78" i="23"/>
  <c r="P77" i="22"/>
  <c r="P77" i="23"/>
  <c r="P76" i="22"/>
  <c r="P76" i="23"/>
  <c r="P75" i="22"/>
  <c r="P75" i="23"/>
  <c r="P74" i="22"/>
  <c r="P74" i="23"/>
  <c r="P73" i="22"/>
  <c r="P73" i="23"/>
  <c r="P72" i="22"/>
  <c r="P72" i="23"/>
  <c r="P71" i="22"/>
  <c r="P71" i="23"/>
  <c r="P70" i="22"/>
  <c r="P70" i="23"/>
  <c r="P69" i="22"/>
  <c r="P69" i="23"/>
  <c r="P68" i="22"/>
  <c r="P68" i="23"/>
  <c r="P67" i="22"/>
  <c r="P67" i="23"/>
  <c r="P66" i="22"/>
  <c r="P66" i="23"/>
  <c r="P65" i="22"/>
  <c r="P65" i="23"/>
  <c r="P64" i="22"/>
  <c r="P64" i="23"/>
  <c r="P63" i="22"/>
  <c r="P63" i="23"/>
  <c r="P62" i="22"/>
  <c r="P62" i="23"/>
  <c r="P61" i="22"/>
  <c r="P61" i="23"/>
  <c r="P60" i="22"/>
  <c r="P60" i="23"/>
  <c r="P59" i="22"/>
  <c r="P59" i="23"/>
  <c r="P58" i="22"/>
  <c r="P58" i="23"/>
  <c r="P107" i="20"/>
  <c r="P107" i="21"/>
  <c r="P106" i="20"/>
  <c r="P106" i="21"/>
  <c r="P98" i="20"/>
  <c r="P98" i="21"/>
  <c r="P90" i="20"/>
  <c r="P90" i="21"/>
  <c r="P82" i="20"/>
  <c r="P82" i="21"/>
  <c r="P74" i="20"/>
  <c r="P74" i="21"/>
  <c r="P66" i="20"/>
  <c r="P66" i="21"/>
  <c r="P58" i="20"/>
  <c r="P58" i="21"/>
  <c r="P105" i="20"/>
  <c r="P105" i="21"/>
  <c r="P89" i="20"/>
  <c r="P89" i="21"/>
  <c r="P81" i="20"/>
  <c r="P81" i="21"/>
  <c r="P73" i="20"/>
  <c r="P73" i="21"/>
  <c r="P65" i="20"/>
  <c r="P65" i="21"/>
  <c r="P97" i="20"/>
  <c r="P97" i="21"/>
  <c r="P104" i="20"/>
  <c r="P104" i="21"/>
  <c r="P96" i="20"/>
  <c r="P96" i="21"/>
  <c r="P88" i="20"/>
  <c r="P88" i="21"/>
  <c r="P80" i="20"/>
  <c r="P80" i="21"/>
  <c r="P72" i="20"/>
  <c r="P72" i="21"/>
  <c r="P64" i="20"/>
  <c r="P64" i="21"/>
  <c r="P75" i="20"/>
  <c r="P75" i="21"/>
  <c r="P103" i="20"/>
  <c r="P103" i="21"/>
  <c r="P95" i="20"/>
  <c r="P95" i="21"/>
  <c r="P87" i="20"/>
  <c r="P87" i="21"/>
  <c r="P79" i="20"/>
  <c r="P79" i="21"/>
  <c r="P71" i="20"/>
  <c r="P71" i="21"/>
  <c r="P63" i="20"/>
  <c r="P63" i="21"/>
  <c r="P91" i="20"/>
  <c r="P91" i="21"/>
  <c r="P102" i="20"/>
  <c r="P102" i="21"/>
  <c r="P94" i="20"/>
  <c r="P94" i="21"/>
  <c r="P86" i="20"/>
  <c r="P86" i="21"/>
  <c r="P78" i="20"/>
  <c r="P78" i="21"/>
  <c r="P70" i="20"/>
  <c r="P70" i="21"/>
  <c r="P62" i="20"/>
  <c r="P62" i="21"/>
  <c r="P67" i="20"/>
  <c r="P67" i="21"/>
  <c r="P109" i="20"/>
  <c r="P109" i="21"/>
  <c r="P101" i="20"/>
  <c r="P101" i="21"/>
  <c r="P93" i="20"/>
  <c r="P93" i="21"/>
  <c r="P85" i="20"/>
  <c r="P85" i="21"/>
  <c r="P77" i="20"/>
  <c r="P77" i="21"/>
  <c r="P69" i="20"/>
  <c r="P69" i="21"/>
  <c r="P61" i="20"/>
  <c r="P61" i="21"/>
  <c r="P99" i="20"/>
  <c r="P99" i="21"/>
  <c r="P83" i="20"/>
  <c r="P83" i="21"/>
  <c r="P59" i="20"/>
  <c r="P59" i="21"/>
  <c r="P108" i="20"/>
  <c r="P108" i="21"/>
  <c r="P100" i="20"/>
  <c r="P100" i="21"/>
  <c r="P92" i="20"/>
  <c r="P92" i="21"/>
  <c r="P84" i="20"/>
  <c r="P84" i="21"/>
  <c r="P76" i="20"/>
  <c r="P76" i="21"/>
  <c r="P68" i="20"/>
  <c r="P68" i="21"/>
  <c r="P60" i="20"/>
  <c r="P60" i="21"/>
  <c r="P90" i="18"/>
  <c r="P90" i="19"/>
  <c r="P88" i="18"/>
  <c r="P88" i="19"/>
  <c r="P102" i="18"/>
  <c r="P102" i="19"/>
  <c r="P94" i="18"/>
  <c r="P94" i="19"/>
  <c r="P86" i="18"/>
  <c r="P86" i="19"/>
  <c r="P78" i="18"/>
  <c r="P78" i="19"/>
  <c r="P70" i="18"/>
  <c r="P70" i="19"/>
  <c r="P62" i="18"/>
  <c r="P62" i="19"/>
  <c r="P109" i="18"/>
  <c r="P109" i="19"/>
  <c r="P101" i="18"/>
  <c r="P101" i="19"/>
  <c r="P93" i="18"/>
  <c r="P93" i="19"/>
  <c r="P85" i="18"/>
  <c r="P85" i="19"/>
  <c r="P77" i="18"/>
  <c r="P77" i="19"/>
  <c r="P69" i="18"/>
  <c r="P69" i="19"/>
  <c r="P61" i="18"/>
  <c r="P61" i="19"/>
  <c r="P74" i="18"/>
  <c r="P74" i="19"/>
  <c r="P100" i="18"/>
  <c r="P100" i="19"/>
  <c r="P92" i="18"/>
  <c r="P92" i="19"/>
  <c r="P84" i="18"/>
  <c r="P84" i="19"/>
  <c r="P76" i="18"/>
  <c r="P76" i="19"/>
  <c r="P68" i="18"/>
  <c r="P68" i="19"/>
  <c r="P60" i="18"/>
  <c r="P60" i="19"/>
  <c r="P104" i="18"/>
  <c r="P104" i="19"/>
  <c r="P96" i="18"/>
  <c r="P96" i="19"/>
  <c r="P80" i="18"/>
  <c r="P80" i="19"/>
  <c r="P72" i="18"/>
  <c r="P72" i="19"/>
  <c r="P64" i="18"/>
  <c r="P64" i="19"/>
  <c r="P108" i="18"/>
  <c r="P108" i="19"/>
  <c r="P107" i="18"/>
  <c r="P107" i="19"/>
  <c r="P99" i="18"/>
  <c r="P99" i="19"/>
  <c r="P91" i="18"/>
  <c r="P91" i="19"/>
  <c r="P83" i="18"/>
  <c r="P83" i="19"/>
  <c r="P75" i="18"/>
  <c r="P75" i="19"/>
  <c r="P67" i="18"/>
  <c r="P67" i="19"/>
  <c r="P59" i="18"/>
  <c r="P59" i="19"/>
  <c r="P82" i="18"/>
  <c r="P82" i="19"/>
  <c r="P105" i="18"/>
  <c r="P105" i="19"/>
  <c r="P97" i="18"/>
  <c r="P97" i="19"/>
  <c r="P89" i="18"/>
  <c r="P89" i="19"/>
  <c r="P81" i="18"/>
  <c r="P81" i="19"/>
  <c r="P73" i="18"/>
  <c r="P73" i="19"/>
  <c r="P65" i="18"/>
  <c r="P65" i="19"/>
  <c r="P106" i="18"/>
  <c r="P106" i="19"/>
  <c r="P66" i="18"/>
  <c r="P66" i="19"/>
  <c r="P98" i="18"/>
  <c r="P98" i="19"/>
  <c r="P58" i="18"/>
  <c r="P58" i="19"/>
  <c r="P103" i="18"/>
  <c r="P103" i="19"/>
  <c r="P95" i="18"/>
  <c r="P95" i="19"/>
  <c r="P87" i="18"/>
  <c r="P87" i="19"/>
  <c r="P79" i="18"/>
  <c r="P79" i="19"/>
  <c r="P71" i="18"/>
  <c r="P71" i="19"/>
  <c r="P63" i="18"/>
  <c r="P63" i="19"/>
  <c r="P103" i="16"/>
  <c r="P103" i="17"/>
  <c r="P95" i="16"/>
  <c r="P95" i="17"/>
  <c r="P87" i="16"/>
  <c r="P87" i="17"/>
  <c r="P79" i="16"/>
  <c r="P79" i="17"/>
  <c r="P71" i="16"/>
  <c r="P71" i="17"/>
  <c r="P63" i="16"/>
  <c r="P63" i="17"/>
  <c r="P98" i="16"/>
  <c r="P98" i="17"/>
  <c r="P82" i="16"/>
  <c r="P82" i="17"/>
  <c r="P66" i="16"/>
  <c r="P66" i="17"/>
  <c r="P104" i="16"/>
  <c r="P104" i="17"/>
  <c r="P102" i="16"/>
  <c r="P102" i="17"/>
  <c r="P94" i="16"/>
  <c r="P94" i="17"/>
  <c r="P86" i="16"/>
  <c r="P86" i="17"/>
  <c r="P78" i="16"/>
  <c r="P78" i="17"/>
  <c r="P70" i="16"/>
  <c r="P70" i="17"/>
  <c r="P62" i="16"/>
  <c r="P62" i="17"/>
  <c r="P109" i="16"/>
  <c r="P109" i="17"/>
  <c r="P101" i="16"/>
  <c r="P101" i="17"/>
  <c r="P93" i="16"/>
  <c r="P93" i="17"/>
  <c r="P85" i="16"/>
  <c r="P85" i="17"/>
  <c r="P77" i="16"/>
  <c r="P77" i="17"/>
  <c r="P69" i="16"/>
  <c r="P69" i="17"/>
  <c r="P61" i="16"/>
  <c r="P61" i="17"/>
  <c r="P107" i="16"/>
  <c r="P107" i="17"/>
  <c r="P99" i="16"/>
  <c r="P99" i="17"/>
  <c r="P91" i="16"/>
  <c r="P91" i="17"/>
  <c r="P83" i="16"/>
  <c r="P83" i="17"/>
  <c r="P75" i="16"/>
  <c r="P75" i="17"/>
  <c r="P67" i="16"/>
  <c r="P67" i="17"/>
  <c r="P59" i="16"/>
  <c r="P59" i="17"/>
  <c r="P108" i="16"/>
  <c r="P108" i="17"/>
  <c r="P100" i="16"/>
  <c r="P100" i="17"/>
  <c r="P92" i="16"/>
  <c r="P92" i="17"/>
  <c r="P84" i="16"/>
  <c r="P84" i="17"/>
  <c r="P76" i="16"/>
  <c r="P76" i="17"/>
  <c r="P68" i="16"/>
  <c r="P68" i="17"/>
  <c r="P60" i="16"/>
  <c r="P60" i="17"/>
  <c r="P105" i="16"/>
  <c r="P105" i="17"/>
  <c r="P97" i="16"/>
  <c r="P97" i="17"/>
  <c r="P89" i="16"/>
  <c r="P89" i="17"/>
  <c r="P81" i="16"/>
  <c r="P81" i="17"/>
  <c r="P73" i="16"/>
  <c r="P73" i="17"/>
  <c r="P65" i="16"/>
  <c r="P65" i="17"/>
  <c r="P106" i="16"/>
  <c r="P106" i="17"/>
  <c r="P90" i="16"/>
  <c r="P90" i="17"/>
  <c r="P74" i="16"/>
  <c r="P74" i="17"/>
  <c r="P58" i="16"/>
  <c r="P58" i="17"/>
  <c r="P96" i="16"/>
  <c r="P96" i="17"/>
  <c r="P88" i="16"/>
  <c r="P88" i="17"/>
  <c r="P80" i="16"/>
  <c r="P80" i="17"/>
  <c r="P72" i="16"/>
  <c r="P72" i="17"/>
  <c r="P64" i="16"/>
  <c r="P64" i="17"/>
  <c r="P109" i="14"/>
  <c r="P109" i="15"/>
  <c r="P108" i="14"/>
  <c r="P108" i="15"/>
  <c r="P107" i="14"/>
  <c r="P107" i="15"/>
  <c r="P106" i="14"/>
  <c r="P106" i="15"/>
  <c r="P105" i="14"/>
  <c r="P105" i="15"/>
  <c r="P104" i="14"/>
  <c r="P104" i="15"/>
  <c r="P103" i="14"/>
  <c r="P103" i="15"/>
  <c r="P102" i="14"/>
  <c r="P102" i="15"/>
  <c r="P101" i="14"/>
  <c r="P101" i="15"/>
  <c r="P100" i="14"/>
  <c r="P100" i="15"/>
  <c r="P99" i="14"/>
  <c r="P99" i="15"/>
  <c r="P98" i="14"/>
  <c r="P98" i="15"/>
  <c r="P97" i="14"/>
  <c r="P97" i="15"/>
  <c r="P96" i="14"/>
  <c r="P96" i="15"/>
  <c r="P95" i="14"/>
  <c r="P95" i="15"/>
  <c r="P94" i="14"/>
  <c r="P94" i="15"/>
  <c r="P93" i="14"/>
  <c r="P93" i="15"/>
  <c r="P92" i="14"/>
  <c r="P92" i="15"/>
  <c r="P91" i="14"/>
  <c r="P91" i="15"/>
  <c r="P90" i="14"/>
  <c r="P90" i="15"/>
  <c r="P89" i="14"/>
  <c r="P89" i="15"/>
  <c r="P88" i="14"/>
  <c r="P88" i="15"/>
  <c r="P87" i="14"/>
  <c r="P87" i="15"/>
  <c r="P86" i="14"/>
  <c r="P86" i="15"/>
  <c r="P85" i="14"/>
  <c r="P85" i="15"/>
  <c r="P84" i="14"/>
  <c r="P84" i="15"/>
  <c r="P83" i="14"/>
  <c r="P83" i="15"/>
  <c r="P82" i="14"/>
  <c r="P82" i="15"/>
  <c r="P81" i="14"/>
  <c r="P81" i="15"/>
  <c r="P80" i="14"/>
  <c r="P80" i="15"/>
  <c r="P79" i="14"/>
  <c r="P79" i="15"/>
  <c r="P78" i="14"/>
  <c r="P78" i="15"/>
  <c r="P77" i="14"/>
  <c r="P77" i="15"/>
  <c r="P76" i="14"/>
  <c r="P76" i="15"/>
  <c r="P75" i="14"/>
  <c r="P75" i="15"/>
  <c r="P74" i="14"/>
  <c r="P74" i="15"/>
  <c r="P73" i="14"/>
  <c r="P73" i="15"/>
  <c r="P72" i="14"/>
  <c r="P72" i="15"/>
  <c r="P71" i="14"/>
  <c r="P71" i="15"/>
  <c r="P70" i="14"/>
  <c r="P70" i="15"/>
  <c r="P69" i="14"/>
  <c r="P69" i="15"/>
  <c r="P68" i="14"/>
  <c r="P68" i="15"/>
  <c r="P67" i="14"/>
  <c r="P67" i="15"/>
  <c r="P66" i="14"/>
  <c r="P66" i="15"/>
  <c r="P65" i="14"/>
  <c r="P65" i="15"/>
  <c r="P64" i="14"/>
  <c r="P64" i="15"/>
  <c r="P63" i="14"/>
  <c r="P63" i="15"/>
  <c r="P62" i="14"/>
  <c r="P62" i="15"/>
  <c r="P61" i="14"/>
  <c r="P61" i="15"/>
  <c r="P60" i="14"/>
  <c r="P60" i="15"/>
  <c r="P59" i="14"/>
  <c r="P59" i="15"/>
  <c r="P58" i="14"/>
  <c r="P58" i="15"/>
  <c r="P86" i="12"/>
  <c r="P86" i="13"/>
  <c r="P108" i="12"/>
  <c r="P108" i="13"/>
  <c r="P100" i="12"/>
  <c r="P100" i="13"/>
  <c r="P92" i="12"/>
  <c r="P92" i="13"/>
  <c r="P84" i="12"/>
  <c r="P84" i="13"/>
  <c r="P76" i="12"/>
  <c r="P76" i="13"/>
  <c r="P68" i="12"/>
  <c r="P68" i="13"/>
  <c r="P60" i="12"/>
  <c r="P60" i="13"/>
  <c r="P107" i="12"/>
  <c r="P107" i="13"/>
  <c r="P99" i="12"/>
  <c r="P99" i="13"/>
  <c r="P91" i="12"/>
  <c r="P91" i="13"/>
  <c r="P83" i="12"/>
  <c r="P83" i="13"/>
  <c r="P75" i="12"/>
  <c r="P75" i="13"/>
  <c r="P67" i="12"/>
  <c r="P67" i="13"/>
  <c r="P59" i="12"/>
  <c r="P59" i="13"/>
  <c r="P94" i="12"/>
  <c r="P94" i="13"/>
  <c r="P98" i="12"/>
  <c r="P98" i="13"/>
  <c r="P82" i="12"/>
  <c r="P82" i="13"/>
  <c r="P58" i="12"/>
  <c r="P58" i="13"/>
  <c r="P105" i="12"/>
  <c r="P105" i="13"/>
  <c r="P89" i="12"/>
  <c r="P89" i="13"/>
  <c r="P81" i="12"/>
  <c r="P81" i="13"/>
  <c r="P73" i="12"/>
  <c r="P73" i="13"/>
  <c r="P65" i="12"/>
  <c r="P65" i="13"/>
  <c r="P102" i="12"/>
  <c r="P102" i="13"/>
  <c r="P78" i="12"/>
  <c r="P78" i="13"/>
  <c r="P70" i="12"/>
  <c r="P70" i="13"/>
  <c r="P62" i="12"/>
  <c r="P62" i="13"/>
  <c r="P104" i="12"/>
  <c r="P104" i="13"/>
  <c r="P96" i="12"/>
  <c r="P96" i="13"/>
  <c r="P88" i="12"/>
  <c r="P88" i="13"/>
  <c r="P80" i="12"/>
  <c r="P80" i="13"/>
  <c r="P72" i="12"/>
  <c r="P72" i="13"/>
  <c r="P64" i="12"/>
  <c r="P64" i="13"/>
  <c r="P106" i="12"/>
  <c r="P106" i="13"/>
  <c r="P90" i="12"/>
  <c r="P90" i="13"/>
  <c r="P74" i="12"/>
  <c r="P74" i="13"/>
  <c r="P66" i="12"/>
  <c r="P66" i="13"/>
  <c r="P97" i="12"/>
  <c r="P97" i="13"/>
  <c r="P103" i="12"/>
  <c r="P103" i="13"/>
  <c r="P95" i="12"/>
  <c r="P95" i="13"/>
  <c r="P87" i="12"/>
  <c r="P87" i="13"/>
  <c r="P79" i="12"/>
  <c r="P79" i="13"/>
  <c r="P71" i="12"/>
  <c r="P71" i="13"/>
  <c r="P63" i="12"/>
  <c r="P63" i="13"/>
  <c r="P109" i="12"/>
  <c r="P109" i="13"/>
  <c r="P101" i="12"/>
  <c r="P101" i="13"/>
  <c r="P93" i="12"/>
  <c r="P93" i="13"/>
  <c r="P85" i="12"/>
  <c r="P85" i="13"/>
  <c r="P77" i="12"/>
  <c r="P77" i="13"/>
  <c r="P69" i="12"/>
  <c r="P69" i="13"/>
  <c r="P61" i="12"/>
  <c r="P61" i="13"/>
  <c r="P106" i="10"/>
  <c r="P106" i="11"/>
  <c r="P82" i="10"/>
  <c r="P82" i="11"/>
  <c r="P74" i="10"/>
  <c r="P74" i="11"/>
  <c r="P66" i="10"/>
  <c r="P66" i="11"/>
  <c r="P104" i="10"/>
  <c r="P104" i="11"/>
  <c r="P96" i="10"/>
  <c r="P96" i="11"/>
  <c r="P80" i="10"/>
  <c r="P80" i="11"/>
  <c r="P72" i="10"/>
  <c r="P72" i="11"/>
  <c r="P64" i="10"/>
  <c r="P64" i="11"/>
  <c r="P103" i="10"/>
  <c r="P103" i="11"/>
  <c r="P95" i="10"/>
  <c r="P95" i="11"/>
  <c r="P87" i="10"/>
  <c r="P87" i="11"/>
  <c r="P71" i="10"/>
  <c r="P71" i="11"/>
  <c r="P63" i="10"/>
  <c r="P63" i="11"/>
  <c r="P109" i="10"/>
  <c r="P109" i="11"/>
  <c r="P101" i="10"/>
  <c r="P101" i="11"/>
  <c r="P93" i="10"/>
  <c r="P93" i="11"/>
  <c r="P85" i="10"/>
  <c r="P85" i="11"/>
  <c r="P77" i="10"/>
  <c r="P77" i="11"/>
  <c r="P69" i="10"/>
  <c r="P69" i="11"/>
  <c r="P61" i="10"/>
  <c r="P61" i="11"/>
  <c r="P100" i="10"/>
  <c r="P100" i="11"/>
  <c r="P84" i="10"/>
  <c r="P84" i="11"/>
  <c r="P60" i="10"/>
  <c r="P60" i="11"/>
  <c r="P107" i="10"/>
  <c r="P107" i="11"/>
  <c r="P99" i="10"/>
  <c r="P99" i="11"/>
  <c r="P91" i="10"/>
  <c r="P91" i="11"/>
  <c r="P83" i="10"/>
  <c r="P83" i="11"/>
  <c r="P75" i="10"/>
  <c r="P75" i="11"/>
  <c r="P67" i="10"/>
  <c r="P67" i="11"/>
  <c r="P59" i="10"/>
  <c r="P59" i="11"/>
  <c r="P108" i="10"/>
  <c r="P108" i="11"/>
  <c r="P92" i="10"/>
  <c r="P92" i="11"/>
  <c r="P76" i="10"/>
  <c r="P76" i="11"/>
  <c r="P68" i="10"/>
  <c r="P68" i="11"/>
  <c r="P98" i="10"/>
  <c r="P98" i="11"/>
  <c r="P58" i="10"/>
  <c r="P58" i="11"/>
  <c r="P105" i="10"/>
  <c r="P105" i="11"/>
  <c r="P97" i="10"/>
  <c r="P97" i="11"/>
  <c r="P89" i="10"/>
  <c r="P89" i="11"/>
  <c r="P81" i="10"/>
  <c r="P81" i="11"/>
  <c r="P73" i="10"/>
  <c r="P73" i="11"/>
  <c r="P65" i="10"/>
  <c r="P65" i="11"/>
  <c r="P90" i="10"/>
  <c r="P90" i="11"/>
  <c r="P88" i="10"/>
  <c r="P88" i="11"/>
  <c r="P79" i="10"/>
  <c r="P79" i="11"/>
  <c r="P102" i="10"/>
  <c r="P102" i="11"/>
  <c r="P94" i="10"/>
  <c r="P94" i="11"/>
  <c r="P86" i="10"/>
  <c r="P86" i="11"/>
  <c r="P78" i="10"/>
  <c r="P78" i="11"/>
  <c r="P70" i="10"/>
  <c r="P70" i="11"/>
  <c r="P62" i="10"/>
  <c r="P62" i="11"/>
  <c r="P87" i="8"/>
  <c r="P87" i="9"/>
  <c r="P109" i="8"/>
  <c r="P109" i="9"/>
  <c r="P101" i="8"/>
  <c r="P101" i="9"/>
  <c r="P93" i="8"/>
  <c r="P93" i="9"/>
  <c r="P85" i="8"/>
  <c r="P85" i="9"/>
  <c r="P77" i="8"/>
  <c r="P77" i="9"/>
  <c r="P69" i="8"/>
  <c r="P69" i="9"/>
  <c r="P61" i="8"/>
  <c r="P61" i="9"/>
  <c r="P108" i="8"/>
  <c r="P108" i="9"/>
  <c r="P100" i="8"/>
  <c r="P100" i="9"/>
  <c r="P92" i="8"/>
  <c r="P92" i="9"/>
  <c r="P84" i="8"/>
  <c r="P84" i="9"/>
  <c r="P76" i="8"/>
  <c r="P76" i="9"/>
  <c r="P68" i="8"/>
  <c r="P68" i="9"/>
  <c r="P60" i="8"/>
  <c r="P60" i="9"/>
  <c r="P107" i="8"/>
  <c r="P107" i="9"/>
  <c r="P99" i="8"/>
  <c r="P99" i="9"/>
  <c r="P91" i="8"/>
  <c r="P91" i="9"/>
  <c r="P83" i="8"/>
  <c r="P83" i="9"/>
  <c r="P75" i="8"/>
  <c r="P75" i="9"/>
  <c r="P67" i="8"/>
  <c r="P67" i="9"/>
  <c r="P59" i="8"/>
  <c r="P59" i="9"/>
  <c r="P103" i="8"/>
  <c r="P103" i="9"/>
  <c r="P95" i="8"/>
  <c r="P95" i="9"/>
  <c r="P79" i="8"/>
  <c r="P79" i="9"/>
  <c r="P71" i="8"/>
  <c r="P71" i="9"/>
  <c r="P63" i="8"/>
  <c r="P63" i="9"/>
  <c r="P102" i="8"/>
  <c r="P102" i="9"/>
  <c r="P86" i="8"/>
  <c r="P86" i="9"/>
  <c r="P78" i="8"/>
  <c r="P78" i="9"/>
  <c r="P70" i="8"/>
  <c r="P70" i="9"/>
  <c r="P62" i="8"/>
  <c r="P62" i="9"/>
  <c r="P106" i="8"/>
  <c r="P106" i="9"/>
  <c r="P98" i="8"/>
  <c r="P98" i="9"/>
  <c r="P90" i="8"/>
  <c r="P90" i="9"/>
  <c r="P82" i="8"/>
  <c r="P82" i="9"/>
  <c r="P74" i="8"/>
  <c r="P74" i="9"/>
  <c r="P66" i="8"/>
  <c r="P66" i="9"/>
  <c r="P58" i="8"/>
  <c r="P58" i="9"/>
  <c r="P94" i="8"/>
  <c r="P94" i="9"/>
  <c r="P105" i="8"/>
  <c r="P105" i="9"/>
  <c r="P97" i="8"/>
  <c r="P97" i="9"/>
  <c r="P89" i="8"/>
  <c r="P89" i="9"/>
  <c r="P81" i="8"/>
  <c r="P81" i="9"/>
  <c r="P73" i="8"/>
  <c r="P73" i="9"/>
  <c r="P65" i="8"/>
  <c r="P65" i="9"/>
  <c r="P104" i="8"/>
  <c r="P104" i="9"/>
  <c r="P96" i="8"/>
  <c r="P96" i="9"/>
  <c r="P88" i="8"/>
  <c r="P88" i="9"/>
  <c r="P80" i="8"/>
  <c r="P80" i="9"/>
  <c r="P72" i="8"/>
  <c r="P72" i="9"/>
  <c r="P64" i="8"/>
  <c r="P64" i="9"/>
  <c r="P109" i="6"/>
  <c r="P109" i="7"/>
  <c r="P108" i="6"/>
  <c r="P108" i="7"/>
  <c r="P107" i="6"/>
  <c r="P107" i="7"/>
  <c r="P106" i="6"/>
  <c r="P106" i="7"/>
  <c r="P105" i="6"/>
  <c r="P105" i="7"/>
  <c r="P104" i="6"/>
  <c r="P104" i="7"/>
  <c r="P103" i="6"/>
  <c r="P103" i="7"/>
  <c r="P102" i="6"/>
  <c r="P102" i="7"/>
  <c r="P101" i="6"/>
  <c r="P101" i="7"/>
  <c r="P100" i="6"/>
  <c r="P100" i="7"/>
  <c r="P99" i="6"/>
  <c r="P99" i="7"/>
  <c r="P98" i="6"/>
  <c r="P98" i="7"/>
  <c r="P97" i="6"/>
  <c r="P97" i="7"/>
  <c r="P96" i="6"/>
  <c r="P96" i="7"/>
  <c r="P95" i="6"/>
  <c r="P95" i="7"/>
  <c r="P94" i="6"/>
  <c r="P94" i="7"/>
  <c r="P93" i="6"/>
  <c r="P93" i="7"/>
  <c r="P92" i="6"/>
  <c r="P92" i="7"/>
  <c r="P91" i="6"/>
  <c r="P91" i="7"/>
  <c r="P90" i="6"/>
  <c r="P90" i="7"/>
  <c r="P89" i="6"/>
  <c r="P89" i="7"/>
  <c r="P88" i="6"/>
  <c r="P88" i="7"/>
  <c r="P87" i="6"/>
  <c r="P87" i="7"/>
  <c r="P86" i="6"/>
  <c r="P86" i="7"/>
  <c r="P85" i="6"/>
  <c r="P85" i="7"/>
  <c r="P84" i="6"/>
  <c r="P84" i="7"/>
  <c r="P83" i="6"/>
  <c r="P83" i="7"/>
  <c r="P82" i="6"/>
  <c r="P82" i="7"/>
  <c r="P81" i="6"/>
  <c r="P81" i="7"/>
  <c r="P80" i="6"/>
  <c r="P80" i="7"/>
  <c r="P79" i="6"/>
  <c r="P79" i="7"/>
  <c r="P78" i="6"/>
  <c r="P78" i="7"/>
  <c r="P77" i="6"/>
  <c r="P77" i="7"/>
  <c r="P76" i="6"/>
  <c r="P76" i="7"/>
  <c r="P75" i="6"/>
  <c r="P75" i="7"/>
  <c r="P74" i="6"/>
  <c r="P74" i="7"/>
  <c r="P73" i="6"/>
  <c r="P73" i="7"/>
  <c r="P72" i="6"/>
  <c r="P72" i="7"/>
  <c r="P71" i="6"/>
  <c r="P71" i="7"/>
  <c r="P70" i="6"/>
  <c r="P70" i="7"/>
  <c r="P69" i="6"/>
  <c r="P69" i="7"/>
  <c r="P68" i="6"/>
  <c r="P68" i="7"/>
  <c r="P67" i="6"/>
  <c r="P67" i="7"/>
  <c r="P66" i="6"/>
  <c r="P66" i="7"/>
  <c r="P65" i="6"/>
  <c r="P65" i="7"/>
  <c r="P64" i="6"/>
  <c r="P64" i="7"/>
  <c r="P63" i="6"/>
  <c r="P63" i="7"/>
  <c r="P62" i="6"/>
  <c r="P62" i="7"/>
  <c r="P61" i="6"/>
  <c r="P61" i="7"/>
  <c r="P60" i="6"/>
  <c r="P60" i="7"/>
  <c r="P59" i="6"/>
  <c r="P59" i="7"/>
  <c r="P58" i="6"/>
  <c r="P58" i="7"/>
  <c r="P109" i="5"/>
  <c r="P108" i="5"/>
  <c r="P107" i="5"/>
  <c r="P106" i="5"/>
  <c r="P105" i="5"/>
  <c r="P104" i="5"/>
  <c r="P103" i="5"/>
  <c r="P102" i="5"/>
  <c r="P101" i="5"/>
  <c r="P100" i="5"/>
  <c r="P99" i="5"/>
  <c r="P98" i="5"/>
  <c r="P97" i="5"/>
  <c r="P96" i="5"/>
  <c r="P95" i="5"/>
  <c r="P94" i="5"/>
  <c r="P93" i="5"/>
  <c r="P92" i="5"/>
  <c r="P91" i="5"/>
  <c r="P90" i="5"/>
  <c r="P89" i="5"/>
  <c r="P88" i="5"/>
  <c r="P87" i="5"/>
  <c r="P86" i="5"/>
  <c r="P85" i="5"/>
  <c r="P84" i="5"/>
  <c r="P83" i="5"/>
  <c r="P82" i="5"/>
  <c r="P81" i="5"/>
  <c r="P80" i="5"/>
  <c r="P79" i="5"/>
  <c r="P78" i="5"/>
  <c r="P77" i="5"/>
  <c r="P76" i="5"/>
  <c r="P75" i="5"/>
  <c r="P74" i="5"/>
  <c r="P73" i="5"/>
  <c r="P72" i="5"/>
  <c r="P71" i="5"/>
  <c r="P70" i="5"/>
  <c r="P69" i="5"/>
  <c r="P68" i="5"/>
  <c r="P67" i="5"/>
  <c r="P66" i="5"/>
  <c r="P65" i="5"/>
  <c r="P64" i="5"/>
  <c r="P63" i="5"/>
  <c r="P62" i="5"/>
  <c r="P61" i="5"/>
  <c r="P60" i="5"/>
  <c r="P59" i="5"/>
  <c r="P58" i="5"/>
  <c r="P109" i="4"/>
  <c r="P93" i="4"/>
  <c r="P77" i="4"/>
  <c r="P69" i="4"/>
  <c r="P108" i="4"/>
  <c r="P92" i="4"/>
  <c r="P107" i="4"/>
  <c r="P99" i="4"/>
  <c r="P91" i="4"/>
  <c r="P83" i="4"/>
  <c r="P75" i="4"/>
  <c r="P67" i="4"/>
  <c r="P59" i="4"/>
  <c r="P98" i="4"/>
  <c r="P82" i="4"/>
  <c r="P58" i="4"/>
  <c r="P105" i="4"/>
  <c r="P97" i="4"/>
  <c r="P89" i="4"/>
  <c r="P81" i="4"/>
  <c r="P73" i="4"/>
  <c r="P65" i="4"/>
  <c r="P94" i="4"/>
  <c r="P101" i="4"/>
  <c r="P106" i="4"/>
  <c r="P90" i="4"/>
  <c r="P74" i="4"/>
  <c r="P66" i="4"/>
  <c r="P104" i="4"/>
  <c r="P96" i="4"/>
  <c r="P88" i="4"/>
  <c r="P80" i="4"/>
  <c r="P72" i="4"/>
  <c r="P64" i="4"/>
  <c r="P103" i="4"/>
  <c r="P95" i="4"/>
  <c r="P87" i="4"/>
  <c r="P79" i="4"/>
  <c r="P71" i="4"/>
  <c r="P63" i="4"/>
  <c r="P102" i="4"/>
  <c r="P86" i="4"/>
  <c r="P78" i="4"/>
  <c r="P70" i="4"/>
  <c r="P62" i="4"/>
  <c r="P85" i="4"/>
  <c r="P61" i="4"/>
  <c r="P100" i="4"/>
  <c r="P84" i="4"/>
  <c r="P76" i="4"/>
  <c r="P68" i="4"/>
  <c r="P60" i="4"/>
  <c r="AF110" i="4" l="1"/>
  <c r="Z100" i="4"/>
  <c r="AC100" i="4"/>
  <c r="Z63" i="4"/>
  <c r="AC63" i="4"/>
  <c r="Z80" i="4"/>
  <c r="AC80" i="4"/>
  <c r="Z101" i="4"/>
  <c r="AC101" i="4"/>
  <c r="Z99" i="4"/>
  <c r="AC99" i="4"/>
  <c r="Z88" i="4"/>
  <c r="AC88" i="4"/>
  <c r="Z85" i="4"/>
  <c r="AC85" i="4"/>
  <c r="Z79" i="4"/>
  <c r="AC79" i="4"/>
  <c r="Z96" i="4"/>
  <c r="AC96" i="4"/>
  <c r="Z65" i="4"/>
  <c r="AC65" i="4"/>
  <c r="Z98" i="4"/>
  <c r="AC98" i="4"/>
  <c r="Z92" i="4"/>
  <c r="AC92" i="4"/>
  <c r="Z82" i="4"/>
  <c r="AC82" i="4"/>
  <c r="Z62" i="4"/>
  <c r="CP47" i="51" s="1"/>
  <c r="AC62" i="4"/>
  <c r="Z87" i="4"/>
  <c r="AC87" i="4"/>
  <c r="Z104" i="4"/>
  <c r="AC104" i="4"/>
  <c r="Z73" i="4"/>
  <c r="AC73" i="4"/>
  <c r="Z59" i="4"/>
  <c r="CP44" i="51" s="1"/>
  <c r="AC59" i="4"/>
  <c r="Z108" i="4"/>
  <c r="AC108" i="4"/>
  <c r="Z107" i="4"/>
  <c r="AC107" i="4"/>
  <c r="Z60" i="4"/>
  <c r="AC60" i="4"/>
  <c r="Z70" i="4"/>
  <c r="AC70" i="4"/>
  <c r="Z95" i="4"/>
  <c r="AC95" i="4"/>
  <c r="Z66" i="4"/>
  <c r="AC66" i="4"/>
  <c r="Z81" i="4"/>
  <c r="AC81" i="4"/>
  <c r="Z67" i="4"/>
  <c r="AC67" i="4"/>
  <c r="Z69" i="4"/>
  <c r="AC69" i="4"/>
  <c r="Z71" i="4"/>
  <c r="AC71" i="4"/>
  <c r="Z68" i="4"/>
  <c r="AC68" i="4"/>
  <c r="Z78" i="4"/>
  <c r="AC78" i="4"/>
  <c r="Z103" i="4"/>
  <c r="AC103" i="4"/>
  <c r="Z74" i="4"/>
  <c r="AC74" i="4"/>
  <c r="Z89" i="4"/>
  <c r="AC89" i="4"/>
  <c r="Z75" i="4"/>
  <c r="AC75" i="4"/>
  <c r="Z77" i="4"/>
  <c r="AC77" i="4"/>
  <c r="Z61" i="4"/>
  <c r="AC61" i="4"/>
  <c r="Z76" i="4"/>
  <c r="AC76" i="4"/>
  <c r="Z86" i="4"/>
  <c r="AC86" i="4"/>
  <c r="Z64" i="4"/>
  <c r="AC64" i="4"/>
  <c r="Z90" i="4"/>
  <c r="AC90" i="4"/>
  <c r="Z97" i="4"/>
  <c r="AC97" i="4"/>
  <c r="Z83" i="4"/>
  <c r="AC83" i="4"/>
  <c r="Z93" i="4"/>
  <c r="AC93" i="4"/>
  <c r="Z94" i="4"/>
  <c r="AC94" i="4"/>
  <c r="Z84" i="4"/>
  <c r="AC84" i="4"/>
  <c r="Z102" i="4"/>
  <c r="AC102" i="4"/>
  <c r="Z72" i="4"/>
  <c r="AC72" i="4"/>
  <c r="Z106" i="4"/>
  <c r="AC106" i="4"/>
  <c r="Z105" i="4"/>
  <c r="AC105" i="4"/>
  <c r="Z91" i="4"/>
  <c r="AC91" i="4"/>
  <c r="Z109" i="4"/>
  <c r="AC109" i="4"/>
  <c r="Z58" i="4"/>
  <c r="AC58" i="4"/>
  <c r="AA132" i="51"/>
  <c r="F37" i="44" s="1"/>
  <c r="AB132" i="51"/>
  <c r="H53" i="44"/>
  <c r="H93" i="44"/>
  <c r="H55" i="44"/>
  <c r="H94" i="44"/>
  <c r="H65" i="44"/>
  <c r="F81" i="44"/>
  <c r="F94" i="44"/>
  <c r="H70" i="44"/>
  <c r="G58" i="44"/>
  <c r="H71" i="44"/>
  <c r="G67" i="44"/>
  <c r="F83" i="44"/>
  <c r="H62" i="44"/>
  <c r="G70" i="44"/>
  <c r="G46" i="44"/>
  <c r="H63" i="44"/>
  <c r="F77" i="44"/>
  <c r="H103" i="44"/>
  <c r="G91" i="44"/>
  <c r="F58" i="44"/>
  <c r="H59" i="44"/>
  <c r="G62" i="44"/>
  <c r="G51" i="44"/>
  <c r="G63" i="44"/>
  <c r="F87" i="44"/>
  <c r="H81" i="44"/>
  <c r="G50" i="44"/>
  <c r="G101" i="44"/>
  <c r="H89" i="44"/>
  <c r="G78" i="44"/>
  <c r="H45" i="44"/>
  <c r="H42" i="44"/>
  <c r="F93" i="44"/>
  <c r="H79" i="44"/>
  <c r="G102" i="44"/>
  <c r="G87" i="44"/>
  <c r="F65" i="44"/>
  <c r="G69" i="44"/>
  <c r="F86" i="44"/>
  <c r="G85" i="44"/>
  <c r="H57" i="44"/>
  <c r="F74" i="44"/>
  <c r="G49" i="44"/>
  <c r="G59" i="44"/>
  <c r="F73" i="44"/>
  <c r="H91" i="44"/>
  <c r="F51" i="44"/>
  <c r="F66" i="44"/>
  <c r="F89" i="44"/>
  <c r="H47" i="44"/>
  <c r="F78" i="44"/>
  <c r="F61" i="44"/>
  <c r="G65" i="44"/>
  <c r="F62" i="44"/>
  <c r="G43" i="44"/>
  <c r="G53" i="44"/>
  <c r="G79" i="44"/>
  <c r="H82" i="44"/>
  <c r="G42" i="44"/>
  <c r="F82" i="44"/>
  <c r="F69" i="44"/>
  <c r="H101" i="44"/>
  <c r="H97" i="44"/>
  <c r="G71" i="44"/>
  <c r="F95" i="44"/>
  <c r="H41" i="44"/>
  <c r="F97" i="44"/>
  <c r="F98" i="44"/>
  <c r="H66" i="44"/>
  <c r="H83" i="44"/>
  <c r="G86" i="44"/>
  <c r="H75" i="44"/>
  <c r="G74" i="44"/>
  <c r="G61" i="44"/>
  <c r="G57" i="44"/>
  <c r="G47" i="44"/>
  <c r="F54" i="44"/>
  <c r="F59" i="44"/>
  <c r="H73" i="44"/>
  <c r="H54" i="44"/>
  <c r="H90" i="44"/>
  <c r="G55" i="44"/>
  <c r="F103" i="44"/>
  <c r="H46" i="44"/>
  <c r="G66" i="44"/>
  <c r="F79" i="44"/>
  <c r="F57" i="44"/>
  <c r="H67" i="44"/>
  <c r="G99" i="44"/>
  <c r="G73" i="44"/>
  <c r="F55" i="44"/>
  <c r="H74" i="44"/>
  <c r="G82" i="44"/>
  <c r="G41" i="44"/>
  <c r="F67" i="44"/>
  <c r="H50" i="44"/>
  <c r="H51" i="44"/>
  <c r="H85" i="44"/>
  <c r="H49" i="44"/>
  <c r="F101" i="44"/>
  <c r="G98" i="44"/>
  <c r="G77" i="44"/>
  <c r="G54" i="44"/>
  <c r="F99" i="44"/>
  <c r="H58" i="44"/>
  <c r="F70" i="44"/>
  <c r="F49" i="44"/>
  <c r="H61" i="44"/>
  <c r="F46" i="44"/>
  <c r="G89" i="44"/>
  <c r="F90" i="44"/>
  <c r="H98" i="44"/>
  <c r="F71" i="44"/>
  <c r="H86" i="44"/>
  <c r="H95" i="44"/>
  <c r="H102" i="44"/>
  <c r="H87" i="44"/>
  <c r="G81" i="44"/>
  <c r="F102" i="44"/>
  <c r="F91" i="44"/>
  <c r="H69" i="44"/>
  <c r="H43" i="44"/>
  <c r="G75" i="44"/>
  <c r="G94" i="44"/>
  <c r="G83" i="44"/>
  <c r="F85" i="44"/>
  <c r="H78" i="44"/>
  <c r="F75" i="44"/>
  <c r="H99" i="44"/>
  <c r="H77" i="44"/>
  <c r="F47" i="44"/>
  <c r="F63" i="44"/>
  <c r="G45" i="44"/>
  <c r="AB123" i="51"/>
  <c r="IA95" i="51"/>
  <c r="HZ95" i="51"/>
  <c r="KD95" i="51" s="1"/>
  <c r="HY95" i="51"/>
  <c r="HX95" i="51"/>
  <c r="AH46" i="51"/>
  <c r="AI46" i="51"/>
  <c r="AJ46" i="51"/>
  <c r="AH50" i="51"/>
  <c r="AI50" i="51"/>
  <c r="AJ50" i="51"/>
  <c r="AH54" i="51"/>
  <c r="AI54" i="51"/>
  <c r="AJ54" i="51"/>
  <c r="AH58" i="51"/>
  <c r="AI58" i="51"/>
  <c r="AJ58" i="51"/>
  <c r="AH62" i="51"/>
  <c r="AI62" i="51"/>
  <c r="AJ62" i="51"/>
  <c r="AH66" i="51"/>
  <c r="AI66" i="51"/>
  <c r="CW66" i="51"/>
  <c r="AJ66" i="51"/>
  <c r="AH70" i="51"/>
  <c r="AI70" i="51"/>
  <c r="AJ70" i="51"/>
  <c r="AH74" i="51"/>
  <c r="AI74" i="51"/>
  <c r="AJ74" i="51"/>
  <c r="AH78" i="51"/>
  <c r="AI78" i="51"/>
  <c r="AJ78" i="51"/>
  <c r="AH82" i="51"/>
  <c r="AI82" i="51"/>
  <c r="AJ82" i="51"/>
  <c r="AH86" i="51"/>
  <c r="AI86" i="51"/>
  <c r="AJ86" i="51"/>
  <c r="AI90" i="51"/>
  <c r="AJ90" i="51"/>
  <c r="AH90" i="51"/>
  <c r="AH94" i="51"/>
  <c r="AI94" i="51"/>
  <c r="AJ94" i="51"/>
  <c r="AH47" i="51"/>
  <c r="AI47" i="51"/>
  <c r="AJ47" i="51"/>
  <c r="AH51" i="51"/>
  <c r="AI51" i="51"/>
  <c r="AJ51" i="51"/>
  <c r="AH55" i="51"/>
  <c r="AI55" i="51"/>
  <c r="AJ55" i="51"/>
  <c r="AH59" i="51"/>
  <c r="AI59" i="51"/>
  <c r="AJ59" i="51"/>
  <c r="AH63" i="51"/>
  <c r="AI63" i="51"/>
  <c r="AJ63" i="51"/>
  <c r="AH67" i="51"/>
  <c r="AI67" i="51"/>
  <c r="AJ67" i="51"/>
  <c r="AH71" i="51"/>
  <c r="AI71" i="51"/>
  <c r="AJ71" i="51"/>
  <c r="AH75" i="51"/>
  <c r="AI75" i="51"/>
  <c r="AJ75" i="51"/>
  <c r="AH79" i="51"/>
  <c r="AI79" i="51"/>
  <c r="AJ79" i="51"/>
  <c r="AH83" i="51"/>
  <c r="AI83" i="51"/>
  <c r="AJ83" i="51"/>
  <c r="AH87" i="51"/>
  <c r="AI87" i="51"/>
  <c r="AJ87" i="51"/>
  <c r="AI91" i="51"/>
  <c r="AH91" i="51"/>
  <c r="AJ91" i="51"/>
  <c r="AH44" i="51"/>
  <c r="AI44" i="51"/>
  <c r="AJ44" i="51"/>
  <c r="AH48" i="51"/>
  <c r="AI48" i="51"/>
  <c r="AJ48" i="51"/>
  <c r="CW48" i="51"/>
  <c r="AH64" i="51"/>
  <c r="AI64" i="51"/>
  <c r="AJ64" i="51"/>
  <c r="AH68" i="51"/>
  <c r="AI68" i="51"/>
  <c r="AJ68" i="51"/>
  <c r="AH72" i="51"/>
  <c r="AI72" i="51"/>
  <c r="AJ72" i="51"/>
  <c r="AH76" i="51"/>
  <c r="AI76" i="51"/>
  <c r="AJ76" i="51"/>
  <c r="AH80" i="51"/>
  <c r="AI80" i="51"/>
  <c r="AJ80" i="51"/>
  <c r="AH84" i="51"/>
  <c r="AI84" i="51"/>
  <c r="AJ84" i="51"/>
  <c r="AH88" i="51"/>
  <c r="AI88" i="51"/>
  <c r="AJ88" i="51"/>
  <c r="AH92" i="51"/>
  <c r="AI92" i="51"/>
  <c r="AJ92" i="51"/>
  <c r="AH52" i="51"/>
  <c r="AI52" i="51"/>
  <c r="AJ52" i="51"/>
  <c r="AH56" i="51"/>
  <c r="AI56" i="51"/>
  <c r="AJ56" i="51"/>
  <c r="CX56" i="51"/>
  <c r="AH49" i="51"/>
  <c r="AI49" i="51"/>
  <c r="AJ49" i="51"/>
  <c r="AH53" i="51"/>
  <c r="AI53" i="51"/>
  <c r="AJ53" i="51"/>
  <c r="AH57" i="51"/>
  <c r="AI57" i="51"/>
  <c r="AJ57" i="51"/>
  <c r="AH61" i="51"/>
  <c r="AI61" i="51"/>
  <c r="AJ61" i="51"/>
  <c r="AH65" i="51"/>
  <c r="AI65" i="51"/>
  <c r="AJ65" i="51"/>
  <c r="AH69" i="51"/>
  <c r="AI69" i="51"/>
  <c r="AJ69" i="51"/>
  <c r="AH73" i="51"/>
  <c r="AI73" i="51"/>
  <c r="AJ73" i="51"/>
  <c r="AH77" i="51"/>
  <c r="AI77" i="51"/>
  <c r="AJ77" i="51"/>
  <c r="AH81" i="51"/>
  <c r="AI81" i="51"/>
  <c r="AJ81" i="51"/>
  <c r="AH85" i="51"/>
  <c r="AI85" i="51"/>
  <c r="AJ85" i="51"/>
  <c r="AH89" i="51"/>
  <c r="AI89" i="51"/>
  <c r="AJ89" i="51"/>
  <c r="CV93" i="51"/>
  <c r="AH93" i="51"/>
  <c r="CW93" i="51"/>
  <c r="AJ93" i="51"/>
  <c r="AI93" i="51"/>
  <c r="AH60" i="51"/>
  <c r="AI60" i="51"/>
  <c r="AJ60" i="51"/>
  <c r="AH45" i="51"/>
  <c r="AI45" i="51"/>
  <c r="AJ45" i="51"/>
  <c r="CX45" i="51"/>
  <c r="AH43" i="51"/>
  <c r="AI43" i="51"/>
  <c r="AJ43" i="51"/>
  <c r="HR95" i="51"/>
  <c r="CP84" i="51"/>
  <c r="CP45" i="51"/>
  <c r="CP85" i="51"/>
  <c r="E20" i="55" a="1"/>
  <c r="E14" i="55" a="1"/>
  <c r="CY95" i="51"/>
  <c r="E9" i="44"/>
  <c r="E13" i="44"/>
  <c r="AL130" i="51"/>
  <c r="AL132" i="51"/>
  <c r="AA87" i="55" s="1"/>
  <c r="AF130" i="51"/>
  <c r="AF132" i="51"/>
  <c r="U87" i="55" s="1"/>
  <c r="AO130" i="51"/>
  <c r="AO132" i="51"/>
  <c r="AD87" i="55" s="1"/>
  <c r="AM130" i="51"/>
  <c r="AM132" i="51"/>
  <c r="AB87" i="55" s="1"/>
  <c r="AH130" i="51"/>
  <c r="AH132" i="51"/>
  <c r="W87" i="55" s="1"/>
  <c r="AN130" i="51"/>
  <c r="AN132" i="51"/>
  <c r="AC87" i="55" s="1"/>
  <c r="AP130" i="51"/>
  <c r="AP132" i="51"/>
  <c r="AE87" i="55" s="1"/>
  <c r="AK130" i="51"/>
  <c r="AK132" i="51"/>
  <c r="Z87" i="55" s="1"/>
  <c r="AJ130" i="51"/>
  <c r="AJ132" i="51"/>
  <c r="Y87" i="55" s="1"/>
  <c r="AG130" i="51"/>
  <c r="AG132" i="51"/>
  <c r="V87" i="55" s="1"/>
  <c r="AI130" i="51"/>
  <c r="AI132" i="51"/>
  <c r="X87" i="55" s="1"/>
  <c r="AQ130" i="51"/>
  <c r="AQ132" i="51"/>
  <c r="AF87" i="55" s="1"/>
  <c r="CN95" i="51"/>
  <c r="CV95" i="51"/>
  <c r="CW95" i="51"/>
  <c r="CX95" i="51"/>
  <c r="FB95" i="51" s="1"/>
  <c r="CP95" i="51"/>
  <c r="AA123" i="51"/>
  <c r="F25" i="44" s="1"/>
  <c r="N59" i="53"/>
  <c r="N54" i="53"/>
  <c r="N65" i="53"/>
  <c r="M40" i="53"/>
  <c r="N53" i="53"/>
  <c r="M48" i="53"/>
  <c r="N62" i="53"/>
  <c r="N71" i="53"/>
  <c r="O72" i="53"/>
  <c r="M65" i="53"/>
  <c r="O71" i="53"/>
  <c r="O40" i="53"/>
  <c r="O50" i="53"/>
  <c r="O55" i="53"/>
  <c r="N61" i="53"/>
  <c r="O74" i="53"/>
  <c r="M68" i="53"/>
  <c r="N90" i="53"/>
  <c r="O82" i="53"/>
  <c r="N63" i="53"/>
  <c r="O41" i="53"/>
  <c r="M79" i="53"/>
  <c r="O90" i="53"/>
  <c r="O79" i="53"/>
  <c r="O57" i="53"/>
  <c r="M86" i="53"/>
  <c r="N39" i="53"/>
  <c r="N44" i="53"/>
  <c r="N42" i="53"/>
  <c r="O65" i="53"/>
  <c r="M67" i="53"/>
  <c r="M74" i="53"/>
  <c r="N80" i="53"/>
  <c r="O85" i="53"/>
  <c r="M64" i="53"/>
  <c r="N49" i="53"/>
  <c r="O69" i="53"/>
  <c r="O42" i="53"/>
  <c r="O58" i="53"/>
  <c r="N45" i="53"/>
  <c r="M89" i="53"/>
  <c r="N69" i="53"/>
  <c r="N47" i="53"/>
  <c r="N50" i="53"/>
  <c r="N88" i="53"/>
  <c r="N86" i="53"/>
  <c r="N67" i="53"/>
  <c r="O75" i="53"/>
  <c r="O62" i="53"/>
  <c r="M57" i="53"/>
  <c r="N41" i="53"/>
  <c r="M85" i="53"/>
  <c r="M58" i="53"/>
  <c r="O67" i="53"/>
  <c r="M66" i="53"/>
  <c r="N57" i="53"/>
  <c r="N78" i="53"/>
  <c r="N75" i="53"/>
  <c r="N43" i="53"/>
  <c r="N55" i="53"/>
  <c r="M41" i="53"/>
  <c r="O88" i="53"/>
  <c r="M77" i="53"/>
  <c r="O47" i="53"/>
  <c r="N66" i="53"/>
  <c r="M83" i="53"/>
  <c r="O89" i="53"/>
  <c r="M51" i="53"/>
  <c r="M49" i="53"/>
  <c r="M87" i="53"/>
  <c r="M90" i="53"/>
  <c r="M52" i="53"/>
  <c r="O43" i="53"/>
  <c r="O78" i="53"/>
  <c r="M46" i="53"/>
  <c r="O80" i="53"/>
  <c r="O45" i="53"/>
  <c r="M54" i="53"/>
  <c r="N56" i="53"/>
  <c r="O49" i="53"/>
  <c r="M69" i="53"/>
  <c r="O68" i="53"/>
  <c r="N84" i="53"/>
  <c r="M84" i="53"/>
  <c r="O84" i="53"/>
  <c r="O61" i="53"/>
  <c r="O83" i="53"/>
  <c r="M62" i="53"/>
  <c r="M56" i="53"/>
  <c r="N70" i="53"/>
  <c r="M72" i="53"/>
  <c r="O44" i="53"/>
  <c r="O86" i="53"/>
  <c r="M76" i="53"/>
  <c r="O48" i="53"/>
  <c r="O76" i="53"/>
  <c r="O56" i="53"/>
  <c r="M80" i="53"/>
  <c r="O70" i="53"/>
  <c r="N52" i="53"/>
  <c r="N46" i="53"/>
  <c r="N82" i="53"/>
  <c r="O46" i="53"/>
  <c r="M43" i="53"/>
  <c r="N76" i="53"/>
  <c r="O77" i="53"/>
  <c r="O52" i="53"/>
  <c r="M71" i="53"/>
  <c r="N85" i="53"/>
  <c r="N40" i="53"/>
  <c r="N77" i="53"/>
  <c r="N89" i="53"/>
  <c r="N51" i="53"/>
  <c r="N79" i="53"/>
  <c r="N60" i="53"/>
  <c r="M44" i="53"/>
  <c r="M88" i="53"/>
  <c r="M42" i="53"/>
  <c r="M45" i="53"/>
  <c r="M55" i="53"/>
  <c r="O63" i="53"/>
  <c r="O66" i="53"/>
  <c r="N58" i="53"/>
  <c r="O73" i="53"/>
  <c r="O81" i="53"/>
  <c r="N83" i="53"/>
  <c r="N74" i="53"/>
  <c r="M50" i="53"/>
  <c r="M53" i="53"/>
  <c r="N73" i="53"/>
  <c r="O87" i="53"/>
  <c r="M82" i="53"/>
  <c r="O39" i="53"/>
  <c r="M61" i="53"/>
  <c r="N72" i="53"/>
  <c r="N68" i="53"/>
  <c r="M47" i="53"/>
  <c r="O53" i="53"/>
  <c r="M60" i="53"/>
  <c r="O60" i="53"/>
  <c r="M75" i="53"/>
  <c r="O59" i="53"/>
  <c r="M81" i="53"/>
  <c r="M59" i="53"/>
  <c r="N48" i="53"/>
  <c r="N64" i="53"/>
  <c r="N81" i="53"/>
  <c r="M78" i="53"/>
  <c r="M63" i="53"/>
  <c r="M73" i="53"/>
  <c r="O51" i="53"/>
  <c r="M39" i="53"/>
  <c r="O64" i="53"/>
  <c r="N87" i="53"/>
  <c r="O54" i="53"/>
  <c r="M70" i="53"/>
  <c r="AF91" i="4" l="1"/>
  <c r="AF102" i="4"/>
  <c r="AF83" i="4"/>
  <c r="AF86" i="4"/>
  <c r="AF75" i="4"/>
  <c r="AF78" i="4"/>
  <c r="AF67" i="4"/>
  <c r="HR52" i="51" s="1"/>
  <c r="AF70" i="4"/>
  <c r="HR55" i="51" s="1"/>
  <c r="AF59" i="4"/>
  <c r="HR44" i="51" s="1"/>
  <c r="AF62" i="4"/>
  <c r="HR47" i="51" s="1"/>
  <c r="AF65" i="4"/>
  <c r="AF105" i="4"/>
  <c r="AF84" i="4"/>
  <c r="AF97" i="4"/>
  <c r="AF76" i="4"/>
  <c r="HR61" i="51" s="1"/>
  <c r="AF89" i="4"/>
  <c r="AF68" i="4"/>
  <c r="HR53" i="51" s="1"/>
  <c r="AF109" i="4"/>
  <c r="AF72" i="4"/>
  <c r="AF93" i="4"/>
  <c r="AF64" i="4"/>
  <c r="HR49" i="51" s="1"/>
  <c r="AF77" i="4"/>
  <c r="HR62" i="51" s="1"/>
  <c r="AF103" i="4"/>
  <c r="HR88" i="51" s="1"/>
  <c r="AF69" i="4"/>
  <c r="HR54" i="51" s="1"/>
  <c r="AF95" i="4"/>
  <c r="HR80" i="51" s="1"/>
  <c r="AF108" i="4"/>
  <c r="AF81" i="4"/>
  <c r="AF60" i="4"/>
  <c r="HR45" i="51" s="1"/>
  <c r="AF73" i="4"/>
  <c r="AF82" i="4"/>
  <c r="HR67" i="51" s="1"/>
  <c r="AF96" i="4"/>
  <c r="HR81" i="51" s="1"/>
  <c r="AF87" i="4"/>
  <c r="HR72" i="51" s="1"/>
  <c r="AF98" i="4"/>
  <c r="HR83" i="51" s="1"/>
  <c r="AF88" i="4"/>
  <c r="AF99" i="4"/>
  <c r="AF58" i="4"/>
  <c r="AF106" i="4"/>
  <c r="AF94" i="4"/>
  <c r="AF90" i="4"/>
  <c r="HR75" i="51" s="1"/>
  <c r="AF61" i="4"/>
  <c r="HR46" i="51" s="1"/>
  <c r="AF74" i="4"/>
  <c r="HR59" i="51" s="1"/>
  <c r="AF71" i="4"/>
  <c r="HR56" i="51" s="1"/>
  <c r="AF66" i="4"/>
  <c r="AF107" i="4"/>
  <c r="HR92" i="51" s="1"/>
  <c r="AF104" i="4"/>
  <c r="AF92" i="4"/>
  <c r="AF79" i="4"/>
  <c r="HR64" i="51" s="1"/>
  <c r="AF101" i="4"/>
  <c r="HR86" i="51" s="1"/>
  <c r="AF85" i="4"/>
  <c r="HR70" i="51" s="1"/>
  <c r="AF80" i="4"/>
  <c r="AF63" i="4"/>
  <c r="HR48" i="51" s="1"/>
  <c r="AF100" i="4"/>
  <c r="IA49" i="51"/>
  <c r="AG87" i="55"/>
  <c r="F38" i="44"/>
  <c r="HZ72" i="51"/>
  <c r="KD72" i="51" s="1"/>
  <c r="HZ83" i="51"/>
  <c r="KD83" i="51" s="1"/>
  <c r="HY72" i="51"/>
  <c r="F26" i="44"/>
  <c r="HZ79" i="51"/>
  <c r="KD79" i="51" s="1"/>
  <c r="CW72" i="51"/>
  <c r="E11" i="53"/>
  <c r="C11" i="53"/>
  <c r="D11" i="53" s="1"/>
  <c r="HZ85" i="51"/>
  <c r="KD85" i="51" s="1"/>
  <c r="HZ65" i="51"/>
  <c r="KD65" i="51" s="1"/>
  <c r="HX88" i="51"/>
  <c r="HY51" i="51"/>
  <c r="HY75" i="51"/>
  <c r="HY73" i="51"/>
  <c r="HZ87" i="51"/>
  <c r="KD87" i="51" s="1"/>
  <c r="IA48" i="51"/>
  <c r="IA44" i="51"/>
  <c r="IA63" i="51"/>
  <c r="IA47" i="51"/>
  <c r="IA50" i="51"/>
  <c r="IA45" i="51"/>
  <c r="HY62" i="51"/>
  <c r="HZ91" i="51"/>
  <c r="KD91" i="51" s="1"/>
  <c r="HZ70" i="51"/>
  <c r="KD70" i="51" s="1"/>
  <c r="HZ66" i="51"/>
  <c r="KD66" i="51" s="1"/>
  <c r="HY59" i="51"/>
  <c r="HZ84" i="51"/>
  <c r="KD84" i="51" s="1"/>
  <c r="HZ49" i="51"/>
  <c r="HY52" i="51"/>
  <c r="HZ73" i="51"/>
  <c r="KD73" i="51" s="1"/>
  <c r="HZ53" i="51"/>
  <c r="KD53" i="51" s="1"/>
  <c r="HY88" i="51"/>
  <c r="HY61" i="51"/>
  <c r="HX68" i="51"/>
  <c r="HX62" i="51"/>
  <c r="HY81" i="51"/>
  <c r="HY79" i="51"/>
  <c r="HX85" i="51"/>
  <c r="HX92" i="51"/>
  <c r="HY56" i="51"/>
  <c r="HY50" i="51"/>
  <c r="HY54" i="51"/>
  <c r="HX65" i="51"/>
  <c r="HY84" i="51"/>
  <c r="HX76" i="51"/>
  <c r="HZ68" i="51"/>
  <c r="KD68" i="51" s="1"/>
  <c r="HX44" i="51"/>
  <c r="HZ67" i="51"/>
  <c r="KD67" i="51" s="1"/>
  <c r="HZ47" i="51"/>
  <c r="KD47" i="51" s="1"/>
  <c r="HX50" i="51"/>
  <c r="HZ90" i="51"/>
  <c r="KD90" i="51" s="1"/>
  <c r="HY82" i="51"/>
  <c r="HZ89" i="51"/>
  <c r="KD89" i="51" s="1"/>
  <c r="HY77" i="51"/>
  <c r="HZ69" i="51"/>
  <c r="KD69" i="51" s="1"/>
  <c r="HX49" i="51"/>
  <c r="HZ80" i="51"/>
  <c r="KD80" i="51" s="1"/>
  <c r="HZ76" i="51"/>
  <c r="KD76" i="51" s="1"/>
  <c r="HZ44" i="51"/>
  <c r="KD44" i="51" s="1"/>
  <c r="HX47" i="51"/>
  <c r="HX86" i="51"/>
  <c r="HY66" i="51"/>
  <c r="HX66" i="51"/>
  <c r="HZ48" i="51"/>
  <c r="KD48" i="51" s="1"/>
  <c r="HZ78" i="51"/>
  <c r="KD78" i="51" s="1"/>
  <c r="HX70" i="51"/>
  <c r="HZ54" i="51"/>
  <c r="KD54" i="51" s="1"/>
  <c r="HX46" i="51"/>
  <c r="HY65" i="51"/>
  <c r="HY57" i="51"/>
  <c r="HZ92" i="51"/>
  <c r="KD92" i="51" s="1"/>
  <c r="HX53" i="51"/>
  <c r="HY91" i="51"/>
  <c r="HX51" i="51"/>
  <c r="HY76" i="51"/>
  <c r="HY83" i="51"/>
  <c r="HZ86" i="51"/>
  <c r="KD86" i="51" s="1"/>
  <c r="HZ50" i="51"/>
  <c r="KD50" i="51" s="1"/>
  <c r="HZ74" i="51"/>
  <c r="KD74" i="51" s="1"/>
  <c r="HY46" i="51"/>
  <c r="HY45" i="51"/>
  <c r="HY93" i="51"/>
  <c r="HX90" i="51"/>
  <c r="HY78" i="51"/>
  <c r="HX71" i="51"/>
  <c r="HX82" i="51"/>
  <c r="HZ46" i="51"/>
  <c r="KD46" i="51" s="1"/>
  <c r="CW51" i="51"/>
  <c r="HY55" i="51"/>
  <c r="HZ45" i="51"/>
  <c r="KD45" i="51" s="1"/>
  <c r="HZ60" i="51"/>
  <c r="KD60" i="51" s="1"/>
  <c r="HX93" i="51"/>
  <c r="HY89" i="51"/>
  <c r="HX73" i="51"/>
  <c r="HY69" i="51"/>
  <c r="HX91" i="51"/>
  <c r="HY63" i="51"/>
  <c r="HY70" i="51"/>
  <c r="HX56" i="51"/>
  <c r="HY60" i="51"/>
  <c r="HZ93" i="51"/>
  <c r="KD93" i="51" s="1"/>
  <c r="HY85" i="51"/>
  <c r="HX77" i="51"/>
  <c r="HX57" i="51"/>
  <c r="HZ52" i="51"/>
  <c r="KD52" i="51" s="1"/>
  <c r="HY92" i="51"/>
  <c r="HZ88" i="51"/>
  <c r="KD88" i="51" s="1"/>
  <c r="HY44" i="51"/>
  <c r="HX75" i="51"/>
  <c r="HY67" i="51"/>
  <c r="HZ59" i="51"/>
  <c r="KD59" i="51" s="1"/>
  <c r="HX55" i="51"/>
  <c r="HZ94" i="51"/>
  <c r="KD94" i="51" s="1"/>
  <c r="HZ82" i="51"/>
  <c r="KD82" i="51" s="1"/>
  <c r="HZ58" i="51"/>
  <c r="KD58" i="51" s="1"/>
  <c r="HX81" i="51"/>
  <c r="HX61" i="51"/>
  <c r="HZ56" i="51"/>
  <c r="KD56" i="51" s="1"/>
  <c r="HY80" i="51"/>
  <c r="HX72" i="51"/>
  <c r="HZ64" i="51"/>
  <c r="KD64" i="51" s="1"/>
  <c r="HY48" i="51"/>
  <c r="HY87" i="51"/>
  <c r="HX79" i="51"/>
  <c r="HY71" i="51"/>
  <c r="HZ63" i="51"/>
  <c r="KD63" i="51" s="1"/>
  <c r="HX59" i="51"/>
  <c r="HY74" i="51"/>
  <c r="HX60" i="51"/>
  <c r="HY64" i="51"/>
  <c r="HX83" i="51"/>
  <c r="HX63" i="51"/>
  <c r="HY94" i="51"/>
  <c r="HY58" i="51"/>
  <c r="HX45" i="51"/>
  <c r="HX69" i="51"/>
  <c r="HX80" i="51"/>
  <c r="HY68" i="51"/>
  <c r="HX48" i="51"/>
  <c r="HX87" i="51"/>
  <c r="HZ71" i="51"/>
  <c r="KD71" i="51" s="1"/>
  <c r="HX67" i="51"/>
  <c r="HZ51" i="51"/>
  <c r="KD51" i="51" s="1"/>
  <c r="HX74" i="51"/>
  <c r="HX54" i="51"/>
  <c r="HY53" i="51"/>
  <c r="HX89" i="51"/>
  <c r="HZ81" i="51"/>
  <c r="KD81" i="51" s="1"/>
  <c r="HZ77" i="51"/>
  <c r="KD77" i="51" s="1"/>
  <c r="HZ61" i="51"/>
  <c r="KD61" i="51" s="1"/>
  <c r="HZ57" i="51"/>
  <c r="KD57" i="51" s="1"/>
  <c r="HY49" i="51"/>
  <c r="HX52" i="51"/>
  <c r="HX84" i="51"/>
  <c r="HX64" i="51"/>
  <c r="HZ75" i="51"/>
  <c r="KD75" i="51" s="1"/>
  <c r="HZ55" i="51"/>
  <c r="KD55" i="51" s="1"/>
  <c r="HY47" i="51"/>
  <c r="HX94" i="51"/>
  <c r="HY90" i="51"/>
  <c r="HY86" i="51"/>
  <c r="HX78" i="51"/>
  <c r="HZ62" i="51"/>
  <c r="KD62" i="51" s="1"/>
  <c r="HX58" i="51"/>
  <c r="HR76" i="51"/>
  <c r="HR87" i="51"/>
  <c r="HR68" i="51"/>
  <c r="HR71" i="51"/>
  <c r="HR60" i="51"/>
  <c r="HR63" i="51"/>
  <c r="HR58" i="51"/>
  <c r="HR77" i="51"/>
  <c r="HR94" i="51"/>
  <c r="HR57" i="51"/>
  <c r="HR78" i="51"/>
  <c r="HR69" i="51"/>
  <c r="HR82" i="51"/>
  <c r="HR74" i="51"/>
  <c r="HR66" i="51"/>
  <c r="HR89" i="51"/>
  <c r="HR91" i="51"/>
  <c r="HR85" i="51"/>
  <c r="HR65" i="51"/>
  <c r="HR51" i="51"/>
  <c r="HR93" i="51"/>
  <c r="HR50" i="51"/>
  <c r="HR73" i="51"/>
  <c r="HR90" i="51"/>
  <c r="HR79" i="51"/>
  <c r="HR84" i="51"/>
  <c r="E12" i="53"/>
  <c r="IA46" i="51"/>
  <c r="E9" i="53"/>
  <c r="CW86" i="51"/>
  <c r="CV54" i="51"/>
  <c r="CX76" i="51"/>
  <c r="CV72" i="51"/>
  <c r="CW60" i="51"/>
  <c r="CP87" i="51"/>
  <c r="M111" i="6"/>
  <c r="M111" i="7"/>
  <c r="M49" i="2" s="1"/>
  <c r="M111" i="4"/>
  <c r="M46" i="2" s="1"/>
  <c r="AH98" i="51"/>
  <c r="AI98" i="51"/>
  <c r="AJ98" i="51"/>
  <c r="I20" i="55"/>
  <c r="J20" i="55"/>
  <c r="L20" i="55"/>
  <c r="E20" i="55"/>
  <c r="M20" i="55"/>
  <c r="F20" i="55"/>
  <c r="N20" i="55"/>
  <c r="G20" i="55"/>
  <c r="O20" i="55"/>
  <c r="H20" i="55"/>
  <c r="P20" i="55"/>
  <c r="K20" i="55"/>
  <c r="I14" i="55"/>
  <c r="J14" i="55"/>
  <c r="L14" i="55"/>
  <c r="E14" i="55"/>
  <c r="M14" i="55"/>
  <c r="F14" i="55"/>
  <c r="N14" i="55"/>
  <c r="G14" i="55"/>
  <c r="O14" i="55"/>
  <c r="H14" i="55"/>
  <c r="P14" i="55"/>
  <c r="K14" i="55"/>
  <c r="CY82" i="51"/>
  <c r="CY66" i="51"/>
  <c r="CY50" i="51"/>
  <c r="CY80" i="51"/>
  <c r="CY64" i="51"/>
  <c r="CY48" i="51"/>
  <c r="CY77" i="51"/>
  <c r="CY83" i="51"/>
  <c r="CY67" i="51"/>
  <c r="CY51" i="51"/>
  <c r="CY89" i="51"/>
  <c r="CY69" i="51"/>
  <c r="CY94" i="51"/>
  <c r="CY78" i="51"/>
  <c r="CY62" i="51"/>
  <c r="CY46" i="51"/>
  <c r="CY92" i="51"/>
  <c r="CY76" i="51"/>
  <c r="CY60" i="51"/>
  <c r="CY44" i="51"/>
  <c r="CY45" i="51"/>
  <c r="CY79" i="51"/>
  <c r="CY63" i="51"/>
  <c r="CY47" i="51"/>
  <c r="CY65" i="51"/>
  <c r="CY90" i="51"/>
  <c r="CY74" i="51"/>
  <c r="CY58" i="51"/>
  <c r="CY88" i="51"/>
  <c r="CY72" i="51"/>
  <c r="CY56" i="51"/>
  <c r="CY85" i="51"/>
  <c r="CY91" i="51"/>
  <c r="CY75" i="51"/>
  <c r="CY59" i="51"/>
  <c r="CY73" i="51"/>
  <c r="CY93" i="51"/>
  <c r="CY61" i="51"/>
  <c r="CY70" i="51"/>
  <c r="CY54" i="51"/>
  <c r="CY84" i="51"/>
  <c r="CY68" i="51"/>
  <c r="CY52" i="51"/>
  <c r="CY53" i="51"/>
  <c r="CY87" i="51"/>
  <c r="CY71" i="51"/>
  <c r="CY55" i="51"/>
  <c r="CY57" i="51"/>
  <c r="CY86" i="51"/>
  <c r="CY81" i="51"/>
  <c r="CY49" i="51"/>
  <c r="CY43" i="51"/>
  <c r="CX53" i="51"/>
  <c r="CW67" i="51"/>
  <c r="CW87" i="51"/>
  <c r="CV71" i="51"/>
  <c r="CX86" i="51"/>
  <c r="CV62" i="51"/>
  <c r="CV52" i="51"/>
  <c r="CV58" i="51"/>
  <c r="CX94" i="51"/>
  <c r="CX66" i="51"/>
  <c r="CV77" i="51"/>
  <c r="CW91" i="51"/>
  <c r="CV68" i="51"/>
  <c r="CX85" i="51"/>
  <c r="CX88" i="51"/>
  <c r="CV82" i="51"/>
  <c r="G11" i="53"/>
  <c r="H11" i="53" s="1"/>
  <c r="K11" i="53"/>
  <c r="L11" i="53" s="1"/>
  <c r="I11" i="53"/>
  <c r="CX46" i="51"/>
  <c r="M11" i="53"/>
  <c r="CP46" i="51"/>
  <c r="CV79" i="51"/>
  <c r="CX81" i="51"/>
  <c r="CW90" i="51"/>
  <c r="CX83" i="51"/>
  <c r="CV84" i="51"/>
  <c r="CX93" i="51"/>
  <c r="CW71" i="51"/>
  <c r="CX69" i="51"/>
  <c r="CW88" i="51"/>
  <c r="CW52" i="51"/>
  <c r="CW75" i="51"/>
  <c r="CV76" i="51"/>
  <c r="CV44" i="51"/>
  <c r="CX60" i="51"/>
  <c r="CX63" i="51"/>
  <c r="CV87" i="51"/>
  <c r="CW44" i="51"/>
  <c r="CW61" i="51"/>
  <c r="CX68" i="51"/>
  <c r="CV48" i="51"/>
  <c r="CP88" i="51"/>
  <c r="CP80" i="51"/>
  <c r="CP56" i="51"/>
  <c r="CX59" i="51"/>
  <c r="CP58" i="51"/>
  <c r="CP70" i="51"/>
  <c r="CP91" i="51"/>
  <c r="CP60" i="51"/>
  <c r="CP63" i="51"/>
  <c r="CP52" i="51"/>
  <c r="CP55" i="51"/>
  <c r="CP83" i="51"/>
  <c r="CP49" i="51"/>
  <c r="CP86" i="51"/>
  <c r="CW43" i="51"/>
  <c r="CX67" i="51"/>
  <c r="CV63" i="51"/>
  <c r="CW47" i="51"/>
  <c r="CW94" i="51"/>
  <c r="CV94" i="51"/>
  <c r="CV86" i="51"/>
  <c r="CX50" i="51"/>
  <c r="CV85" i="51"/>
  <c r="CV81" i="51"/>
  <c r="CW49" i="51"/>
  <c r="CX49" i="51"/>
  <c r="CV92" i="51"/>
  <c r="CW92" i="51"/>
  <c r="CX84" i="51"/>
  <c r="CV80" i="51"/>
  <c r="CX72" i="51"/>
  <c r="CW56" i="51"/>
  <c r="CP74" i="51"/>
  <c r="CP92" i="51"/>
  <c r="CP76" i="51"/>
  <c r="CP69" i="51"/>
  <c r="CX71" i="51"/>
  <c r="CW59" i="51"/>
  <c r="CX78" i="51"/>
  <c r="CW74" i="51"/>
  <c r="CW70" i="51"/>
  <c r="CX54" i="51"/>
  <c r="CW46" i="51"/>
  <c r="CW69" i="51"/>
  <c r="CV45" i="51"/>
  <c r="CP71" i="51"/>
  <c r="CP53" i="51"/>
  <c r="CP89" i="51"/>
  <c r="CP64" i="51"/>
  <c r="CP81" i="51"/>
  <c r="CP79" i="51"/>
  <c r="CX75" i="51"/>
  <c r="CW63" i="51"/>
  <c r="CW55" i="51"/>
  <c r="CV47" i="51"/>
  <c r="CX74" i="51"/>
  <c r="CX58" i="51"/>
  <c r="CW50" i="51"/>
  <c r="CV89" i="51"/>
  <c r="CW81" i="51"/>
  <c r="CW73" i="51"/>
  <c r="CX65" i="51"/>
  <c r="CX57" i="51"/>
  <c r="CV49" i="51"/>
  <c r="CW45" i="51"/>
  <c r="CW64" i="51"/>
  <c r="CV56" i="51"/>
  <c r="CP82" i="51"/>
  <c r="CP65" i="51"/>
  <c r="CP90" i="51"/>
  <c r="CP75" i="51"/>
  <c r="CV43" i="51"/>
  <c r="CX91" i="51"/>
  <c r="CV83" i="51"/>
  <c r="CW79" i="51"/>
  <c r="CX79" i="51"/>
  <c r="CV75" i="51"/>
  <c r="CV51" i="51"/>
  <c r="CX47" i="51"/>
  <c r="CX82" i="51"/>
  <c r="CW78" i="51"/>
  <c r="CV74" i="51"/>
  <c r="CX62" i="51"/>
  <c r="CW54" i="51"/>
  <c r="CV46" i="51"/>
  <c r="CX89" i="51"/>
  <c r="CX77" i="51"/>
  <c r="CX73" i="51"/>
  <c r="CV65" i="51"/>
  <c r="CX61" i="51"/>
  <c r="CW57" i="51"/>
  <c r="CV53" i="51"/>
  <c r="CW84" i="51"/>
  <c r="CX80" i="51"/>
  <c r="CW76" i="51"/>
  <c r="CW68" i="51"/>
  <c r="CV60" i="51"/>
  <c r="CX44" i="51"/>
  <c r="CP59" i="51"/>
  <c r="CP68" i="51"/>
  <c r="CP51" i="51"/>
  <c r="CP93" i="51"/>
  <c r="CP72" i="51"/>
  <c r="CP67" i="51"/>
  <c r="CP77" i="51"/>
  <c r="CP73" i="51"/>
  <c r="CX87" i="51"/>
  <c r="CW83" i="51"/>
  <c r="CV67" i="51"/>
  <c r="CV55" i="51"/>
  <c r="CX51" i="51"/>
  <c r="CV90" i="51"/>
  <c r="CW82" i="51"/>
  <c r="CV78" i="51"/>
  <c r="CV66" i="51"/>
  <c r="CW58" i="51"/>
  <c r="CV50" i="51"/>
  <c r="CW85" i="51"/>
  <c r="CV73" i="51"/>
  <c r="CV69" i="51"/>
  <c r="CV57" i="51"/>
  <c r="CW53" i="51"/>
  <c r="CW80" i="51"/>
  <c r="CV64" i="51"/>
  <c r="CX48" i="51"/>
  <c r="CP57" i="51"/>
  <c r="CX43" i="51"/>
  <c r="CV59" i="51"/>
  <c r="CX55" i="51"/>
  <c r="CX70" i="51"/>
  <c r="CW62" i="51"/>
  <c r="CW89" i="51"/>
  <c r="CW77" i="51"/>
  <c r="CW65" i="51"/>
  <c r="CV61" i="51"/>
  <c r="CX92" i="51"/>
  <c r="CV88" i="51"/>
  <c r="CX52" i="51"/>
  <c r="CV91" i="51"/>
  <c r="CV70" i="51"/>
  <c r="CX90" i="51"/>
  <c r="CX64" i="51"/>
  <c r="CP50" i="51"/>
  <c r="CP54" i="51"/>
  <c r="CP78" i="51"/>
  <c r="CP48" i="51"/>
  <c r="CP61" i="51"/>
  <c r="CP94" i="51"/>
  <c r="CP62" i="51"/>
  <c r="CP66" i="51"/>
  <c r="CP43" i="51"/>
  <c r="P131" i="51" a="1"/>
  <c r="P131" i="51" s="1"/>
  <c r="T131" i="51" a="1"/>
  <c r="T131" i="51" s="1"/>
  <c r="X131" i="51" a="1"/>
  <c r="X131" i="51" s="1"/>
  <c r="Q131" i="51" a="1"/>
  <c r="Q131" i="51" s="1"/>
  <c r="U131" i="51" a="1"/>
  <c r="U131" i="51" s="1"/>
  <c r="Y131" i="51" a="1"/>
  <c r="Y131" i="51" s="1"/>
  <c r="R131" i="51" a="1"/>
  <c r="R131" i="51" s="1"/>
  <c r="Z131" i="51" a="1"/>
  <c r="Z131" i="51" s="1"/>
  <c r="S131" i="51" a="1"/>
  <c r="S131" i="51" s="1"/>
  <c r="V131" i="51" a="1"/>
  <c r="V131" i="51" s="1"/>
  <c r="O131" i="51" a="1"/>
  <c r="O131" i="51" s="1"/>
  <c r="W131" i="51" a="1"/>
  <c r="W131" i="51" s="1"/>
  <c r="P130" i="51" a="1"/>
  <c r="P130" i="51" s="1"/>
  <c r="T130" i="51" a="1"/>
  <c r="T130" i="51" s="1"/>
  <c r="X130" i="51" a="1"/>
  <c r="X130" i="51" s="1"/>
  <c r="Q130" i="51" a="1"/>
  <c r="Q130" i="51" s="1"/>
  <c r="U130" i="51" a="1"/>
  <c r="U130" i="51" s="1"/>
  <c r="Y130" i="51" a="1"/>
  <c r="Y130" i="51" s="1"/>
  <c r="V130" i="51" a="1"/>
  <c r="V130" i="51" s="1"/>
  <c r="O130" i="51" a="1"/>
  <c r="O130" i="51" s="1"/>
  <c r="W130" i="51" a="1"/>
  <c r="W130" i="51" s="1"/>
  <c r="R130" i="51" a="1"/>
  <c r="R130" i="51" s="1"/>
  <c r="Z130" i="51" a="1"/>
  <c r="Z130" i="51" s="1"/>
  <c r="S130" i="51" a="1"/>
  <c r="S130" i="51" s="1"/>
  <c r="Q129" i="51" a="1"/>
  <c r="Q129" i="51" s="1"/>
  <c r="U129" i="51" a="1"/>
  <c r="U129" i="51" s="1"/>
  <c r="Y129" i="51" a="1"/>
  <c r="Y129" i="51" s="1"/>
  <c r="R129" i="51" a="1"/>
  <c r="R129" i="51" s="1"/>
  <c r="V129" i="51" a="1"/>
  <c r="V129" i="51" s="1"/>
  <c r="Z129" i="51" a="1"/>
  <c r="Z129" i="51" s="1"/>
  <c r="S129" i="51" a="1"/>
  <c r="S129" i="51" s="1"/>
  <c r="T129" i="51" a="1"/>
  <c r="T129" i="51" s="1"/>
  <c r="O129" i="51" a="1"/>
  <c r="O129" i="51" s="1"/>
  <c r="W129" i="51" a="1"/>
  <c r="W129" i="51" s="1"/>
  <c r="X129" i="51" a="1"/>
  <c r="X129" i="51" s="1"/>
  <c r="P129" i="51" a="1"/>
  <c r="P129" i="51" s="1"/>
  <c r="AJ97" i="51"/>
  <c r="AI97" i="51"/>
  <c r="AH97" i="51"/>
  <c r="F55" i="53"/>
  <c r="K36" i="39"/>
  <c r="H56" i="53"/>
  <c r="D56" i="53" s="1"/>
  <c r="F56" i="53"/>
  <c r="I36" i="39"/>
  <c r="P49" i="53"/>
  <c r="P64" i="53"/>
  <c r="P59" i="53"/>
  <c r="P54" i="53"/>
  <c r="P89" i="53"/>
  <c r="P88" i="53"/>
  <c r="P72" i="53"/>
  <c r="P76" i="53"/>
  <c r="P78" i="53"/>
  <c r="P69" i="53"/>
  <c r="P62" i="53"/>
  <c r="P45" i="53"/>
  <c r="P73" i="53"/>
  <c r="P50" i="53"/>
  <c r="P40" i="53"/>
  <c r="P52" i="53"/>
  <c r="P58" i="53"/>
  <c r="P41" i="53"/>
  <c r="P56" i="53"/>
  <c r="P83" i="53"/>
  <c r="P80" i="53"/>
  <c r="P57" i="53"/>
  <c r="P48" i="53"/>
  <c r="P84" i="53"/>
  <c r="P39" i="53"/>
  <c r="P42" i="53"/>
  <c r="P43" i="53"/>
  <c r="P67" i="53"/>
  <c r="P55" i="53"/>
  <c r="P51" i="53"/>
  <c r="P44" i="53"/>
  <c r="P75" i="53"/>
  <c r="P70" i="53"/>
  <c r="P47" i="53"/>
  <c r="P86" i="53"/>
  <c r="P90" i="53"/>
  <c r="P77" i="53"/>
  <c r="P81" i="53"/>
  <c r="P61" i="53"/>
  <c r="P46" i="53"/>
  <c r="P63" i="53"/>
  <c r="P66" i="53"/>
  <c r="P53" i="53"/>
  <c r="P85" i="53"/>
  <c r="P82" i="53"/>
  <c r="P68" i="53"/>
  <c r="P60" i="53"/>
  <c r="P74" i="53"/>
  <c r="P71" i="53"/>
  <c r="P79" i="53"/>
  <c r="P87" i="53"/>
  <c r="P65" i="53"/>
  <c r="AF11" i="53"/>
  <c r="AE11" i="53"/>
  <c r="Q20" i="55" l="1"/>
  <c r="Q14" i="55"/>
  <c r="AB130" i="51"/>
  <c r="AB131" i="51"/>
  <c r="AB129" i="51"/>
  <c r="X9" i="53"/>
  <c r="X10" i="53"/>
  <c r="AD12" i="53"/>
  <c r="AD11" i="53"/>
  <c r="I47" i="53" s="1"/>
  <c r="AD9" i="53"/>
  <c r="I40" i="53" s="1"/>
  <c r="IA80" i="51"/>
  <c r="IA52" i="51"/>
  <c r="IA69" i="51"/>
  <c r="IA92" i="51"/>
  <c r="IA73" i="51"/>
  <c r="IA54" i="51"/>
  <c r="IA75" i="51"/>
  <c r="IA90" i="51"/>
  <c r="IA53" i="51"/>
  <c r="IA68" i="51"/>
  <c r="IA85" i="51"/>
  <c r="IA89" i="51"/>
  <c r="IA70" i="51"/>
  <c r="IA66" i="51"/>
  <c r="IA91" i="51"/>
  <c r="IA87" i="51"/>
  <c r="IA84" i="51"/>
  <c r="IA51" i="51"/>
  <c r="IA86" i="51"/>
  <c r="IA82" i="51"/>
  <c r="IA56" i="51"/>
  <c r="IA57" i="51"/>
  <c r="IA61" i="51"/>
  <c r="IA58" i="51"/>
  <c r="IA67" i="51"/>
  <c r="IA72" i="51"/>
  <c r="IA74" i="51"/>
  <c r="IA77" i="51"/>
  <c r="IA79" i="51"/>
  <c r="IA83" i="51"/>
  <c r="IA65" i="51"/>
  <c r="IA88" i="51"/>
  <c r="IA76" i="51"/>
  <c r="IA55" i="51"/>
  <c r="IA62" i="51"/>
  <c r="IA81" i="51"/>
  <c r="IA59" i="51"/>
  <c r="IA71" i="51"/>
  <c r="IA78" i="51"/>
  <c r="IA60" i="51"/>
  <c r="IA64" i="51"/>
  <c r="IA93" i="51"/>
  <c r="IA94" i="51"/>
  <c r="CP98" i="51"/>
  <c r="CY98" i="51"/>
  <c r="CV98" i="51"/>
  <c r="CX98" i="51"/>
  <c r="CW98" i="51"/>
  <c r="M48" i="2"/>
  <c r="IA43" i="51"/>
  <c r="CY97" i="51"/>
  <c r="S193" i="51" a="1"/>
  <c r="S193" i="51" s="1"/>
  <c r="W193" i="51" a="1"/>
  <c r="W193" i="51" s="1"/>
  <c r="T193" i="51" a="1"/>
  <c r="T193" i="51" s="1"/>
  <c r="Y193" i="51" a="1"/>
  <c r="Y193" i="51" s="1"/>
  <c r="R193" i="51" a="1"/>
  <c r="R193" i="51" s="1"/>
  <c r="Z193" i="51" a="1"/>
  <c r="Z193" i="51" s="1"/>
  <c r="V193" i="51" a="1"/>
  <c r="V193" i="51" s="1"/>
  <c r="Q193" i="51" a="1"/>
  <c r="Q193" i="51" s="1"/>
  <c r="O193" i="51" a="1"/>
  <c r="O193" i="51" s="1"/>
  <c r="X193" i="51" a="1"/>
  <c r="X193" i="51" s="1"/>
  <c r="P193" i="51" a="1"/>
  <c r="P193" i="51" s="1"/>
  <c r="U193" i="51" a="1"/>
  <c r="U193" i="51" s="1"/>
  <c r="HX43" i="51"/>
  <c r="HY43" i="51"/>
  <c r="HZ43" i="51"/>
  <c r="HR43" i="51"/>
  <c r="CP96" i="51"/>
  <c r="AM144" i="51"/>
  <c r="AK144" i="51"/>
  <c r="AJ144" i="51"/>
  <c r="F53" i="44" s="1"/>
  <c r="AG144" i="51"/>
  <c r="AQ144" i="51"/>
  <c r="AI144" i="51"/>
  <c r="AP144" i="51"/>
  <c r="AL144" i="51"/>
  <c r="AN144" i="51"/>
  <c r="AH144" i="51"/>
  <c r="AF144" i="51"/>
  <c r="AO144" i="51"/>
  <c r="N13" i="53"/>
  <c r="AH142" i="51"/>
  <c r="AN142" i="51"/>
  <c r="AL142" i="51"/>
  <c r="AJ142" i="51"/>
  <c r="F50" i="44" s="1"/>
  <c r="AG142" i="51"/>
  <c r="AI142" i="51"/>
  <c r="AM142" i="51"/>
  <c r="AK142" i="51"/>
  <c r="AQ142" i="51"/>
  <c r="AO142" i="51"/>
  <c r="AP142" i="51"/>
  <c r="AF142" i="51"/>
  <c r="KD49" i="51"/>
  <c r="CW97" i="51"/>
  <c r="Y191" i="51" a="1"/>
  <c r="Y191" i="51" s="1"/>
  <c r="O191" i="51" a="1"/>
  <c r="O191" i="51" s="1"/>
  <c r="T191" i="51" a="1"/>
  <c r="T191" i="51" s="1"/>
  <c r="CX97" i="51"/>
  <c r="CV97" i="51"/>
  <c r="W191" i="51" a="1"/>
  <c r="W191" i="51" s="1"/>
  <c r="V191" i="51" a="1"/>
  <c r="V191" i="51" s="1"/>
  <c r="P191" i="51" a="1"/>
  <c r="P191" i="51" s="1"/>
  <c r="R191" i="51" a="1"/>
  <c r="R191" i="51" s="1"/>
  <c r="Q191" i="51" a="1"/>
  <c r="Q191" i="51" s="1"/>
  <c r="Z191" i="51" a="1"/>
  <c r="Z191" i="51" s="1"/>
  <c r="U191" i="51" a="1"/>
  <c r="U191" i="51" s="1"/>
  <c r="S191" i="51" a="1"/>
  <c r="S191" i="51" s="1"/>
  <c r="X191" i="51" a="1"/>
  <c r="X191" i="51" s="1"/>
  <c r="Z190" i="51" a="1"/>
  <c r="Z190" i="51" s="1"/>
  <c r="I49" i="53"/>
  <c r="I48" i="53"/>
  <c r="Y190" i="51" a="1"/>
  <c r="Y190" i="51" s="1"/>
  <c r="S190" i="51" a="1"/>
  <c r="S190" i="51" s="1"/>
  <c r="T190" i="51" a="1"/>
  <c r="T190" i="51" s="1"/>
  <c r="R190" i="51" a="1"/>
  <c r="R190" i="51" s="1"/>
  <c r="P190" i="51" a="1"/>
  <c r="P190" i="51" s="1"/>
  <c r="U190" i="51" a="1"/>
  <c r="U190" i="51" s="1"/>
  <c r="X190" i="51" a="1"/>
  <c r="X190" i="51" s="1"/>
  <c r="O190" i="51" a="1"/>
  <c r="O190" i="51" s="1"/>
  <c r="P192" i="51" a="1"/>
  <c r="P192" i="51" s="1"/>
  <c r="O192" i="51" a="1"/>
  <c r="O192" i="51" s="1"/>
  <c r="U192" i="51" a="1"/>
  <c r="U192" i="51" s="1"/>
  <c r="Y192" i="51" a="1"/>
  <c r="Y192" i="51" s="1"/>
  <c r="Q190" i="51" a="1"/>
  <c r="Q190" i="51" s="1"/>
  <c r="Z192" i="51" a="1"/>
  <c r="Z192" i="51" s="1"/>
  <c r="V192" i="51" a="1"/>
  <c r="V192" i="51" s="1"/>
  <c r="Q192" i="51" a="1"/>
  <c r="Q192" i="51" s="1"/>
  <c r="V190" i="51" a="1"/>
  <c r="V190" i="51" s="1"/>
  <c r="R192" i="51" a="1"/>
  <c r="R192" i="51" s="1"/>
  <c r="W190" i="51" a="1"/>
  <c r="W190" i="51" s="1"/>
  <c r="W192" i="51" a="1"/>
  <c r="W192" i="51" s="1"/>
  <c r="X192" i="51" a="1"/>
  <c r="X192" i="51" s="1"/>
  <c r="S192" i="51" a="1"/>
  <c r="S192" i="51" s="1"/>
  <c r="T192" i="51" a="1"/>
  <c r="T192" i="51" s="1"/>
  <c r="W184" i="51" a="1"/>
  <c r="W184" i="51" s="1"/>
  <c r="V184" i="51" a="1"/>
  <c r="V184" i="51" s="1"/>
  <c r="T184" i="51" a="1"/>
  <c r="T184" i="51" s="1"/>
  <c r="CP97" i="51"/>
  <c r="U184" i="51" a="1"/>
  <c r="U184" i="51" s="1"/>
  <c r="Q184" i="51" a="1"/>
  <c r="Q184" i="51" s="1"/>
  <c r="S184" i="51" a="1"/>
  <c r="S184" i="51" s="1"/>
  <c r="O184" i="51" a="1"/>
  <c r="O184" i="51" s="1"/>
  <c r="Y184" i="51" a="1"/>
  <c r="Y184" i="51" s="1"/>
  <c r="P184" i="51" a="1"/>
  <c r="P184" i="51" s="1"/>
  <c r="R184" i="51" a="1"/>
  <c r="R184" i="51" s="1"/>
  <c r="X184" i="51" a="1"/>
  <c r="X184" i="51" s="1"/>
  <c r="Z184" i="51" a="1"/>
  <c r="Z184" i="51" s="1"/>
  <c r="AA131" i="51"/>
  <c r="F35" i="44" s="1"/>
  <c r="AA129" i="51"/>
  <c r="AA130" i="51"/>
  <c r="F34" i="44" s="1"/>
  <c r="F62" i="31"/>
  <c r="G55" i="53"/>
  <c r="G56" i="53"/>
  <c r="J36" i="39"/>
  <c r="D36" i="39" s="1"/>
  <c r="C36" i="39" s="1"/>
  <c r="AB184" i="51" l="1"/>
  <c r="F143" i="31" s="1"/>
  <c r="AB190" i="51"/>
  <c r="AB192" i="51"/>
  <c r="AB191" i="51"/>
  <c r="AB193" i="51"/>
  <c r="I52" i="53"/>
  <c r="U253" i="51" a="1"/>
  <c r="U253" i="51" s="1"/>
  <c r="HZ98" i="51"/>
  <c r="IA96" i="51"/>
  <c r="IA98" i="51"/>
  <c r="R252" i="51" a="1"/>
  <c r="R252" i="51" s="1"/>
  <c r="HY98" i="51"/>
  <c r="S251" i="51" a="1"/>
  <c r="S251" i="51" s="1"/>
  <c r="HX98" i="51"/>
  <c r="Q245" i="51" a="1"/>
  <c r="Q245" i="51" s="1"/>
  <c r="HR98" i="51"/>
  <c r="V254" i="51" a="1"/>
  <c r="V254" i="51" s="1"/>
  <c r="IA97" i="51"/>
  <c r="R254" i="51" a="1"/>
  <c r="R254" i="51" s="1"/>
  <c r="Z254" i="51" a="1"/>
  <c r="Z254" i="51" s="1"/>
  <c r="Y254" i="51" a="1"/>
  <c r="Y254" i="51" s="1"/>
  <c r="T254" i="51" a="1"/>
  <c r="T254" i="51" s="1"/>
  <c r="W254" i="51" a="1"/>
  <c r="W254" i="51" s="1"/>
  <c r="Q254" i="51" a="1"/>
  <c r="Q254" i="51" s="1"/>
  <c r="P254" i="51" a="1"/>
  <c r="P254" i="51" s="1"/>
  <c r="O254" i="51" a="1"/>
  <c r="O254" i="51" s="1"/>
  <c r="S254" i="51" a="1"/>
  <c r="S254" i="51" s="1"/>
  <c r="U254" i="51" a="1"/>
  <c r="U254" i="51" s="1"/>
  <c r="X254" i="51" a="1"/>
  <c r="X254" i="51" s="1"/>
  <c r="AA193" i="51"/>
  <c r="G37" i="44" s="1"/>
  <c r="HZ97" i="51"/>
  <c r="HY97" i="51"/>
  <c r="HY96" i="51"/>
  <c r="KD43" i="51"/>
  <c r="Z253" i="51" a="1"/>
  <c r="Z253" i="51" s="1"/>
  <c r="W245" i="51" a="1"/>
  <c r="W245" i="51" s="1"/>
  <c r="HX96" i="51"/>
  <c r="HX97" i="51"/>
  <c r="U245" i="51" a="1"/>
  <c r="U245" i="51" s="1"/>
  <c r="Z245" i="51" a="1"/>
  <c r="Z245" i="51" s="1"/>
  <c r="HR97" i="51"/>
  <c r="HZ96" i="51"/>
  <c r="HR96" i="51"/>
  <c r="O253" i="51" a="1"/>
  <c r="O253" i="51" s="1"/>
  <c r="U252" i="51" a="1"/>
  <c r="U252" i="51" s="1"/>
  <c r="Y252" i="51" a="1"/>
  <c r="Y252" i="51" s="1"/>
  <c r="T253" i="51" a="1"/>
  <c r="T253" i="51" s="1"/>
  <c r="X252" i="51" a="1"/>
  <c r="X252" i="51" s="1"/>
  <c r="S245" i="51" a="1"/>
  <c r="S245" i="51" s="1"/>
  <c r="T251" i="51" a="1"/>
  <c r="T251" i="51" s="1"/>
  <c r="P253" i="51" a="1"/>
  <c r="P253" i="51" s="1"/>
  <c r="V245" i="51" a="1"/>
  <c r="V245" i="51" s="1"/>
  <c r="S253" i="51" a="1"/>
  <c r="S253" i="51" s="1"/>
  <c r="P245" i="51" a="1"/>
  <c r="P245" i="51" s="1"/>
  <c r="Q252" i="51" a="1"/>
  <c r="Q252" i="51" s="1"/>
  <c r="T245" i="51" a="1"/>
  <c r="T245" i="51" s="1"/>
  <c r="V252" i="51" a="1"/>
  <c r="V252" i="51" s="1"/>
  <c r="Y251" i="51" a="1"/>
  <c r="Y251" i="51" s="1"/>
  <c r="Y245" i="51" a="1"/>
  <c r="Y245" i="51" s="1"/>
  <c r="P252" i="51" a="1"/>
  <c r="P252" i="51" s="1"/>
  <c r="R251" i="51" a="1"/>
  <c r="R251" i="51" s="1"/>
  <c r="X245" i="51" a="1"/>
  <c r="X245" i="51" s="1"/>
  <c r="W252" i="51" a="1"/>
  <c r="W252" i="51" s="1"/>
  <c r="X251" i="51" a="1"/>
  <c r="X251" i="51" s="1"/>
  <c r="V253" i="51" a="1"/>
  <c r="V253" i="51" s="1"/>
  <c r="Y253" i="51" a="1"/>
  <c r="Y253" i="51" s="1"/>
  <c r="Z252" i="51" a="1"/>
  <c r="Z252" i="51" s="1"/>
  <c r="U251" i="51" a="1"/>
  <c r="U251" i="51" s="1"/>
  <c r="W251" i="51" a="1"/>
  <c r="W251" i="51" s="1"/>
  <c r="W253" i="51" a="1"/>
  <c r="W253" i="51" s="1"/>
  <c r="R253" i="51" a="1"/>
  <c r="R253" i="51" s="1"/>
  <c r="T252" i="51" a="1"/>
  <c r="T252" i="51" s="1"/>
  <c r="O251" i="51" a="1"/>
  <c r="O251" i="51" s="1"/>
  <c r="Q251" i="51" a="1"/>
  <c r="Q251" i="51" s="1"/>
  <c r="Q253" i="51" a="1"/>
  <c r="Q253" i="51" s="1"/>
  <c r="X253" i="51" a="1"/>
  <c r="X253" i="51" s="1"/>
  <c r="S252" i="51" a="1"/>
  <c r="S252" i="51" s="1"/>
  <c r="Z251" i="51" a="1"/>
  <c r="Z251" i="51" s="1"/>
  <c r="V251" i="51" a="1"/>
  <c r="V251" i="51" s="1"/>
  <c r="P251" i="51" a="1"/>
  <c r="P251" i="51" s="1"/>
  <c r="O252" i="51" a="1"/>
  <c r="O252" i="51" s="1"/>
  <c r="O245" i="51" a="1"/>
  <c r="O245" i="51" s="1"/>
  <c r="R245" i="51" a="1"/>
  <c r="R245" i="51" s="1"/>
  <c r="AH129" i="51"/>
  <c r="AK129" i="51"/>
  <c r="AL129" i="51"/>
  <c r="AP129" i="51"/>
  <c r="AI129" i="51"/>
  <c r="AQ129" i="51"/>
  <c r="AF129" i="51"/>
  <c r="AJ129" i="51"/>
  <c r="F33" i="44" s="1"/>
  <c r="AN129" i="51"/>
  <c r="AM129" i="51"/>
  <c r="AO129" i="51"/>
  <c r="AG129" i="51"/>
  <c r="AA327" i="51"/>
  <c r="AA321" i="51"/>
  <c r="I25" i="44" s="1"/>
  <c r="AA328" i="51"/>
  <c r="AA329" i="51"/>
  <c r="AA191" i="51"/>
  <c r="AA190" i="51"/>
  <c r="G33" i="44" s="1"/>
  <c r="AA192" i="51"/>
  <c r="G35" i="44" s="1"/>
  <c r="AA184" i="51"/>
  <c r="G25" i="44" s="1"/>
  <c r="E62" i="31"/>
  <c r="G26" i="44" l="1"/>
  <c r="G38" i="44"/>
  <c r="G34" i="44"/>
  <c r="AB253" i="51"/>
  <c r="H151" i="31" s="1"/>
  <c r="AB245" i="51"/>
  <c r="H143" i="31" s="1"/>
  <c r="AB254" i="51"/>
  <c r="AB252" i="51"/>
  <c r="H150" i="31" s="1"/>
  <c r="AB251" i="51"/>
  <c r="H149" i="31" s="1"/>
  <c r="Z115" i="51" a="1"/>
  <c r="Z115" i="51" s="1"/>
  <c r="KD98" i="51"/>
  <c r="AA115" i="51" s="1"/>
  <c r="E22" i="55" a="1"/>
  <c r="E22" i="55" s="1"/>
  <c r="AA254" i="51"/>
  <c r="H37" i="44" s="1"/>
  <c r="U115" i="51" a="1"/>
  <c r="U115" i="51" s="1"/>
  <c r="R115" i="51" a="1"/>
  <c r="R115" i="51" s="1"/>
  <c r="Y115" i="51" a="1"/>
  <c r="Y115" i="51" s="1"/>
  <c r="KD96" i="51"/>
  <c r="O115" i="51" a="1"/>
  <c r="O115" i="51" s="1"/>
  <c r="V115" i="51" a="1"/>
  <c r="V115" i="51" s="1"/>
  <c r="X115" i="51" a="1"/>
  <c r="X115" i="51" s="1"/>
  <c r="W115" i="51" a="1"/>
  <c r="W115" i="51" s="1"/>
  <c r="P115" i="51" a="1"/>
  <c r="P115" i="51" s="1"/>
  <c r="T115" i="51" a="1"/>
  <c r="T115" i="51" s="1"/>
  <c r="S115" i="51" a="1"/>
  <c r="S115" i="51" s="1"/>
  <c r="KD97" i="51"/>
  <c r="Q115" i="51" a="1"/>
  <c r="Q115" i="51" s="1"/>
  <c r="AA252" i="51"/>
  <c r="AA251" i="51"/>
  <c r="AA253" i="51"/>
  <c r="AA245" i="51"/>
  <c r="H25" i="44" s="1"/>
  <c r="J42" i="31"/>
  <c r="AB115" i="51" l="1"/>
  <c r="H38" i="44"/>
  <c r="H57" i="31" s="1"/>
  <c r="H152" i="31"/>
  <c r="H35" i="44"/>
  <c r="H54" i="31" s="1"/>
  <c r="H33" i="44"/>
  <c r="P22" i="55"/>
  <c r="H22" i="55"/>
  <c r="O22" i="55"/>
  <c r="G22" i="55"/>
  <c r="L22" i="55"/>
  <c r="N22" i="55"/>
  <c r="K22" i="55"/>
  <c r="F22" i="55"/>
  <c r="J22" i="55"/>
  <c r="M22" i="55"/>
  <c r="I22" i="55"/>
  <c r="AC115" i="51"/>
  <c r="D13" i="44" s="1"/>
  <c r="H33" i="31" s="1"/>
  <c r="W9" i="53"/>
  <c r="G39" i="53"/>
  <c r="H43" i="53"/>
  <c r="D43" i="53" s="1"/>
  <c r="H39" i="53"/>
  <c r="D39" i="53" s="1"/>
  <c r="H52" i="53"/>
  <c r="D52" i="53" s="1"/>
  <c r="O12" i="53"/>
  <c r="P35" i="39"/>
  <c r="F41" i="53"/>
  <c r="F39" i="53"/>
  <c r="H45" i="53"/>
  <c r="D45" i="53" s="1"/>
  <c r="P10" i="53"/>
  <c r="H51" i="53"/>
  <c r="D51" i="53" s="1"/>
  <c r="K35" i="39"/>
  <c r="O9" i="53"/>
  <c r="H41" i="53"/>
  <c r="D41" i="53" s="1"/>
  <c r="P9" i="53"/>
  <c r="O10" i="53"/>
  <c r="P12" i="53"/>
  <c r="U35" i="39"/>
  <c r="F35" i="39" s="1"/>
  <c r="H53" i="53"/>
  <c r="D53" i="53" s="1"/>
  <c r="F45" i="53"/>
  <c r="Q22" i="55" l="1"/>
  <c r="N35" i="39"/>
  <c r="F52" i="53"/>
  <c r="O35" i="39"/>
  <c r="S35" i="39"/>
  <c r="F53" i="53"/>
  <c r="T35" i="39"/>
  <c r="G51" i="53"/>
  <c r="F51" i="53"/>
  <c r="N12" i="53"/>
  <c r="I35" i="39"/>
  <c r="J35" i="39" s="1"/>
  <c r="G53" i="53"/>
  <c r="G45" i="53"/>
  <c r="G52" i="53"/>
  <c r="G41" i="53"/>
  <c r="E35" i="39"/>
  <c r="D35" i="39" l="1"/>
  <c r="C35" i="39" s="1"/>
  <c r="F44" i="31"/>
  <c r="E42" i="31"/>
  <c r="E44" i="31"/>
  <c r="P32" i="39" l="1"/>
  <c r="E32" i="39" s="1"/>
  <c r="H47" i="53"/>
  <c r="D47" i="53" s="1"/>
  <c r="K34" i="39"/>
  <c r="P33" i="39"/>
  <c r="E33" i="39" s="1"/>
  <c r="H49" i="53"/>
  <c r="D49" i="53" s="1"/>
  <c r="U34" i="39"/>
  <c r="U32" i="39"/>
  <c r="F32" i="39" s="1"/>
  <c r="H48" i="53"/>
  <c r="D48" i="53" s="1"/>
  <c r="P34" i="39"/>
  <c r="K32" i="39"/>
  <c r="H40" i="53"/>
  <c r="D40" i="53" s="1"/>
  <c r="U9" i="53" l="1"/>
  <c r="U10" i="53"/>
  <c r="FB65" i="51"/>
  <c r="FB74" i="51"/>
  <c r="FB45" i="51"/>
  <c r="FB54" i="51"/>
  <c r="FB62" i="51"/>
  <c r="FB64" i="51"/>
  <c r="FB59" i="51"/>
  <c r="FB77" i="51"/>
  <c r="FB79" i="51"/>
  <c r="FB56" i="51"/>
  <c r="FB91" i="51"/>
  <c r="FB50" i="51"/>
  <c r="FB80" i="51"/>
  <c r="FB82" i="51"/>
  <c r="FB53" i="51"/>
  <c r="FB48" i="51"/>
  <c r="FB43" i="51"/>
  <c r="FB69" i="51"/>
  <c r="FB84" i="51"/>
  <c r="FB94" i="51"/>
  <c r="FB46" i="51"/>
  <c r="FB78" i="51"/>
  <c r="FB90" i="51"/>
  <c r="FB68" i="51"/>
  <c r="FB89" i="51"/>
  <c r="FB81" i="51"/>
  <c r="FB83" i="51"/>
  <c r="FB63" i="51"/>
  <c r="FB88" i="51"/>
  <c r="FB73" i="51"/>
  <c r="FB49" i="51"/>
  <c r="FB55" i="51"/>
  <c r="FB47" i="51"/>
  <c r="FB67" i="51"/>
  <c r="FB60" i="51"/>
  <c r="FB92" i="51"/>
  <c r="FB44" i="51"/>
  <c r="FB70" i="51"/>
  <c r="FB86" i="51"/>
  <c r="FB61" i="51"/>
  <c r="FB85" i="51"/>
  <c r="FB75" i="51"/>
  <c r="FB58" i="51"/>
  <c r="FB72" i="51"/>
  <c r="FB57" i="51"/>
  <c r="FB71" i="51"/>
  <c r="FB51" i="51"/>
  <c r="FB66" i="51"/>
  <c r="FB76" i="51"/>
  <c r="FB87" i="51"/>
  <c r="FB52" i="51"/>
  <c r="FB93" i="51"/>
  <c r="CN93" i="51"/>
  <c r="CN63" i="51"/>
  <c r="CN87" i="51"/>
  <c r="CN49" i="51"/>
  <c r="CN70" i="51"/>
  <c r="CN56" i="51"/>
  <c r="CN80" i="51"/>
  <c r="CN43" i="51"/>
  <c r="CN60" i="51"/>
  <c r="CN84" i="51"/>
  <c r="CN45" i="51"/>
  <c r="CN57" i="51"/>
  <c r="CN76" i="51"/>
  <c r="CN94" i="51"/>
  <c r="CN91" i="51"/>
  <c r="CN58" i="51"/>
  <c r="CN89" i="51"/>
  <c r="CN62" i="51"/>
  <c r="CN44" i="51"/>
  <c r="CN59" i="51"/>
  <c r="CN53" i="51"/>
  <c r="CN77" i="51"/>
  <c r="CN55" i="51"/>
  <c r="CN69" i="51"/>
  <c r="CN88" i="51"/>
  <c r="CN46" i="51"/>
  <c r="CN66" i="51"/>
  <c r="CN83" i="51"/>
  <c r="CN85" i="51"/>
  <c r="CN65" i="51"/>
  <c r="CN86" i="51"/>
  <c r="CN81" i="51"/>
  <c r="CN75" i="51"/>
  <c r="CN68" i="51"/>
  <c r="CN47" i="51"/>
  <c r="CN51" i="51"/>
  <c r="CN92" i="51"/>
  <c r="CN48" i="51"/>
  <c r="CN71" i="51"/>
  <c r="CN54" i="51"/>
  <c r="CN79" i="51"/>
  <c r="CN90" i="51"/>
  <c r="CN72" i="51"/>
  <c r="CN61" i="51"/>
  <c r="CN78" i="51"/>
  <c r="CN73" i="51"/>
  <c r="CN82" i="51"/>
  <c r="CN64" i="51"/>
  <c r="CN67" i="51"/>
  <c r="CN50" i="51"/>
  <c r="CN74" i="51"/>
  <c r="CN52" i="51"/>
  <c r="AM96" i="51"/>
  <c r="E154" i="31" s="1"/>
  <c r="O34" i="39"/>
  <c r="O11" i="53"/>
  <c r="F48" i="53"/>
  <c r="N34" i="39"/>
  <c r="AJ96" i="51"/>
  <c r="E151" i="31" s="1"/>
  <c r="AL96" i="51"/>
  <c r="E153" i="31" s="1"/>
  <c r="F49" i="53"/>
  <c r="S34" i="39"/>
  <c r="P11" i="53"/>
  <c r="T34" i="39"/>
  <c r="CY96" i="51"/>
  <c r="F152" i="31" s="1"/>
  <c r="AC96" i="51"/>
  <c r="E144" i="31" s="1"/>
  <c r="AK96" i="51"/>
  <c r="E152" i="31" s="1"/>
  <c r="CX96" i="51"/>
  <c r="F151" i="31" s="1"/>
  <c r="DA96" i="51"/>
  <c r="F154" i="31" s="1"/>
  <c r="O32" i="39"/>
  <c r="N32" i="39"/>
  <c r="S33" i="39"/>
  <c r="T33" i="39"/>
  <c r="AN96" i="51"/>
  <c r="E155" i="31" s="1"/>
  <c r="CQ96" i="51"/>
  <c r="F144" i="31" s="1"/>
  <c r="O33" i="39"/>
  <c r="N33" i="39"/>
  <c r="DB96" i="51"/>
  <c r="F155" i="31" s="1"/>
  <c r="AF96" i="51"/>
  <c r="E147" i="31" s="1"/>
  <c r="CZ96" i="51"/>
  <c r="F153" i="31" s="1"/>
  <c r="CU96" i="51"/>
  <c r="F148" i="31" s="1"/>
  <c r="CR96" i="51"/>
  <c r="F145" i="31" s="1"/>
  <c r="AG96" i="51"/>
  <c r="E148" i="31" s="1"/>
  <c r="AD96" i="51"/>
  <c r="E145" i="31" s="1"/>
  <c r="I34" i="39"/>
  <c r="F47" i="53"/>
  <c r="F40" i="53"/>
  <c r="I32" i="39"/>
  <c r="S32" i="39"/>
  <c r="T32" i="39"/>
  <c r="CV96" i="51"/>
  <c r="F149" i="31" s="1"/>
  <c r="CW96" i="51"/>
  <c r="F150" i="31" s="1"/>
  <c r="CT96" i="51"/>
  <c r="F147" i="31" s="1"/>
  <c r="AB96" i="51"/>
  <c r="E143" i="31" s="1"/>
  <c r="AI96" i="51"/>
  <c r="E150" i="31" s="1"/>
  <c r="AH96" i="51"/>
  <c r="E149" i="31" s="1"/>
  <c r="F50" i="31"/>
  <c r="E50" i="31"/>
  <c r="FB98" i="51" l="1"/>
  <c r="AA110" i="51" s="1"/>
  <c r="CN98" i="51"/>
  <c r="AA105" i="51" s="1"/>
  <c r="N11" i="53"/>
  <c r="G40" i="53"/>
  <c r="N9" i="53"/>
  <c r="G47" i="53"/>
  <c r="J34" i="39"/>
  <c r="D34" i="39" s="1"/>
  <c r="J32" i="39"/>
  <c r="D32" i="39" s="1"/>
  <c r="C32" i="39" s="1"/>
  <c r="V9" i="53"/>
  <c r="V10" i="53"/>
  <c r="CN97" i="51"/>
  <c r="FB97" i="51"/>
  <c r="Z110" i="51" a="1"/>
  <c r="Z110" i="51" s="1"/>
  <c r="V110" i="51" a="1"/>
  <c r="V110" i="51" s="1"/>
  <c r="R110" i="51" a="1"/>
  <c r="R110" i="51" s="1"/>
  <c r="Y110" i="51" a="1"/>
  <c r="Y110" i="51" s="1"/>
  <c r="U110" i="51" a="1"/>
  <c r="U110" i="51" s="1"/>
  <c r="Q110" i="51" a="1"/>
  <c r="Q110" i="51" s="1"/>
  <c r="O110" i="51" a="1"/>
  <c r="O110" i="51" s="1"/>
  <c r="X110" i="51" a="1"/>
  <c r="X110" i="51" s="1"/>
  <c r="T110" i="51" a="1"/>
  <c r="T110" i="51" s="1"/>
  <c r="P110" i="51" a="1"/>
  <c r="P110" i="51" s="1"/>
  <c r="S110" i="51" a="1"/>
  <c r="S110" i="51" s="1"/>
  <c r="W110" i="51" a="1"/>
  <c r="W110" i="51" s="1"/>
  <c r="O105" i="51" a="1"/>
  <c r="O105" i="51" s="1"/>
  <c r="Z105" i="51" a="1"/>
  <c r="Z105" i="51" s="1"/>
  <c r="V105" i="51" a="1"/>
  <c r="V105" i="51" s="1"/>
  <c r="R105" i="51" a="1"/>
  <c r="R105" i="51" s="1"/>
  <c r="Y105" i="51" a="1"/>
  <c r="Y105" i="51" s="1"/>
  <c r="U105" i="51" a="1"/>
  <c r="U105" i="51" s="1"/>
  <c r="Q105" i="51" a="1"/>
  <c r="Q105" i="51" s="1"/>
  <c r="T105" i="51" a="1"/>
  <c r="T105" i="51" s="1"/>
  <c r="X105" i="51" a="1"/>
  <c r="X105" i="51" s="1"/>
  <c r="P105" i="51" a="1"/>
  <c r="P105" i="51" s="1"/>
  <c r="W105" i="51" a="1"/>
  <c r="W105" i="51" s="1"/>
  <c r="S105" i="51" a="1"/>
  <c r="S105" i="51" s="1"/>
  <c r="E34" i="39"/>
  <c r="F34" i="39"/>
  <c r="F49" i="31"/>
  <c r="E59" i="31"/>
  <c r="F59" i="31"/>
  <c r="F54" i="31"/>
  <c r="E57" i="31"/>
  <c r="E55" i="31"/>
  <c r="F55" i="31"/>
  <c r="E49" i="31"/>
  <c r="F57" i="31"/>
  <c r="G48" i="53"/>
  <c r="G49" i="53"/>
  <c r="FB96" i="51"/>
  <c r="CN96" i="51"/>
  <c r="AB110" i="51" l="1"/>
  <c r="AB105" i="51"/>
  <c r="F40" i="31"/>
  <c r="F42" i="31"/>
  <c r="AC105" i="51"/>
  <c r="E54" i="31"/>
  <c r="C34" i="39"/>
  <c r="F52" i="31"/>
  <c r="E52" i="31"/>
  <c r="AC110" i="51"/>
  <c r="E40" i="31"/>
  <c r="B13" i="44" l="1"/>
  <c r="E33" i="31" s="1"/>
  <c r="C13" i="44"/>
  <c r="F33" i="31" l="1"/>
  <c r="L13" i="5" l="1"/>
  <c r="M10" i="53" s="1"/>
  <c r="D40" i="5"/>
  <c r="D49" i="5"/>
  <c r="D13" i="5"/>
  <c r="D16" i="5"/>
  <c r="B5" i="45" s="1"/>
  <c r="E32" i="45" s="1"/>
  <c r="L16" i="5"/>
  <c r="D5" i="45" s="1"/>
  <c r="E34" i="45" s="1"/>
  <c r="L17" i="5"/>
  <c r="G5" i="45" s="1"/>
  <c r="I34" i="45" s="1"/>
  <c r="D6" i="5"/>
  <c r="D33" i="5"/>
  <c r="D7" i="5"/>
  <c r="D17" i="5"/>
  <c r="E5" i="45" s="1"/>
  <c r="D5" i="5"/>
  <c r="S114" i="44"/>
  <c r="Y29" i="44"/>
  <c r="G32" i="45" l="1"/>
  <c r="F32" i="45"/>
  <c r="G34" i="45"/>
  <c r="F34" i="45"/>
  <c r="B7" i="56"/>
  <c r="G10" i="56" s="1"/>
  <c r="I32" i="45"/>
  <c r="C10" i="53"/>
  <c r="AE77" i="51"/>
  <c r="CJ77" i="51" s="1"/>
  <c r="AE67" i="51"/>
  <c r="CJ67" i="51" s="1"/>
  <c r="AE87" i="51"/>
  <c r="CJ87" i="51" s="1"/>
  <c r="AE71" i="51"/>
  <c r="CJ71" i="51" s="1"/>
  <c r="AE43" i="51"/>
  <c r="AE74" i="51"/>
  <c r="CJ74" i="51" s="1"/>
  <c r="AE49" i="51"/>
  <c r="CJ49" i="51" s="1"/>
  <c r="AE50" i="51"/>
  <c r="CJ50" i="51" s="1"/>
  <c r="AE56" i="51"/>
  <c r="CJ56" i="51" s="1"/>
  <c r="AE89" i="51"/>
  <c r="CJ89" i="51" s="1"/>
  <c r="AE90" i="51"/>
  <c r="CJ90" i="51" s="1"/>
  <c r="AE81" i="51"/>
  <c r="CJ81" i="51" s="1"/>
  <c r="AE85" i="51"/>
  <c r="CJ85" i="51" s="1"/>
  <c r="AE78" i="51"/>
  <c r="CJ78" i="51" s="1"/>
  <c r="AE65" i="51"/>
  <c r="CJ65" i="51" s="1"/>
  <c r="AE66" i="51"/>
  <c r="CJ66" i="51" s="1"/>
  <c r="AE72" i="51"/>
  <c r="CJ72" i="51" s="1"/>
  <c r="AE79" i="51"/>
  <c r="CJ79" i="51" s="1"/>
  <c r="HU95" i="51"/>
  <c r="AE83" i="51"/>
  <c r="CJ83" i="51" s="1"/>
  <c r="AE88" i="51"/>
  <c r="CJ88" i="51" s="1"/>
  <c r="AE91" i="51"/>
  <c r="CJ91" i="51" s="1"/>
  <c r="AE94" i="51"/>
  <c r="CJ94" i="51" s="1"/>
  <c r="AE64" i="51"/>
  <c r="CJ64" i="51" s="1"/>
  <c r="AE55" i="51"/>
  <c r="CJ55" i="51" s="1"/>
  <c r="AE54" i="51"/>
  <c r="CJ54" i="51" s="1"/>
  <c r="AE95" i="51"/>
  <c r="CJ95" i="51" s="1"/>
  <c r="AE69" i="51"/>
  <c r="CJ69" i="51" s="1"/>
  <c r="AE59" i="51"/>
  <c r="CJ59" i="51" s="1"/>
  <c r="AE47" i="51"/>
  <c r="CJ47" i="51" s="1"/>
  <c r="AE73" i="51"/>
  <c r="CJ73" i="51" s="1"/>
  <c r="U33" i="39"/>
  <c r="F33" i="39" s="1"/>
  <c r="W10" i="53"/>
  <c r="AE61" i="51"/>
  <c r="CJ61" i="51" s="1"/>
  <c r="AE75" i="51"/>
  <c r="CJ75" i="51" s="1"/>
  <c r="AE86" i="51"/>
  <c r="CJ86" i="51" s="1"/>
  <c r="AE70" i="51"/>
  <c r="CJ70" i="51" s="1"/>
  <c r="Z29" i="44"/>
  <c r="AE68" i="51"/>
  <c r="CJ68" i="51" s="1"/>
  <c r="AE44" i="51"/>
  <c r="CJ44" i="51" s="1"/>
  <c r="AE48" i="51"/>
  <c r="CJ48" i="51" s="1"/>
  <c r="AE45" i="51"/>
  <c r="CJ45" i="51" s="1"/>
  <c r="AE52" i="51"/>
  <c r="CJ52" i="51" s="1"/>
  <c r="AE51" i="51"/>
  <c r="CJ51" i="51" s="1"/>
  <c r="AE46" i="51"/>
  <c r="CJ46" i="51" s="1"/>
  <c r="AE63" i="51"/>
  <c r="CJ63" i="51" s="1"/>
  <c r="AE80" i="51"/>
  <c r="CJ80" i="51" s="1"/>
  <c r="AE57" i="51"/>
  <c r="CJ57" i="51" s="1"/>
  <c r="AE82" i="51"/>
  <c r="CJ82" i="51" s="1"/>
  <c r="AE84" i="51"/>
  <c r="CJ84" i="51" s="1"/>
  <c r="AE92" i="51"/>
  <c r="CJ92" i="51" s="1"/>
  <c r="AE76" i="51"/>
  <c r="CJ76" i="51" s="1"/>
  <c r="AE62" i="51"/>
  <c r="CJ62" i="51" s="1"/>
  <c r="AE60" i="51"/>
  <c r="CJ60" i="51" s="1"/>
  <c r="AE58" i="51"/>
  <c r="CJ58" i="51" s="1"/>
  <c r="AE93" i="51"/>
  <c r="CJ93" i="51" s="1"/>
  <c r="AE53" i="51"/>
  <c r="CJ53" i="51" s="1"/>
  <c r="H22" i="5"/>
  <c r="Y30" i="44" s="1"/>
  <c r="Z30" i="44" s="1"/>
  <c r="L22" i="5"/>
  <c r="Y31" i="44" s="1"/>
  <c r="Z31" i="44" s="1"/>
  <c r="X34" i="44"/>
  <c r="Z34" i="44" s="1"/>
  <c r="AA29" i="44"/>
  <c r="E33" i="45"/>
  <c r="F34" i="38"/>
  <c r="E34" i="38"/>
  <c r="O34" i="38"/>
  <c r="Q34" i="38"/>
  <c r="P34" i="38"/>
  <c r="I33" i="45"/>
  <c r="G34" i="38"/>
  <c r="G5" i="5"/>
  <c r="K5" i="5"/>
  <c r="D25" i="5"/>
  <c r="H34" i="45" l="1"/>
  <c r="H32" i="45"/>
  <c r="D10" i="53"/>
  <c r="G43" i="53" s="1"/>
  <c r="F43" i="53"/>
  <c r="E10" i="53"/>
  <c r="H44" i="53" s="1"/>
  <c r="D44" i="53" s="1"/>
  <c r="AD10" i="53"/>
  <c r="X8" i="53" s="1"/>
  <c r="M111" i="5"/>
  <c r="M47" i="2" s="1"/>
  <c r="CJ43" i="51"/>
  <c r="CJ97" i="51" s="1"/>
  <c r="AE98" i="51"/>
  <c r="KA95" i="51"/>
  <c r="JZ95" i="51"/>
  <c r="CM79" i="51"/>
  <c r="CK79" i="51"/>
  <c r="CM86" i="51"/>
  <c r="CK86" i="51"/>
  <c r="CM61" i="51"/>
  <c r="CK61" i="51"/>
  <c r="CM48" i="51"/>
  <c r="CK48" i="51"/>
  <c r="CM53" i="51"/>
  <c r="CK53" i="51"/>
  <c r="CM62" i="51"/>
  <c r="CK62" i="51"/>
  <c r="CM90" i="51"/>
  <c r="CK90" i="51"/>
  <c r="CM52" i="51"/>
  <c r="CK52" i="51"/>
  <c r="CM78" i="51"/>
  <c r="CK78" i="51"/>
  <c r="CM43" i="51"/>
  <c r="CK43" i="51"/>
  <c r="CM93" i="51"/>
  <c r="CK93" i="51"/>
  <c r="CM76" i="51"/>
  <c r="CK76" i="51"/>
  <c r="CM46" i="51"/>
  <c r="CK46" i="51"/>
  <c r="CM64" i="51"/>
  <c r="CK64" i="51"/>
  <c r="CM65" i="51"/>
  <c r="CK65" i="51"/>
  <c r="CM44" i="51"/>
  <c r="CK44" i="51"/>
  <c r="CM80" i="51"/>
  <c r="CK80" i="51"/>
  <c r="CM66" i="51"/>
  <c r="CK66" i="51"/>
  <c r="CM55" i="51"/>
  <c r="CK55" i="51"/>
  <c r="CM63" i="51"/>
  <c r="CK63" i="51"/>
  <c r="CM74" i="51"/>
  <c r="CK74" i="51"/>
  <c r="CM83" i="51"/>
  <c r="CK83" i="51"/>
  <c r="CM77" i="51"/>
  <c r="CK77" i="51"/>
  <c r="CM91" i="51"/>
  <c r="CK91" i="51"/>
  <c r="CM71" i="51"/>
  <c r="CK71" i="51"/>
  <c r="CM88" i="51"/>
  <c r="CK88" i="51"/>
  <c r="CM69" i="51"/>
  <c r="CK69" i="51"/>
  <c r="CM50" i="51"/>
  <c r="CK50" i="51"/>
  <c r="CM89" i="51"/>
  <c r="CK89" i="51"/>
  <c r="CM73" i="51"/>
  <c r="CK73" i="51"/>
  <c r="CM84" i="51"/>
  <c r="CK84" i="51"/>
  <c r="CM81" i="51"/>
  <c r="CK81" i="51"/>
  <c r="CM85" i="51"/>
  <c r="CK85" i="51"/>
  <c r="CM54" i="51"/>
  <c r="CK54" i="51"/>
  <c r="CM95" i="51"/>
  <c r="CK95" i="51"/>
  <c r="CM49" i="51"/>
  <c r="CK49" i="51"/>
  <c r="CM56" i="51"/>
  <c r="CK56" i="51"/>
  <c r="CM82" i="51"/>
  <c r="CK82" i="51"/>
  <c r="CM87" i="51"/>
  <c r="CK87" i="51"/>
  <c r="CM59" i="51"/>
  <c r="CK59" i="51"/>
  <c r="CM45" i="51"/>
  <c r="CK45" i="51"/>
  <c r="CM58" i="51"/>
  <c r="CK58" i="51"/>
  <c r="CM92" i="51"/>
  <c r="CK92" i="51"/>
  <c r="CM67" i="51"/>
  <c r="CK67" i="51"/>
  <c r="CM47" i="51"/>
  <c r="CK47" i="51"/>
  <c r="CM94" i="51"/>
  <c r="CK94" i="51"/>
  <c r="CM68" i="51"/>
  <c r="CK68" i="51"/>
  <c r="CM72" i="51"/>
  <c r="CK72" i="51"/>
  <c r="CM60" i="51"/>
  <c r="CK60" i="51"/>
  <c r="CM57" i="51"/>
  <c r="CK57" i="51"/>
  <c r="CM70" i="51"/>
  <c r="CK70" i="51"/>
  <c r="CM51" i="51"/>
  <c r="CK51" i="51"/>
  <c r="CM75" i="51"/>
  <c r="CK75" i="51"/>
  <c r="E33" i="43"/>
  <c r="L30" i="44"/>
  <c r="F33" i="43"/>
  <c r="K30" i="44"/>
  <c r="G33" i="43"/>
  <c r="N30" i="44"/>
  <c r="KB95" i="51"/>
  <c r="KC95" i="51"/>
  <c r="L5" i="5"/>
  <c r="J31" i="5" s="1"/>
  <c r="AA31" i="44"/>
  <c r="H5" i="5"/>
  <c r="F30" i="5" s="1"/>
  <c r="AA30" i="44"/>
  <c r="R34" i="38"/>
  <c r="HU43" i="51"/>
  <c r="CS82" i="51"/>
  <c r="CS43" i="51"/>
  <c r="CS75" i="51"/>
  <c r="CS47" i="51"/>
  <c r="CS71" i="51"/>
  <c r="CS57" i="51"/>
  <c r="CS45" i="51"/>
  <c r="CS55" i="51"/>
  <c r="CS80" i="51"/>
  <c r="CS73" i="51"/>
  <c r="CS89" i="51"/>
  <c r="CS49" i="51"/>
  <c r="CS81" i="51"/>
  <c r="CS87" i="51"/>
  <c r="CS92" i="51"/>
  <c r="CS90" i="51"/>
  <c r="CS59" i="51"/>
  <c r="CS79" i="51"/>
  <c r="CS93" i="51"/>
  <c r="CS46" i="51"/>
  <c r="CS56" i="51"/>
  <c r="CS95" i="51"/>
  <c r="CS66" i="51"/>
  <c r="CS84" i="51"/>
  <c r="CS74" i="51"/>
  <c r="CS58" i="51"/>
  <c r="CS60" i="51"/>
  <c r="CS61" i="51"/>
  <c r="CS91" i="51"/>
  <c r="CS67" i="51"/>
  <c r="CS51" i="51"/>
  <c r="CS83" i="51"/>
  <c r="CS65" i="51"/>
  <c r="CS85" i="51"/>
  <c r="CS52" i="51"/>
  <c r="CS76" i="51"/>
  <c r="CS86" i="51"/>
  <c r="CS48" i="51"/>
  <c r="CS70" i="51"/>
  <c r="CS68" i="51"/>
  <c r="CS72" i="51"/>
  <c r="CS44" i="51"/>
  <c r="CS54" i="51"/>
  <c r="CS53" i="51"/>
  <c r="CS94" i="51"/>
  <c r="CS63" i="51"/>
  <c r="CS62" i="51"/>
  <c r="CS77" i="51"/>
  <c r="CS78" i="51"/>
  <c r="CS50" i="51"/>
  <c r="CS88" i="51"/>
  <c r="CS69" i="51"/>
  <c r="CS64" i="51"/>
  <c r="EX64" i="51" s="1"/>
  <c r="CL95" i="51"/>
  <c r="W126" i="51" a="1"/>
  <c r="W126" i="51" s="1"/>
  <c r="AN135" i="51" s="1"/>
  <c r="P126" i="51" a="1"/>
  <c r="P126" i="51" s="1"/>
  <c r="AG135" i="51" s="1"/>
  <c r="X126" i="51" a="1"/>
  <c r="X126" i="51" s="1"/>
  <c r="AO135" i="51" s="1"/>
  <c r="R126" i="51" a="1"/>
  <c r="R126" i="51" s="1"/>
  <c r="AI135" i="51" s="1"/>
  <c r="Q126" i="51" a="1"/>
  <c r="Q126" i="51" s="1"/>
  <c r="AH135" i="51" s="1"/>
  <c r="V126" i="51" a="1"/>
  <c r="V126" i="51" s="1"/>
  <c r="AM135" i="51" s="1"/>
  <c r="Y126" i="51" a="1"/>
  <c r="Y126" i="51" s="1"/>
  <c r="AP135" i="51" s="1"/>
  <c r="Z126" i="51" a="1"/>
  <c r="Z126" i="51" s="1"/>
  <c r="AQ135" i="51" s="1"/>
  <c r="T126" i="51" a="1"/>
  <c r="T126" i="51" s="1"/>
  <c r="AK135" i="51" s="1"/>
  <c r="AE97" i="51"/>
  <c r="O126" i="51" a="1"/>
  <c r="O126" i="51" s="1"/>
  <c r="U126" i="51" a="1"/>
  <c r="U126" i="51" s="1"/>
  <c r="AL135" i="51" s="1"/>
  <c r="S126" i="51" a="1"/>
  <c r="S126" i="51" s="1"/>
  <c r="AJ135" i="51" s="1"/>
  <c r="F41" i="44" s="1"/>
  <c r="F33" i="45"/>
  <c r="G33" i="45"/>
  <c r="CL72" i="51"/>
  <c r="CL54" i="51"/>
  <c r="CL86" i="51"/>
  <c r="CL53" i="51"/>
  <c r="CL79" i="51"/>
  <c r="CL55" i="51"/>
  <c r="CL80" i="51"/>
  <c r="CL89" i="51"/>
  <c r="CL61" i="51"/>
  <c r="CL66" i="51"/>
  <c r="CL83" i="51"/>
  <c r="CL46" i="51"/>
  <c r="CL65" i="51"/>
  <c r="CL88" i="51"/>
  <c r="CL91" i="51"/>
  <c r="CL77" i="51"/>
  <c r="CL69" i="51"/>
  <c r="CL81" i="51"/>
  <c r="CL94" i="51"/>
  <c r="CL43" i="51"/>
  <c r="CL78" i="51"/>
  <c r="CL56" i="51"/>
  <c r="CL59" i="51"/>
  <c r="CL44" i="51"/>
  <c r="CL82" i="51"/>
  <c r="CL84" i="51"/>
  <c r="CL73" i="51"/>
  <c r="CL71" i="51"/>
  <c r="CL58" i="51"/>
  <c r="CL47" i="51"/>
  <c r="CL92" i="51"/>
  <c r="CL48" i="51"/>
  <c r="CL49" i="51"/>
  <c r="CL87" i="51"/>
  <c r="CL50" i="51"/>
  <c r="CL64" i="51"/>
  <c r="CL76" i="51"/>
  <c r="CL45" i="51"/>
  <c r="CL60" i="51"/>
  <c r="CL63" i="51"/>
  <c r="CL90" i="51"/>
  <c r="CL85" i="51"/>
  <c r="CL75" i="51"/>
  <c r="CL62" i="51"/>
  <c r="CL70" i="51"/>
  <c r="CL57" i="51"/>
  <c r="CL68" i="51"/>
  <c r="CL52" i="51"/>
  <c r="CL67" i="51"/>
  <c r="CL51" i="51"/>
  <c r="CL74" i="51"/>
  <c r="CL93" i="51"/>
  <c r="W8" i="53"/>
  <c r="U8" i="53"/>
  <c r="J30" i="5"/>
  <c r="L33" i="5" s="1"/>
  <c r="I33" i="39"/>
  <c r="F44" i="53"/>
  <c r="AE96" i="51"/>
  <c r="AB126" i="51" l="1"/>
  <c r="E146" i="31" s="1"/>
  <c r="AF135" i="51"/>
  <c r="AF125" i="51" s="1"/>
  <c r="JZ43" i="51"/>
  <c r="CS98" i="51"/>
  <c r="S101" i="51" a="1"/>
  <c r="S101" i="51" s="1"/>
  <c r="T101" i="51" a="1"/>
  <c r="T101" i="51" s="1"/>
  <c r="Z101" i="51" a="1"/>
  <c r="Z101" i="51" s="1"/>
  <c r="P101" i="51" a="1"/>
  <c r="P101" i="51" s="1"/>
  <c r="CJ96" i="51"/>
  <c r="U101" i="51" a="1"/>
  <c r="U101" i="51" s="1"/>
  <c r="Q101" i="51" a="1"/>
  <c r="Q101" i="51" s="1"/>
  <c r="Y101" i="51" a="1"/>
  <c r="Y101" i="51" s="1"/>
  <c r="V101" i="51" a="1"/>
  <c r="V101" i="51" s="1"/>
  <c r="CK98" i="51"/>
  <c r="AA102" i="51" s="1"/>
  <c r="CL98" i="51"/>
  <c r="AA103" i="51" s="1"/>
  <c r="CM98" i="51"/>
  <c r="AA104" i="51" s="1"/>
  <c r="O101" i="51" a="1"/>
  <c r="O101" i="51" s="1"/>
  <c r="CJ98" i="51"/>
  <c r="AA101" i="51" s="1"/>
  <c r="R101" i="51" a="1"/>
  <c r="R101" i="51" s="1"/>
  <c r="X101" i="51" a="1"/>
  <c r="X101" i="51" s="1"/>
  <c r="W101" i="51" a="1"/>
  <c r="W101" i="51" s="1"/>
  <c r="F31" i="5"/>
  <c r="F33" i="5" s="1"/>
  <c r="AM125" i="51"/>
  <c r="EY69" i="51"/>
  <c r="EX69" i="51"/>
  <c r="EY53" i="51"/>
  <c r="EX53" i="51"/>
  <c r="EY76" i="51"/>
  <c r="EX76" i="51"/>
  <c r="EY61" i="51"/>
  <c r="EX61" i="51"/>
  <c r="EY46" i="51"/>
  <c r="EX46" i="51"/>
  <c r="EY49" i="51"/>
  <c r="EX49" i="51"/>
  <c r="EY47" i="51"/>
  <c r="EX47" i="51"/>
  <c r="AJ125" i="51"/>
  <c r="AH125" i="51"/>
  <c r="EY88" i="51"/>
  <c r="EX88" i="51"/>
  <c r="EY54" i="51"/>
  <c r="EX54" i="51"/>
  <c r="EY52" i="51"/>
  <c r="EX52" i="51"/>
  <c r="EY60" i="51"/>
  <c r="EX60" i="51"/>
  <c r="EY93" i="51"/>
  <c r="EX93" i="51"/>
  <c r="EY89" i="51"/>
  <c r="EX89" i="51"/>
  <c r="EY75" i="51"/>
  <c r="EX75" i="51"/>
  <c r="AL125" i="51"/>
  <c r="AI125" i="51"/>
  <c r="EY50" i="51"/>
  <c r="EX50" i="51"/>
  <c r="EY44" i="51"/>
  <c r="EX44" i="51"/>
  <c r="EY85" i="51"/>
  <c r="EX85" i="51"/>
  <c r="EY58" i="51"/>
  <c r="EX58" i="51"/>
  <c r="EY79" i="51"/>
  <c r="EX79" i="51"/>
  <c r="EY73" i="51"/>
  <c r="EX73" i="51"/>
  <c r="EY43" i="51"/>
  <c r="EX43" i="51"/>
  <c r="AO125" i="51"/>
  <c r="EY78" i="51"/>
  <c r="EX78" i="51"/>
  <c r="EY72" i="51"/>
  <c r="EX72" i="51"/>
  <c r="EY65" i="51"/>
  <c r="EX65" i="51"/>
  <c r="EY74" i="51"/>
  <c r="EX74" i="51"/>
  <c r="EY59" i="51"/>
  <c r="EX59" i="51"/>
  <c r="EY80" i="51"/>
  <c r="EX80" i="51"/>
  <c r="EY82" i="51"/>
  <c r="EX82" i="51"/>
  <c r="AG125" i="51"/>
  <c r="EY77" i="51"/>
  <c r="EX77" i="51"/>
  <c r="EY68" i="51"/>
  <c r="EX68" i="51"/>
  <c r="EY83" i="51"/>
  <c r="EX83" i="51"/>
  <c r="EY84" i="51"/>
  <c r="EX84" i="51"/>
  <c r="EY90" i="51"/>
  <c r="EX90" i="51"/>
  <c r="EY55" i="51"/>
  <c r="EX55" i="51"/>
  <c r="AK125" i="51"/>
  <c r="AN125" i="51"/>
  <c r="EY62" i="51"/>
  <c r="EX62" i="51"/>
  <c r="EY70" i="51"/>
  <c r="EX70" i="51"/>
  <c r="EY51" i="51"/>
  <c r="EX51" i="51"/>
  <c r="EY66" i="51"/>
  <c r="EX66" i="51"/>
  <c r="EY92" i="51"/>
  <c r="EX92" i="51"/>
  <c r="EY45" i="51"/>
  <c r="EX45" i="51"/>
  <c r="AQ125" i="51"/>
  <c r="EY63" i="51"/>
  <c r="EX63" i="51"/>
  <c r="EY48" i="51"/>
  <c r="EX48" i="51"/>
  <c r="EY67" i="51"/>
  <c r="EX67" i="51"/>
  <c r="EY95" i="51"/>
  <c r="EX95" i="51"/>
  <c r="EY87" i="51"/>
  <c r="EX87" i="51"/>
  <c r="EY57" i="51"/>
  <c r="EX57" i="51"/>
  <c r="AP125" i="51"/>
  <c r="EY94" i="51"/>
  <c r="EX94" i="51"/>
  <c r="EY86" i="51"/>
  <c r="EX86" i="51"/>
  <c r="EY91" i="51"/>
  <c r="EX91" i="51"/>
  <c r="EY56" i="51"/>
  <c r="EX56" i="51"/>
  <c r="EY81" i="51"/>
  <c r="EX81" i="51"/>
  <c r="EY71" i="51"/>
  <c r="EX71" i="51"/>
  <c r="V104" i="51" a="1"/>
  <c r="V104" i="51" s="1"/>
  <c r="P104" i="51" a="1"/>
  <c r="P104" i="51" s="1"/>
  <c r="AK138" i="51"/>
  <c r="Z94" i="55" s="1"/>
  <c r="AK136" i="51"/>
  <c r="AN138" i="51"/>
  <c r="AN128" i="51" s="1"/>
  <c r="AC82" i="55" s="1"/>
  <c r="AN136" i="51"/>
  <c r="T104" i="51" a="1"/>
  <c r="T104" i="51" s="1"/>
  <c r="Q104" i="51" a="1"/>
  <c r="Q104" i="51" s="1"/>
  <c r="AM138" i="51"/>
  <c r="AB94" i="55" s="1"/>
  <c r="AM136" i="51"/>
  <c r="Y104" i="51" a="1"/>
  <c r="Y104" i="51" s="1"/>
  <c r="CM97" i="51"/>
  <c r="R104" i="51" a="1"/>
  <c r="R104" i="51" s="1"/>
  <c r="FA64" i="51"/>
  <c r="EY64" i="51"/>
  <c r="S104" i="51" a="1"/>
  <c r="S104" i="51" s="1"/>
  <c r="AJ138" i="51"/>
  <c r="AJ136" i="51"/>
  <c r="AH138" i="51"/>
  <c r="AH128" i="51" s="1"/>
  <c r="W82" i="55" s="1"/>
  <c r="AH136" i="51"/>
  <c r="O104" i="51" a="1"/>
  <c r="O104" i="51" s="1"/>
  <c r="CM96" i="51"/>
  <c r="CK97" i="51"/>
  <c r="CK96" i="51"/>
  <c r="U102" i="51" a="1"/>
  <c r="U102" i="51" s="1"/>
  <c r="S102" i="51" a="1"/>
  <c r="S102" i="51" s="1"/>
  <c r="Z102" i="51" a="1"/>
  <c r="Z102" i="51" s="1"/>
  <c r="O102" i="51" a="1"/>
  <c r="O102" i="51" s="1"/>
  <c r="Y102" i="51" a="1"/>
  <c r="Y102" i="51" s="1"/>
  <c r="W102" i="51" a="1"/>
  <c r="W102" i="51" s="1"/>
  <c r="X102" i="51" a="1"/>
  <c r="X102" i="51" s="1"/>
  <c r="T102" i="51" a="1"/>
  <c r="T102" i="51" s="1"/>
  <c r="V102" i="51" a="1"/>
  <c r="V102" i="51" s="1"/>
  <c r="P102" i="51" a="1"/>
  <c r="P102" i="51" s="1"/>
  <c r="Q102" i="51" a="1"/>
  <c r="Q102" i="51" s="1"/>
  <c r="R102" i="51" a="1"/>
  <c r="R102" i="51" s="1"/>
  <c r="AQ138" i="51"/>
  <c r="AQ128" i="51" s="1"/>
  <c r="AF82" i="55" s="1"/>
  <c r="AQ136" i="51"/>
  <c r="X104" i="51" a="1"/>
  <c r="X104" i="51" s="1"/>
  <c r="AL138" i="51"/>
  <c r="AA94" i="55" s="1"/>
  <c r="AL136" i="51"/>
  <c r="AI138" i="51"/>
  <c r="X94" i="55" s="1"/>
  <c r="AI136" i="51"/>
  <c r="U104" i="51" a="1"/>
  <c r="U104" i="51" s="1"/>
  <c r="AF138" i="51"/>
  <c r="AF136" i="51"/>
  <c r="AO138" i="51"/>
  <c r="AD94" i="55" s="1"/>
  <c r="AO136" i="51"/>
  <c r="Z104" i="51" a="1"/>
  <c r="Z104" i="51" s="1"/>
  <c r="AP138" i="51"/>
  <c r="AE94" i="55" s="1"/>
  <c r="AP136" i="51"/>
  <c r="AG138" i="51"/>
  <c r="V94" i="55" s="1"/>
  <c r="AG136" i="51"/>
  <c r="KC43" i="51"/>
  <c r="KA43" i="51"/>
  <c r="W104" i="51" a="1"/>
  <c r="W104" i="51" s="1"/>
  <c r="M30" i="44"/>
  <c r="K33" i="39"/>
  <c r="EZ78" i="51"/>
  <c r="FA78" i="51"/>
  <c r="EZ72" i="51"/>
  <c r="FA72" i="51"/>
  <c r="EZ65" i="51"/>
  <c r="FA65" i="51"/>
  <c r="EZ74" i="51"/>
  <c r="FA74" i="51"/>
  <c r="EZ59" i="51"/>
  <c r="FA59" i="51"/>
  <c r="EZ80" i="51"/>
  <c r="FA80" i="51"/>
  <c r="EZ82" i="51"/>
  <c r="FA82" i="51"/>
  <c r="EZ77" i="51"/>
  <c r="FA77" i="51"/>
  <c r="EZ68" i="51"/>
  <c r="FA68" i="51"/>
  <c r="EZ83" i="51"/>
  <c r="FA83" i="51"/>
  <c r="EZ84" i="51"/>
  <c r="FA84" i="51"/>
  <c r="EZ90" i="51"/>
  <c r="FA90" i="51"/>
  <c r="EZ55" i="51"/>
  <c r="FA55" i="51"/>
  <c r="EZ85" i="51"/>
  <c r="FA85" i="51"/>
  <c r="EZ43" i="51"/>
  <c r="FA43" i="51"/>
  <c r="EZ62" i="51"/>
  <c r="FA62" i="51"/>
  <c r="EZ70" i="51"/>
  <c r="FA70" i="51"/>
  <c r="EZ51" i="51"/>
  <c r="FA51" i="51"/>
  <c r="EZ66" i="51"/>
  <c r="FA66" i="51"/>
  <c r="EZ92" i="51"/>
  <c r="FA92" i="51"/>
  <c r="EZ45" i="51"/>
  <c r="FA45" i="51"/>
  <c r="EZ50" i="51"/>
  <c r="FA50" i="51"/>
  <c r="EZ73" i="51"/>
  <c r="FA73" i="51"/>
  <c r="EZ63" i="51"/>
  <c r="FA63" i="51"/>
  <c r="EZ48" i="51"/>
  <c r="FA48" i="51"/>
  <c r="EZ67" i="51"/>
  <c r="FA67" i="51"/>
  <c r="EZ95" i="51"/>
  <c r="FA95" i="51"/>
  <c r="EZ87" i="51"/>
  <c r="FA87" i="51"/>
  <c r="EZ57" i="51"/>
  <c r="FA57" i="51"/>
  <c r="EZ58" i="51"/>
  <c r="FA58" i="51"/>
  <c r="EZ94" i="51"/>
  <c r="FA94" i="51"/>
  <c r="EZ86" i="51"/>
  <c r="FA86" i="51"/>
  <c r="EZ91" i="51"/>
  <c r="FA91" i="51"/>
  <c r="EZ56" i="51"/>
  <c r="FA56" i="51"/>
  <c r="EZ81" i="51"/>
  <c r="FA81" i="51"/>
  <c r="EZ71" i="51"/>
  <c r="FA71" i="51"/>
  <c r="EZ44" i="51"/>
  <c r="FA44" i="51"/>
  <c r="EZ79" i="51"/>
  <c r="FA79" i="51"/>
  <c r="EZ69" i="51"/>
  <c r="FA69" i="51"/>
  <c r="EZ53" i="51"/>
  <c r="FA53" i="51"/>
  <c r="EZ76" i="51"/>
  <c r="FA76" i="51"/>
  <c r="EZ61" i="51"/>
  <c r="FA61" i="51"/>
  <c r="EZ46" i="51"/>
  <c r="FA46" i="51"/>
  <c r="EZ49" i="51"/>
  <c r="FA49" i="51"/>
  <c r="EZ47" i="51"/>
  <c r="FA47" i="51"/>
  <c r="EZ88" i="51"/>
  <c r="FA88" i="51"/>
  <c r="EZ54" i="51"/>
  <c r="FA54" i="51"/>
  <c r="EZ52" i="51"/>
  <c r="FA52" i="51"/>
  <c r="EZ60" i="51"/>
  <c r="FA60" i="51"/>
  <c r="EZ93" i="51"/>
  <c r="FA93" i="51"/>
  <c r="EZ89" i="51"/>
  <c r="FA89" i="51"/>
  <c r="EZ75" i="51"/>
  <c r="FA75" i="51"/>
  <c r="K34" i="43"/>
  <c r="K34" i="44"/>
  <c r="L34" i="44"/>
  <c r="J34" i="43"/>
  <c r="AI137" i="51"/>
  <c r="AM137" i="51"/>
  <c r="AJ137" i="51"/>
  <c r="F43" i="44" s="1"/>
  <c r="AO137" i="51"/>
  <c r="AG137" i="51"/>
  <c r="AL137" i="51"/>
  <c r="AK137" i="51"/>
  <c r="AN137" i="51"/>
  <c r="AH137" i="51"/>
  <c r="AQ137" i="51"/>
  <c r="AP137" i="51"/>
  <c r="AF137" i="51"/>
  <c r="I44" i="53"/>
  <c r="HU82" i="51"/>
  <c r="HU74" i="51"/>
  <c r="HU60" i="51"/>
  <c r="HU94" i="51"/>
  <c r="HU70" i="51"/>
  <c r="HU71" i="51"/>
  <c r="HU64" i="51"/>
  <c r="HU79" i="51"/>
  <c r="HU59" i="51"/>
  <c r="HU83" i="51"/>
  <c r="HU72" i="51"/>
  <c r="HU87" i="51"/>
  <c r="HU84" i="51"/>
  <c r="HU56" i="51"/>
  <c r="HU91" i="51"/>
  <c r="HU86" i="51"/>
  <c r="HU75" i="51"/>
  <c r="HU92" i="51"/>
  <c r="HU66" i="51"/>
  <c r="HU46" i="51"/>
  <c r="HU85" i="51"/>
  <c r="HU47" i="51"/>
  <c r="HU89" i="51"/>
  <c r="HU78" i="51"/>
  <c r="HU90" i="51"/>
  <c r="HU51" i="51"/>
  <c r="HU52" i="51"/>
  <c r="HU68" i="51"/>
  <c r="HU49" i="51"/>
  <c r="HU81" i="51"/>
  <c r="HU73" i="51"/>
  <c r="HU88" i="51"/>
  <c r="HU67" i="51"/>
  <c r="HU62" i="51"/>
  <c r="HU48" i="51"/>
  <c r="HU45" i="51"/>
  <c r="HU77" i="51"/>
  <c r="HU80" i="51"/>
  <c r="HU61" i="51"/>
  <c r="HU65" i="51"/>
  <c r="HU63" i="51"/>
  <c r="HU54" i="51"/>
  <c r="HU55" i="51"/>
  <c r="HU50" i="51"/>
  <c r="HU93" i="51"/>
  <c r="HU58" i="51"/>
  <c r="HU76" i="51"/>
  <c r="HU53" i="51"/>
  <c r="HU44" i="51"/>
  <c r="HU57" i="51"/>
  <c r="HU69" i="51"/>
  <c r="S187" i="51" a="1"/>
  <c r="S187" i="51" s="1"/>
  <c r="Y187" i="51" a="1"/>
  <c r="Y187" i="51" s="1"/>
  <c r="O187" i="51" a="1"/>
  <c r="O187" i="51" s="1"/>
  <c r="EZ64" i="51"/>
  <c r="X187" i="51" a="1"/>
  <c r="X187" i="51" s="1"/>
  <c r="U187" i="51" a="1"/>
  <c r="U187" i="51" s="1"/>
  <c r="KB43" i="51"/>
  <c r="CS96" i="51"/>
  <c r="R187" i="51" a="1"/>
  <c r="R187" i="51" s="1"/>
  <c r="Z187" i="51" a="1"/>
  <c r="Z187" i="51" s="1"/>
  <c r="T187" i="51" a="1"/>
  <c r="T187" i="51" s="1"/>
  <c r="CS97" i="51"/>
  <c r="P187" i="51" a="1"/>
  <c r="P187" i="51" s="1"/>
  <c r="Q187" i="51" a="1"/>
  <c r="Q187" i="51" s="1"/>
  <c r="W187" i="51" a="1"/>
  <c r="W187" i="51" s="1"/>
  <c r="V187" i="51" a="1"/>
  <c r="V187" i="51" s="1"/>
  <c r="N10" i="53"/>
  <c r="AA126" i="51"/>
  <c r="F29" i="44" s="1"/>
  <c r="J33" i="5"/>
  <c r="H33" i="45"/>
  <c r="CL97" i="51"/>
  <c r="O103" i="51" a="1"/>
  <c r="O103" i="51" s="1"/>
  <c r="R103" i="51" a="1"/>
  <c r="R103" i="51" s="1"/>
  <c r="X103" i="51" a="1"/>
  <c r="X103" i="51" s="1"/>
  <c r="T103" i="51" a="1"/>
  <c r="T103" i="51" s="1"/>
  <c r="P103" i="51" a="1"/>
  <c r="P103" i="51" s="1"/>
  <c r="V103" i="51" a="1"/>
  <c r="V103" i="51" s="1"/>
  <c r="W103" i="51" a="1"/>
  <c r="W103" i="51" s="1"/>
  <c r="S103" i="51" a="1"/>
  <c r="S103" i="51" s="1"/>
  <c r="Z103" i="51" a="1"/>
  <c r="Z103" i="51" s="1"/>
  <c r="Y103" i="51" a="1"/>
  <c r="Y103" i="51" s="1"/>
  <c r="U103" i="51" a="1"/>
  <c r="U103" i="51" s="1"/>
  <c r="Q103" i="51" a="1"/>
  <c r="Q103" i="51" s="1"/>
  <c r="V8" i="53"/>
  <c r="G44" i="53"/>
  <c r="J33" i="39"/>
  <c r="CL96" i="51"/>
  <c r="AB103" i="51" l="1"/>
  <c r="AB102" i="51"/>
  <c r="AB104" i="51"/>
  <c r="AB101" i="51"/>
  <c r="F42" i="44"/>
  <c r="Y94" i="55"/>
  <c r="F45" i="44"/>
  <c r="AB187" i="51"/>
  <c r="F146" i="31" s="1"/>
  <c r="H33" i="5"/>
  <c r="HU98" i="51"/>
  <c r="EX98" i="51"/>
  <c r="AA106" i="51" s="1"/>
  <c r="EY98" i="51"/>
  <c r="AA107" i="51" s="1"/>
  <c r="FA98" i="51"/>
  <c r="AA109" i="51" s="1"/>
  <c r="EZ98" i="51"/>
  <c r="AA108" i="51" s="1"/>
  <c r="U94" i="55"/>
  <c r="AC101" i="51"/>
  <c r="E10" i="55" a="1"/>
  <c r="W94" i="55"/>
  <c r="AK128" i="51"/>
  <c r="Z82" i="55" s="1"/>
  <c r="AI128" i="51"/>
  <c r="X82" i="55" s="1"/>
  <c r="AF94" i="55"/>
  <c r="AC94" i="55"/>
  <c r="W107" i="51" a="1"/>
  <c r="W107" i="51" s="1"/>
  <c r="KA90" i="51"/>
  <c r="JZ90" i="51"/>
  <c r="KA57" i="51"/>
  <c r="JZ57" i="51"/>
  <c r="KA54" i="51"/>
  <c r="JZ54" i="51"/>
  <c r="KA62" i="51"/>
  <c r="JZ62" i="51"/>
  <c r="KA51" i="51"/>
  <c r="JZ51" i="51"/>
  <c r="KA92" i="51"/>
  <c r="JZ92" i="51"/>
  <c r="KA83" i="51"/>
  <c r="JZ83" i="51"/>
  <c r="KA74" i="51"/>
  <c r="JZ74" i="51"/>
  <c r="KA67" i="51"/>
  <c r="JZ67" i="51"/>
  <c r="KA53" i="51"/>
  <c r="JZ53" i="51"/>
  <c r="KA65" i="51"/>
  <c r="JZ65" i="51"/>
  <c r="KA88" i="51"/>
  <c r="JZ88" i="51"/>
  <c r="KA78" i="51"/>
  <c r="JZ78" i="51"/>
  <c r="KA86" i="51"/>
  <c r="JZ86" i="51"/>
  <c r="KA79" i="51"/>
  <c r="JZ79" i="51"/>
  <c r="KA76" i="51"/>
  <c r="JZ76" i="51"/>
  <c r="KA61" i="51"/>
  <c r="JZ61" i="51"/>
  <c r="KA73" i="51"/>
  <c r="JZ73" i="51"/>
  <c r="KA89" i="51"/>
  <c r="JZ89" i="51"/>
  <c r="KA91" i="51"/>
  <c r="JZ91" i="51"/>
  <c r="KA64" i="51"/>
  <c r="JZ64" i="51"/>
  <c r="KA63" i="51"/>
  <c r="JZ63" i="51"/>
  <c r="KA59" i="51"/>
  <c r="JZ59" i="51"/>
  <c r="KA58" i="51"/>
  <c r="JZ58" i="51"/>
  <c r="KA80" i="51"/>
  <c r="JZ80" i="51"/>
  <c r="KA81" i="51"/>
  <c r="JZ81" i="51"/>
  <c r="KA47" i="51"/>
  <c r="JZ47" i="51"/>
  <c r="KA56" i="51"/>
  <c r="JZ56" i="51"/>
  <c r="KA71" i="51"/>
  <c r="JZ71" i="51"/>
  <c r="S106" i="51" a="1"/>
  <c r="S106" i="51" s="1"/>
  <c r="EX97" i="51"/>
  <c r="X106" i="51" a="1"/>
  <c r="X106" i="51" s="1"/>
  <c r="O106" i="51" a="1"/>
  <c r="O106" i="51" s="1"/>
  <c r="EX96" i="51"/>
  <c r="Z106" i="51" a="1"/>
  <c r="Z106" i="51" s="1"/>
  <c r="T106" i="51" a="1"/>
  <c r="T106" i="51" s="1"/>
  <c r="U106" i="51" a="1"/>
  <c r="U106" i="51" s="1"/>
  <c r="V106" i="51" a="1"/>
  <c r="V106" i="51" s="1"/>
  <c r="P106" i="51" a="1"/>
  <c r="P106" i="51" s="1"/>
  <c r="R106" i="51" a="1"/>
  <c r="R106" i="51" s="1"/>
  <c r="W106" i="51" a="1"/>
  <c r="W106" i="51" s="1"/>
  <c r="Y106" i="51" a="1"/>
  <c r="Y106" i="51" s="1"/>
  <c r="Q106" i="51" a="1"/>
  <c r="Q106" i="51" s="1"/>
  <c r="KA44" i="51"/>
  <c r="JZ44" i="51"/>
  <c r="KA82" i="51"/>
  <c r="JZ82" i="51"/>
  <c r="KA93" i="51"/>
  <c r="JZ93" i="51"/>
  <c r="KA77" i="51"/>
  <c r="JZ77" i="51"/>
  <c r="KA49" i="51"/>
  <c r="JZ49" i="51"/>
  <c r="KA85" i="51"/>
  <c r="JZ85" i="51"/>
  <c r="KA84" i="51"/>
  <c r="JZ84" i="51"/>
  <c r="KA70" i="51"/>
  <c r="JZ70" i="51"/>
  <c r="KA50" i="51"/>
  <c r="JZ50" i="51"/>
  <c r="KA45" i="51"/>
  <c r="JZ45" i="51"/>
  <c r="KA68" i="51"/>
  <c r="JZ68" i="51"/>
  <c r="KA46" i="51"/>
  <c r="JZ46" i="51"/>
  <c r="KA87" i="51"/>
  <c r="JZ87" i="51"/>
  <c r="KA94" i="51"/>
  <c r="JZ94" i="51"/>
  <c r="KA75" i="51"/>
  <c r="JZ75" i="51"/>
  <c r="KA69" i="51"/>
  <c r="JZ69" i="51"/>
  <c r="KA55" i="51"/>
  <c r="JZ55" i="51"/>
  <c r="KA48" i="51"/>
  <c r="JZ48" i="51"/>
  <c r="KA52" i="51"/>
  <c r="JZ52" i="51"/>
  <c r="KA66" i="51"/>
  <c r="JZ66" i="51"/>
  <c r="KA72" i="51"/>
  <c r="JZ72" i="51"/>
  <c r="KA60" i="51"/>
  <c r="JZ60" i="51"/>
  <c r="AF128" i="51"/>
  <c r="R107" i="51" a="1"/>
  <c r="R107" i="51" s="1"/>
  <c r="O107" i="51" a="1"/>
  <c r="O107" i="51" s="1"/>
  <c r="Q107" i="51" a="1"/>
  <c r="Q107" i="51" s="1"/>
  <c r="Y107" i="51" a="1"/>
  <c r="Y107" i="51" s="1"/>
  <c r="S107" i="51" a="1"/>
  <c r="S107" i="51" s="1"/>
  <c r="AC104" i="51"/>
  <c r="AG128" i="51"/>
  <c r="V82" i="55" s="1"/>
  <c r="AL128" i="51"/>
  <c r="AA82" i="55" s="1"/>
  <c r="AJ128" i="51"/>
  <c r="Y82" i="55" s="1"/>
  <c r="AM128" i="51"/>
  <c r="AB82" i="55" s="1"/>
  <c r="AP128" i="51"/>
  <c r="AE82" i="55" s="1"/>
  <c r="D33" i="39"/>
  <c r="C33" i="39" s="1"/>
  <c r="R26" i="31" s="1"/>
  <c r="K27" i="31" s="1"/>
  <c r="T107" i="51" a="1"/>
  <c r="T107" i="51" s="1"/>
  <c r="EY96" i="51"/>
  <c r="Z107" i="51" a="1"/>
  <c r="Z107" i="51" s="1"/>
  <c r="V107" i="51" a="1"/>
  <c r="V107" i="51" s="1"/>
  <c r="AA92" i="55"/>
  <c r="AL126" i="51"/>
  <c r="AA80" i="55" s="1"/>
  <c r="Y92" i="55"/>
  <c r="AJ126" i="51"/>
  <c r="Y80" i="55" s="1"/>
  <c r="AB92" i="55"/>
  <c r="AM126" i="51"/>
  <c r="AB80" i="55" s="1"/>
  <c r="AD92" i="55"/>
  <c r="AO126" i="51"/>
  <c r="AD80" i="55" s="1"/>
  <c r="X107" i="51" a="1"/>
  <c r="X107" i="51" s="1"/>
  <c r="AF92" i="55"/>
  <c r="AQ126" i="51"/>
  <c r="AF80" i="55" s="1"/>
  <c r="AO128" i="51"/>
  <c r="AD82" i="55" s="1"/>
  <c r="U92" i="55"/>
  <c r="AF126" i="51"/>
  <c r="P107" i="51" a="1"/>
  <c r="P107" i="51" s="1"/>
  <c r="AC92" i="55"/>
  <c r="AN126" i="51"/>
  <c r="AC80" i="55" s="1"/>
  <c r="V92" i="55"/>
  <c r="AG126" i="51"/>
  <c r="V80" i="55" s="1"/>
  <c r="U107" i="51" a="1"/>
  <c r="U107" i="51" s="1"/>
  <c r="EY97" i="51"/>
  <c r="AC102" i="51"/>
  <c r="X92" i="55"/>
  <c r="AI126" i="51"/>
  <c r="X80" i="55" s="1"/>
  <c r="W92" i="55"/>
  <c r="AH126" i="51"/>
  <c r="W80" i="55" s="1"/>
  <c r="Z92" i="55"/>
  <c r="AK126" i="51"/>
  <c r="Z80" i="55" s="1"/>
  <c r="E48" i="31"/>
  <c r="E46" i="31"/>
  <c r="AE92" i="55"/>
  <c r="AP126" i="51"/>
  <c r="AE80" i="55" s="1"/>
  <c r="R108" i="51" a="1"/>
  <c r="R108" i="51" s="1"/>
  <c r="KB63" i="51"/>
  <c r="KC63" i="51"/>
  <c r="KB75" i="51"/>
  <c r="KC75" i="51"/>
  <c r="KB82" i="51"/>
  <c r="KC82" i="51"/>
  <c r="KB61" i="51"/>
  <c r="KC61" i="51"/>
  <c r="KB89" i="51"/>
  <c r="KC89" i="51"/>
  <c r="KB58" i="51"/>
  <c r="KC58" i="51"/>
  <c r="KB80" i="51"/>
  <c r="KC80" i="51"/>
  <c r="KB81" i="51"/>
  <c r="KC81" i="51"/>
  <c r="KB47" i="51"/>
  <c r="KC47" i="51"/>
  <c r="KB56" i="51"/>
  <c r="KC56" i="51"/>
  <c r="KB71" i="51"/>
  <c r="KC71" i="51"/>
  <c r="KB59" i="51"/>
  <c r="KC59" i="51"/>
  <c r="KB64" i="51"/>
  <c r="KC64" i="51"/>
  <c r="KB77" i="51"/>
  <c r="KC77" i="51"/>
  <c r="KB85" i="51"/>
  <c r="KC85" i="51"/>
  <c r="KB84" i="51"/>
  <c r="KC84" i="51"/>
  <c r="KB70" i="51"/>
  <c r="KC70" i="51"/>
  <c r="KB90" i="51"/>
  <c r="KC90" i="51"/>
  <c r="KB73" i="51"/>
  <c r="KC73" i="51"/>
  <c r="KB93" i="51"/>
  <c r="KC93" i="51"/>
  <c r="KB49" i="51"/>
  <c r="KC49" i="51"/>
  <c r="KB50" i="51"/>
  <c r="KC50" i="51"/>
  <c r="KB45" i="51"/>
  <c r="KC45" i="51"/>
  <c r="KB68" i="51"/>
  <c r="KC68" i="51"/>
  <c r="KB46" i="51"/>
  <c r="KC46" i="51"/>
  <c r="KB87" i="51"/>
  <c r="KC87" i="51"/>
  <c r="KB94" i="51"/>
  <c r="KC94" i="51"/>
  <c r="KB67" i="51"/>
  <c r="KC67" i="51"/>
  <c r="KB76" i="51"/>
  <c r="KC76" i="51"/>
  <c r="KB91" i="51"/>
  <c r="KC91" i="51"/>
  <c r="KB69" i="51"/>
  <c r="KC69" i="51"/>
  <c r="KB55" i="51"/>
  <c r="KC55" i="51"/>
  <c r="KB48" i="51"/>
  <c r="KC48" i="51"/>
  <c r="KB52" i="51"/>
  <c r="KC52" i="51"/>
  <c r="KB66" i="51"/>
  <c r="KC66" i="51"/>
  <c r="KB72" i="51"/>
  <c r="KC72" i="51"/>
  <c r="KB60" i="51"/>
  <c r="KC60" i="51"/>
  <c r="FA97" i="51"/>
  <c r="FA96" i="51"/>
  <c r="W109" i="51" a="1"/>
  <c r="W109" i="51" s="1"/>
  <c r="U109" i="51" a="1"/>
  <c r="U109" i="51" s="1"/>
  <c r="Y109" i="51" a="1"/>
  <c r="Y109" i="51" s="1"/>
  <c r="P109" i="51" a="1"/>
  <c r="P109" i="51" s="1"/>
  <c r="Q109" i="51" a="1"/>
  <c r="Q109" i="51" s="1"/>
  <c r="Z109" i="51" a="1"/>
  <c r="Z109" i="51" s="1"/>
  <c r="X109" i="51" a="1"/>
  <c r="X109" i="51" s="1"/>
  <c r="R109" i="51" a="1"/>
  <c r="R109" i="51" s="1"/>
  <c r="O109" i="51" a="1"/>
  <c r="O109" i="51" s="1"/>
  <c r="T109" i="51" a="1"/>
  <c r="T109" i="51" s="1"/>
  <c r="S109" i="51" a="1"/>
  <c r="S109" i="51" s="1"/>
  <c r="V109" i="51" a="1"/>
  <c r="V109" i="51" s="1"/>
  <c r="KB57" i="51"/>
  <c r="KC57" i="51"/>
  <c r="KB54" i="51"/>
  <c r="KC54" i="51"/>
  <c r="KB62" i="51"/>
  <c r="KC62" i="51"/>
  <c r="KB51" i="51"/>
  <c r="KC51" i="51"/>
  <c r="KB92" i="51"/>
  <c r="KC92" i="51"/>
  <c r="KB83" i="51"/>
  <c r="KC83" i="51"/>
  <c r="KB74" i="51"/>
  <c r="KC74" i="51"/>
  <c r="KB44" i="51"/>
  <c r="KC44" i="51"/>
  <c r="KB53" i="51"/>
  <c r="KC53" i="51"/>
  <c r="KB65" i="51"/>
  <c r="KC65" i="51"/>
  <c r="KB88" i="51"/>
  <c r="KC88" i="51"/>
  <c r="KB78" i="51"/>
  <c r="KC78" i="51"/>
  <c r="KB86" i="51"/>
  <c r="KC86" i="51"/>
  <c r="KB79" i="51"/>
  <c r="KC79" i="51"/>
  <c r="M34" i="44"/>
  <c r="AK127" i="51"/>
  <c r="AL127" i="51"/>
  <c r="AG127" i="51"/>
  <c r="AF127" i="51"/>
  <c r="AO127" i="51"/>
  <c r="AP127" i="51"/>
  <c r="AJ127" i="51"/>
  <c r="AQ127" i="51"/>
  <c r="AM127" i="51"/>
  <c r="AH127" i="51"/>
  <c r="AI127" i="51"/>
  <c r="AN127" i="51"/>
  <c r="AC308" i="51"/>
  <c r="W248" i="51" a="1"/>
  <c r="W248" i="51" s="1"/>
  <c r="Q248" i="51" a="1"/>
  <c r="Q248" i="51" s="1"/>
  <c r="V248" i="51" a="1"/>
  <c r="V248" i="51" s="1"/>
  <c r="P248" i="51" a="1"/>
  <c r="P248" i="51" s="1"/>
  <c r="Y248" i="51" a="1"/>
  <c r="Y248" i="51" s="1"/>
  <c r="O248" i="51" a="1"/>
  <c r="O248" i="51" s="1"/>
  <c r="R248" i="51" a="1"/>
  <c r="R248" i="51" s="1"/>
  <c r="U248" i="51" a="1"/>
  <c r="U248" i="51" s="1"/>
  <c r="S248" i="51" a="1"/>
  <c r="S248" i="51" s="1"/>
  <c r="Z248" i="51" a="1"/>
  <c r="Z248" i="51" s="1"/>
  <c r="X248" i="51" a="1"/>
  <c r="X248" i="51" s="1"/>
  <c r="T248" i="51" a="1"/>
  <c r="T248" i="51" s="1"/>
  <c r="HU96" i="51"/>
  <c r="HU97" i="51"/>
  <c r="S108" i="51" a="1"/>
  <c r="S108" i="51" s="1"/>
  <c r="EZ96" i="51"/>
  <c r="Q108" i="51" a="1"/>
  <c r="Q108" i="51" s="1"/>
  <c r="EZ97" i="51"/>
  <c r="Z108" i="51" a="1"/>
  <c r="Z108" i="51" s="1"/>
  <c r="X108" i="51" a="1"/>
  <c r="X108" i="51" s="1"/>
  <c r="O108" i="51" a="1"/>
  <c r="O108" i="51" s="1"/>
  <c r="V108" i="51" a="1"/>
  <c r="V108" i="51" s="1"/>
  <c r="T108" i="51" a="1"/>
  <c r="T108" i="51" s="1"/>
  <c r="W108" i="51" a="1"/>
  <c r="W108" i="51" s="1"/>
  <c r="Y108" i="51" a="1"/>
  <c r="Y108" i="51" s="1"/>
  <c r="AA187" i="51"/>
  <c r="G29" i="44" s="1"/>
  <c r="U108" i="51" a="1"/>
  <c r="U108" i="51" s="1"/>
  <c r="P108" i="51" a="1"/>
  <c r="P108" i="51" s="1"/>
  <c r="C1" i="5"/>
  <c r="M67" i="2"/>
  <c r="M68" i="2" s="1"/>
  <c r="C6" i="53" s="1"/>
  <c r="AC103" i="51"/>
  <c r="AG94" i="55" l="1"/>
  <c r="AG92" i="55"/>
  <c r="G30" i="44"/>
  <c r="F45" i="31" s="1"/>
  <c r="AB108" i="51"/>
  <c r="AB107" i="51"/>
  <c r="AB109" i="51"/>
  <c r="AB106" i="51"/>
  <c r="F30" i="44"/>
  <c r="E45" i="31" s="1"/>
  <c r="AB248" i="51"/>
  <c r="H146" i="31" s="1"/>
  <c r="B7" i="44"/>
  <c r="E30" i="31" s="1"/>
  <c r="JZ98" i="51"/>
  <c r="AA111" i="51" s="1"/>
  <c r="KA98" i="51"/>
  <c r="AA112" i="51" s="1"/>
  <c r="KC98" i="51"/>
  <c r="AA114" i="51" s="1"/>
  <c r="KB98" i="51"/>
  <c r="AA113" i="51" s="1"/>
  <c r="B5" i="44"/>
  <c r="E29" i="31" s="1"/>
  <c r="B11" i="44"/>
  <c r="E32" i="31" s="1"/>
  <c r="U82" i="55"/>
  <c r="AG82" i="55" s="1"/>
  <c r="E19" i="55" a="1"/>
  <c r="E16" i="55" a="1"/>
  <c r="E13" i="55" a="1"/>
  <c r="I10" i="55"/>
  <c r="J10" i="55"/>
  <c r="L10" i="55"/>
  <c r="E10" i="55"/>
  <c r="M10" i="55"/>
  <c r="F10" i="55"/>
  <c r="N10" i="55"/>
  <c r="G10" i="55"/>
  <c r="O10" i="55"/>
  <c r="H10" i="55"/>
  <c r="P10" i="55"/>
  <c r="K10" i="55"/>
  <c r="V112" i="51" a="1"/>
  <c r="V112" i="51" s="1"/>
  <c r="KA97" i="51"/>
  <c r="R112" i="51" a="1"/>
  <c r="R112" i="51" s="1"/>
  <c r="Q112" i="51" a="1"/>
  <c r="Q112" i="51" s="1"/>
  <c r="AC106" i="51"/>
  <c r="O112" i="51" a="1"/>
  <c r="O112" i="51" s="1"/>
  <c r="T112" i="51" a="1"/>
  <c r="T112" i="51" s="1"/>
  <c r="F46" i="31"/>
  <c r="U112" i="51" a="1"/>
  <c r="U112" i="51" s="1"/>
  <c r="X112" i="51" a="1"/>
  <c r="X112" i="51" s="1"/>
  <c r="W112" i="51" a="1"/>
  <c r="W112" i="51" s="1"/>
  <c r="P112" i="51" a="1"/>
  <c r="P112" i="51" s="1"/>
  <c r="Y111" i="51" a="1"/>
  <c r="Y111" i="51" s="1"/>
  <c r="P111" i="51" a="1"/>
  <c r="P111" i="51" s="1"/>
  <c r="O111" i="51" a="1"/>
  <c r="O111" i="51" s="1"/>
  <c r="U111" i="51" a="1"/>
  <c r="U111" i="51" s="1"/>
  <c r="JZ97" i="51"/>
  <c r="S111" i="51" a="1"/>
  <c r="S111" i="51" s="1"/>
  <c r="R111" i="51" a="1"/>
  <c r="R111" i="51" s="1"/>
  <c r="JZ96" i="51"/>
  <c r="X111" i="51" a="1"/>
  <c r="X111" i="51" s="1"/>
  <c r="T111" i="51" a="1"/>
  <c r="T111" i="51" s="1"/>
  <c r="V111" i="51" a="1"/>
  <c r="V111" i="51" s="1"/>
  <c r="Q111" i="51" a="1"/>
  <c r="Q111" i="51" s="1"/>
  <c r="Z111" i="51" a="1"/>
  <c r="Z111" i="51" s="1"/>
  <c r="W111" i="51" a="1"/>
  <c r="W111" i="51" s="1"/>
  <c r="Y112" i="51" a="1"/>
  <c r="Y112" i="51" s="1"/>
  <c r="Z112" i="51" a="1"/>
  <c r="Z112" i="51" s="1"/>
  <c r="KA96" i="51"/>
  <c r="S112" i="51" a="1"/>
  <c r="S112" i="51" s="1"/>
  <c r="AC107" i="51"/>
  <c r="U80" i="55"/>
  <c r="AG80" i="55" s="1"/>
  <c r="Y113" i="51" a="1"/>
  <c r="Y113" i="51" s="1"/>
  <c r="W113" i="51" a="1"/>
  <c r="W113" i="51" s="1"/>
  <c r="X113" i="51" a="1"/>
  <c r="X113" i="51" s="1"/>
  <c r="O113" i="51" a="1"/>
  <c r="O113" i="51" s="1"/>
  <c r="KB96" i="51"/>
  <c r="KB97" i="51"/>
  <c r="U113" i="51" a="1"/>
  <c r="U113" i="51" s="1"/>
  <c r="R113" i="51" a="1"/>
  <c r="R113" i="51" s="1"/>
  <c r="Q113" i="51" a="1"/>
  <c r="Q113" i="51" s="1"/>
  <c r="S113" i="51" a="1"/>
  <c r="S113" i="51" s="1"/>
  <c r="T113" i="51" a="1"/>
  <c r="T113" i="51" s="1"/>
  <c r="V113" i="51" a="1"/>
  <c r="V113" i="51" s="1"/>
  <c r="AC109" i="51"/>
  <c r="Z113" i="51" a="1"/>
  <c r="Z113" i="51" s="1"/>
  <c r="F47" i="31"/>
  <c r="F48" i="31"/>
  <c r="P113" i="51" a="1"/>
  <c r="P113" i="51" s="1"/>
  <c r="KC96" i="51"/>
  <c r="S114" i="51" a="1"/>
  <c r="S114" i="51" s="1"/>
  <c r="KC97" i="51"/>
  <c r="X114" i="51" a="1"/>
  <c r="X114" i="51" s="1"/>
  <c r="W114" i="51" a="1"/>
  <c r="W114" i="51" s="1"/>
  <c r="Z114" i="51" a="1"/>
  <c r="Z114" i="51" s="1"/>
  <c r="O114" i="51" a="1"/>
  <c r="O114" i="51" s="1"/>
  <c r="Y114" i="51" a="1"/>
  <c r="Y114" i="51" s="1"/>
  <c r="Q114" i="51" a="1"/>
  <c r="Q114" i="51" s="1"/>
  <c r="T114" i="51" a="1"/>
  <c r="T114" i="51" s="1"/>
  <c r="R114" i="51" a="1"/>
  <c r="R114" i="51" s="1"/>
  <c r="U114" i="51" a="1"/>
  <c r="U114" i="51" s="1"/>
  <c r="V114" i="51" a="1"/>
  <c r="V114" i="51" s="1"/>
  <c r="P114" i="51" a="1"/>
  <c r="P114" i="51" s="1"/>
  <c r="E5" i="44"/>
  <c r="AA324" i="51"/>
  <c r="I29" i="44" s="1"/>
  <c r="AA248" i="51"/>
  <c r="H29" i="44" s="1"/>
  <c r="AC108" i="51"/>
  <c r="B9" i="44"/>
  <c r="E31" i="31" s="1"/>
  <c r="E47" i="31"/>
  <c r="Q10" i="55" l="1"/>
  <c r="AB113" i="51"/>
  <c r="AB112" i="51"/>
  <c r="AB114" i="51"/>
  <c r="AB111" i="51"/>
  <c r="H30" i="44"/>
  <c r="H45" i="31" s="1"/>
  <c r="C7" i="44"/>
  <c r="F30" i="31" s="1"/>
  <c r="C5" i="44"/>
  <c r="F29" i="31" s="1"/>
  <c r="I19" i="55"/>
  <c r="J19" i="55"/>
  <c r="L19" i="55"/>
  <c r="E19" i="55"/>
  <c r="M19" i="55"/>
  <c r="F19" i="55"/>
  <c r="N19" i="55"/>
  <c r="G19" i="55"/>
  <c r="O19" i="55"/>
  <c r="H19" i="55"/>
  <c r="P19" i="55"/>
  <c r="K19" i="55"/>
  <c r="H16" i="55"/>
  <c r="P16" i="55"/>
  <c r="M16" i="55"/>
  <c r="F16" i="55"/>
  <c r="O16" i="55"/>
  <c r="I16" i="55"/>
  <c r="J16" i="55"/>
  <c r="K16" i="55"/>
  <c r="L16" i="55"/>
  <c r="N16" i="55"/>
  <c r="G16" i="55"/>
  <c r="E16" i="55"/>
  <c r="F13" i="55"/>
  <c r="N13" i="55"/>
  <c r="K13" i="55"/>
  <c r="E13" i="55"/>
  <c r="G13" i="55"/>
  <c r="O13" i="55"/>
  <c r="I13" i="55"/>
  <c r="M13" i="55"/>
  <c r="H13" i="55"/>
  <c r="P13" i="55"/>
  <c r="J13" i="55"/>
  <c r="L13" i="55"/>
  <c r="AC112" i="51"/>
  <c r="AC111" i="51"/>
  <c r="H48" i="31"/>
  <c r="H46" i="31"/>
  <c r="C11" i="44"/>
  <c r="F32" i="31" s="1"/>
  <c r="AC113" i="51"/>
  <c r="AC114" i="51"/>
  <c r="H47" i="31"/>
  <c r="C9" i="44"/>
  <c r="B25" i="6"/>
  <c r="D16" i="6"/>
  <c r="B6" i="45" s="1"/>
  <c r="Q13" i="55" l="1"/>
  <c r="Q19" i="55"/>
  <c r="Q16" i="55"/>
  <c r="D5" i="44"/>
  <c r="H29" i="31" s="1"/>
  <c r="D9" i="44"/>
  <c r="H31" i="31" s="1"/>
  <c r="D7" i="44"/>
  <c r="H30" i="31" s="1"/>
  <c r="E7" i="44"/>
  <c r="F7" i="44"/>
  <c r="J46" i="31"/>
  <c r="E11" i="44"/>
  <c r="F11" i="44"/>
  <c r="D11" i="44"/>
  <c r="H32" i="31" s="1"/>
  <c r="J47" i="31"/>
  <c r="J48" i="31"/>
  <c r="E2" i="49"/>
  <c r="D2" i="49"/>
  <c r="F31" i="31"/>
  <c r="E36" i="45"/>
  <c r="E35" i="38"/>
  <c r="F35" i="38"/>
  <c r="R35" i="38" s="1"/>
  <c r="D25" i="6"/>
  <c r="B46" i="6"/>
  <c r="J25" i="6"/>
  <c r="B47" i="6"/>
  <c r="F25" i="6"/>
  <c r="B8" i="56" l="1"/>
  <c r="KG49" i="51"/>
  <c r="LZ56" i="51"/>
  <c r="LE55" i="51"/>
  <c r="KH48" i="51"/>
  <c r="LJ47" i="51"/>
  <c r="LN45" i="51"/>
  <c r="LH46" i="51"/>
  <c r="MD48" i="51"/>
  <c r="KS50" i="51"/>
  <c r="LL53" i="51"/>
  <c r="LX52" i="51"/>
  <c r="LE47" i="51"/>
  <c r="LF53" i="51"/>
  <c r="LZ53" i="51"/>
  <c r="LA52" i="51"/>
  <c r="LD44" i="51"/>
  <c r="LV53" i="51"/>
  <c r="LN49" i="51"/>
  <c r="KJ48" i="51"/>
  <c r="LW54" i="51"/>
  <c r="LZ51" i="51"/>
  <c r="MH46" i="51"/>
  <c r="KY60" i="51"/>
  <c r="LN57" i="51"/>
  <c r="LB54" i="51"/>
  <c r="ML48" i="51"/>
  <c r="KH61" i="51"/>
  <c r="KQ58" i="51"/>
  <c r="KJ59" i="51"/>
  <c r="MF51" i="51"/>
  <c r="LV58" i="51"/>
  <c r="ME58" i="51"/>
  <c r="MM59" i="51"/>
  <c r="KW67" i="51"/>
  <c r="LR65" i="51"/>
  <c r="LQ62" i="51"/>
  <c r="KS54" i="51"/>
  <c r="MJ69" i="51"/>
  <c r="LG68" i="51"/>
  <c r="MA53" i="51"/>
  <c r="LQ60" i="51"/>
  <c r="LO47" i="51"/>
  <c r="LN52" i="51"/>
  <c r="LE57" i="51"/>
  <c r="KR48" i="51"/>
  <c r="LH57" i="51"/>
  <c r="LY57" i="51"/>
  <c r="KQ59" i="51"/>
  <c r="LG66" i="51"/>
  <c r="MB64" i="51"/>
  <c r="MC57" i="51"/>
  <c r="KX49" i="51"/>
  <c r="LP57" i="51"/>
  <c r="MG57" i="51"/>
  <c r="KY59" i="51"/>
  <c r="LO66" i="51"/>
  <c r="MJ64" i="51"/>
  <c r="MB60" i="51"/>
  <c r="LY70" i="51"/>
  <c r="KV69" i="51"/>
  <c r="LY67" i="51"/>
  <c r="LR59" i="51"/>
  <c r="KX53" i="51"/>
  <c r="MH54" i="51"/>
  <c r="KU57" i="51"/>
  <c r="LK64" i="51"/>
  <c r="MF62" i="51"/>
  <c r="LV71" i="51"/>
  <c r="LU68" i="51"/>
  <c r="KR67" i="51"/>
  <c r="LU65" i="51"/>
  <c r="MI45" i="51"/>
  <c r="KY57" i="51"/>
  <c r="KR61" i="51"/>
  <c r="LR47" i="51"/>
  <c r="MA61" i="51"/>
  <c r="ML57" i="51"/>
  <c r="ML49" i="51"/>
  <c r="MB52" i="51"/>
  <c r="KW56" i="51"/>
  <c r="ML46" i="51"/>
  <c r="LD48" i="51"/>
  <c r="LV60" i="51"/>
  <c r="LT54" i="51"/>
  <c r="MC46" i="51"/>
  <c r="LN47" i="51"/>
  <c r="KX51" i="51"/>
  <c r="LE52" i="51"/>
  <c r="LG55" i="51"/>
  <c r="KQ44" i="51"/>
  <c r="LW50" i="51"/>
  <c r="LC55" i="51"/>
  <c r="LO55" i="51"/>
  <c r="LX45" i="51"/>
  <c r="LR45" i="51"/>
  <c r="LN55" i="51"/>
  <c r="MD51" i="51"/>
  <c r="LI52" i="51"/>
  <c r="LL44" i="51"/>
  <c r="ML53" i="51"/>
  <c r="MH49" i="51"/>
  <c r="LE61" i="51"/>
  <c r="LT58" i="51"/>
  <c r="MI55" i="51"/>
  <c r="LB51" i="51"/>
  <c r="KP62" i="51"/>
  <c r="KW59" i="51"/>
  <c r="KW61" i="51"/>
  <c r="MA55" i="51"/>
  <c r="KT60" i="51"/>
  <c r="KU60" i="51"/>
  <c r="LC68" i="51"/>
  <c r="LX66" i="51"/>
  <c r="LW63" i="51"/>
  <c r="MH61" i="51"/>
  <c r="KT47" i="51"/>
  <c r="LM52" i="51"/>
  <c r="LX56" i="51"/>
  <c r="LQ46" i="51"/>
  <c r="MF50" i="51"/>
  <c r="LB55" i="51"/>
  <c r="LQ59" i="51"/>
  <c r="ML52" i="51"/>
  <c r="KW60" i="51"/>
  <c r="LM67" i="51"/>
  <c r="MH65" i="51"/>
  <c r="KG60" i="51"/>
  <c r="MB53" i="51"/>
  <c r="KV59" i="51"/>
  <c r="LE59" i="51"/>
  <c r="LE60" i="51"/>
  <c r="LU67" i="51"/>
  <c r="KH66" i="51"/>
  <c r="KG63" i="51"/>
  <c r="KH58" i="51"/>
  <c r="LB70" i="51"/>
  <c r="ME68" i="51"/>
  <c r="MD61" i="51"/>
  <c r="KT56" i="51"/>
  <c r="LS56" i="51"/>
  <c r="LA58" i="51"/>
  <c r="LQ65" i="51"/>
  <c r="ML63" i="51"/>
  <c r="LW51" i="51"/>
  <c r="MA69" i="51"/>
  <c r="KX68" i="51"/>
  <c r="MA66" i="51"/>
  <c r="LO51" i="51"/>
  <c r="LK59" i="51"/>
  <c r="LN62" i="51"/>
  <c r="KR51" i="51"/>
  <c r="LL56" i="51"/>
  <c r="KR60" i="51"/>
  <c r="LD54" i="51"/>
  <c r="LJ55" i="51"/>
  <c r="LK57" i="51"/>
  <c r="MA64" i="51"/>
  <c r="KP63" i="51"/>
  <c r="ML71" i="51"/>
  <c r="MJ45" i="51"/>
  <c r="KH46" i="51"/>
  <c r="LP52" i="51"/>
  <c r="KT53" i="51"/>
  <c r="LD59" i="51"/>
  <c r="LR44" i="51"/>
  <c r="MJ50" i="51"/>
  <c r="LJ53" i="51"/>
  <c r="KP57" i="51"/>
  <c r="LQ56" i="51"/>
  <c r="LO48" i="51"/>
  <c r="KN44" i="51"/>
  <c r="MR44" i="51" s="1"/>
  <c r="LN56" i="51"/>
  <c r="LW56" i="51"/>
  <c r="KP50" i="51"/>
  <c r="LX46" i="51"/>
  <c r="LV56" i="51"/>
  <c r="KH54" i="51"/>
  <c r="MF45" i="51"/>
  <c r="LZ45" i="51"/>
  <c r="LX55" i="51"/>
  <c r="LE44" i="51"/>
  <c r="LZ59" i="51"/>
  <c r="KG57" i="51"/>
  <c r="LN53" i="51"/>
  <c r="KR47" i="51"/>
  <c r="LC60" i="51"/>
  <c r="KP48" i="51"/>
  <c r="MM57" i="51"/>
  <c r="LX61" i="51"/>
  <c r="MK44" i="51"/>
  <c r="LI69" i="51"/>
  <c r="MD67" i="51"/>
  <c r="MC64" i="51"/>
  <c r="KZ63" i="51"/>
  <c r="LD60" i="51"/>
  <c r="LQ61" i="51"/>
  <c r="MJ58" i="51"/>
  <c r="MH51" i="51"/>
  <c r="MH53" i="51"/>
  <c r="LU56" i="51"/>
  <c r="MC61" i="51"/>
  <c r="LA56" i="51"/>
  <c r="LR60" i="51"/>
  <c r="LT45" i="51"/>
  <c r="LC61" i="51"/>
  <c r="LS68" i="51"/>
  <c r="KF67" i="51"/>
  <c r="KU62" i="51"/>
  <c r="LY56" i="51"/>
  <c r="LZ60" i="51"/>
  <c r="KT46" i="51"/>
  <c r="LK61" i="51"/>
  <c r="MA68" i="51"/>
  <c r="KP67" i="51"/>
  <c r="LR62" i="51"/>
  <c r="LI54" i="51"/>
  <c r="MK57" i="51"/>
  <c r="LT49" i="51"/>
  <c r="KF58" i="51"/>
  <c r="KG58" i="51"/>
  <c r="LG59" i="51"/>
  <c r="LW66" i="51"/>
  <c r="KK65" i="51"/>
  <c r="LB61" i="51"/>
  <c r="MG70" i="51"/>
  <c r="LD69" i="51"/>
  <c r="MG67" i="51"/>
  <c r="LP55" i="51"/>
  <c r="LW61" i="51"/>
  <c r="LD49" i="51"/>
  <c r="MJ53" i="51"/>
  <c r="LE62" i="51"/>
  <c r="LD62" i="51"/>
  <c r="LJ56" i="51"/>
  <c r="MI56" i="51"/>
  <c r="LQ58" i="51"/>
  <c r="MG65" i="51"/>
  <c r="KZ47" i="51"/>
  <c r="LS58" i="51"/>
  <c r="LK56" i="51"/>
  <c r="KH49" i="51"/>
  <c r="KP53" i="51"/>
  <c r="LD55" i="51"/>
  <c r="KV58" i="51"/>
  <c r="LW57" i="51"/>
  <c r="MM52" i="51"/>
  <c r="LJ45" i="51"/>
  <c r="LT57" i="51"/>
  <c r="LN54" i="51"/>
  <c r="MD47" i="51"/>
  <c r="MB57" i="51"/>
  <c r="LY55" i="51"/>
  <c r="KX50" i="51"/>
  <c r="MF46" i="51"/>
  <c r="MD56" i="51"/>
  <c r="KZ54" i="51"/>
  <c r="LM48" i="51"/>
  <c r="MF60" i="51"/>
  <c r="LH55" i="51"/>
  <c r="KH50" i="51"/>
  <c r="LE48" i="51"/>
  <c r="MK52" i="51"/>
  <c r="KS60" i="51"/>
  <c r="LR46" i="51"/>
  <c r="KX52" i="51"/>
  <c r="MD59" i="51"/>
  <c r="LO70" i="51"/>
  <c r="MJ68" i="51"/>
  <c r="MI65" i="51"/>
  <c r="LF64" i="51"/>
  <c r="MI62" i="51"/>
  <c r="KT63" i="51"/>
  <c r="KP61" i="51"/>
  <c r="KX55" i="51"/>
  <c r="MI57" i="51"/>
  <c r="LS49" i="51"/>
  <c r="LM58" i="51"/>
  <c r="KF62" i="51"/>
  <c r="KK50" i="51"/>
  <c r="KQ51" i="51"/>
  <c r="LY69" i="51"/>
  <c r="LI50" i="51"/>
  <c r="MK58" i="51"/>
  <c r="KX62" i="51"/>
  <c r="LB50" i="51"/>
  <c r="LC53" i="51"/>
  <c r="MG69" i="51"/>
  <c r="KV68" i="51"/>
  <c r="KU65" i="51"/>
  <c r="LX63" i="51"/>
  <c r="MJ61" i="51"/>
  <c r="KQ60" i="51"/>
  <c r="KK54" i="51"/>
  <c r="LL59" i="51"/>
  <c r="LM59" i="51"/>
  <c r="LM60" i="51"/>
  <c r="MC67" i="51"/>
  <c r="KR66" i="51"/>
  <c r="KQ63" i="51"/>
  <c r="KP59" i="51"/>
  <c r="LJ70" i="51"/>
  <c r="MM68" i="51"/>
  <c r="MD57" i="51"/>
  <c r="LV49" i="51"/>
  <c r="LL52" i="51"/>
  <c r="LK58" i="51"/>
  <c r="LZ50" i="51"/>
  <c r="LF58" i="51"/>
  <c r="LG58" i="51"/>
  <c r="LW59" i="51"/>
  <c r="MM66" i="51"/>
  <c r="LB65" i="51"/>
  <c r="LR55" i="51"/>
  <c r="KK60" i="51"/>
  <c r="ML56" i="51"/>
  <c r="KF56" i="51"/>
  <c r="KY56" i="51"/>
  <c r="MH55" i="51"/>
  <c r="LQ57" i="51"/>
  <c r="LH53" i="51"/>
  <c r="KR55" i="51"/>
  <c r="MG59" i="51"/>
  <c r="LB59" i="51"/>
  <c r="MC58" i="51"/>
  <c r="LC51" i="51"/>
  <c r="LP46" i="51"/>
  <c r="LZ58" i="51"/>
  <c r="LM49" i="51"/>
  <c r="LC48" i="51"/>
  <c r="MJ48" i="51"/>
  <c r="MH58" i="51"/>
  <c r="KW45" i="51"/>
  <c r="ML47" i="51"/>
  <c r="MJ57" i="51"/>
  <c r="MG55" i="51"/>
  <c r="KG51" i="51"/>
  <c r="ML61" i="51"/>
  <c r="KU59" i="51"/>
  <c r="LR56" i="51"/>
  <c r="KV52" i="51"/>
  <c r="MH50" i="51"/>
  <c r="KZ56" i="51"/>
  <c r="LU44" i="51"/>
  <c r="LP50" i="51"/>
  <c r="ML54" i="51"/>
  <c r="ME62" i="51"/>
  <c r="LK55" i="51"/>
  <c r="KH70" i="51"/>
  <c r="KG67" i="51"/>
  <c r="LL65" i="51"/>
  <c r="KG64" i="51"/>
  <c r="KW57" i="51"/>
  <c r="ME47" i="51"/>
  <c r="KZ57" i="51"/>
  <c r="LI57" i="51"/>
  <c r="KG59" i="51"/>
  <c r="KJ54" i="51"/>
  <c r="LY60" i="51"/>
  <c r="MH47" i="51"/>
  <c r="MD52" i="51"/>
  <c r="KT61" i="51"/>
  <c r="ME70" i="51"/>
  <c r="KT69" i="51"/>
  <c r="MD54" i="51"/>
  <c r="KQ61" i="51"/>
  <c r="KX48" i="51"/>
  <c r="LD53" i="51"/>
  <c r="LZ61" i="51"/>
  <c r="MM70" i="51"/>
  <c r="LB69" i="51"/>
  <c r="LA66" i="51"/>
  <c r="MD64" i="51"/>
  <c r="LA63" i="51"/>
  <c r="LC62" i="51"/>
  <c r="MG56" i="51"/>
  <c r="MH60" i="51"/>
  <c r="KY47" i="51"/>
  <c r="LS61" i="51"/>
  <c r="MI68" i="51"/>
  <c r="KX67" i="51"/>
  <c r="KW64" i="51"/>
  <c r="LZ62" i="51"/>
  <c r="ML55" i="51"/>
  <c r="KZ58" i="51"/>
  <c r="KH60" i="51"/>
  <c r="LC57" i="51"/>
  <c r="LW60" i="51"/>
  <c r="KK55" i="51"/>
  <c r="MB59" i="51"/>
  <c r="MK59" i="51"/>
  <c r="MC60" i="51"/>
  <c r="LH66" i="51"/>
  <c r="LZ47" i="51"/>
  <c r="ME57" i="51"/>
  <c r="LH61" i="51"/>
  <c r="KG56" i="51"/>
  <c r="LT52" i="51"/>
  <c r="LP44" i="51"/>
  <c r="KZ60" i="51"/>
  <c r="LZ46" i="51"/>
  <c r="KY54" i="51"/>
  <c r="LF56" i="51"/>
  <c r="MM60" i="51"/>
  <c r="LH60" i="51"/>
  <c r="MI59" i="51"/>
  <c r="LZ44" i="51"/>
  <c r="LV47" i="51"/>
  <c r="MF59" i="51"/>
  <c r="MK53" i="51"/>
  <c r="MA45" i="51"/>
  <c r="KF60" i="51"/>
  <c r="LU49" i="51"/>
  <c r="LK48" i="51"/>
  <c r="KK49" i="51"/>
  <c r="KH59" i="51"/>
  <c r="MM56" i="51"/>
  <c r="KU53" i="51"/>
  <c r="KH47" i="51"/>
  <c r="LA60" i="51"/>
  <c r="LX57" i="51"/>
  <c r="LH54" i="51"/>
  <c r="LL58" i="51"/>
  <c r="KK51" i="51"/>
  <c r="LR53" i="51"/>
  <c r="LM56" i="51"/>
  <c r="MK63" i="51"/>
  <c r="KR62" i="51"/>
  <c r="KP71" i="51"/>
  <c r="LR66" i="51"/>
  <c r="LI59" i="51"/>
  <c r="LV52" i="51"/>
  <c r="ML58" i="51"/>
  <c r="MM58" i="51"/>
  <c r="MF56" i="51"/>
  <c r="KQ47" i="51"/>
  <c r="LF51" i="51"/>
  <c r="LL55" i="51"/>
  <c r="LZ57" i="51"/>
  <c r="KZ70" i="51"/>
  <c r="KX57" i="51"/>
  <c r="KW48" i="51"/>
  <c r="LV51" i="51"/>
  <c r="LW55" i="51"/>
  <c r="KW63" i="51"/>
  <c r="MF58" i="51"/>
  <c r="LH70" i="51"/>
  <c r="LG67" i="51"/>
  <c r="MJ65" i="51"/>
  <c r="LG64" i="51"/>
  <c r="LY50" i="51"/>
  <c r="LF62" i="51"/>
  <c r="LR50" i="51"/>
  <c r="KZ55" i="51"/>
  <c r="KG70" i="51"/>
  <c r="LD68" i="51"/>
  <c r="LC65" i="51"/>
  <c r="MF63" i="51"/>
  <c r="KY62" i="51"/>
  <c r="LT62" i="51"/>
  <c r="KV62" i="51"/>
  <c r="LB56" i="51"/>
  <c r="MA56" i="51"/>
  <c r="LI58" i="51"/>
  <c r="MF48" i="51"/>
  <c r="LA47" i="51"/>
  <c r="LK52" i="51"/>
  <c r="KH51" i="51"/>
  <c r="MB49" i="51"/>
  <c r="LU55" i="51"/>
  <c r="LL57" i="51"/>
  <c r="LN61" i="51"/>
  <c r="MF47" i="51"/>
  <c r="KR49" i="51"/>
  <c r="MB48" i="51"/>
  <c r="KU49" i="51"/>
  <c r="LT46" i="51"/>
  <c r="KS53" i="51"/>
  <c r="KP49" i="51"/>
  <c r="LU51" i="51"/>
  <c r="LA46" i="51"/>
  <c r="KP60" i="51"/>
  <c r="KU55" i="51"/>
  <c r="MJ49" i="51"/>
  <c r="LG61" i="51"/>
  <c r="MD58" i="51"/>
  <c r="MK55" i="51"/>
  <c r="KQ55" i="51"/>
  <c r="LX60" i="51"/>
  <c r="MC55" i="51"/>
  <c r="MA57" i="51"/>
  <c r="KJ65" i="51"/>
  <c r="LF63" i="51"/>
  <c r="KV72" i="51"/>
  <c r="KU69" i="51"/>
  <c r="LX67" i="51"/>
  <c r="KU66" i="51"/>
  <c r="LU61" i="51"/>
  <c r="KS56" i="51"/>
  <c r="LB60" i="51"/>
  <c r="KU61" i="51"/>
  <c r="KK59" i="51"/>
  <c r="KR52" i="51"/>
  <c r="KR54" i="51"/>
  <c r="MC56" i="51"/>
  <c r="KU64" i="51"/>
  <c r="LP62" i="51"/>
  <c r="LF71" i="51"/>
  <c r="LJ59" i="51"/>
  <c r="KF53" i="51"/>
  <c r="LV54" i="51"/>
  <c r="LC64" i="51"/>
  <c r="LX62" i="51"/>
  <c r="LN71" i="51"/>
  <c r="LM68" i="51"/>
  <c r="KH67" i="51"/>
  <c r="LM65" i="51"/>
  <c r="KH55" i="51"/>
  <c r="KY61" i="51"/>
  <c r="KF49" i="51"/>
  <c r="LT53" i="51"/>
  <c r="KQ62" i="51"/>
  <c r="LS45" i="51"/>
  <c r="LJ69" i="51"/>
  <c r="LI66" i="51"/>
  <c r="ML64" i="51"/>
  <c r="LI63" i="51"/>
  <c r="LC58" i="51"/>
  <c r="LJ50" i="51"/>
  <c r="KP58" i="51"/>
  <c r="KY58" i="51"/>
  <c r="LO59" i="51"/>
  <c r="ME51" i="51"/>
  <c r="LS59" i="51"/>
  <c r="LL45" i="51"/>
  <c r="LH51" i="51"/>
  <c r="LR57" i="51"/>
  <c r="KY70" i="51"/>
  <c r="LT68" i="51"/>
  <c r="KR56" i="51"/>
  <c r="KW62" i="51"/>
  <c r="KZ50" i="51"/>
  <c r="KV45" i="51"/>
  <c r="LO54" i="51"/>
  <c r="LH56" i="51"/>
  <c r="LA57" i="51"/>
  <c r="KV49" i="51"/>
  <c r="KJ58" i="51"/>
  <c r="LI65" i="51"/>
  <c r="ML51" i="51"/>
  <c r="LO60" i="51"/>
  <c r="ME61" i="51"/>
  <c r="KS69" i="51"/>
  <c r="LU52" i="51"/>
  <c r="LN58" i="51"/>
  <c r="LX51" i="51"/>
  <c r="LX58" i="51"/>
  <c r="LG70" i="51"/>
  <c r="MB68" i="51"/>
  <c r="MA65" i="51"/>
  <c r="KX64" i="51"/>
  <c r="MA62" i="51"/>
  <c r="KT65" i="51"/>
  <c r="LN64" i="51"/>
  <c r="KG62" i="51"/>
  <c r="KZ48" i="51"/>
  <c r="LT56" i="51"/>
  <c r="LI62" i="51"/>
  <c r="LA50" i="51"/>
  <c r="LD70" i="51"/>
  <c r="LR68" i="51"/>
  <c r="ME74" i="51"/>
  <c r="MC71" i="51"/>
  <c r="MB80" i="51"/>
  <c r="MA60" i="51"/>
  <c r="MH62" i="51"/>
  <c r="LX54" i="51"/>
  <c r="LL70" i="51"/>
  <c r="MF66" i="51"/>
  <c r="KV65" i="51"/>
  <c r="MB62" i="51"/>
  <c r="KP55" i="51"/>
  <c r="LF67" i="51"/>
  <c r="LT65" i="51"/>
  <c r="MJ62" i="51"/>
  <c r="LD56" i="51"/>
  <c r="KP70" i="51"/>
  <c r="LC76" i="51"/>
  <c r="LJ73" i="51"/>
  <c r="KZ82" i="51"/>
  <c r="ML67" i="51"/>
  <c r="MB65" i="51"/>
  <c r="KK63" i="51"/>
  <c r="LJ57" i="51"/>
  <c r="MI53" i="51"/>
  <c r="LF68" i="51"/>
  <c r="LH64" i="51"/>
  <c r="LV62" i="51"/>
  <c r="LL71" i="51"/>
  <c r="LY77" i="51"/>
  <c r="MF74" i="51"/>
  <c r="KU63" i="51"/>
  <c r="KG79" i="51"/>
  <c r="KP76" i="51"/>
  <c r="KW73" i="51"/>
  <c r="ME67" i="51"/>
  <c r="ME64" i="51"/>
  <c r="MH67" i="51"/>
  <c r="KP66" i="51"/>
  <c r="LA72" i="51"/>
  <c r="KS81" i="51"/>
  <c r="KZ78" i="51"/>
  <c r="LS73" i="51"/>
  <c r="MA67" i="51"/>
  <c r="LP79" i="51"/>
  <c r="KX70" i="51"/>
  <c r="LR73" i="51"/>
  <c r="LE76" i="51"/>
  <c r="LN76" i="51"/>
  <c r="LW74" i="51"/>
  <c r="LT80" i="51"/>
  <c r="MK80" i="51"/>
  <c r="LG47" i="51"/>
  <c r="LJ51" i="51"/>
  <c r="KP52" i="51"/>
  <c r="MG58" i="51"/>
  <c r="LE58" i="51"/>
  <c r="LA65" i="51"/>
  <c r="MD63" i="51"/>
  <c r="MM55" i="51"/>
  <c r="MF54" i="51"/>
  <c r="KZ61" i="51"/>
  <c r="LG51" i="51"/>
  <c r="LD58" i="51"/>
  <c r="KK46" i="51"/>
  <c r="LY54" i="51"/>
  <c r="LW62" i="51"/>
  <c r="LS53" i="51"/>
  <c r="MH69" i="51"/>
  <c r="MG66" i="51"/>
  <c r="LD65" i="51"/>
  <c r="MG63" i="51"/>
  <c r="LR69" i="51"/>
  <c r="LZ66" i="51"/>
  <c r="LR63" i="51"/>
  <c r="LS60" i="51"/>
  <c r="LZ65" i="51"/>
  <c r="LV64" i="51"/>
  <c r="KZ62" i="51"/>
  <c r="MG50" i="51"/>
  <c r="LX69" i="51"/>
  <c r="MK75" i="51"/>
  <c r="KK73" i="51"/>
  <c r="MH81" i="51"/>
  <c r="KZ66" i="51"/>
  <c r="LK62" i="51"/>
  <c r="KX71" i="51"/>
  <c r="LH67" i="51"/>
  <c r="KH64" i="51"/>
  <c r="KK62" i="51"/>
  <c r="MD71" i="51"/>
  <c r="MF67" i="51"/>
  <c r="KR64" i="51"/>
  <c r="LB62" i="51"/>
  <c r="KV71" i="51"/>
  <c r="LI77" i="51"/>
  <c r="LP74" i="51"/>
  <c r="MC52" i="51"/>
  <c r="LD72" i="51"/>
  <c r="KF68" i="51"/>
  <c r="KZ64" i="51"/>
  <c r="LM62" i="51"/>
  <c r="KY63" i="51"/>
  <c r="LR70" i="51"/>
  <c r="LN65" i="51"/>
  <c r="MB63" i="51"/>
  <c r="LL60" i="51"/>
  <c r="ME78" i="51"/>
  <c r="ML75" i="51"/>
  <c r="LS70" i="51"/>
  <c r="KV77" i="51"/>
  <c r="KY66" i="51"/>
  <c r="KJ70" i="51"/>
  <c r="KJ67" i="51"/>
  <c r="KF69" i="51"/>
  <c r="KV67" i="51"/>
  <c r="LI73" i="51"/>
  <c r="LE66" i="51"/>
  <c r="LF79" i="51"/>
  <c r="LY74" i="51"/>
  <c r="LU71" i="51"/>
  <c r="LV80" i="51"/>
  <c r="MM47" i="51"/>
  <c r="MD75" i="51"/>
  <c r="MA77" i="51"/>
  <c r="MJ77" i="51"/>
  <c r="MI76" i="51"/>
  <c r="MF82" i="51"/>
  <c r="MG68" i="51"/>
  <c r="MI67" i="51"/>
  <c r="LI60" i="51"/>
  <c r="LD45" i="51"/>
  <c r="LB46" i="51"/>
  <c r="LK45" i="51"/>
  <c r="KQ66" i="51"/>
  <c r="MF61" i="51"/>
  <c r="LV63" i="51"/>
  <c r="LF49" i="51"/>
  <c r="LE63" i="51"/>
  <c r="LT59" i="51"/>
  <c r="LZ49" i="51"/>
  <c r="LA61" i="51"/>
  <c r="LP60" i="51"/>
  <c r="KK53" i="51"/>
  <c r="LE56" i="51"/>
  <c r="MC63" i="51"/>
  <c r="MB61" i="51"/>
  <c r="KF71" i="51"/>
  <c r="MM67" i="51"/>
  <c r="LJ66" i="51"/>
  <c r="MM64" i="51"/>
  <c r="KF59" i="51"/>
  <c r="ML68" i="51"/>
  <c r="LX64" i="51"/>
  <c r="ML62" i="51"/>
  <c r="KR70" i="51"/>
  <c r="MH66" i="51"/>
  <c r="LZ63" i="51"/>
  <c r="KS61" i="51"/>
  <c r="MD70" i="51"/>
  <c r="KJ77" i="51"/>
  <c r="KR74" i="51"/>
  <c r="KF83" i="51"/>
  <c r="LX70" i="51"/>
  <c r="KZ67" i="51"/>
  <c r="MH63" i="51"/>
  <c r="LY61" i="51"/>
  <c r="KS62" i="51"/>
  <c r="LT69" i="51"/>
  <c r="KP65" i="51"/>
  <c r="LD63" i="51"/>
  <c r="LY62" i="51"/>
  <c r="KK70" i="51"/>
  <c r="KX65" i="51"/>
  <c r="LL63" i="51"/>
  <c r="LB72" i="51"/>
  <c r="LO78" i="51"/>
  <c r="LV75" i="51"/>
  <c r="LM69" i="51"/>
  <c r="MG62" i="51"/>
  <c r="KT70" i="51"/>
  <c r="LF65" i="51"/>
  <c r="LT63" i="51"/>
  <c r="LK65" i="51"/>
  <c r="LJ62" i="51"/>
  <c r="LT66" i="51"/>
  <c r="MH64" i="51"/>
  <c r="MK69" i="51"/>
  <c r="MK79" i="51"/>
  <c r="KK77" i="51"/>
  <c r="LE72" i="51"/>
  <c r="KU81" i="51"/>
  <c r="LB78" i="51"/>
  <c r="LW70" i="51"/>
  <c r="MI60" i="51"/>
  <c r="LB68" i="51"/>
  <c r="LO74" i="51"/>
  <c r="LH71" i="51"/>
  <c r="LL80" i="51"/>
  <c r="ME75" i="51"/>
  <c r="ML72" i="51"/>
  <c r="LA62" i="51"/>
  <c r="MM71" i="51"/>
  <c r="KH78" i="51"/>
  <c r="LG79" i="51"/>
  <c r="KZ79" i="51"/>
  <c r="KY71" i="51"/>
  <c r="KU72" i="51"/>
  <c r="LG72" i="51"/>
  <c r="LL50" i="51"/>
  <c r="MB46" i="51"/>
  <c r="MJ59" i="51"/>
  <c r="LL64" i="51"/>
  <c r="LK49" i="51"/>
  <c r="KS46" i="51"/>
  <c r="LS69" i="51"/>
  <c r="ML59" i="51"/>
  <c r="LU59" i="51"/>
  <c r="KF48" i="51"/>
  <c r="KV64" i="51"/>
  <c r="LP51" i="51"/>
  <c r="LT55" i="51"/>
  <c r="LS57" i="51"/>
  <c r="MI64" i="51"/>
  <c r="KX63" i="51"/>
  <c r="LP67" i="51"/>
  <c r="ME63" i="51"/>
  <c r="KJ50" i="51"/>
  <c r="MD65" i="51"/>
  <c r="KK64" i="51"/>
  <c r="MF64" i="51"/>
  <c r="MJ71" i="51"/>
  <c r="KQ78" i="51"/>
  <c r="KX75" i="51"/>
  <c r="LM66" i="51"/>
  <c r="MG61" i="51"/>
  <c r="LL69" i="51"/>
  <c r="KF65" i="51"/>
  <c r="KV63" i="51"/>
  <c r="LM64" i="51"/>
  <c r="KR58" i="51"/>
  <c r="KV66" i="51"/>
  <c r="LJ64" i="51"/>
  <c r="MK64" i="51"/>
  <c r="MJ60" i="51"/>
  <c r="LD66" i="51"/>
  <c r="LR64" i="51"/>
  <c r="LI68" i="51"/>
  <c r="LU79" i="51"/>
  <c r="MB76" i="51"/>
  <c r="KG72" i="51"/>
  <c r="LJ61" i="51"/>
  <c r="LL66" i="51"/>
  <c r="LZ64" i="51"/>
  <c r="LW67" i="51"/>
  <c r="LW64" i="51"/>
  <c r="LZ67" i="51"/>
  <c r="KF66" i="51"/>
  <c r="KQ72" i="51"/>
  <c r="KJ81" i="51"/>
  <c r="KR78" i="51"/>
  <c r="LK73" i="51"/>
  <c r="LU66" i="51"/>
  <c r="LH79" i="51"/>
  <c r="LT64" i="51"/>
  <c r="KP64" i="51"/>
  <c r="KJ61" i="51"/>
  <c r="KT71" i="51"/>
  <c r="LH69" i="51"/>
  <c r="LU75" i="51"/>
  <c r="MB72" i="51"/>
  <c r="LR81" i="51"/>
  <c r="MK76" i="51"/>
  <c r="KK74" i="51"/>
  <c r="KU70" i="51"/>
  <c r="KY74" i="51"/>
  <c r="KV80" i="51"/>
  <c r="MC80" i="51"/>
  <c r="MF65" i="51"/>
  <c r="LA81" i="51"/>
  <c r="MA73" i="51"/>
  <c r="LT73" i="51"/>
  <c r="MC73" i="51"/>
  <c r="LE79" i="51"/>
  <c r="LS71" i="51"/>
  <c r="LF72" i="51"/>
  <c r="KZ46" i="51"/>
  <c r="LP53" i="51"/>
  <c r="LA53" i="51"/>
  <c r="KJ57" i="51"/>
  <c r="MH57" i="51"/>
  <c r="LV48" i="51"/>
  <c r="LV61" i="51"/>
  <c r="KP68" i="51"/>
  <c r="LP70" i="51"/>
  <c r="LU60" i="51"/>
  <c r="LJ54" i="51"/>
  <c r="LN67" i="51"/>
  <c r="KJ60" i="51"/>
  <c r="KS57" i="51"/>
  <c r="LY58" i="51"/>
  <c r="KG66" i="51"/>
  <c r="LD64" i="51"/>
  <c r="MB56" i="51"/>
  <c r="KS70" i="51"/>
  <c r="LV68" i="51"/>
  <c r="KS67" i="51"/>
  <c r="KJ66" i="51"/>
  <c r="KJ63" i="51"/>
  <c r="MJ66" i="51"/>
  <c r="KR65" i="51"/>
  <c r="MM63" i="51"/>
  <c r="KW52" i="51"/>
  <c r="ML65" i="51"/>
  <c r="KT64" i="51"/>
  <c r="KQ65" i="51"/>
  <c r="KW79" i="51"/>
  <c r="LD76" i="51"/>
  <c r="LI71" i="51"/>
  <c r="LE64" i="51"/>
  <c r="KK57" i="51"/>
  <c r="LB64" i="51"/>
  <c r="LY66" i="51"/>
  <c r="LY63" i="51"/>
  <c r="LB67" i="51"/>
  <c r="LP65" i="51"/>
  <c r="KQ67" i="51"/>
  <c r="KQ64" i="51"/>
  <c r="LJ67" i="51"/>
  <c r="LX65" i="51"/>
  <c r="MA71" i="51"/>
  <c r="MA80" i="51"/>
  <c r="MH77" i="51"/>
  <c r="KU73" i="51"/>
  <c r="KY67" i="51"/>
  <c r="KY64" i="51"/>
  <c r="LR67" i="51"/>
  <c r="LY65" i="51"/>
  <c r="MI69" i="51"/>
  <c r="MI66" i="51"/>
  <c r="MF68" i="51"/>
  <c r="LA73" i="51"/>
  <c r="KY65" i="51"/>
  <c r="KX79" i="51"/>
  <c r="LQ74" i="51"/>
  <c r="LJ71" i="51"/>
  <c r="LN80" i="51"/>
  <c r="KK69" i="51"/>
  <c r="LB66" i="51"/>
  <c r="LJ63" i="51"/>
  <c r="LV59" i="51"/>
  <c r="LN70" i="51"/>
  <c r="MA76" i="51"/>
  <c r="MH73" i="51"/>
  <c r="LX82" i="51"/>
  <c r="KJ78" i="51"/>
  <c r="KR75" i="51"/>
  <c r="KW72" i="51"/>
  <c r="LK76" i="51"/>
  <c r="LH82" i="51"/>
  <c r="LO65" i="51"/>
  <c r="LJ68" i="51"/>
  <c r="LR71" i="51"/>
  <c r="KQ75" i="51"/>
  <c r="KZ75" i="51"/>
  <c r="LN66" i="51"/>
  <c r="LQ50" i="51"/>
  <c r="MM61" i="51"/>
  <c r="KU45" i="51"/>
  <c r="LL49" i="51"/>
  <c r="ME56" i="51"/>
  <c r="LA70" i="51"/>
  <c r="KX61" i="51"/>
  <c r="MJ55" i="51"/>
  <c r="LS66" i="51"/>
  <c r="LO67" i="51"/>
  <c r="LI46" i="51"/>
  <c r="MI61" i="51"/>
  <c r="LZ69" i="51"/>
  <c r="MB50" i="51"/>
  <c r="LO58" i="51"/>
  <c r="ME59" i="51"/>
  <c r="LJ65" i="51"/>
  <c r="LH62" i="51"/>
  <c r="MM51" i="51"/>
  <c r="MB69" i="51"/>
  <c r="LT60" i="51"/>
  <c r="KW68" i="51"/>
  <c r="KW65" i="51"/>
  <c r="KH68" i="51"/>
  <c r="KX66" i="51"/>
  <c r="KS66" i="51"/>
  <c r="KS63" i="51"/>
  <c r="KK67" i="51"/>
  <c r="KZ65" i="51"/>
  <c r="KU71" i="51"/>
  <c r="LC80" i="51"/>
  <c r="LJ77" i="51"/>
  <c r="MC72" i="51"/>
  <c r="LQ66" i="51"/>
  <c r="LQ63" i="51"/>
  <c r="KT67" i="51"/>
  <c r="MK68" i="51"/>
  <c r="MK65" i="51"/>
  <c r="LH68" i="51"/>
  <c r="LS64" i="51"/>
  <c r="LC69" i="51"/>
  <c r="LC66" i="51"/>
  <c r="LP68" i="51"/>
  <c r="MD66" i="51"/>
  <c r="KJ73" i="51"/>
  <c r="KF79" i="51"/>
  <c r="KS65" i="51"/>
  <c r="LK69" i="51"/>
  <c r="LK66" i="51"/>
  <c r="LX68" i="51"/>
  <c r="KQ70" i="51"/>
  <c r="KV60" i="51"/>
  <c r="LW68" i="51"/>
  <c r="ML69" i="51"/>
  <c r="KT68" i="51"/>
  <c r="LG74" i="51"/>
  <c r="KW71" i="51"/>
  <c r="LD80" i="51"/>
  <c r="LW75" i="51"/>
  <c r="MD72" i="51"/>
  <c r="KV56" i="51"/>
  <c r="LV55" i="51"/>
  <c r="LN68" i="51"/>
  <c r="LP64" i="51"/>
  <c r="MD62" i="51"/>
  <c r="LT71" i="51"/>
  <c r="MG77" i="51"/>
  <c r="KF75" i="51"/>
  <c r="ME55" i="51"/>
  <c r="LN51" i="51"/>
  <c r="KV61" i="51"/>
  <c r="LJ46" i="51"/>
  <c r="MD68" i="51"/>
  <c r="MB55" i="51"/>
  <c r="LC56" i="51"/>
  <c r="LF57" i="51"/>
  <c r="KK66" i="51"/>
  <c r="LZ55" i="51"/>
  <c r="LO62" i="51"/>
  <c r="MF70" i="51"/>
  <c r="MG54" i="51"/>
  <c r="MK60" i="51"/>
  <c r="KU68" i="51"/>
  <c r="LP66" i="51"/>
  <c r="LO63" i="51"/>
  <c r="LI61" i="51"/>
  <c r="MH70" i="51"/>
  <c r="ME66" i="51"/>
  <c r="LI70" i="51"/>
  <c r="LI67" i="51"/>
  <c r="KP69" i="51"/>
  <c r="MM62" i="51"/>
  <c r="LE68" i="51"/>
  <c r="LE65" i="51"/>
  <c r="KR68" i="51"/>
  <c r="LF66" i="51"/>
  <c r="LS72" i="51"/>
  <c r="LI81" i="51"/>
  <c r="LP78" i="51"/>
  <c r="LM63" i="51"/>
  <c r="MC68" i="51"/>
  <c r="MC65" i="51"/>
  <c r="KZ68" i="51"/>
  <c r="LK68" i="51"/>
  <c r="MA49" i="51"/>
  <c r="KQ68" i="51"/>
  <c r="LN69" i="51"/>
  <c r="KJ69" i="51"/>
  <c r="MD55" i="51"/>
  <c r="KY68" i="51"/>
  <c r="LV69" i="51"/>
  <c r="MJ67" i="51"/>
  <c r="KQ74" i="51"/>
  <c r="LM70" i="51"/>
  <c r="LQ69" i="51"/>
  <c r="MJ56" i="51"/>
  <c r="LO68" i="51"/>
  <c r="MD69" i="51"/>
  <c r="KF64" i="51"/>
  <c r="LK60" i="51"/>
  <c r="KK71" i="51"/>
  <c r="KZ69" i="51"/>
  <c r="LM75" i="51"/>
  <c r="LT72" i="51"/>
  <c r="LJ81" i="51"/>
  <c r="MC76" i="51"/>
  <c r="MJ73" i="51"/>
  <c r="LU69" i="51"/>
  <c r="LG63" i="51"/>
  <c r="LZ70" i="51"/>
  <c r="LV65" i="51"/>
  <c r="MJ63" i="51"/>
  <c r="MK62" i="51"/>
  <c r="MM78" i="51"/>
  <c r="KJ71" i="51"/>
  <c r="KW80" i="51"/>
  <c r="LD77" i="51"/>
  <c r="LH65" i="51"/>
  <c r="MI80" i="51"/>
  <c r="LC73" i="51"/>
  <c r="LL73" i="51"/>
  <c r="KJ64" i="51"/>
  <c r="KV76" i="51"/>
  <c r="KS78" i="51"/>
  <c r="KK78" i="51"/>
  <c r="ML70" i="51"/>
  <c r="KZ74" i="51"/>
  <c r="KS58" i="51"/>
  <c r="KJ62" i="51"/>
  <c r="LP47" i="51"/>
  <c r="LQ68" i="51"/>
  <c r="LC72" i="51"/>
  <c r="LB63" i="51"/>
  <c r="KJ72" i="51"/>
  <c r="LA64" i="51"/>
  <c r="LW78" i="51"/>
  <c r="KH74" i="51"/>
  <c r="MA72" i="51"/>
  <c r="MI73" i="51"/>
  <c r="LH75" i="51"/>
  <c r="KJ75" i="51"/>
  <c r="LV73" i="51"/>
  <c r="LA68" i="51"/>
  <c r="LT79" i="51"/>
  <c r="MI72" i="51"/>
  <c r="MF78" i="51"/>
  <c r="ME79" i="51"/>
  <c r="KF80" i="51"/>
  <c r="KS73" i="51"/>
  <c r="KP79" i="51"/>
  <c r="MM79" i="51"/>
  <c r="KP80" i="51"/>
  <c r="LS78" i="51"/>
  <c r="KX77" i="51"/>
  <c r="LF74" i="51"/>
  <c r="KV83" i="51"/>
  <c r="LW88" i="51"/>
  <c r="LX84" i="51"/>
  <c r="KU80" i="51"/>
  <c r="LU72" i="51"/>
  <c r="KK72" i="51"/>
  <c r="LF75" i="51"/>
  <c r="LK77" i="51"/>
  <c r="LT77" i="51"/>
  <c r="LW76" i="51"/>
  <c r="LB75" i="51"/>
  <c r="LJ72" i="51"/>
  <c r="KZ81" i="51"/>
  <c r="LG78" i="51"/>
  <c r="LY68" i="51"/>
  <c r="MF71" i="51"/>
  <c r="LW71" i="51"/>
  <c r="LW69" i="51"/>
  <c r="MH79" i="51"/>
  <c r="KH77" i="51"/>
  <c r="KQ82" i="51"/>
  <c r="LA91" i="51"/>
  <c r="LB87" i="51"/>
  <c r="MA78" i="51"/>
  <c r="LN74" i="51"/>
  <c r="MK85" i="51"/>
  <c r="MF84" i="51"/>
  <c r="MA83" i="51"/>
  <c r="KG77" i="51"/>
  <c r="KP90" i="51"/>
  <c r="KW87" i="51"/>
  <c r="LL84" i="51"/>
  <c r="LG80" i="51"/>
  <c r="LQ90" i="51"/>
  <c r="LK63" i="51"/>
  <c r="KH80" i="51"/>
  <c r="MI79" i="51"/>
  <c r="LC70" i="51"/>
  <c r="KZ92" i="51"/>
  <c r="LA79" i="51"/>
  <c r="KU86" i="51"/>
  <c r="KX85" i="51"/>
  <c r="KJ84" i="51"/>
  <c r="KU79" i="51"/>
  <c r="LF90" i="51"/>
  <c r="LM87" i="51"/>
  <c r="KH76" i="51"/>
  <c r="KF82" i="51"/>
  <c r="MA90" i="51"/>
  <c r="MD89" i="51"/>
  <c r="LK87" i="51"/>
  <c r="KH85" i="51"/>
  <c r="LV81" i="51"/>
  <c r="LP48" i="51"/>
  <c r="LA69" i="51"/>
  <c r="KV70" i="51"/>
  <c r="LV79" i="51"/>
  <c r="LT70" i="51"/>
  <c r="KT81" i="51"/>
  <c r="LP58" i="51"/>
  <c r="LS65" i="51"/>
  <c r="LM72" i="51"/>
  <c r="KH71" i="51"/>
  <c r="LH78" i="51"/>
  <c r="MM74" i="51"/>
  <c r="KY75" i="51"/>
  <c r="MD76" i="51"/>
  <c r="KQ76" i="51"/>
  <c r="MB74" i="51"/>
  <c r="LZ71" i="51"/>
  <c r="LZ80" i="51"/>
  <c r="KK81" i="51"/>
  <c r="LK81" i="51"/>
  <c r="LD81" i="51"/>
  <c r="LE75" i="51"/>
  <c r="LB81" i="51"/>
  <c r="MJ54" i="51"/>
  <c r="LL81" i="51"/>
  <c r="LY79" i="51"/>
  <c r="LD78" i="51"/>
  <c r="LL75" i="51"/>
  <c r="LE74" i="51"/>
  <c r="MC89" i="51"/>
  <c r="MD85" i="51"/>
  <c r="LD67" i="51"/>
  <c r="LK67" i="51"/>
  <c r="LA74" i="51"/>
  <c r="LJ74" i="51"/>
  <c r="LG71" i="51"/>
  <c r="LR77" i="51"/>
  <c r="MG78" i="51"/>
  <c r="KH79" i="51"/>
  <c r="MC77" i="51"/>
  <c r="LH76" i="51"/>
  <c r="LP73" i="51"/>
  <c r="LF82" i="51"/>
  <c r="LS80" i="51"/>
  <c r="LD73" i="51"/>
  <c r="LM73" i="51"/>
  <c r="KF81" i="51"/>
  <c r="KP78" i="51"/>
  <c r="LP83" i="51"/>
  <c r="LG92" i="51"/>
  <c r="LH88" i="51"/>
  <c r="KJ68" i="51"/>
  <c r="LZ76" i="51"/>
  <c r="LA87" i="51"/>
  <c r="LD86" i="51"/>
  <c r="MG84" i="51"/>
  <c r="KJ82" i="51"/>
  <c r="KV91" i="51"/>
  <c r="LC88" i="51"/>
  <c r="LR85" i="51"/>
  <c r="LT82" i="51"/>
  <c r="LW91" i="51"/>
  <c r="MA74" i="51"/>
  <c r="MH82" i="51"/>
  <c r="LS81" i="51"/>
  <c r="KQ80" i="51"/>
  <c r="MC70" i="51"/>
  <c r="KZ77" i="51"/>
  <c r="LY87" i="51"/>
  <c r="LT86" i="51"/>
  <c r="KQ85" i="51"/>
  <c r="LE82" i="51"/>
  <c r="LL91" i="51"/>
  <c r="LS88" i="51"/>
  <c r="KV78" i="51"/>
  <c r="MC69" i="51"/>
  <c r="KY92" i="51"/>
  <c r="KT91" i="51"/>
  <c r="LQ88" i="51"/>
  <c r="KP86" i="51"/>
  <c r="LB45" i="51"/>
  <c r="LO64" i="51"/>
  <c r="LV67" i="51"/>
  <c r="LE67" i="51"/>
  <c r="MK67" i="51"/>
  <c r="KF63" i="51"/>
  <c r="LN63" i="51"/>
  <c r="LF70" i="51"/>
  <c r="LS62" i="51"/>
  <c r="KQ79" i="51"/>
  <c r="LM76" i="51"/>
  <c r="KS77" i="51"/>
  <c r="LU76" i="51"/>
  <c r="KT78" i="51"/>
  <c r="KW77" i="51"/>
  <c r="MH75" i="51"/>
  <c r="KH73" i="51"/>
  <c r="MF81" i="51"/>
  <c r="LA77" i="51"/>
  <c r="KX83" i="51"/>
  <c r="MA70" i="51"/>
  <c r="LQ77" i="51"/>
  <c r="LR61" i="51"/>
  <c r="LU70" i="51"/>
  <c r="MK66" i="51"/>
  <c r="LJ79" i="51"/>
  <c r="LR76" i="51"/>
  <c r="LQ81" i="51"/>
  <c r="MI90" i="51"/>
  <c r="MJ86" i="51"/>
  <c r="LP69" i="51"/>
  <c r="MJ72" i="51"/>
  <c r="MM75" i="51"/>
  <c r="MF75" i="51"/>
  <c r="MG73" i="51"/>
  <c r="MD79" i="51"/>
  <c r="LM80" i="51"/>
  <c r="LF80" i="51"/>
  <c r="MI78" i="51"/>
  <c r="LN77" i="51"/>
  <c r="LV74" i="51"/>
  <c r="MB67" i="51"/>
  <c r="MM69" i="51"/>
  <c r="MG74" i="51"/>
  <c r="LZ74" i="51"/>
  <c r="LS74" i="51"/>
  <c r="KX73" i="51"/>
  <c r="KG65" i="51"/>
  <c r="KV79" i="51"/>
  <c r="LW84" i="51"/>
  <c r="KY72" i="51"/>
  <c r="LN89" i="51"/>
  <c r="KF73" i="51"/>
  <c r="ML78" i="51"/>
  <c r="ME88" i="51"/>
  <c r="LZ87" i="51"/>
  <c r="MM85" i="51"/>
  <c r="LJ83" i="51"/>
  <c r="LC71" i="51"/>
  <c r="LI89" i="51"/>
  <c r="LX86" i="51"/>
  <c r="MM83" i="51"/>
  <c r="KX88" i="51"/>
  <c r="MM76" i="51"/>
  <c r="LZ72" i="51"/>
  <c r="LO84" i="51"/>
  <c r="LH83" i="51"/>
  <c r="LO82" i="51"/>
  <c r="LN73" i="51"/>
  <c r="LL79" i="51"/>
  <c r="KW89" i="51"/>
  <c r="KR88" i="51"/>
  <c r="KW86" i="51"/>
  <c r="MB83" i="51"/>
  <c r="ME73" i="51"/>
  <c r="LA71" i="51"/>
  <c r="LH80" i="51"/>
  <c r="LM74" i="51"/>
  <c r="LI72" i="51"/>
  <c r="LW89" i="51"/>
  <c r="KV87" i="51"/>
  <c r="MI47" i="51"/>
  <c r="LG57" i="51"/>
  <c r="LU64" i="51"/>
  <c r="LQ70" i="51"/>
  <c r="LY46" i="51"/>
  <c r="LH63" i="51"/>
  <c r="LP63" i="51"/>
  <c r="LS76" i="51"/>
  <c r="MB66" i="51"/>
  <c r="LC81" i="51"/>
  <c r="KG75" i="51"/>
  <c r="LO79" i="51"/>
  <c r="KF72" i="51"/>
  <c r="LA78" i="51"/>
  <c r="MF79" i="51"/>
  <c r="LC78" i="51"/>
  <c r="KF77" i="51"/>
  <c r="KP74" i="51"/>
  <c r="ML82" i="51"/>
  <c r="LM79" i="51"/>
  <c r="ME71" i="51"/>
  <c r="LN72" i="51"/>
  <c r="LW72" i="51"/>
  <c r="MC79" i="51"/>
  <c r="KS72" i="51"/>
  <c r="LV72" i="51"/>
  <c r="ME72" i="51"/>
  <c r="LM71" i="51"/>
  <c r="LP80" i="51"/>
  <c r="LX77" i="51"/>
  <c r="KK83" i="51"/>
  <c r="KG92" i="51"/>
  <c r="KH88" i="51"/>
  <c r="MB71" i="51"/>
  <c r="KP75" i="51"/>
  <c r="LC77" i="51"/>
  <c r="LL77" i="51"/>
  <c r="KH82" i="51"/>
  <c r="LC63" i="51"/>
  <c r="LQ64" i="51"/>
  <c r="KG80" i="51"/>
  <c r="LT78" i="51"/>
  <c r="MB75" i="51"/>
  <c r="KF70" i="51"/>
  <c r="LB73" i="51"/>
  <c r="KW76" i="51"/>
  <c r="LF76" i="51"/>
  <c r="LY75" i="51"/>
  <c r="LD74" i="51"/>
  <c r="KS71" i="51"/>
  <c r="LB80" i="51"/>
  <c r="MC85" i="51"/>
  <c r="LQ80" i="51"/>
  <c r="LT90" i="51"/>
  <c r="KT75" i="51"/>
  <c r="KR81" i="51"/>
  <c r="LC90" i="51"/>
  <c r="KX89" i="51"/>
  <c r="LR84" i="51"/>
  <c r="KY80" i="51"/>
  <c r="LO90" i="51"/>
  <c r="MD87" i="51"/>
  <c r="LY92" i="51"/>
  <c r="KS79" i="51"/>
  <c r="ML74" i="51"/>
  <c r="KF85" i="51"/>
  <c r="MI83" i="51"/>
  <c r="LZ75" i="51"/>
  <c r="LX81" i="51"/>
  <c r="LS90" i="51"/>
  <c r="LV89" i="51"/>
  <c r="LC87" i="51"/>
  <c r="MH84" i="51"/>
  <c r="LE81" i="51"/>
  <c r="KS75" i="51"/>
  <c r="KY69" i="51"/>
  <c r="LG83" i="51"/>
  <c r="MM81" i="51"/>
  <c r="KW81" i="51"/>
  <c r="MC90" i="51"/>
  <c r="LB88" i="51"/>
  <c r="LI85" i="51"/>
  <c r="KS59" i="51"/>
  <c r="LU63" i="51"/>
  <c r="KR63" i="51"/>
  <c r="LQ67" i="51"/>
  <c r="KG68" i="51"/>
  <c r="KT57" i="51"/>
  <c r="LF59" i="51"/>
  <c r="LZ73" i="51"/>
  <c r="KH65" i="51"/>
  <c r="KX76" i="51"/>
  <c r="KH72" i="51"/>
  <c r="LV76" i="51"/>
  <c r="LL76" i="51"/>
  <c r="LW79" i="51"/>
  <c r="KV81" i="51"/>
  <c r="LI79" i="51"/>
  <c r="KV75" i="51"/>
  <c r="LV66" i="51"/>
  <c r="KK61" i="51"/>
  <c r="KJ74" i="51"/>
  <c r="KT74" i="51"/>
  <c r="ML66" i="51"/>
  <c r="KS64" i="51"/>
  <c r="KS74" i="51"/>
  <c r="LB74" i="51"/>
  <c r="KU74" i="51"/>
  <c r="MF72" i="51"/>
  <c r="LN59" i="51"/>
  <c r="MD78" i="51"/>
  <c r="KY84" i="51"/>
  <c r="KP89" i="51"/>
  <c r="KG71" i="51"/>
  <c r="LB77" i="51"/>
  <c r="LY78" i="51"/>
  <c r="MH78" i="51"/>
  <c r="KY78" i="51"/>
  <c r="LS67" i="51"/>
  <c r="KZ71" i="51"/>
  <c r="LK71" i="51"/>
  <c r="KQ69" i="51"/>
  <c r="LZ79" i="51"/>
  <c r="MH76" i="51"/>
  <c r="KT72" i="51"/>
  <c r="LN75" i="51"/>
  <c r="LS77" i="51"/>
  <c r="MB77" i="51"/>
  <c r="ME76" i="51"/>
  <c r="LJ75" i="51"/>
  <c r="LR72" i="51"/>
  <c r="LH81" i="51"/>
  <c r="MI86" i="51"/>
  <c r="LY82" i="51"/>
  <c r="LZ91" i="51"/>
  <c r="LF77" i="51"/>
  <c r="LD83" i="51"/>
  <c r="LY91" i="51"/>
  <c r="MB90" i="51"/>
  <c r="KS88" i="51"/>
  <c r="LX85" i="51"/>
  <c r="LR82" i="51"/>
  <c r="LU91" i="51"/>
  <c r="MJ88" i="51"/>
  <c r="KS86" i="51"/>
  <c r="MH93" i="51"/>
  <c r="KW70" i="51"/>
  <c r="KR77" i="51"/>
  <c r="LI87" i="51"/>
  <c r="LL86" i="51"/>
  <c r="KG85" i="51"/>
  <c r="ML77" i="51"/>
  <c r="LH58" i="51"/>
  <c r="KQ92" i="51"/>
  <c r="KK91" i="51"/>
  <c r="LI88" i="51"/>
  <c r="KF86" i="51"/>
  <c r="MM82" i="51"/>
  <c r="LE77" i="51"/>
  <c r="KR73" i="51"/>
  <c r="MM84" i="51"/>
  <c r="MH83" i="51"/>
  <c r="MJ82" i="51"/>
  <c r="KR71" i="51"/>
  <c r="KH57" i="51"/>
  <c r="MI58" i="51"/>
  <c r="KX59" i="51"/>
  <c r="KX69" i="51"/>
  <c r="LF69" i="51"/>
  <c r="MB70" i="51"/>
  <c r="MJ70" i="51"/>
  <c r="LP82" i="51"/>
  <c r="LK70" i="51"/>
  <c r="LJ78" i="51"/>
  <c r="MH74" i="51"/>
  <c r="LX79" i="51"/>
  <c r="LX78" i="51"/>
  <c r="KG69" i="51"/>
  <c r="LY64" i="51"/>
  <c r="KT79" i="51"/>
  <c r="LB76" i="51"/>
  <c r="MH68" i="51"/>
  <c r="KR72" i="51"/>
  <c r="LG75" i="51"/>
  <c r="LP75" i="51"/>
  <c r="KR69" i="51"/>
  <c r="LL72" i="51"/>
  <c r="LO75" i="51"/>
  <c r="LX75" i="51"/>
  <c r="LA75" i="51"/>
  <c r="ML73" i="51"/>
  <c r="ME69" i="51"/>
  <c r="MJ79" i="51"/>
  <c r="LE85" i="51"/>
  <c r="ME77" i="51"/>
  <c r="KV90" i="51"/>
  <c r="LQ73" i="51"/>
  <c r="LN79" i="51"/>
  <c r="LE80" i="51"/>
  <c r="KX80" i="51"/>
  <c r="LK80" i="51"/>
  <c r="MK72" i="51"/>
  <c r="KV73" i="51"/>
  <c r="MH71" i="51"/>
  <c r="MF80" i="51"/>
  <c r="KF78" i="51"/>
  <c r="LQ71" i="51"/>
  <c r="LZ77" i="51"/>
  <c r="KY79" i="51"/>
  <c r="KR79" i="51"/>
  <c r="MK77" i="51"/>
  <c r="LP76" i="51"/>
  <c r="LX73" i="51"/>
  <c r="LN82" i="51"/>
  <c r="KG88" i="51"/>
  <c r="KH84" i="51"/>
  <c r="ML80" i="51"/>
  <c r="LR79" i="51"/>
  <c r="MC78" i="51"/>
  <c r="LU62" i="51"/>
  <c r="KR92" i="51"/>
  <c r="KY89" i="51"/>
  <c r="MD86" i="51"/>
  <c r="MK83" i="51"/>
  <c r="KS76" i="51"/>
  <c r="KH90" i="51"/>
  <c r="KY87" i="51"/>
  <c r="LA67" i="51"/>
  <c r="MH56" i="51"/>
  <c r="LL67" i="51"/>
  <c r="LG62" i="51"/>
  <c r="KH69" i="51"/>
  <c r="LL68" i="51"/>
  <c r="MI77" i="51"/>
  <c r="LE73" i="51"/>
  <c r="LV70" i="51"/>
  <c r="LZ68" i="51"/>
  <c r="MJ80" i="51"/>
  <c r="LO69" i="51"/>
  <c r="LO72" i="51"/>
  <c r="KQ71" i="51"/>
  <c r="KZ80" i="51"/>
  <c r="LH77" i="51"/>
  <c r="LH74" i="51"/>
  <c r="ML76" i="51"/>
  <c r="LD71" i="51"/>
  <c r="LX74" i="51"/>
  <c r="KU77" i="51"/>
  <c r="LG76" i="51"/>
  <c r="KK75" i="51"/>
  <c r="KP72" i="51"/>
  <c r="KH81" i="51"/>
  <c r="LK86" i="51"/>
  <c r="KS82" i="51"/>
  <c r="LB91" i="51"/>
  <c r="MC75" i="51"/>
  <c r="LZ81" i="51"/>
  <c r="KH62" i="51"/>
  <c r="LT67" i="51"/>
  <c r="LG69" i="51"/>
  <c r="LI74" i="51"/>
  <c r="LR74" i="51"/>
  <c r="LK74" i="51"/>
  <c r="KP73" i="51"/>
  <c r="MI63" i="51"/>
  <c r="KG74" i="51"/>
  <c r="ML79" i="51"/>
  <c r="LU80" i="51"/>
  <c r="MD80" i="51"/>
  <c r="KJ79" i="51"/>
  <c r="LV77" i="51"/>
  <c r="MD74" i="51"/>
  <c r="LT83" i="51"/>
  <c r="KP85" i="51"/>
  <c r="LC74" i="51"/>
  <c r="MC62" i="51"/>
  <c r="LW82" i="51"/>
  <c r="KQ81" i="51"/>
  <c r="MM77" i="51"/>
  <c r="LE90" i="51"/>
  <c r="MJ87" i="51"/>
  <c r="KJ85" i="51"/>
  <c r="MI81" i="51"/>
  <c r="KP91" i="51"/>
  <c r="LE88" i="51"/>
  <c r="MI71" i="51"/>
  <c r="LR75" i="51"/>
  <c r="LP81" i="51"/>
  <c r="LK90" i="51"/>
  <c r="LF89" i="51"/>
  <c r="MI74" i="51"/>
  <c r="KU67" i="51"/>
  <c r="KW83" i="51"/>
  <c r="MC81" i="51"/>
  <c r="LW80" i="51"/>
  <c r="LU90" i="51"/>
  <c r="KT88" i="51"/>
  <c r="LA85" i="51"/>
  <c r="LB71" i="51"/>
  <c r="LP77" i="51"/>
  <c r="MG87" i="51"/>
  <c r="MB86" i="51"/>
  <c r="KY85" i="51"/>
  <c r="LQ82" i="51"/>
  <c r="LT91" i="51"/>
  <c r="MA88" i="51"/>
  <c r="KT66" i="51"/>
  <c r="MK73" i="51"/>
  <c r="LE69" i="51"/>
  <c r="LQ87" i="51"/>
  <c r="LI64" i="51"/>
  <c r="LO76" i="51"/>
  <c r="LC83" i="51"/>
  <c r="LL83" i="51"/>
  <c r="MH72" i="51"/>
  <c r="MG64" i="51"/>
  <c r="MB79" i="51"/>
  <c r="MJ83" i="51"/>
  <c r="MG89" i="51"/>
  <c r="KP87" i="51"/>
  <c r="LE84" i="51"/>
  <c r="LP91" i="51"/>
  <c r="LL78" i="51"/>
  <c r="LO92" i="51"/>
  <c r="LJ91" i="51"/>
  <c r="LY88" i="51"/>
  <c r="KX86" i="51"/>
  <c r="LB83" i="51"/>
  <c r="LO71" i="51"/>
  <c r="LJ89" i="51"/>
  <c r="LY86" i="51"/>
  <c r="LH94" i="51"/>
  <c r="LL74" i="51"/>
  <c r="LJ80" i="51"/>
  <c r="LU89" i="51"/>
  <c r="LX88" i="51"/>
  <c r="LU86" i="51"/>
  <c r="KT84" i="51"/>
  <c r="KQ77" i="51"/>
  <c r="KQ90" i="51"/>
  <c r="LT74" i="51"/>
  <c r="LR80" i="51"/>
  <c r="MK89" i="51"/>
  <c r="MF88" i="51"/>
  <c r="KY76" i="51"/>
  <c r="MK71" i="51"/>
  <c r="KQ84" i="51"/>
  <c r="KT82" i="51"/>
  <c r="LC91" i="51"/>
  <c r="MH88" i="51"/>
  <c r="KG86" i="51"/>
  <c r="KS83" i="51"/>
  <c r="KS68" i="51"/>
  <c r="LC89" i="51"/>
  <c r="KK92" i="51"/>
  <c r="MD91" i="51"/>
  <c r="KX43" i="51"/>
  <c r="MJ93" i="51"/>
  <c r="LZ86" i="51"/>
  <c r="LM90" i="51"/>
  <c r="LB85" i="51"/>
  <c r="LG91" i="51"/>
  <c r="KQ73" i="51"/>
  <c r="LC94" i="51"/>
  <c r="LU92" i="51"/>
  <c r="LX83" i="51"/>
  <c r="LZ88" i="51"/>
  <c r="KR90" i="51"/>
  <c r="KR94" i="51"/>
  <c r="LR86" i="51"/>
  <c r="LI93" i="51"/>
  <c r="KR89" i="51"/>
  <c r="KZ90" i="51"/>
  <c r="KZ94" i="51"/>
  <c r="KV93" i="51"/>
  <c r="LX87" i="51"/>
  <c r="KU43" i="51"/>
  <c r="LQ93" i="51"/>
  <c r="MF89" i="51"/>
  <c r="LX90" i="51"/>
  <c r="LP94" i="51"/>
  <c r="LD93" i="51"/>
  <c r="MD88" i="51"/>
  <c r="LC43" i="51"/>
  <c r="LY93" i="51"/>
  <c r="KY93" i="51"/>
  <c r="KH75" i="51"/>
  <c r="LP72" i="51"/>
  <c r="MJ76" i="51"/>
  <c r="LQ83" i="51"/>
  <c r="KF76" i="51"/>
  <c r="LW65" i="51"/>
  <c r="KZ72" i="51"/>
  <c r="LY71" i="51"/>
  <c r="MM88" i="51"/>
  <c r="LO80" i="51"/>
  <c r="LC86" i="51"/>
  <c r="LH89" i="51"/>
  <c r="MM90" i="51"/>
  <c r="KV88" i="51"/>
  <c r="LK85" i="51"/>
  <c r="MG71" i="51"/>
  <c r="LX80" i="51"/>
  <c r="MB81" i="51"/>
  <c r="LS75" i="51"/>
  <c r="LO73" i="51"/>
  <c r="ME89" i="51"/>
  <c r="LD87" i="51"/>
  <c r="LK84" i="51"/>
  <c r="LA80" i="51"/>
  <c r="LP90" i="51"/>
  <c r="ME87" i="51"/>
  <c r="LN43" i="51"/>
  <c r="LX76" i="51"/>
  <c r="LV82" i="51"/>
  <c r="KS91" i="51"/>
  <c r="MA87" i="51"/>
  <c r="KZ85" i="51"/>
  <c r="KK82" i="51"/>
  <c r="KW91" i="51"/>
  <c r="MF76" i="51"/>
  <c r="MD82" i="51"/>
  <c r="LI91" i="51"/>
  <c r="LD90" i="51"/>
  <c r="LK78" i="51"/>
  <c r="KX74" i="51"/>
  <c r="LU85" i="51"/>
  <c r="LP84" i="51"/>
  <c r="LR83" i="51"/>
  <c r="MI75" i="51"/>
  <c r="KF90" i="51"/>
  <c r="LD84" i="51"/>
  <c r="LS79" i="51"/>
  <c r="LI90" i="51"/>
  <c r="MA84" i="51"/>
  <c r="KT86" i="51"/>
  <c r="KH43" i="51"/>
  <c r="LW93" i="51"/>
  <c r="LS83" i="51"/>
  <c r="LN87" i="51"/>
  <c r="LF92" i="51"/>
  <c r="LT89" i="51"/>
  <c r="LI43" i="51"/>
  <c r="ME93" i="51"/>
  <c r="KF92" i="51"/>
  <c r="KW78" i="51"/>
  <c r="KG73" i="51"/>
  <c r="LV43" i="51"/>
  <c r="KT94" i="51"/>
  <c r="LK92" i="51"/>
  <c r="LO94" i="51"/>
  <c r="ME80" i="51"/>
  <c r="MD43" i="51"/>
  <c r="LB94" i="51"/>
  <c r="LT92" i="51"/>
  <c r="LO83" i="51"/>
  <c r="LW94" i="51"/>
  <c r="KU56" i="51"/>
  <c r="KT77" i="51"/>
  <c r="LF81" i="51"/>
  <c r="LQ78" i="51"/>
  <c r="MA63" i="51"/>
  <c r="LQ75" i="51"/>
  <c r="LB57" i="51"/>
  <c r="LG84" i="51"/>
  <c r="LK89" i="51"/>
  <c r="MG91" i="51"/>
  <c r="ME84" i="51"/>
  <c r="KZ89" i="51"/>
  <c r="LE89" i="51"/>
  <c r="LN90" i="51"/>
  <c r="LB89" i="51"/>
  <c r="LQ86" i="51"/>
  <c r="LI75" i="51"/>
  <c r="LE70" i="51"/>
  <c r="LY83" i="51"/>
  <c r="LC82" i="51"/>
  <c r="LT81" i="51"/>
  <c r="MK90" i="51"/>
  <c r="LJ88" i="51"/>
  <c r="LQ85" i="51"/>
  <c r="LS82" i="51"/>
  <c r="LV91" i="51"/>
  <c r="MK88" i="51"/>
  <c r="MJ78" i="51"/>
  <c r="KY73" i="51"/>
  <c r="LW92" i="51"/>
  <c r="LR91" i="51"/>
  <c r="MG88" i="51"/>
  <c r="LF86" i="51"/>
  <c r="LK83" i="51"/>
  <c r="MG72" i="51"/>
  <c r="KK79" i="51"/>
  <c r="LK75" i="51"/>
  <c r="ME92" i="51"/>
  <c r="MH91" i="51"/>
  <c r="ME65" i="51"/>
  <c r="LJ76" i="51"/>
  <c r="KS87" i="51"/>
  <c r="LY84" i="51"/>
  <c r="ME81" i="51"/>
  <c r="KU88" i="51"/>
  <c r="LJ85" i="51"/>
  <c r="LJ82" i="51"/>
  <c r="LO91" i="51"/>
  <c r="KS89" i="51"/>
  <c r="LU84" i="51"/>
  <c r="LQ92" i="51"/>
  <c r="LO81" i="51"/>
  <c r="MI43" i="51"/>
  <c r="KK88" i="51"/>
  <c r="LZ89" i="51"/>
  <c r="KH94" i="51"/>
  <c r="MJ92" i="51"/>
  <c r="LL85" i="51"/>
  <c r="MK94" i="51"/>
  <c r="LA93" i="51"/>
  <c r="MG85" i="51"/>
  <c r="ME82" i="51"/>
  <c r="LF88" i="51"/>
  <c r="KZ43" i="51"/>
  <c r="LV93" i="51"/>
  <c r="KZ91" i="51"/>
  <c r="LU43" i="51"/>
  <c r="LX48" i="51"/>
  <c r="KK68" i="51"/>
  <c r="LN78" i="51"/>
  <c r="LZ78" i="51"/>
  <c r="KG78" i="51"/>
  <c r="KV74" i="51"/>
  <c r="MB78" i="51"/>
  <c r="KY83" i="51"/>
  <c r="KF43" i="51"/>
  <c r="MH87" i="51"/>
  <c r="LG73" i="51"/>
  <c r="KU84" i="51"/>
  <c r="LF85" i="51"/>
  <c r="MK74" i="51"/>
  <c r="LK79" i="51"/>
  <c r="LH90" i="51"/>
  <c r="LW87" i="51"/>
  <c r="LU77" i="51"/>
  <c r="LH73" i="51"/>
  <c r="KR84" i="51"/>
  <c r="LQ72" i="51"/>
  <c r="LP89" i="51"/>
  <c r="LW86" i="51"/>
  <c r="ML83" i="51"/>
  <c r="LA76" i="51"/>
  <c r="KJ90" i="51"/>
  <c r="MM72" i="51"/>
  <c r="KP81" i="51"/>
  <c r="ML81" i="51"/>
  <c r="LY76" i="51"/>
  <c r="LU74" i="51"/>
  <c r="MM89" i="51"/>
  <c r="LL87" i="51"/>
  <c r="LS84" i="51"/>
  <c r="LU73" i="51"/>
  <c r="KX81" i="51"/>
  <c r="LB82" i="51"/>
  <c r="MK78" i="51"/>
  <c r="MA75" i="51"/>
  <c r="LX72" i="51"/>
  <c r="LV78" i="51"/>
  <c r="LO88" i="51"/>
  <c r="LR87" i="51"/>
  <c r="ME85" i="51"/>
  <c r="LA83" i="51"/>
  <c r="MM65" i="51"/>
  <c r="LA89" i="51"/>
  <c r="LP86" i="51"/>
  <c r="ME83" i="51"/>
  <c r="KR87" i="51"/>
  <c r="MK91" i="51"/>
  <c r="MG86" i="51"/>
  <c r="MA93" i="51"/>
  <c r="MF92" i="51"/>
  <c r="LY72" i="51"/>
  <c r="ML91" i="51"/>
  <c r="LF43" i="51"/>
  <c r="KK94" i="51"/>
  <c r="LB92" i="51"/>
  <c r="LO77" i="51"/>
  <c r="LG94" i="51"/>
  <c r="LY89" i="51"/>
  <c r="KU85" i="51"/>
  <c r="MI92" i="51"/>
  <c r="KX84" i="51"/>
  <c r="MB94" i="51"/>
  <c r="KR93" i="51"/>
  <c r="LD92" i="51"/>
  <c r="KY90" i="51"/>
  <c r="LC85" i="51"/>
  <c r="KK93" i="51"/>
  <c r="LD85" i="51"/>
  <c r="MJ94" i="51"/>
  <c r="KZ93" i="51"/>
  <c r="LV94" i="51"/>
  <c r="LW90" i="51"/>
  <c r="MA85" i="51"/>
  <c r="KU93" i="51"/>
  <c r="LJ86" i="51"/>
  <c r="KK43" i="51"/>
  <c r="KT62" i="51"/>
  <c r="LK72" i="51"/>
  <c r="LC67" i="51"/>
  <c r="LM77" i="51"/>
  <c r="LG65" i="51"/>
  <c r="MK70" i="51"/>
  <c r="MJ75" i="51"/>
  <c r="LD82" i="51"/>
  <c r="LL89" i="51"/>
  <c r="MJ90" i="51"/>
  <c r="LZ83" i="51"/>
  <c r="LG86" i="51"/>
  <c r="KZ88" i="51"/>
  <c r="KR83" i="51"/>
  <c r="LI82" i="51"/>
  <c r="LN91" i="51"/>
  <c r="MC88" i="51"/>
  <c r="MG79" i="51"/>
  <c r="LT75" i="51"/>
  <c r="LS86" i="51"/>
  <c r="LN85" i="51"/>
  <c r="LA84" i="51"/>
  <c r="LY80" i="51"/>
  <c r="LV90" i="51"/>
  <c r="MC87" i="51"/>
  <c r="KK85" i="51"/>
  <c r="MJ81" i="51"/>
  <c r="KQ91" i="51"/>
  <c r="MG75" i="51"/>
  <c r="LE71" i="51"/>
  <c r="MG83" i="51"/>
  <c r="LM82" i="51"/>
  <c r="MD81" i="51"/>
  <c r="LR88" i="51"/>
  <c r="LY85" i="51"/>
  <c r="KG76" i="51"/>
  <c r="LP71" i="51"/>
  <c r="KG84" i="51"/>
  <c r="MI82" i="51"/>
  <c r="KG82" i="51"/>
  <c r="MJ74" i="51"/>
  <c r="MH80" i="51"/>
  <c r="KF89" i="51"/>
  <c r="MK86" i="51"/>
  <c r="LJ84" i="51"/>
  <c r="LC79" i="51"/>
  <c r="LG90" i="51"/>
  <c r="LV87" i="51"/>
  <c r="MK84" i="51"/>
  <c r="LW85" i="51"/>
  <c r="MC82" i="51"/>
  <c r="MG94" i="51"/>
  <c r="KU94" i="51"/>
  <c r="KN43" i="51"/>
  <c r="KS85" i="51"/>
  <c r="KY82" i="51"/>
  <c r="KZ87" i="51"/>
  <c r="KR43" i="51"/>
  <c r="LN93" i="51"/>
  <c r="KT90" i="51"/>
  <c r="LM43" i="51"/>
  <c r="KY77" i="51"/>
  <c r="LG87" i="51"/>
  <c r="KJ94" i="51"/>
  <c r="MH43" i="51"/>
  <c r="KX94" i="51"/>
  <c r="LX92" i="51"/>
  <c r="LE78" i="51"/>
  <c r="LO87" i="51"/>
  <c r="KS94" i="51"/>
  <c r="LA92" i="51"/>
  <c r="LI76" i="51"/>
  <c r="LF94" i="51"/>
  <c r="KI44" i="51"/>
  <c r="MG80" i="51"/>
  <c r="MM87" i="51"/>
  <c r="LA94" i="51"/>
  <c r="LJ92" i="51"/>
  <c r="MK81" i="51"/>
  <c r="LN94" i="51"/>
  <c r="MI94" i="51"/>
  <c r="LY73" i="51"/>
  <c r="KW66" i="51"/>
  <c r="LT76" i="51"/>
  <c r="KR76" i="51"/>
  <c r="KT80" i="51"/>
  <c r="LW77" i="51"/>
  <c r="LK91" i="51"/>
  <c r="LF73" i="51"/>
  <c r="MC66" i="51"/>
  <c r="MI70" i="51"/>
  <c r="LQ79" i="51"/>
  <c r="KS84" i="51"/>
  <c r="LC84" i="51"/>
  <c r="MD83" i="51"/>
  <c r="KU75" i="51"/>
  <c r="MI89" i="51"/>
  <c r="LX71" i="51"/>
  <c r="MF77" i="51"/>
  <c r="KQ88" i="51"/>
  <c r="KK87" i="51"/>
  <c r="LG85" i="51"/>
  <c r="MA82" i="51"/>
  <c r="MB91" i="51"/>
  <c r="MI88" i="51"/>
  <c r="KR86" i="51"/>
  <c r="LE83" i="51"/>
  <c r="MF83" i="51"/>
  <c r="MF73" i="51"/>
  <c r="KW85" i="51"/>
  <c r="KZ84" i="51"/>
  <c r="KZ83" i="51"/>
  <c r="LW73" i="51"/>
  <c r="LX89" i="51"/>
  <c r="ME86" i="51"/>
  <c r="KU78" i="51"/>
  <c r="KF74" i="51"/>
  <c r="LM85" i="51"/>
  <c r="LH84" i="51"/>
  <c r="LI83" i="51"/>
  <c r="KP77" i="51"/>
  <c r="LQ91" i="51"/>
  <c r="LL90" i="51"/>
  <c r="KJ88" i="51"/>
  <c r="LP85" i="51"/>
  <c r="LG82" i="51"/>
  <c r="LM91" i="51"/>
  <c r="MB88" i="51"/>
  <c r="KJ86" i="51"/>
  <c r="KT85" i="51"/>
  <c r="KY91" i="51"/>
  <c r="MM43" i="51"/>
  <c r="LF84" i="51"/>
  <c r="KS93" i="51"/>
  <c r="LQ89" i="51"/>
  <c r="MC84" i="51"/>
  <c r="LZ92" i="51"/>
  <c r="KJ83" i="51"/>
  <c r="LT94" i="51"/>
  <c r="KG93" i="51"/>
  <c r="MC86" i="51"/>
  <c r="LM83" i="51"/>
  <c r="LS89" i="51"/>
  <c r="KQ43" i="51"/>
  <c r="LE93" i="51"/>
  <c r="ML88" i="51"/>
  <c r="LD43" i="51"/>
  <c r="KU87" i="51"/>
  <c r="LV83" i="51"/>
  <c r="MA89" i="51"/>
  <c r="KY43" i="51"/>
  <c r="LM93" i="51"/>
  <c r="KK90" i="51"/>
  <c r="LL43" i="51"/>
  <c r="MI87" i="51"/>
  <c r="KH63" i="51"/>
  <c r="KP83" i="51"/>
  <c r="LI78" i="51"/>
  <c r="KZ73" i="51"/>
  <c r="MF69" i="51"/>
  <c r="KU76" i="51"/>
  <c r="KU90" i="51"/>
  <c r="KH89" i="51"/>
  <c r="MD77" i="51"/>
  <c r="LZ82" i="51"/>
  <c r="MD73" i="51"/>
  <c r="LE86" i="51"/>
  <c r="LO86" i="51"/>
  <c r="MJ84" i="51"/>
  <c r="LY81" i="51"/>
  <c r="KG91" i="51"/>
  <c r="KK80" i="51"/>
  <c r="LM89" i="51"/>
  <c r="LP88" i="51"/>
  <c r="LM86" i="51"/>
  <c r="KK84" i="51"/>
  <c r="KJ76" i="51"/>
  <c r="KG90" i="51"/>
  <c r="KX87" i="51"/>
  <c r="LM84" i="51"/>
  <c r="KJ92" i="51"/>
  <c r="LL62" i="51"/>
  <c r="KK76" i="51"/>
  <c r="MA86" i="51"/>
  <c r="LV85" i="51"/>
  <c r="LI84" i="51"/>
  <c r="KY81" i="51"/>
  <c r="MD90" i="51"/>
  <c r="MK87" i="51"/>
  <c r="LS63" i="51"/>
  <c r="KT76" i="51"/>
  <c r="KJ87" i="51"/>
  <c r="ML85" i="51"/>
  <c r="LQ84" i="51"/>
  <c r="LB79" i="51"/>
  <c r="LQ76" i="51"/>
  <c r="MM92" i="51"/>
  <c r="KH92" i="51"/>
  <c r="KQ89" i="51"/>
  <c r="LV86" i="51"/>
  <c r="MC83" i="51"/>
  <c r="MH89" i="51"/>
  <c r="KQ87" i="51"/>
  <c r="KQ83" i="51"/>
  <c r="LF87" i="51"/>
  <c r="KV92" i="51"/>
  <c r="LN88" i="51"/>
  <c r="KP92" i="51"/>
  <c r="KI43" i="51"/>
  <c r="MM73" i="51"/>
  <c r="KG87" i="51"/>
  <c r="MI93" i="51"/>
  <c r="ME91" i="51"/>
  <c r="LZ43" i="51"/>
  <c r="KP94" i="51"/>
  <c r="KU91" i="51"/>
  <c r="LZ85" i="51"/>
  <c r="KW69" i="51"/>
  <c r="KG81" i="51"/>
  <c r="LK94" i="51"/>
  <c r="MD92" i="51"/>
  <c r="MD84" i="51"/>
  <c r="LS91" i="51"/>
  <c r="MH85" i="51"/>
  <c r="MA79" i="51"/>
  <c r="MG82" i="51"/>
  <c r="LS94" i="51"/>
  <c r="KF93" i="51"/>
  <c r="MJ85" i="51"/>
  <c r="MC74" i="51"/>
  <c r="KZ86" i="51"/>
  <c r="ML84" i="51"/>
  <c r="KP84" i="51"/>
  <c r="KW75" i="51"/>
  <c r="MB73" i="51"/>
  <c r="LR78" i="51"/>
  <c r="KP82" i="51"/>
  <c r="KT73" i="51"/>
  <c r="KR82" i="51"/>
  <c r="KV86" i="51"/>
  <c r="KQ86" i="51"/>
  <c r="LD79" i="51"/>
  <c r="KR80" i="51"/>
  <c r="LO89" i="51"/>
  <c r="LD75" i="51"/>
  <c r="KS80" i="51"/>
  <c r="LU87" i="51"/>
  <c r="KH86" i="51"/>
  <c r="KT83" i="51"/>
  <c r="LK82" i="51"/>
  <c r="KZ76" i="51"/>
  <c r="KX82" i="51"/>
  <c r="KJ91" i="51"/>
  <c r="ML89" i="51"/>
  <c r="LS87" i="51"/>
  <c r="KR85" i="51"/>
  <c r="MG81" i="51"/>
  <c r="KY88" i="51"/>
  <c r="LG88" i="51"/>
  <c r="MB87" i="51"/>
  <c r="MA92" i="51"/>
  <c r="KV43" i="51"/>
  <c r="LZ84" i="51"/>
  <c r="LY43" i="51"/>
  <c r="MM86" i="51"/>
  <c r="LX91" i="51"/>
  <c r="MC92" i="51"/>
  <c r="LT43" i="51"/>
  <c r="LF83" i="51"/>
  <c r="KX90" i="51"/>
  <c r="MF90" i="51"/>
  <c r="LX94" i="51"/>
  <c r="LL93" i="51"/>
  <c r="MI91" i="51"/>
  <c r="ML90" i="51"/>
  <c r="KX91" i="51"/>
  <c r="MF94" i="51"/>
  <c r="LT93" i="51"/>
  <c r="KH91" i="51"/>
  <c r="LS43" i="51"/>
  <c r="KG94" i="51"/>
  <c r="LD91" i="51"/>
  <c r="LF91" i="51"/>
  <c r="KP43" i="51"/>
  <c r="MB93" i="51"/>
  <c r="MF91" i="51"/>
  <c r="MA43" i="51"/>
  <c r="KQ94" i="51"/>
  <c r="MC94" i="51"/>
  <c r="LE54" i="51"/>
  <c r="LI55" i="51"/>
  <c r="LE51" i="51"/>
  <c r="LQ48" i="51"/>
  <c r="LC44" i="51"/>
  <c r="KU48" i="51"/>
  <c r="LI51" i="51"/>
  <c r="MH48" i="51"/>
  <c r="LC50" i="51"/>
  <c r="MG52" i="51"/>
  <c r="LN44" i="51"/>
  <c r="LS46" i="51"/>
  <c r="KS47" i="51"/>
  <c r="MG49" i="51"/>
  <c r="MJ46" i="51"/>
  <c r="LK46" i="51"/>
  <c r="LY53" i="51"/>
  <c r="MK50" i="51"/>
  <c r="LW46" i="51"/>
  <c r="KK47" i="51"/>
  <c r="LS52" i="51"/>
  <c r="ME49" i="51"/>
  <c r="LQ45" i="51"/>
  <c r="ML45" i="51"/>
  <c r="KG48" i="51"/>
  <c r="MF53" i="51"/>
  <c r="MA44" i="51"/>
  <c r="KP45" i="51"/>
  <c r="LI45" i="51"/>
  <c r="KT87" i="51"/>
  <c r="LJ87" i="51"/>
  <c r="MI84" i="51"/>
  <c r="LL94" i="51"/>
  <c r="LB84" i="51"/>
  <c r="KY86" i="51"/>
  <c r="MD93" i="51"/>
  <c r="LG43" i="51"/>
  <c r="ML93" i="51"/>
  <c r="KH87" i="51"/>
  <c r="LK43" i="51"/>
  <c r="MB82" i="51"/>
  <c r="LM78" i="51"/>
  <c r="LI80" i="51"/>
  <c r="LR94" i="51"/>
  <c r="LE94" i="51"/>
  <c r="LU83" i="51"/>
  <c r="MM80" i="51"/>
  <c r="LU82" i="51"/>
  <c r="LZ94" i="51"/>
  <c r="KP93" i="51"/>
  <c r="MH86" i="51"/>
  <c r="KO43" i="51"/>
  <c r="LM81" i="51"/>
  <c r="KF84" i="51"/>
  <c r="MH94" i="51"/>
  <c r="KX93" i="51"/>
  <c r="KF88" i="51"/>
  <c r="KW43" i="51"/>
  <c r="LO45" i="51"/>
  <c r="KU54" i="51"/>
  <c r="KR53" i="51"/>
  <c r="LS54" i="51"/>
  <c r="KP46" i="51"/>
  <c r="KF50" i="51"/>
  <c r="KP54" i="51"/>
  <c r="KW51" i="51"/>
  <c r="KJ44" i="51"/>
  <c r="LY49" i="51"/>
  <c r="KS51" i="51"/>
  <c r="KY45" i="51"/>
  <c r="LT51" i="51"/>
  <c r="MC49" i="51"/>
  <c r="LL47" i="51"/>
  <c r="MI44" i="51"/>
  <c r="KX45" i="51"/>
  <c r="LJ48" i="51"/>
  <c r="MK49" i="51"/>
  <c r="ME44" i="51"/>
  <c r="LF54" i="51"/>
  <c r="KR44" i="51"/>
  <c r="LD47" i="51"/>
  <c r="ME48" i="51"/>
  <c r="LO46" i="51"/>
  <c r="KG52" i="51"/>
  <c r="LN46" i="51"/>
  <c r="LK44" i="51"/>
  <c r="KF46" i="51"/>
  <c r="LO85" i="51"/>
  <c r="LW81" i="51"/>
  <c r="ML87" i="51"/>
  <c r="LL88" i="51"/>
  <c r="KR91" i="51"/>
  <c r="LN92" i="51"/>
  <c r="LP93" i="51"/>
  <c r="LE87" i="51"/>
  <c r="LW83" i="51"/>
  <c r="LX43" i="51"/>
  <c r="MB85" i="51"/>
  <c r="KW92" i="51"/>
  <c r="MF43" i="51"/>
  <c r="KV94" i="51"/>
  <c r="LM92" i="51"/>
  <c r="KI45" i="51"/>
  <c r="LK88" i="51"/>
  <c r="KW84" i="51"/>
  <c r="LH92" i="51"/>
  <c r="KW74" i="51"/>
  <c r="LD94" i="51"/>
  <c r="LV92" i="51"/>
  <c r="KM45" i="51"/>
  <c r="KF94" i="51"/>
  <c r="LQ51" i="51"/>
  <c r="ME50" i="51"/>
  <c r="LB44" i="51"/>
  <c r="MC45" i="51"/>
  <c r="LA48" i="51"/>
  <c r="KY44" i="51"/>
  <c r="KS52" i="51"/>
  <c r="LK47" i="51"/>
  <c r="LF45" i="51"/>
  <c r="KH53" i="51"/>
  <c r="LL51" i="51"/>
  <c r="LR52" i="51"/>
  <c r="MF49" i="51"/>
  <c r="LA51" i="51"/>
  <c r="ME53" i="51"/>
  <c r="KZ49" i="51"/>
  <c r="MI46" i="51"/>
  <c r="LV46" i="51"/>
  <c r="KQ48" i="51"/>
  <c r="LU50" i="51"/>
  <c r="LT44" i="51"/>
  <c r="KF54" i="51"/>
  <c r="LP45" i="51"/>
  <c r="KJ47" i="51"/>
  <c r="LO49" i="51"/>
  <c r="KW55" i="51"/>
  <c r="LY47" i="51"/>
  <c r="LM51" i="51"/>
  <c r="LY48" i="51"/>
  <c r="LI48" i="51"/>
  <c r="MM53" i="51"/>
  <c r="LD88" i="51"/>
  <c r="MK82" i="51"/>
  <c r="LN81" i="51"/>
  <c r="KF91" i="51"/>
  <c r="KG83" i="51"/>
  <c r="LP92" i="51"/>
  <c r="KH83" i="51"/>
  <c r="MM91" i="51"/>
  <c r="LG77" i="51"/>
  <c r="LJ94" i="51"/>
  <c r="KQ93" i="51"/>
  <c r="ME94" i="51"/>
  <c r="KP88" i="51"/>
  <c r="ME90" i="51"/>
  <c r="MI85" i="51"/>
  <c r="LC93" i="51"/>
  <c r="LS92" i="51"/>
  <c r="MB43" i="51"/>
  <c r="LE91" i="51"/>
  <c r="LA86" i="51"/>
  <c r="LK93" i="51"/>
  <c r="LV88" i="51"/>
  <c r="LB43" i="51"/>
  <c r="LX93" i="51"/>
  <c r="LA82" i="51"/>
  <c r="MC91" i="51"/>
  <c r="LI86" i="51"/>
  <c r="LS93" i="51"/>
  <c r="MB89" i="51"/>
  <c r="LJ43" i="51"/>
  <c r="MF93" i="51"/>
  <c r="MH90" i="51"/>
  <c r="LH91" i="51"/>
  <c r="KF44" i="51"/>
  <c r="LA49" i="51"/>
  <c r="LM46" i="51"/>
  <c r="MH52" i="51"/>
  <c r="LC54" i="51"/>
  <c r="KW54" i="51"/>
  <c r="LL46" i="51"/>
  <c r="LW44" i="51"/>
  <c r="KY48" i="51"/>
  <c r="KT44" i="51"/>
  <c r="MM50" i="51"/>
  <c r="LW53" i="51"/>
  <c r="ME54" i="51"/>
  <c r="KJ52" i="51"/>
  <c r="MC47" i="51"/>
  <c r="KG45" i="51"/>
  <c r="MD45" i="51"/>
  <c r="LO44" i="51"/>
  <c r="MG48" i="51"/>
  <c r="KJ49" i="51"/>
  <c r="KF45" i="51"/>
  <c r="LM47" i="51"/>
  <c r="KV47" i="51"/>
  <c r="MA47" i="51"/>
  <c r="MK47" i="51"/>
  <c r="LQ55" i="51"/>
  <c r="LG46" i="51"/>
  <c r="KY49" i="51"/>
  <c r="KZ53" i="51"/>
  <c r="MA54" i="51"/>
  <c r="LB48" i="51"/>
  <c r="MC54" i="51"/>
  <c r="LS85" i="51"/>
  <c r="MJ91" i="51"/>
  <c r="LL82" i="51"/>
  <c r="KW88" i="51"/>
  <c r="KU89" i="51"/>
  <c r="LZ90" i="51"/>
  <c r="MH92" i="51"/>
  <c r="LE92" i="51"/>
  <c r="LN83" i="51"/>
  <c r="LP43" i="51"/>
  <c r="KW94" i="51"/>
  <c r="MK43" i="51"/>
  <c r="MM94" i="51"/>
  <c r="LG81" i="51"/>
  <c r="LI94" i="51"/>
  <c r="MC93" i="51"/>
  <c r="MG93" i="51"/>
  <c r="LM88" i="51"/>
  <c r="LQ94" i="51"/>
  <c r="MB92" i="51"/>
  <c r="LN84" i="51"/>
  <c r="MD94" i="51"/>
  <c r="LE43" i="51"/>
  <c r="KW82" i="51"/>
  <c r="LU88" i="51"/>
  <c r="LY94" i="51"/>
  <c r="MK92" i="51"/>
  <c r="LT85" i="51"/>
  <c r="ML94" i="51"/>
  <c r="LA43" i="51"/>
  <c r="KY94" i="51"/>
  <c r="KX54" i="51"/>
  <c r="LO52" i="51"/>
  <c r="KK44" i="51"/>
  <c r="LM45" i="51"/>
  <c r="KZ45" i="51"/>
  <c r="LE49" i="51"/>
  <c r="KQ45" i="51"/>
  <c r="KS49" i="51"/>
  <c r="LE46" i="51"/>
  <c r="LZ52" i="51"/>
  <c r="MG44" i="51"/>
  <c r="KG46" i="51"/>
  <c r="LD46" i="51"/>
  <c r="LP49" i="51"/>
  <c r="KJ51" i="51"/>
  <c r="KX46" i="51"/>
  <c r="KJ53" i="51"/>
  <c r="MI54" i="51"/>
  <c r="MD50" i="51"/>
  <c r="MG47" i="51"/>
  <c r="LK51" i="51"/>
  <c r="KU44" i="51"/>
  <c r="MC53" i="51"/>
  <c r="LX49" i="51"/>
  <c r="MA46" i="51"/>
  <c r="KT48" i="51"/>
  <c r="LU53" i="51"/>
  <c r="LJ44" i="51"/>
  <c r="MK45" i="51"/>
  <c r="KQ54" i="51"/>
  <c r="LB93" i="51"/>
  <c r="KJ89" i="51"/>
  <c r="KJ80" i="51"/>
  <c r="LT87" i="51"/>
  <c r="KG43" i="51"/>
  <c r="LQ43" i="51"/>
  <c r="LR90" i="51"/>
  <c r="MC43" i="51"/>
  <c r="KS90" i="51"/>
  <c r="LU93" i="51"/>
  <c r="LV84" i="51"/>
  <c r="LP87" i="51"/>
  <c r="LA88" i="51"/>
  <c r="KV84" i="51"/>
  <c r="LA90" i="51"/>
  <c r="LO43" i="51"/>
  <c r="LC75" i="51"/>
  <c r="KG89" i="51"/>
  <c r="LT84" i="51"/>
  <c r="LY90" i="51"/>
  <c r="LW43" i="51"/>
  <c r="MK93" i="51"/>
  <c r="KS92" i="51"/>
  <c r="MJ43" i="51"/>
  <c r="LG89" i="51"/>
  <c r="MB84" i="51"/>
  <c r="MG90" i="51"/>
  <c r="ME43" i="51"/>
  <c r="LC92" i="51"/>
  <c r="LU78" i="51"/>
  <c r="LF93" i="51"/>
  <c r="KM43" i="51"/>
  <c r="LH45" i="51"/>
  <c r="KY53" i="51"/>
  <c r="ML44" i="51"/>
  <c r="KW46" i="51"/>
  <c r="MK51" i="51"/>
  <c r="LM53" i="51"/>
  <c r="KY50" i="51"/>
  <c r="KU47" i="51"/>
  <c r="ML50" i="51"/>
  <c r="LG52" i="51"/>
  <c r="MK54" i="51"/>
  <c r="MI50" i="51"/>
  <c r="MB47" i="51"/>
  <c r="KW49" i="51"/>
  <c r="MA51" i="51"/>
  <c r="LS48" i="51"/>
  <c r="LU45" i="51"/>
  <c r="LE45" i="51"/>
  <c r="KG53" i="51"/>
  <c r="MA48" i="51"/>
  <c r="LW48" i="51"/>
  <c r="MM44" i="51"/>
  <c r="MI51" i="51"/>
  <c r="LU47" i="51"/>
  <c r="LE50" i="51"/>
  <c r="KR45" i="51"/>
  <c r="LU46" i="51"/>
  <c r="ME46" i="51"/>
  <c r="LA55" i="51"/>
  <c r="KX72" i="51"/>
  <c r="LH72" i="51"/>
  <c r="MG76" i="51"/>
  <c r="LR89" i="51"/>
  <c r="KW93" i="51"/>
  <c r="MM93" i="51"/>
  <c r="MA91" i="51"/>
  <c r="LH85" i="51"/>
  <c r="KJ93" i="51"/>
  <c r="MA94" i="51"/>
  <c r="KT92" i="51"/>
  <c r="MJ89" i="51"/>
  <c r="LH86" i="51"/>
  <c r="KK86" i="51"/>
  <c r="KV85" i="51"/>
  <c r="ML92" i="51"/>
  <c r="LU81" i="51"/>
  <c r="MF86" i="51"/>
  <c r="LD89" i="51"/>
  <c r="LB86" i="51"/>
  <c r="KJ43" i="51"/>
  <c r="LG93" i="51"/>
  <c r="KV89" i="51"/>
  <c r="KU82" i="51"/>
  <c r="KF87" i="51"/>
  <c r="LJ90" i="51"/>
  <c r="LH87" i="51"/>
  <c r="KS43" i="51"/>
  <c r="LO93" i="51"/>
  <c r="LB90" i="51"/>
  <c r="LR43" i="51"/>
  <c r="LG50" i="51"/>
  <c r="LW49" i="51"/>
  <c r="LI44" i="51"/>
  <c r="LS44" i="51"/>
  <c r="KY52" i="51"/>
  <c r="LX53" i="51"/>
  <c r="MB51" i="51"/>
  <c r="KK52" i="51"/>
  <c r="KV44" i="51"/>
  <c r="KQ53" i="51"/>
  <c r="MD44" i="51"/>
  <c r="LS47" i="51"/>
  <c r="MM49" i="51"/>
  <c r="KQ50" i="51"/>
  <c r="LF50" i="51"/>
  <c r="LM50" i="51"/>
  <c r="KH45" i="51"/>
  <c r="MM46" i="51"/>
  <c r="KS44" i="51"/>
  <c r="LN50" i="51"/>
  <c r="LK54" i="51"/>
  <c r="LG44" i="51"/>
  <c r="MG45" i="51"/>
  <c r="KV46" i="51"/>
  <c r="LH49" i="51"/>
  <c r="LX44" i="51"/>
  <c r="LG49" i="51"/>
  <c r="LW52" i="51"/>
  <c r="LR48" i="51"/>
  <c r="LY45" i="51"/>
  <c r="KX78" i="51"/>
  <c r="LF78" i="51"/>
  <c r="KW90" i="51"/>
  <c r="LZ93" i="51"/>
  <c r="MF87" i="51"/>
  <c r="KU92" i="51"/>
  <c r="LH43" i="51"/>
  <c r="KV82" i="51"/>
  <c r="ML43" i="51"/>
  <c r="MG43" i="51"/>
  <c r="LH93" i="51"/>
  <c r="MF85" i="51"/>
  <c r="LT88" i="51"/>
  <c r="KT93" i="51"/>
  <c r="KX92" i="51"/>
  <c r="KT43" i="51"/>
  <c r="LN86" i="51"/>
  <c r="KK89" i="51"/>
  <c r="LJ93" i="51"/>
  <c r="LI92" i="51"/>
  <c r="MA81" i="51"/>
  <c r="LM94" i="51"/>
  <c r="MG92" i="51"/>
  <c r="ML86" i="51"/>
  <c r="KT89" i="51"/>
  <c r="LR93" i="51"/>
  <c r="LR92" i="51"/>
  <c r="KU83" i="51"/>
  <c r="LU94" i="51"/>
  <c r="KH93" i="51"/>
  <c r="LL92" i="51"/>
  <c r="KT52" i="51"/>
  <c r="LC47" i="51"/>
  <c r="LK50" i="51"/>
  <c r="LF46" i="51"/>
  <c r="LV44" i="51"/>
  <c r="MH44" i="51"/>
  <c r="KW53" i="51"/>
  <c r="LG45" i="51"/>
  <c r="LA44" i="51"/>
  <c r="LV50" i="51"/>
  <c r="KQ52" i="51"/>
  <c r="LE53" i="51"/>
  <c r="KZ44" i="51"/>
  <c r="MJ51" i="51"/>
  <c r="MM48" i="51"/>
  <c r="LQ52" i="51"/>
  <c r="LA45" i="51"/>
  <c r="MM45" i="51"/>
  <c r="LZ48" i="51"/>
  <c r="KU50" i="51"/>
  <c r="LY52" i="51"/>
  <c r="MF44" i="51"/>
  <c r="LF44" i="51"/>
  <c r="LT47" i="51"/>
  <c r="LS51" i="51"/>
  <c r="LQ47" i="51"/>
  <c r="KS48" i="51"/>
  <c r="MC50" i="51"/>
  <c r="KH44" i="51"/>
  <c r="MB45" i="51"/>
  <c r="MD60" i="51"/>
  <c r="LJ52" i="51"/>
  <c r="MC48" i="51"/>
  <c r="KO44" i="51"/>
  <c r="LB58" i="51"/>
  <c r="LT48" i="51"/>
  <c r="LZ54" i="51"/>
  <c r="KT55" i="51"/>
  <c r="KF57" i="51"/>
  <c r="KK58" i="51"/>
  <c r="MK61" i="51"/>
  <c r="LB52" i="51"/>
  <c r="LD61" i="51"/>
  <c r="LH48" i="51"/>
  <c r="KQ56" i="51"/>
  <c r="KJ45" i="51"/>
  <c r="LM57" i="51"/>
  <c r="LW45" i="51"/>
  <c r="MD49" i="51"/>
  <c r="LJ58" i="51"/>
  <c r="LX47" i="51"/>
  <c r="MA50" i="51"/>
  <c r="KU58" i="51"/>
  <c r="B9" i="56"/>
  <c r="F10" i="56" s="1"/>
  <c r="KJ56" i="51"/>
  <c r="LR54" i="51"/>
  <c r="KT51" i="51"/>
  <c r="LF48" i="51"/>
  <c r="LH59" i="51"/>
  <c r="MI52" i="51"/>
  <c r="LO50" i="51"/>
  <c r="KQ46" i="51"/>
  <c r="KW47" i="51"/>
  <c r="LM54" i="51"/>
  <c r="LF47" i="51"/>
  <c r="KW44" i="51"/>
  <c r="KF51" i="51"/>
  <c r="KP44" i="51"/>
  <c r="LI53" i="51"/>
  <c r="MF52" i="51"/>
  <c r="KT58" i="51"/>
  <c r="KU51" i="51"/>
  <c r="LP59" i="51"/>
  <c r="LH50" i="51"/>
  <c r="KF52" i="51"/>
  <c r="LL48" i="51"/>
  <c r="KZ52" i="51"/>
  <c r="LC59" i="51"/>
  <c r="KX60" i="51"/>
  <c r="LD52" i="51"/>
  <c r="MB58" i="51"/>
  <c r="LV57" i="51"/>
  <c r="LG54" i="51"/>
  <c r="MA52" i="51"/>
  <c r="LQ49" i="51"/>
  <c r="LV45" i="51"/>
  <c r="KG44" i="51"/>
  <c r="LF60" i="51"/>
  <c r="MK56" i="51"/>
  <c r="KX44" i="51"/>
  <c r="KG54" i="51"/>
  <c r="LG48" i="51"/>
  <c r="KF55" i="51"/>
  <c r="KZ59" i="51"/>
  <c r="LW58" i="51"/>
  <c r="LM55" i="51"/>
  <c r="KV48" i="51"/>
  <c r="KT54" i="51"/>
  <c r="LR49" i="51"/>
  <c r="LL54" i="51"/>
  <c r="LB53" i="51"/>
  <c r="KY46" i="51"/>
  <c r="LP56" i="51"/>
  <c r="MG46" i="51"/>
  <c r="MF55" i="51"/>
  <c r="LM61" i="51"/>
  <c r="LG60" i="51"/>
  <c r="MK46" i="51"/>
  <c r="ME52" i="51"/>
  <c r="LL61" i="51"/>
  <c r="KG61" i="51"/>
  <c r="LU48" i="51"/>
  <c r="KU52" i="51"/>
  <c r="LJ60" i="51"/>
  <c r="LD51" i="51"/>
  <c r="LJ49" i="51"/>
  <c r="LX50" i="51"/>
  <c r="MC59" i="51"/>
  <c r="KT45" i="51"/>
  <c r="LB49" i="51"/>
  <c r="LP61" i="51"/>
  <c r="KW50" i="51"/>
  <c r="KS45" i="51"/>
  <c r="KY55" i="51"/>
  <c r="KG50" i="51"/>
  <c r="MJ44" i="51"/>
  <c r="KR57" i="51"/>
  <c r="LI47" i="51"/>
  <c r="KQ49" i="51"/>
  <c r="LP54" i="51"/>
  <c r="MC51" i="51"/>
  <c r="MH45" i="51"/>
  <c r="KR50" i="51"/>
  <c r="LB47" i="51"/>
  <c r="KP51" i="51"/>
  <c r="LQ53" i="51"/>
  <c r="MK48" i="51"/>
  <c r="LO57" i="51"/>
  <c r="LH47" i="51"/>
  <c r="KV53" i="51"/>
  <c r="MH59" i="51"/>
  <c r="LY51" i="51"/>
  <c r="KK45" i="51"/>
  <c r="MC44" i="51"/>
  <c r="LU54" i="51"/>
  <c r="LI49" i="51"/>
  <c r="KV50" i="51"/>
  <c r="MJ52" i="51"/>
  <c r="MF57" i="51"/>
  <c r="KX58" i="51"/>
  <c r="MG51" i="51"/>
  <c r="LO53" i="51"/>
  <c r="MA59" i="51"/>
  <c r="LN60" i="51"/>
  <c r="KJ46" i="51"/>
  <c r="KF47" i="51"/>
  <c r="KJ55" i="51"/>
  <c r="MD46" i="51"/>
  <c r="KV54" i="51"/>
  <c r="KH52" i="51"/>
  <c r="KZ51" i="51"/>
  <c r="LU58" i="51"/>
  <c r="LF52" i="51"/>
  <c r="LQ54" i="51"/>
  <c r="KG47" i="51"/>
  <c r="LQ44" i="51"/>
  <c r="LY59" i="51"/>
  <c r="KU46" i="51"/>
  <c r="MB54" i="51"/>
  <c r="LH52" i="51"/>
  <c r="KG55" i="51"/>
  <c r="LC46" i="51"/>
  <c r="KV55" i="51"/>
  <c r="KP56" i="51"/>
  <c r="KQ57" i="51"/>
  <c r="MG60" i="51"/>
  <c r="LT61" i="51"/>
  <c r="MD53" i="51"/>
  <c r="LM44" i="51"/>
  <c r="LW47" i="51"/>
  <c r="KF61" i="51"/>
  <c r="LO61" i="51"/>
  <c r="MI48" i="51"/>
  <c r="MB44" i="51"/>
  <c r="MM54" i="51"/>
  <c r="KH56" i="51"/>
  <c r="MI49" i="51"/>
  <c r="LU57" i="51"/>
  <c r="KX56" i="51"/>
  <c r="LO56" i="51"/>
  <c r="LT50" i="51"/>
  <c r="KK56" i="51"/>
  <c r="KS55" i="51"/>
  <c r="KP47" i="51"/>
  <c r="LI56" i="51"/>
  <c r="KV57" i="51"/>
  <c r="KW58" i="51"/>
  <c r="KR46" i="51"/>
  <c r="KY51" i="51"/>
  <c r="LN48" i="51"/>
  <c r="LD50" i="51"/>
  <c r="LC52" i="51"/>
  <c r="KT50" i="51"/>
  <c r="LS50" i="51"/>
  <c r="LY44" i="51"/>
  <c r="LG53" i="51"/>
  <c r="MA58" i="51"/>
  <c r="LD57" i="51"/>
  <c r="ML60" i="51"/>
  <c r="LX59" i="51"/>
  <c r="KK48" i="51"/>
  <c r="LR58" i="51"/>
  <c r="ME45" i="51"/>
  <c r="LF61" i="51"/>
  <c r="LC45" i="51"/>
  <c r="LS55" i="51"/>
  <c r="KT59" i="51"/>
  <c r="KX47" i="51"/>
  <c r="LK53" i="51"/>
  <c r="ME60" i="51"/>
  <c r="MJ47" i="51"/>
  <c r="KR59" i="51"/>
  <c r="LA54" i="51"/>
  <c r="MG53" i="51"/>
  <c r="LA59" i="51"/>
  <c r="LG56" i="51"/>
  <c r="LH44" i="51"/>
  <c r="KT49" i="51"/>
  <c r="LF55" i="51"/>
  <c r="KV51" i="51"/>
  <c r="LR51" i="51"/>
  <c r="LC49" i="51"/>
  <c r="G36" i="45"/>
  <c r="F36" i="45"/>
  <c r="B49" i="6"/>
  <c r="C49" i="6" s="1"/>
  <c r="D49" i="6" s="1"/>
  <c r="F47" i="6"/>
  <c r="F46" i="6"/>
  <c r="J46" i="6"/>
  <c r="J47" i="6"/>
  <c r="KN94" i="51" l="1"/>
  <c r="MR94" i="51" s="1"/>
  <c r="KN50" i="51"/>
  <c r="MR50" i="51" s="1"/>
  <c r="KO50" i="51"/>
  <c r="KN88" i="51"/>
  <c r="MR88" i="51" s="1"/>
  <c r="KN78" i="51"/>
  <c r="MR78" i="51" s="1"/>
  <c r="KN81" i="51"/>
  <c r="MR81" i="51" s="1"/>
  <c r="KN75" i="51"/>
  <c r="MR75" i="51" s="1"/>
  <c r="KO75" i="51"/>
  <c r="KN49" i="51"/>
  <c r="MR49" i="51" s="1"/>
  <c r="KN67" i="51"/>
  <c r="MR67" i="51" s="1"/>
  <c r="KO67" i="51"/>
  <c r="KN57" i="51"/>
  <c r="MR57" i="51" s="1"/>
  <c r="KN89" i="51"/>
  <c r="MR89" i="51" s="1"/>
  <c r="KO89" i="51"/>
  <c r="KN86" i="51"/>
  <c r="MR86" i="51" s="1"/>
  <c r="KN72" i="51"/>
  <c r="MR72" i="51" s="1"/>
  <c r="KN63" i="51"/>
  <c r="MR63" i="51" s="1"/>
  <c r="KN62" i="51"/>
  <c r="MR62" i="51" s="1"/>
  <c r="KO62" i="51"/>
  <c r="KN61" i="51"/>
  <c r="MR61" i="51" s="1"/>
  <c r="KN54" i="51"/>
  <c r="MR54" i="51" s="1"/>
  <c r="KO54" i="51"/>
  <c r="KN70" i="51"/>
  <c r="MR70" i="51" s="1"/>
  <c r="KN73" i="51"/>
  <c r="MR73" i="51" s="1"/>
  <c r="KO73" i="51"/>
  <c r="KN66" i="51"/>
  <c r="MR66" i="51" s="1"/>
  <c r="KN71" i="51"/>
  <c r="MR71" i="51" s="1"/>
  <c r="KO71" i="51"/>
  <c r="KN68" i="51"/>
  <c r="MR68" i="51" s="1"/>
  <c r="KN53" i="51"/>
  <c r="MR53" i="51" s="1"/>
  <c r="KO53" i="51"/>
  <c r="KN45" i="51"/>
  <c r="MR45" i="51" s="1"/>
  <c r="KN84" i="51"/>
  <c r="MR84" i="51" s="1"/>
  <c r="KO84" i="51"/>
  <c r="KN80" i="51"/>
  <c r="MR80" i="51" s="1"/>
  <c r="KN48" i="51"/>
  <c r="MR48" i="51" s="1"/>
  <c r="KO48" i="51"/>
  <c r="KN83" i="51"/>
  <c r="MR83" i="51" s="1"/>
  <c r="KN69" i="51"/>
  <c r="MR69" i="51" s="1"/>
  <c r="KO69" i="51"/>
  <c r="KN56" i="51"/>
  <c r="MR56" i="51" s="1"/>
  <c r="KN55" i="51"/>
  <c r="MR55" i="51" s="1"/>
  <c r="KO55" i="51"/>
  <c r="KN90" i="51"/>
  <c r="MR90" i="51" s="1"/>
  <c r="KN76" i="51"/>
  <c r="MR76" i="51" s="1"/>
  <c r="KN85" i="51"/>
  <c r="MR85" i="51" s="1"/>
  <c r="KN82" i="51"/>
  <c r="MR82" i="51" s="1"/>
  <c r="KO82" i="51"/>
  <c r="KN60" i="51"/>
  <c r="MR60" i="51" s="1"/>
  <c r="KN58" i="51"/>
  <c r="MR58" i="51" s="1"/>
  <c r="KO58" i="51"/>
  <c r="KN52" i="51"/>
  <c r="MR52" i="51" s="1"/>
  <c r="KN51" i="51"/>
  <c r="KO51" i="51"/>
  <c r="KN87" i="51"/>
  <c r="MR87" i="51" s="1"/>
  <c r="KN91" i="51"/>
  <c r="MR91" i="51" s="1"/>
  <c r="KO91" i="51"/>
  <c r="KN92" i="51"/>
  <c r="MR92" i="51" s="1"/>
  <c r="KN77" i="51"/>
  <c r="MR77" i="51" s="1"/>
  <c r="KO77" i="51"/>
  <c r="KN64" i="51"/>
  <c r="MR64" i="51" s="1"/>
  <c r="KN93" i="51"/>
  <c r="MR93" i="51" s="1"/>
  <c r="KN79" i="51"/>
  <c r="MR79" i="51" s="1"/>
  <c r="KN65" i="51"/>
  <c r="MR65" i="51" s="1"/>
  <c r="KO65" i="51"/>
  <c r="KN59" i="51"/>
  <c r="MR59" i="51" s="1"/>
  <c r="KN74" i="51"/>
  <c r="MR74" i="51" s="1"/>
  <c r="KN46" i="51"/>
  <c r="MR46" i="51" s="1"/>
  <c r="KN47" i="51"/>
  <c r="MR47" i="51" s="1"/>
  <c r="KO46" i="51"/>
  <c r="KO47" i="51"/>
  <c r="LJ98" i="51"/>
  <c r="MJ98" i="51"/>
  <c r="LO98" i="51"/>
  <c r="MC98" i="51"/>
  <c r="LA98" i="51"/>
  <c r="LB98" i="51"/>
  <c r="LK98" i="51"/>
  <c r="MM98" i="51"/>
  <c r="LM98" i="51"/>
  <c r="MD98" i="51"/>
  <c r="KH98" i="51"/>
  <c r="LC98" i="51"/>
  <c r="MF98" i="51"/>
  <c r="KZ98" i="51"/>
  <c r="MG98" i="51"/>
  <c r="LQ98" i="51"/>
  <c r="MK98" i="51"/>
  <c r="LL98" i="51"/>
  <c r="LI98" i="51"/>
  <c r="LN98" i="51"/>
  <c r="KT98" i="51"/>
  <c r="ML98" i="51"/>
  <c r="LW98" i="51"/>
  <c r="KG98" i="51"/>
  <c r="LG98" i="51"/>
  <c r="LS98" i="51"/>
  <c r="LY98" i="51"/>
  <c r="KR98" i="51"/>
  <c r="KX98" i="51"/>
  <c r="LR98" i="51"/>
  <c r="ME98" i="51"/>
  <c r="LP98" i="51"/>
  <c r="LX98" i="51"/>
  <c r="MA98" i="51"/>
  <c r="KQ98" i="51"/>
  <c r="MH98" i="51"/>
  <c r="LF98" i="51"/>
  <c r="MI98" i="51"/>
  <c r="LH98" i="51"/>
  <c r="MB98" i="51"/>
  <c r="KV98" i="51"/>
  <c r="LZ98" i="51"/>
  <c r="KY98" i="51"/>
  <c r="KK98" i="51"/>
  <c r="KF98" i="51"/>
  <c r="LV98" i="51"/>
  <c r="LD98" i="51"/>
  <c r="KJ98" i="51"/>
  <c r="KW98" i="51"/>
  <c r="LU98" i="51"/>
  <c r="KS98" i="51"/>
  <c r="LE98" i="51"/>
  <c r="KP98" i="51"/>
  <c r="LT98" i="51"/>
  <c r="MR43" i="51"/>
  <c r="KU98" i="51"/>
  <c r="KO45" i="51"/>
  <c r="KO79" i="51"/>
  <c r="KO56" i="51"/>
  <c r="KO72" i="51"/>
  <c r="KO70" i="51"/>
  <c r="KO80" i="51"/>
  <c r="KO52" i="51"/>
  <c r="KO88" i="51"/>
  <c r="KO93" i="51"/>
  <c r="KO92" i="51"/>
  <c r="KO90" i="51"/>
  <c r="KO85" i="51"/>
  <c r="KO63" i="51"/>
  <c r="KO81" i="51"/>
  <c r="KO83" i="51"/>
  <c r="KO68" i="51"/>
  <c r="KO49" i="51"/>
  <c r="KO61" i="51"/>
  <c r="KO94" i="51"/>
  <c r="KO78" i="51"/>
  <c r="KO64" i="51"/>
  <c r="KO66" i="51"/>
  <c r="KO76" i="51"/>
  <c r="KO60" i="51"/>
  <c r="KO57" i="51"/>
  <c r="KO87" i="51"/>
  <c r="KO74" i="51"/>
  <c r="KO86" i="51"/>
  <c r="KO59" i="51"/>
  <c r="MQ44" i="51"/>
  <c r="MO44" i="51"/>
  <c r="MQ45" i="51"/>
  <c r="MO45" i="51"/>
  <c r="MQ43" i="51"/>
  <c r="MO43" i="51"/>
  <c r="MN45" i="51"/>
  <c r="KL45" i="51"/>
  <c r="MP45" i="51" s="1"/>
  <c r="MN44" i="51"/>
  <c r="KL44" i="51"/>
  <c r="MN43" i="51"/>
  <c r="KL43" i="51"/>
  <c r="MR51" i="51"/>
  <c r="MI96" i="51"/>
  <c r="KH96" i="51"/>
  <c r="KJ97" i="51"/>
  <c r="KJ96" i="51"/>
  <c r="Q386" i="51" a="1"/>
  <c r="Q386" i="51" s="1"/>
  <c r="T386" i="51" a="1"/>
  <c r="T386" i="51" s="1"/>
  <c r="V386" i="51" a="1"/>
  <c r="V386" i="51" s="1"/>
  <c r="Z386" i="51" a="1"/>
  <c r="Z386" i="51" s="1"/>
  <c r="W386" i="51" a="1"/>
  <c r="W386" i="51" s="1"/>
  <c r="U386" i="51" a="1"/>
  <c r="U386" i="51" s="1"/>
  <c r="R386" i="51" a="1"/>
  <c r="R386" i="51" s="1"/>
  <c r="X386" i="51" a="1"/>
  <c r="X386" i="51" s="1"/>
  <c r="S386" i="51" a="1"/>
  <c r="S386" i="51" s="1"/>
  <c r="Y386" i="51" a="1"/>
  <c r="Y386" i="51" s="1"/>
  <c r="P386" i="51" a="1"/>
  <c r="P386" i="51" s="1"/>
  <c r="O386" i="51" a="1"/>
  <c r="O386" i="51" s="1"/>
  <c r="LQ96" i="51"/>
  <c r="LQ97" i="51"/>
  <c r="X419" i="51" a="1"/>
  <c r="X419" i="51" s="1"/>
  <c r="S419" i="51" a="1"/>
  <c r="S419" i="51" s="1"/>
  <c r="R419" i="51" a="1"/>
  <c r="R419" i="51" s="1"/>
  <c r="V419" i="51" a="1"/>
  <c r="V419" i="51" s="1"/>
  <c r="Y419" i="51" a="1"/>
  <c r="Y419" i="51" s="1"/>
  <c r="P419" i="51" a="1"/>
  <c r="P419" i="51" s="1"/>
  <c r="Q419" i="51" a="1"/>
  <c r="Q419" i="51" s="1"/>
  <c r="W419" i="51" a="1"/>
  <c r="W419" i="51" s="1"/>
  <c r="U419" i="51" a="1"/>
  <c r="U419" i="51" s="1"/>
  <c r="T419" i="51" a="1"/>
  <c r="T419" i="51" s="1"/>
  <c r="O419" i="51" a="1"/>
  <c r="O419" i="51" s="1"/>
  <c r="Z419" i="51" a="1"/>
  <c r="Z419" i="51" s="1"/>
  <c r="LB97" i="51"/>
  <c r="LB96" i="51"/>
  <c r="Y404" i="51" a="1"/>
  <c r="Y404" i="51" s="1"/>
  <c r="R404" i="51" a="1"/>
  <c r="R404" i="51" s="1"/>
  <c r="S404" i="51" a="1"/>
  <c r="S404" i="51" s="1"/>
  <c r="U404" i="51" a="1"/>
  <c r="U404" i="51" s="1"/>
  <c r="W404" i="51" a="1"/>
  <c r="W404" i="51" s="1"/>
  <c r="X404" i="51" a="1"/>
  <c r="X404" i="51" s="1"/>
  <c r="P404" i="51" a="1"/>
  <c r="P404" i="51" s="1"/>
  <c r="Q404" i="51" a="1"/>
  <c r="Q404" i="51" s="1"/>
  <c r="Z404" i="51" a="1"/>
  <c r="Z404" i="51" s="1"/>
  <c r="T404" i="51" a="1"/>
  <c r="T404" i="51" s="1"/>
  <c r="O404" i="51" a="1"/>
  <c r="O404" i="51" s="1"/>
  <c r="V404" i="51" a="1"/>
  <c r="V404" i="51" s="1"/>
  <c r="MM97" i="51"/>
  <c r="S441" i="51" a="1"/>
  <c r="S441" i="51" s="1"/>
  <c r="T441" i="51" a="1"/>
  <c r="T441" i="51" s="1"/>
  <c r="V441" i="51" a="1"/>
  <c r="V441" i="51" s="1"/>
  <c r="X441" i="51" a="1"/>
  <c r="X441" i="51" s="1"/>
  <c r="Q441" i="51" a="1"/>
  <c r="Q441" i="51" s="1"/>
  <c r="U441" i="51" a="1"/>
  <c r="U441" i="51" s="1"/>
  <c r="Y441" i="51" a="1"/>
  <c r="Y441" i="51" s="1"/>
  <c r="O441" i="51" a="1"/>
  <c r="O441" i="51" s="1"/>
  <c r="R441" i="51" a="1"/>
  <c r="R441" i="51" s="1"/>
  <c r="W441" i="51" a="1"/>
  <c r="W441" i="51" s="1"/>
  <c r="P441" i="51" a="1"/>
  <c r="P441" i="51" s="1"/>
  <c r="Z441" i="51" a="1"/>
  <c r="Z441" i="51" s="1"/>
  <c r="ML97" i="51"/>
  <c r="LV97" i="51"/>
  <c r="LJ97" i="51"/>
  <c r="KS97" i="51"/>
  <c r="KS96" i="51"/>
  <c r="Y395" i="51" a="1"/>
  <c r="Y395" i="51" s="1"/>
  <c r="Q395" i="51" a="1"/>
  <c r="Q395" i="51" s="1"/>
  <c r="U395" i="51" a="1"/>
  <c r="U395" i="51" s="1"/>
  <c r="W395" i="51" a="1"/>
  <c r="W395" i="51" s="1"/>
  <c r="P395" i="51" a="1"/>
  <c r="P395" i="51" s="1"/>
  <c r="R395" i="51" a="1"/>
  <c r="R395" i="51" s="1"/>
  <c r="V395" i="51" a="1"/>
  <c r="V395" i="51" s="1"/>
  <c r="S395" i="51" a="1"/>
  <c r="S395" i="51" s="1"/>
  <c r="T395" i="51" a="1"/>
  <c r="T395" i="51" s="1"/>
  <c r="O395" i="51" a="1"/>
  <c r="O395" i="51" s="1"/>
  <c r="Z395" i="51" a="1"/>
  <c r="Z395" i="51" s="1"/>
  <c r="X395" i="51" a="1"/>
  <c r="X395" i="51" s="1"/>
  <c r="LW97" i="51"/>
  <c r="LW96" i="51"/>
  <c r="P425" i="51" a="1"/>
  <c r="P425" i="51" s="1"/>
  <c r="Q425" i="51" a="1"/>
  <c r="Q425" i="51" s="1"/>
  <c r="T425" i="51" a="1"/>
  <c r="T425" i="51" s="1"/>
  <c r="U425" i="51" a="1"/>
  <c r="U425" i="51" s="1"/>
  <c r="R425" i="51" a="1"/>
  <c r="R425" i="51" s="1"/>
  <c r="W425" i="51" a="1"/>
  <c r="W425" i="51" s="1"/>
  <c r="X425" i="51" a="1"/>
  <c r="X425" i="51" s="1"/>
  <c r="V425" i="51" a="1"/>
  <c r="V425" i="51" s="1"/>
  <c r="Z425" i="51" a="1"/>
  <c r="Z425" i="51" s="1"/>
  <c r="S425" i="51" a="1"/>
  <c r="S425" i="51" s="1"/>
  <c r="Y425" i="51" a="1"/>
  <c r="Y425" i="51" s="1"/>
  <c r="O425" i="51" a="1"/>
  <c r="O425" i="51" s="1"/>
  <c r="KG97" i="51"/>
  <c r="KG96" i="51"/>
  <c r="W383" i="51" a="1"/>
  <c r="W383" i="51" s="1"/>
  <c r="X383" i="51" a="1"/>
  <c r="X383" i="51" s="1"/>
  <c r="T383" i="51" a="1"/>
  <c r="T383" i="51" s="1"/>
  <c r="R383" i="51" a="1"/>
  <c r="R383" i="51" s="1"/>
  <c r="V383" i="51" a="1"/>
  <c r="V383" i="51" s="1"/>
  <c r="Z383" i="51" a="1"/>
  <c r="Z383" i="51" s="1"/>
  <c r="U383" i="51" a="1"/>
  <c r="U383" i="51" s="1"/>
  <c r="Q383" i="51" a="1"/>
  <c r="Q383" i="51" s="1"/>
  <c r="Y383" i="51" a="1"/>
  <c r="Y383" i="51" s="1"/>
  <c r="O383" i="51" a="1"/>
  <c r="O383" i="51" s="1"/>
  <c r="P383" i="51" a="1"/>
  <c r="P383" i="51" s="1"/>
  <c r="S383" i="51" a="1"/>
  <c r="S383" i="51" s="1"/>
  <c r="LJ96" i="51"/>
  <c r="P412" i="51" a="1"/>
  <c r="P412" i="51" s="1"/>
  <c r="Y412" i="51" a="1"/>
  <c r="Y412" i="51" s="1"/>
  <c r="R412" i="51" a="1"/>
  <c r="R412" i="51" s="1"/>
  <c r="T412" i="51" a="1"/>
  <c r="T412" i="51" s="1"/>
  <c r="U412" i="51" a="1"/>
  <c r="U412" i="51" s="1"/>
  <c r="Q412" i="51" a="1"/>
  <c r="Q412" i="51" s="1"/>
  <c r="V412" i="51" a="1"/>
  <c r="V412" i="51" s="1"/>
  <c r="X412" i="51" a="1"/>
  <c r="X412" i="51" s="1"/>
  <c r="S412" i="51" a="1"/>
  <c r="S412" i="51" s="1"/>
  <c r="Z412" i="51" a="1"/>
  <c r="Z412" i="51" s="1"/>
  <c r="O412" i="51" a="1"/>
  <c r="O412" i="51" s="1"/>
  <c r="W412" i="51" a="1"/>
  <c r="W412" i="51" s="1"/>
  <c r="KW96" i="51"/>
  <c r="KW97" i="51"/>
  <c r="S399" i="51" a="1"/>
  <c r="S399" i="51" s="1"/>
  <c r="Q399" i="51" a="1"/>
  <c r="Q399" i="51" s="1"/>
  <c r="Z399" i="51" a="1"/>
  <c r="Z399" i="51" s="1"/>
  <c r="R399" i="51" a="1"/>
  <c r="R399" i="51" s="1"/>
  <c r="X399" i="51" a="1"/>
  <c r="X399" i="51" s="1"/>
  <c r="Y399" i="51" a="1"/>
  <c r="Y399" i="51" s="1"/>
  <c r="V399" i="51" a="1"/>
  <c r="V399" i="51" s="1"/>
  <c r="W399" i="51" a="1"/>
  <c r="W399" i="51" s="1"/>
  <c r="P399" i="51" a="1"/>
  <c r="P399" i="51" s="1"/>
  <c r="T399" i="51" a="1"/>
  <c r="T399" i="51" s="1"/>
  <c r="O399" i="51" a="1"/>
  <c r="O399" i="51" s="1"/>
  <c r="U399" i="51" a="1"/>
  <c r="U399" i="51" s="1"/>
  <c r="LS96" i="51"/>
  <c r="LS97" i="51"/>
  <c r="W421" i="51" a="1"/>
  <c r="W421" i="51" s="1"/>
  <c r="S421" i="51" a="1"/>
  <c r="S421" i="51" s="1"/>
  <c r="O421" i="51" a="1"/>
  <c r="O421" i="51" s="1"/>
  <c r="X421" i="51" a="1"/>
  <c r="X421" i="51" s="1"/>
  <c r="Y421" i="51" a="1"/>
  <c r="Y421" i="51" s="1"/>
  <c r="T421" i="51" a="1"/>
  <c r="T421" i="51" s="1"/>
  <c r="R421" i="51" a="1"/>
  <c r="R421" i="51" s="1"/>
  <c r="U421" i="51" a="1"/>
  <c r="U421" i="51" s="1"/>
  <c r="Q421" i="51" a="1"/>
  <c r="Q421" i="51" s="1"/>
  <c r="P421" i="51" a="1"/>
  <c r="P421" i="51" s="1"/>
  <c r="V421" i="51" a="1"/>
  <c r="V421" i="51" s="1"/>
  <c r="Z421" i="51" a="1"/>
  <c r="Z421" i="51" s="1"/>
  <c r="LY96" i="51"/>
  <c r="Y427" i="51" a="1"/>
  <c r="Y427" i="51" s="1"/>
  <c r="W427" i="51" a="1"/>
  <c r="W427" i="51" s="1"/>
  <c r="U427" i="51" a="1"/>
  <c r="U427" i="51" s="1"/>
  <c r="X427" i="51" a="1"/>
  <c r="X427" i="51" s="1"/>
  <c r="R427" i="51" a="1"/>
  <c r="R427" i="51" s="1"/>
  <c r="Z427" i="51" a="1"/>
  <c r="Z427" i="51" s="1"/>
  <c r="V427" i="51" a="1"/>
  <c r="V427" i="51" s="1"/>
  <c r="P427" i="51" a="1"/>
  <c r="P427" i="51" s="1"/>
  <c r="O427" i="51" a="1"/>
  <c r="O427" i="51" s="1"/>
  <c r="T427" i="51" a="1"/>
  <c r="T427" i="51" s="1"/>
  <c r="Q427" i="51" a="1"/>
  <c r="Q427" i="51" s="1"/>
  <c r="S427" i="51" a="1"/>
  <c r="S427" i="51" s="1"/>
  <c r="LD96" i="51"/>
  <c r="LD97" i="51"/>
  <c r="Y406" i="51" a="1"/>
  <c r="Y406" i="51" s="1"/>
  <c r="S406" i="51" a="1"/>
  <c r="S406" i="51" s="1"/>
  <c r="W406" i="51" a="1"/>
  <c r="W406" i="51" s="1"/>
  <c r="R406" i="51" a="1"/>
  <c r="R406" i="51" s="1"/>
  <c r="Q406" i="51" a="1"/>
  <c r="Q406" i="51" s="1"/>
  <c r="Z406" i="51" a="1"/>
  <c r="Z406" i="51" s="1"/>
  <c r="P406" i="51" a="1"/>
  <c r="P406" i="51" s="1"/>
  <c r="X406" i="51" a="1"/>
  <c r="X406" i="51" s="1"/>
  <c r="T406" i="51" a="1"/>
  <c r="T406" i="51" s="1"/>
  <c r="V406" i="51" a="1"/>
  <c r="V406" i="51" s="1"/>
  <c r="O406" i="51" a="1"/>
  <c r="O406" i="51" s="1"/>
  <c r="U406" i="51" a="1"/>
  <c r="U406" i="51" s="1"/>
  <c r="LV96" i="51"/>
  <c r="W424" i="51" a="1"/>
  <c r="W424" i="51" s="1"/>
  <c r="R424" i="51" a="1"/>
  <c r="R424" i="51" s="1"/>
  <c r="U424" i="51" a="1"/>
  <c r="U424" i="51" s="1"/>
  <c r="P424" i="51" a="1"/>
  <c r="P424" i="51" s="1"/>
  <c r="Y424" i="51" a="1"/>
  <c r="Y424" i="51" s="1"/>
  <c r="T424" i="51" a="1"/>
  <c r="T424" i="51" s="1"/>
  <c r="O424" i="51" a="1"/>
  <c r="O424" i="51" s="1"/>
  <c r="V424" i="51" a="1"/>
  <c r="V424" i="51" s="1"/>
  <c r="Z424" i="51" a="1"/>
  <c r="Z424" i="51" s="1"/>
  <c r="X424" i="51" a="1"/>
  <c r="X424" i="51" s="1"/>
  <c r="S424" i="51" a="1"/>
  <c r="S424" i="51" s="1"/>
  <c r="Q424" i="51" a="1"/>
  <c r="Q424" i="51" s="1"/>
  <c r="MK96" i="51"/>
  <c r="ME96" i="51"/>
  <c r="Q433" i="51" a="1"/>
  <c r="Q433" i="51" s="1"/>
  <c r="Y433" i="51" a="1"/>
  <c r="Y433" i="51" s="1"/>
  <c r="S433" i="51" a="1"/>
  <c r="S433" i="51" s="1"/>
  <c r="T433" i="51" a="1"/>
  <c r="T433" i="51" s="1"/>
  <c r="V433" i="51" a="1"/>
  <c r="V433" i="51" s="1"/>
  <c r="Z433" i="51" a="1"/>
  <c r="Z433" i="51" s="1"/>
  <c r="P433" i="51" a="1"/>
  <c r="P433" i="51" s="1"/>
  <c r="O433" i="51" a="1"/>
  <c r="O433" i="51" s="1"/>
  <c r="U433" i="51" a="1"/>
  <c r="U433" i="51" s="1"/>
  <c r="R433" i="51" a="1"/>
  <c r="R433" i="51" s="1"/>
  <c r="X433" i="51" a="1"/>
  <c r="X433" i="51" s="1"/>
  <c r="W433" i="51" a="1"/>
  <c r="W433" i="51" s="1"/>
  <c r="MK97" i="51"/>
  <c r="W439" i="51" a="1"/>
  <c r="W439" i="51" s="1"/>
  <c r="S439" i="51" a="1"/>
  <c r="S439" i="51" s="1"/>
  <c r="T439" i="51" a="1"/>
  <c r="T439" i="51" s="1"/>
  <c r="Q439" i="51" a="1"/>
  <c r="Q439" i="51" s="1"/>
  <c r="Y439" i="51" a="1"/>
  <c r="Y439" i="51" s="1"/>
  <c r="Z439" i="51" a="1"/>
  <c r="Z439" i="51" s="1"/>
  <c r="P439" i="51" a="1"/>
  <c r="P439" i="51" s="1"/>
  <c r="X439" i="51" a="1"/>
  <c r="X439" i="51" s="1"/>
  <c r="R439" i="51" a="1"/>
  <c r="R439" i="51" s="1"/>
  <c r="V439" i="51" a="1"/>
  <c r="V439" i="51" s="1"/>
  <c r="U439" i="51" a="1"/>
  <c r="U439" i="51" s="1"/>
  <c r="O439" i="51" a="1"/>
  <c r="O439" i="51" s="1"/>
  <c r="MF97" i="51"/>
  <c r="MF96" i="51"/>
  <c r="P434" i="51" a="1"/>
  <c r="P434" i="51" s="1"/>
  <c r="S434" i="51" a="1"/>
  <c r="S434" i="51" s="1"/>
  <c r="W434" i="51" a="1"/>
  <c r="W434" i="51" s="1"/>
  <c r="Y434" i="51" a="1"/>
  <c r="Y434" i="51" s="1"/>
  <c r="X434" i="51" a="1"/>
  <c r="X434" i="51" s="1"/>
  <c r="Z434" i="51" a="1"/>
  <c r="Z434" i="51" s="1"/>
  <c r="V434" i="51" a="1"/>
  <c r="V434" i="51" s="1"/>
  <c r="U434" i="51" a="1"/>
  <c r="U434" i="51" s="1"/>
  <c r="R434" i="51" a="1"/>
  <c r="R434" i="51" s="1"/>
  <c r="Q434" i="51" a="1"/>
  <c r="Q434" i="51" s="1"/>
  <c r="T434" i="51" a="1"/>
  <c r="T434" i="51" s="1"/>
  <c r="O434" i="51" a="1"/>
  <c r="O434" i="51" s="1"/>
  <c r="MA97" i="51"/>
  <c r="MA96" i="51"/>
  <c r="S429" i="51" a="1"/>
  <c r="S429" i="51" s="1"/>
  <c r="W429" i="51" a="1"/>
  <c r="W429" i="51" s="1"/>
  <c r="X429" i="51" a="1"/>
  <c r="X429" i="51" s="1"/>
  <c r="V429" i="51" a="1"/>
  <c r="V429" i="51" s="1"/>
  <c r="Z429" i="51" a="1"/>
  <c r="Z429" i="51" s="1"/>
  <c r="P429" i="51" a="1"/>
  <c r="P429" i="51" s="1"/>
  <c r="R429" i="51" a="1"/>
  <c r="R429" i="51" s="1"/>
  <c r="Q429" i="51" a="1"/>
  <c r="Q429" i="51" s="1"/>
  <c r="T429" i="51" a="1"/>
  <c r="T429" i="51" s="1"/>
  <c r="U429" i="51" a="1"/>
  <c r="U429" i="51" s="1"/>
  <c r="O429" i="51" a="1"/>
  <c r="O429" i="51" s="1"/>
  <c r="Y429" i="51" a="1"/>
  <c r="Y429" i="51" s="1"/>
  <c r="LL96" i="51"/>
  <c r="Q414" i="51" a="1"/>
  <c r="Q414" i="51" s="1"/>
  <c r="U414" i="51" a="1"/>
  <c r="U414" i="51" s="1"/>
  <c r="W414" i="51" a="1"/>
  <c r="W414" i="51" s="1"/>
  <c r="V414" i="51" a="1"/>
  <c r="V414" i="51" s="1"/>
  <c r="Y414" i="51" a="1"/>
  <c r="Y414" i="51" s="1"/>
  <c r="T414" i="51" a="1"/>
  <c r="T414" i="51" s="1"/>
  <c r="P414" i="51" a="1"/>
  <c r="P414" i="51" s="1"/>
  <c r="X414" i="51" a="1"/>
  <c r="X414" i="51" s="1"/>
  <c r="S414" i="51" a="1"/>
  <c r="S414" i="51" s="1"/>
  <c r="Z414" i="51" a="1"/>
  <c r="Z414" i="51" s="1"/>
  <c r="R414" i="51" a="1"/>
  <c r="R414" i="51" s="1"/>
  <c r="O414" i="51" a="1"/>
  <c r="O414" i="51" s="1"/>
  <c r="KZ97" i="51"/>
  <c r="P402" i="51" a="1"/>
  <c r="P402" i="51" s="1"/>
  <c r="U402" i="51" a="1"/>
  <c r="U402" i="51" s="1"/>
  <c r="Y402" i="51" a="1"/>
  <c r="Y402" i="51" s="1"/>
  <c r="W402" i="51" a="1"/>
  <c r="W402" i="51" s="1"/>
  <c r="S402" i="51" a="1"/>
  <c r="S402" i="51" s="1"/>
  <c r="Q402" i="51" a="1"/>
  <c r="Q402" i="51" s="1"/>
  <c r="R402" i="51" a="1"/>
  <c r="R402" i="51" s="1"/>
  <c r="O402" i="51" a="1"/>
  <c r="O402" i="51" s="1"/>
  <c r="Z402" i="51" a="1"/>
  <c r="Z402" i="51" s="1"/>
  <c r="V402" i="51" a="1"/>
  <c r="V402" i="51" s="1"/>
  <c r="X402" i="51" a="1"/>
  <c r="X402" i="51" s="1"/>
  <c r="T402" i="51" a="1"/>
  <c r="T402" i="51" s="1"/>
  <c r="MD97" i="51"/>
  <c r="MD96" i="51"/>
  <c r="W432" i="51" a="1"/>
  <c r="W432" i="51" s="1"/>
  <c r="T432" i="51" a="1"/>
  <c r="T432" i="51" s="1"/>
  <c r="R432" i="51" a="1"/>
  <c r="R432" i="51" s="1"/>
  <c r="U432" i="51" a="1"/>
  <c r="U432" i="51" s="1"/>
  <c r="Y432" i="51" a="1"/>
  <c r="Y432" i="51" s="1"/>
  <c r="X432" i="51" a="1"/>
  <c r="X432" i="51" s="1"/>
  <c r="Z432" i="51" a="1"/>
  <c r="Z432" i="51" s="1"/>
  <c r="P432" i="51" a="1"/>
  <c r="P432" i="51" s="1"/>
  <c r="Q432" i="51" a="1"/>
  <c r="Q432" i="51" s="1"/>
  <c r="O432" i="51" a="1"/>
  <c r="O432" i="51" s="1"/>
  <c r="V432" i="51" a="1"/>
  <c r="V432" i="51" s="1"/>
  <c r="S432" i="51" a="1"/>
  <c r="S432" i="51" s="1"/>
  <c r="KX97" i="51"/>
  <c r="KX96" i="51"/>
  <c r="S400" i="51" a="1"/>
  <c r="S400" i="51" s="1"/>
  <c r="R400" i="51" a="1"/>
  <c r="R400" i="51" s="1"/>
  <c r="T400" i="51" a="1"/>
  <c r="T400" i="51" s="1"/>
  <c r="X400" i="51" a="1"/>
  <c r="X400" i="51" s="1"/>
  <c r="V400" i="51" a="1"/>
  <c r="V400" i="51" s="1"/>
  <c r="W400" i="51" a="1"/>
  <c r="W400" i="51" s="1"/>
  <c r="Q400" i="51" a="1"/>
  <c r="Q400" i="51" s="1"/>
  <c r="O400" i="51" a="1"/>
  <c r="O400" i="51" s="1"/>
  <c r="Y400" i="51" a="1"/>
  <c r="Y400" i="51" s="1"/>
  <c r="U400" i="51" a="1"/>
  <c r="U400" i="51" s="1"/>
  <c r="P400" i="51" a="1"/>
  <c r="P400" i="51" s="1"/>
  <c r="Z400" i="51" a="1"/>
  <c r="Z400" i="51" s="1"/>
  <c r="KV96" i="51"/>
  <c r="KV97" i="51"/>
  <c r="P398" i="51" a="1"/>
  <c r="P398" i="51" s="1"/>
  <c r="R398" i="51" a="1"/>
  <c r="R398" i="51" s="1"/>
  <c r="X398" i="51" a="1"/>
  <c r="X398" i="51" s="1"/>
  <c r="Y398" i="51" a="1"/>
  <c r="Y398" i="51" s="1"/>
  <c r="T398" i="51" a="1"/>
  <c r="T398" i="51" s="1"/>
  <c r="Z398" i="51" a="1"/>
  <c r="Z398" i="51" s="1"/>
  <c r="W398" i="51" a="1"/>
  <c r="W398" i="51" s="1"/>
  <c r="S398" i="51" a="1"/>
  <c r="S398" i="51" s="1"/>
  <c r="V398" i="51" a="1"/>
  <c r="V398" i="51" s="1"/>
  <c r="U398" i="51" a="1"/>
  <c r="U398" i="51" s="1"/>
  <c r="Q398" i="51" a="1"/>
  <c r="Q398" i="51" s="1"/>
  <c r="O398" i="51" a="1"/>
  <c r="O398" i="51" s="1"/>
  <c r="LZ97" i="51"/>
  <c r="LZ96" i="51"/>
  <c r="X428" i="51" a="1"/>
  <c r="X428" i="51" s="1"/>
  <c r="Q428" i="51" a="1"/>
  <c r="Q428" i="51" s="1"/>
  <c r="U428" i="51" a="1"/>
  <c r="U428" i="51" s="1"/>
  <c r="R428" i="51" a="1"/>
  <c r="R428" i="51" s="1"/>
  <c r="P428" i="51" a="1"/>
  <c r="P428" i="51" s="1"/>
  <c r="W428" i="51" a="1"/>
  <c r="W428" i="51" s="1"/>
  <c r="S428" i="51" a="1"/>
  <c r="S428" i="51" s="1"/>
  <c r="T428" i="51" a="1"/>
  <c r="T428" i="51" s="1"/>
  <c r="V428" i="51" a="1"/>
  <c r="V428" i="51" s="1"/>
  <c r="Z428" i="51" a="1"/>
  <c r="Z428" i="51" s="1"/>
  <c r="Y428" i="51" a="1"/>
  <c r="Y428" i="51" s="1"/>
  <c r="O428" i="51" a="1"/>
  <c r="O428" i="51" s="1"/>
  <c r="LF96" i="51"/>
  <c r="Z408" i="51" a="1"/>
  <c r="Z408" i="51" s="1"/>
  <c r="U408" i="51" a="1"/>
  <c r="U408" i="51" s="1"/>
  <c r="T408" i="51" a="1"/>
  <c r="T408" i="51" s="1"/>
  <c r="P408" i="51" a="1"/>
  <c r="P408" i="51" s="1"/>
  <c r="Q408" i="51" a="1"/>
  <c r="Q408" i="51" s="1"/>
  <c r="S408" i="51" a="1"/>
  <c r="S408" i="51" s="1"/>
  <c r="W408" i="51" a="1"/>
  <c r="W408" i="51" s="1"/>
  <c r="X408" i="51" a="1"/>
  <c r="X408" i="51" s="1"/>
  <c r="Y408" i="51" a="1"/>
  <c r="Y408" i="51" s="1"/>
  <c r="V408" i="51" a="1"/>
  <c r="V408" i="51" s="1"/>
  <c r="O408" i="51" a="1"/>
  <c r="O408" i="51" s="1"/>
  <c r="R408" i="51" a="1"/>
  <c r="R408" i="51" s="1"/>
  <c r="MG96" i="51"/>
  <c r="MG97" i="51"/>
  <c r="V435" i="51" a="1"/>
  <c r="V435" i="51" s="1"/>
  <c r="W435" i="51" a="1"/>
  <c r="W435" i="51" s="1"/>
  <c r="R435" i="51" a="1"/>
  <c r="R435" i="51" s="1"/>
  <c r="Z435" i="51" a="1"/>
  <c r="Z435" i="51" s="1"/>
  <c r="S435" i="51" a="1"/>
  <c r="S435" i="51" s="1"/>
  <c r="T435" i="51" a="1"/>
  <c r="T435" i="51" s="1"/>
  <c r="U435" i="51" a="1"/>
  <c r="U435" i="51" s="1"/>
  <c r="X435" i="51" a="1"/>
  <c r="X435" i="51" s="1"/>
  <c r="Q435" i="51" a="1"/>
  <c r="Q435" i="51" s="1"/>
  <c r="Y435" i="51" a="1"/>
  <c r="Y435" i="51" s="1"/>
  <c r="P435" i="51" a="1"/>
  <c r="P435" i="51" s="1"/>
  <c r="O435" i="51" a="1"/>
  <c r="O435" i="51" s="1"/>
  <c r="LP96" i="51"/>
  <c r="LP97" i="51"/>
  <c r="X418" i="51" a="1"/>
  <c r="X418" i="51" s="1"/>
  <c r="Q418" i="51" a="1"/>
  <c r="Q418" i="51" s="1"/>
  <c r="Z418" i="51" a="1"/>
  <c r="Z418" i="51" s="1"/>
  <c r="T418" i="51" a="1"/>
  <c r="T418" i="51" s="1"/>
  <c r="R418" i="51" a="1"/>
  <c r="R418" i="51" s="1"/>
  <c r="V418" i="51" a="1"/>
  <c r="V418" i="51" s="1"/>
  <c r="P418" i="51" a="1"/>
  <c r="P418" i="51" s="1"/>
  <c r="Y418" i="51" a="1"/>
  <c r="Y418" i="51" s="1"/>
  <c r="U418" i="51" a="1"/>
  <c r="U418" i="51" s="1"/>
  <c r="W418" i="51" a="1"/>
  <c r="W418" i="51" s="1"/>
  <c r="S418" i="51" a="1"/>
  <c r="S418" i="51" s="1"/>
  <c r="O418" i="51" a="1"/>
  <c r="O418" i="51" s="1"/>
  <c r="LK97" i="51"/>
  <c r="Q413" i="51" a="1"/>
  <c r="Q413" i="51" s="1"/>
  <c r="P413" i="51" a="1"/>
  <c r="P413" i="51" s="1"/>
  <c r="Z413" i="51" a="1"/>
  <c r="Z413" i="51" s="1"/>
  <c r="V413" i="51" a="1"/>
  <c r="V413" i="51" s="1"/>
  <c r="Y413" i="51" a="1"/>
  <c r="Y413" i="51" s="1"/>
  <c r="U413" i="51" a="1"/>
  <c r="U413" i="51" s="1"/>
  <c r="T413" i="51" a="1"/>
  <c r="T413" i="51" s="1"/>
  <c r="R413" i="51" a="1"/>
  <c r="R413" i="51" s="1"/>
  <c r="W413" i="51" a="1"/>
  <c r="W413" i="51" s="1"/>
  <c r="S413" i="51" a="1"/>
  <c r="S413" i="51" s="1"/>
  <c r="X413" i="51" a="1"/>
  <c r="X413" i="51" s="1"/>
  <c r="O413" i="51" a="1"/>
  <c r="O413" i="51" s="1"/>
  <c r="KQ97" i="51"/>
  <c r="KQ96" i="51"/>
  <c r="Y393" i="51" a="1"/>
  <c r="Y393" i="51" s="1"/>
  <c r="T393" i="51" a="1"/>
  <c r="T393" i="51" s="1"/>
  <c r="V393" i="51" a="1"/>
  <c r="V393" i="51" s="1"/>
  <c r="W393" i="51" a="1"/>
  <c r="W393" i="51" s="1"/>
  <c r="Q393" i="51" a="1"/>
  <c r="Q393" i="51" s="1"/>
  <c r="P393" i="51" a="1"/>
  <c r="P393" i="51" s="1"/>
  <c r="S393" i="51" a="1"/>
  <c r="S393" i="51" s="1"/>
  <c r="X393" i="51" a="1"/>
  <c r="X393" i="51" s="1"/>
  <c r="Z393" i="51" a="1"/>
  <c r="Z393" i="51" s="1"/>
  <c r="O393" i="51" a="1"/>
  <c r="O393" i="51" s="1"/>
  <c r="R393" i="51" a="1"/>
  <c r="R393" i="51" s="1"/>
  <c r="U393" i="51" a="1"/>
  <c r="U393" i="51" s="1"/>
  <c r="LM97" i="51"/>
  <c r="LM96" i="51"/>
  <c r="V415" i="51" a="1"/>
  <c r="V415" i="51" s="1"/>
  <c r="W415" i="51" a="1"/>
  <c r="W415" i="51" s="1"/>
  <c r="Q415" i="51" a="1"/>
  <c r="Q415" i="51" s="1"/>
  <c r="P415" i="51" a="1"/>
  <c r="P415" i="51" s="1"/>
  <c r="T415" i="51" a="1"/>
  <c r="T415" i="51" s="1"/>
  <c r="X415" i="51" a="1"/>
  <c r="X415" i="51" s="1"/>
  <c r="R415" i="51" a="1"/>
  <c r="R415" i="51" s="1"/>
  <c r="Z415" i="51" a="1"/>
  <c r="Z415" i="51" s="1"/>
  <c r="U415" i="51" a="1"/>
  <c r="U415" i="51" s="1"/>
  <c r="S415" i="51" a="1"/>
  <c r="S415" i="51" s="1"/>
  <c r="Y415" i="51" a="1"/>
  <c r="Y415" i="51" s="1"/>
  <c r="O415" i="51" a="1"/>
  <c r="O415" i="51" s="1"/>
  <c r="KK96" i="51"/>
  <c r="X387" i="51" a="1"/>
  <c r="X387" i="51" s="1"/>
  <c r="V387" i="51" a="1"/>
  <c r="V387" i="51" s="1"/>
  <c r="W387" i="51" a="1"/>
  <c r="W387" i="51" s="1"/>
  <c r="Y387" i="51" a="1"/>
  <c r="Y387" i="51" s="1"/>
  <c r="R387" i="51" a="1"/>
  <c r="R387" i="51" s="1"/>
  <c r="Z387" i="51" a="1"/>
  <c r="Z387" i="51" s="1"/>
  <c r="P387" i="51" a="1"/>
  <c r="P387" i="51" s="1"/>
  <c r="Q387" i="51" a="1"/>
  <c r="Q387" i="51" s="1"/>
  <c r="T387" i="51" a="1"/>
  <c r="T387" i="51" s="1"/>
  <c r="S387" i="51" a="1"/>
  <c r="S387" i="51" s="1"/>
  <c r="U387" i="51" a="1"/>
  <c r="U387" i="51" s="1"/>
  <c r="O387" i="51" a="1"/>
  <c r="O387" i="51" s="1"/>
  <c r="KH97" i="51"/>
  <c r="P384" i="51" a="1"/>
  <c r="P384" i="51" s="1"/>
  <c r="T384" i="51" a="1"/>
  <c r="T384" i="51" s="1"/>
  <c r="Z384" i="51" a="1"/>
  <c r="Z384" i="51" s="1"/>
  <c r="X384" i="51" a="1"/>
  <c r="X384" i="51" s="1"/>
  <c r="R384" i="51" a="1"/>
  <c r="R384" i="51" s="1"/>
  <c r="U384" i="51" a="1"/>
  <c r="U384" i="51" s="1"/>
  <c r="W384" i="51" a="1"/>
  <c r="W384" i="51" s="1"/>
  <c r="S384" i="51" a="1"/>
  <c r="S384" i="51" s="1"/>
  <c r="Q384" i="51" a="1"/>
  <c r="Q384" i="51" s="1"/>
  <c r="Y384" i="51" a="1"/>
  <c r="Y384" i="51" s="1"/>
  <c r="O384" i="51" a="1"/>
  <c r="O384" i="51" s="1"/>
  <c r="V384" i="51" a="1"/>
  <c r="V384" i="51" s="1"/>
  <c r="KU96" i="51"/>
  <c r="KU97" i="51"/>
  <c r="Z397" i="51" a="1"/>
  <c r="Z397" i="51" s="1"/>
  <c r="W397" i="51" a="1"/>
  <c r="W397" i="51" s="1"/>
  <c r="Q397" i="51" a="1"/>
  <c r="Q397" i="51" s="1"/>
  <c r="Y397" i="51" a="1"/>
  <c r="Y397" i="51" s="1"/>
  <c r="P397" i="51" a="1"/>
  <c r="P397" i="51" s="1"/>
  <c r="R397" i="51" a="1"/>
  <c r="R397" i="51" s="1"/>
  <c r="U397" i="51" a="1"/>
  <c r="U397" i="51" s="1"/>
  <c r="X397" i="51" a="1"/>
  <c r="X397" i="51" s="1"/>
  <c r="T397" i="51" a="1"/>
  <c r="T397" i="51" s="1"/>
  <c r="V397" i="51" a="1"/>
  <c r="V397" i="51" s="1"/>
  <c r="S397" i="51" a="1"/>
  <c r="S397" i="51" s="1"/>
  <c r="O397" i="51" a="1"/>
  <c r="O397" i="51" s="1"/>
  <c r="LY97" i="51"/>
  <c r="MH96" i="51"/>
  <c r="ML96" i="51"/>
  <c r="Z440" i="51" a="1"/>
  <c r="Z440" i="51" s="1"/>
  <c r="P440" i="51" a="1"/>
  <c r="P440" i="51" s="1"/>
  <c r="U440" i="51" a="1"/>
  <c r="U440" i="51" s="1"/>
  <c r="X440" i="51" a="1"/>
  <c r="X440" i="51" s="1"/>
  <c r="R440" i="51" a="1"/>
  <c r="R440" i="51" s="1"/>
  <c r="S440" i="51" a="1"/>
  <c r="S440" i="51" s="1"/>
  <c r="V440" i="51" a="1"/>
  <c r="V440" i="51" s="1"/>
  <c r="Y440" i="51" a="1"/>
  <c r="Y440" i="51" s="1"/>
  <c r="T440" i="51" a="1"/>
  <c r="T440" i="51" s="1"/>
  <c r="Q440" i="51" a="1"/>
  <c r="Q440" i="51" s="1"/>
  <c r="W440" i="51" a="1"/>
  <c r="W440" i="51" s="1"/>
  <c r="O440" i="51" a="1"/>
  <c r="O440" i="51" s="1"/>
  <c r="LE97" i="51"/>
  <c r="LE96" i="51"/>
  <c r="Y407" i="51" a="1"/>
  <c r="Y407" i="51" s="1"/>
  <c r="T407" i="51" a="1"/>
  <c r="T407" i="51" s="1"/>
  <c r="U407" i="51" a="1"/>
  <c r="U407" i="51" s="1"/>
  <c r="W407" i="51" a="1"/>
  <c r="W407" i="51" s="1"/>
  <c r="P407" i="51" a="1"/>
  <c r="P407" i="51" s="1"/>
  <c r="Q407" i="51" a="1"/>
  <c r="Q407" i="51" s="1"/>
  <c r="X407" i="51" a="1"/>
  <c r="X407" i="51" s="1"/>
  <c r="S407" i="51" a="1"/>
  <c r="S407" i="51" s="1"/>
  <c r="R407" i="51" a="1"/>
  <c r="R407" i="51" s="1"/>
  <c r="V407" i="51" a="1"/>
  <c r="V407" i="51" s="1"/>
  <c r="Z407" i="51" a="1"/>
  <c r="Z407" i="51" s="1"/>
  <c r="O407" i="51" a="1"/>
  <c r="O407" i="51" s="1"/>
  <c r="MB97" i="51"/>
  <c r="MB96" i="51"/>
  <c r="Z430" i="51" a="1"/>
  <c r="Z430" i="51" s="1"/>
  <c r="S430" i="51" a="1"/>
  <c r="S430" i="51" s="1"/>
  <c r="U430" i="51" a="1"/>
  <c r="U430" i="51" s="1"/>
  <c r="W430" i="51" a="1"/>
  <c r="W430" i="51" s="1"/>
  <c r="Q430" i="51" a="1"/>
  <c r="Q430" i="51" s="1"/>
  <c r="P430" i="51" a="1"/>
  <c r="P430" i="51" s="1"/>
  <c r="Y430" i="51" a="1"/>
  <c r="Y430" i="51" s="1"/>
  <c r="R430" i="51" a="1"/>
  <c r="R430" i="51" s="1"/>
  <c r="V430" i="51" a="1"/>
  <c r="V430" i="51" s="1"/>
  <c r="O430" i="51" a="1"/>
  <c r="O430" i="51" s="1"/>
  <c r="X430" i="51" a="1"/>
  <c r="X430" i="51" s="1"/>
  <c r="T430" i="51" a="1"/>
  <c r="T430" i="51" s="1"/>
  <c r="KP97" i="51"/>
  <c r="KP96" i="51"/>
  <c r="W392" i="51" a="1"/>
  <c r="W392" i="51" s="1"/>
  <c r="P392" i="51" a="1"/>
  <c r="P392" i="51" s="1"/>
  <c r="Q392" i="51" a="1"/>
  <c r="Q392" i="51" s="1"/>
  <c r="U392" i="51" a="1"/>
  <c r="U392" i="51" s="1"/>
  <c r="S392" i="51" a="1"/>
  <c r="S392" i="51" s="1"/>
  <c r="Z392" i="51" a="1"/>
  <c r="Z392" i="51" s="1"/>
  <c r="X392" i="51" a="1"/>
  <c r="X392" i="51" s="1"/>
  <c r="V392" i="51" a="1"/>
  <c r="V392" i="51" s="1"/>
  <c r="O392" i="51" a="1"/>
  <c r="O392" i="51" s="1"/>
  <c r="T392" i="51" a="1"/>
  <c r="T392" i="51" s="1"/>
  <c r="Y392" i="51" a="1"/>
  <c r="Y392" i="51" s="1"/>
  <c r="R392" i="51" a="1"/>
  <c r="R392" i="51" s="1"/>
  <c r="LT96" i="51"/>
  <c r="LT97" i="51"/>
  <c r="X422" i="51" a="1"/>
  <c r="X422" i="51" s="1"/>
  <c r="Z422" i="51" a="1"/>
  <c r="Z422" i="51" s="1"/>
  <c r="R422" i="51" a="1"/>
  <c r="R422" i="51" s="1"/>
  <c r="Q422" i="51" a="1"/>
  <c r="Q422" i="51" s="1"/>
  <c r="Y422" i="51" a="1"/>
  <c r="Y422" i="51" s="1"/>
  <c r="V422" i="51" a="1"/>
  <c r="V422" i="51" s="1"/>
  <c r="U422" i="51" a="1"/>
  <c r="U422" i="51" s="1"/>
  <c r="S422" i="51" a="1"/>
  <c r="S422" i="51" s="1"/>
  <c r="W422" i="51" a="1"/>
  <c r="W422" i="51" s="1"/>
  <c r="P422" i="51" a="1"/>
  <c r="P422" i="51" s="1"/>
  <c r="T422" i="51" a="1"/>
  <c r="T422" i="51" s="1"/>
  <c r="O422" i="51" a="1"/>
  <c r="O422" i="51" s="1"/>
  <c r="KY96" i="51"/>
  <c r="KY97" i="51"/>
  <c r="Y401" i="51" a="1"/>
  <c r="Y401" i="51" s="1"/>
  <c r="V401" i="51" a="1"/>
  <c r="V401" i="51" s="1"/>
  <c r="S401" i="51" a="1"/>
  <c r="S401" i="51" s="1"/>
  <c r="R401" i="51" a="1"/>
  <c r="R401" i="51" s="1"/>
  <c r="X401" i="51" a="1"/>
  <c r="X401" i="51" s="1"/>
  <c r="Q401" i="51" a="1"/>
  <c r="Q401" i="51" s="1"/>
  <c r="P401" i="51" a="1"/>
  <c r="P401" i="51" s="1"/>
  <c r="T401" i="51" a="1"/>
  <c r="T401" i="51" s="1"/>
  <c r="W401" i="51" a="1"/>
  <c r="W401" i="51" s="1"/>
  <c r="Z401" i="51" a="1"/>
  <c r="Z401" i="51" s="1"/>
  <c r="O401" i="51" a="1"/>
  <c r="O401" i="51" s="1"/>
  <c r="U401" i="51" a="1"/>
  <c r="U401" i="51" s="1"/>
  <c r="MI97" i="51"/>
  <c r="W437" i="51" a="1"/>
  <c r="W437" i="51" s="1"/>
  <c r="X437" i="51" a="1"/>
  <c r="X437" i="51" s="1"/>
  <c r="S437" i="51" a="1"/>
  <c r="S437" i="51" s="1"/>
  <c r="Z437" i="51" a="1"/>
  <c r="Z437" i="51" s="1"/>
  <c r="U437" i="51" a="1"/>
  <c r="U437" i="51" s="1"/>
  <c r="Q437" i="51" a="1"/>
  <c r="Q437" i="51" s="1"/>
  <c r="T437" i="51" a="1"/>
  <c r="T437" i="51" s="1"/>
  <c r="Y437" i="51" a="1"/>
  <c r="Y437" i="51" s="1"/>
  <c r="V437" i="51" a="1"/>
  <c r="V437" i="51" s="1"/>
  <c r="R437" i="51" a="1"/>
  <c r="R437" i="51" s="1"/>
  <c r="O437" i="51" a="1"/>
  <c r="O437" i="51" s="1"/>
  <c r="P437" i="51" a="1"/>
  <c r="P437" i="51" s="1"/>
  <c r="LC96" i="51"/>
  <c r="LC97" i="51"/>
  <c r="P405" i="51" a="1"/>
  <c r="P405" i="51" s="1"/>
  <c r="Z405" i="51" a="1"/>
  <c r="Z405" i="51" s="1"/>
  <c r="U405" i="51" a="1"/>
  <c r="U405" i="51" s="1"/>
  <c r="X405" i="51" a="1"/>
  <c r="X405" i="51" s="1"/>
  <c r="Y405" i="51" a="1"/>
  <c r="Y405" i="51" s="1"/>
  <c r="W405" i="51" a="1"/>
  <c r="W405" i="51" s="1"/>
  <c r="S405" i="51" a="1"/>
  <c r="S405" i="51" s="1"/>
  <c r="R405" i="51" a="1"/>
  <c r="R405" i="51" s="1"/>
  <c r="T405" i="51" a="1"/>
  <c r="T405" i="51" s="1"/>
  <c r="V405" i="51" a="1"/>
  <c r="V405" i="51" s="1"/>
  <c r="O405" i="51" a="1"/>
  <c r="O405" i="51" s="1"/>
  <c r="Q405" i="51" a="1"/>
  <c r="Q405" i="51" s="1"/>
  <c r="ME97" i="51"/>
  <c r="MM96" i="51"/>
  <c r="LN97" i="51"/>
  <c r="KZ96" i="51"/>
  <c r="LR96" i="51"/>
  <c r="LR97" i="51"/>
  <c r="Q420" i="51" a="1"/>
  <c r="Q420" i="51" s="1"/>
  <c r="R420" i="51" a="1"/>
  <c r="R420" i="51" s="1"/>
  <c r="W420" i="51" a="1"/>
  <c r="W420" i="51" s="1"/>
  <c r="S420" i="51" a="1"/>
  <c r="S420" i="51" s="1"/>
  <c r="P420" i="51" a="1"/>
  <c r="P420" i="51" s="1"/>
  <c r="X420" i="51" a="1"/>
  <c r="X420" i="51" s="1"/>
  <c r="T420" i="51" a="1"/>
  <c r="T420" i="51" s="1"/>
  <c r="V420" i="51" a="1"/>
  <c r="V420" i="51" s="1"/>
  <c r="Z420" i="51" a="1"/>
  <c r="Z420" i="51" s="1"/>
  <c r="U420" i="51" a="1"/>
  <c r="U420" i="51" s="1"/>
  <c r="Y420" i="51" a="1"/>
  <c r="Y420" i="51" s="1"/>
  <c r="O420" i="51" a="1"/>
  <c r="O420" i="51" s="1"/>
  <c r="MJ96" i="51"/>
  <c r="MJ97" i="51"/>
  <c r="Q438" i="51" a="1"/>
  <c r="Q438" i="51" s="1"/>
  <c r="T438" i="51" a="1"/>
  <c r="T438" i="51" s="1"/>
  <c r="Z438" i="51" a="1"/>
  <c r="Z438" i="51" s="1"/>
  <c r="V438" i="51" a="1"/>
  <c r="V438" i="51" s="1"/>
  <c r="X438" i="51" a="1"/>
  <c r="X438" i="51" s="1"/>
  <c r="Y438" i="51" a="1"/>
  <c r="Y438" i="51" s="1"/>
  <c r="R438" i="51" a="1"/>
  <c r="R438" i="51" s="1"/>
  <c r="O438" i="51" a="1"/>
  <c r="O438" i="51" s="1"/>
  <c r="S438" i="51" a="1"/>
  <c r="S438" i="51" s="1"/>
  <c r="U438" i="51" a="1"/>
  <c r="U438" i="51" s="1"/>
  <c r="W438" i="51" a="1"/>
  <c r="W438" i="51" s="1"/>
  <c r="P438" i="51" a="1"/>
  <c r="P438" i="51" s="1"/>
  <c r="LO97" i="51"/>
  <c r="LO96" i="51"/>
  <c r="U417" i="51" a="1"/>
  <c r="U417" i="51" s="1"/>
  <c r="S417" i="51" a="1"/>
  <c r="S417" i="51" s="1"/>
  <c r="T417" i="51" a="1"/>
  <c r="T417" i="51" s="1"/>
  <c r="R417" i="51" a="1"/>
  <c r="R417" i="51" s="1"/>
  <c r="V417" i="51" a="1"/>
  <c r="V417" i="51" s="1"/>
  <c r="P417" i="51" a="1"/>
  <c r="P417" i="51" s="1"/>
  <c r="Q417" i="51" a="1"/>
  <c r="Q417" i="51" s="1"/>
  <c r="W417" i="51" a="1"/>
  <c r="W417" i="51" s="1"/>
  <c r="X417" i="51" a="1"/>
  <c r="X417" i="51" s="1"/>
  <c r="Z417" i="51" a="1"/>
  <c r="Z417" i="51" s="1"/>
  <c r="Y417" i="51" a="1"/>
  <c r="Y417" i="51" s="1"/>
  <c r="O417" i="51" a="1"/>
  <c r="O417" i="51" s="1"/>
  <c r="MC97" i="51"/>
  <c r="MC96" i="51"/>
  <c r="P431" i="51" a="1"/>
  <c r="P431" i="51" s="1"/>
  <c r="S431" i="51" a="1"/>
  <c r="S431" i="51" s="1"/>
  <c r="X431" i="51" a="1"/>
  <c r="X431" i="51" s="1"/>
  <c r="Q431" i="51" a="1"/>
  <c r="Q431" i="51" s="1"/>
  <c r="T431" i="51" a="1"/>
  <c r="T431" i="51" s="1"/>
  <c r="R431" i="51" a="1"/>
  <c r="R431" i="51" s="1"/>
  <c r="U431" i="51" a="1"/>
  <c r="U431" i="51" s="1"/>
  <c r="V431" i="51" a="1"/>
  <c r="V431" i="51" s="1"/>
  <c r="Y431" i="51" a="1"/>
  <c r="Y431" i="51" s="1"/>
  <c r="Z431" i="51" a="1"/>
  <c r="Z431" i="51" s="1"/>
  <c r="O431" i="51" a="1"/>
  <c r="O431" i="51" s="1"/>
  <c r="W431" i="51" a="1"/>
  <c r="W431" i="51" s="1"/>
  <c r="LA97" i="51"/>
  <c r="LA96" i="51"/>
  <c r="U403" i="51" a="1"/>
  <c r="U403" i="51" s="1"/>
  <c r="S403" i="51" a="1"/>
  <c r="S403" i="51" s="1"/>
  <c r="Y403" i="51" a="1"/>
  <c r="Y403" i="51" s="1"/>
  <c r="R403" i="51" a="1"/>
  <c r="R403" i="51" s="1"/>
  <c r="P403" i="51" a="1"/>
  <c r="P403" i="51" s="1"/>
  <c r="X403" i="51" a="1"/>
  <c r="X403" i="51" s="1"/>
  <c r="V403" i="51" a="1"/>
  <c r="V403" i="51" s="1"/>
  <c r="Z403" i="51" a="1"/>
  <c r="Z403" i="51" s="1"/>
  <c r="Q403" i="51" a="1"/>
  <c r="Q403" i="51" s="1"/>
  <c r="O403" i="51" a="1"/>
  <c r="O403" i="51" s="1"/>
  <c r="T403" i="51" a="1"/>
  <c r="T403" i="51" s="1"/>
  <c r="W403" i="51" a="1"/>
  <c r="W403" i="51" s="1"/>
  <c r="KM44" i="51"/>
  <c r="KF97" i="51"/>
  <c r="KF96" i="51"/>
  <c r="R382" i="51" a="1"/>
  <c r="R382" i="51" s="1"/>
  <c r="AI238" i="51" s="1"/>
  <c r="S382" i="51" a="1"/>
  <c r="S382" i="51" s="1"/>
  <c r="T382" i="51" a="1"/>
  <c r="T382" i="51" s="1"/>
  <c r="AK238" i="51" s="1"/>
  <c r="V382" i="51" a="1"/>
  <c r="V382" i="51" s="1"/>
  <c r="AM238" i="51" s="1"/>
  <c r="P382" i="51" a="1"/>
  <c r="P382" i="51" s="1"/>
  <c r="AG238" i="51" s="1"/>
  <c r="X382" i="51" a="1"/>
  <c r="X382" i="51" s="1"/>
  <c r="AO238" i="51" s="1"/>
  <c r="Q382" i="51" a="1"/>
  <c r="Q382" i="51" s="1"/>
  <c r="AH238" i="51" s="1"/>
  <c r="Z382" i="51" a="1"/>
  <c r="Z382" i="51" s="1"/>
  <c r="AQ238" i="51" s="1"/>
  <c r="O382" i="51" a="1"/>
  <c r="O382" i="51" s="1"/>
  <c r="U382" i="51" a="1"/>
  <c r="U382" i="51" s="1"/>
  <c r="AL238" i="51" s="1"/>
  <c r="W382" i="51" a="1"/>
  <c r="W382" i="51" s="1"/>
  <c r="AN238" i="51" s="1"/>
  <c r="Y382" i="51" a="1"/>
  <c r="Y382" i="51" s="1"/>
  <c r="AP238" i="51" s="1"/>
  <c r="LI96" i="51"/>
  <c r="LI97" i="51"/>
  <c r="X411" i="51" a="1"/>
  <c r="X411" i="51" s="1"/>
  <c r="S411" i="51" a="1"/>
  <c r="S411" i="51" s="1"/>
  <c r="T411" i="51" a="1"/>
  <c r="T411" i="51" s="1"/>
  <c r="R411" i="51" a="1"/>
  <c r="R411" i="51" s="1"/>
  <c r="W411" i="51" a="1"/>
  <c r="W411" i="51" s="1"/>
  <c r="V411" i="51" a="1"/>
  <c r="V411" i="51" s="1"/>
  <c r="P411" i="51" a="1"/>
  <c r="P411" i="51" s="1"/>
  <c r="Y411" i="51" a="1"/>
  <c r="Y411" i="51" s="1"/>
  <c r="Z411" i="51" a="1"/>
  <c r="Z411" i="51" s="1"/>
  <c r="U411" i="51" a="1"/>
  <c r="U411" i="51" s="1"/>
  <c r="Q411" i="51" a="1"/>
  <c r="Q411" i="51" s="1"/>
  <c r="O411" i="51" a="1"/>
  <c r="O411" i="51" s="1"/>
  <c r="LF97" i="51"/>
  <c r="KT97" i="51"/>
  <c r="KT96" i="51"/>
  <c r="X396" i="51" a="1"/>
  <c r="X396" i="51" s="1"/>
  <c r="Q396" i="51" a="1"/>
  <c r="Q396" i="51" s="1"/>
  <c r="Y396" i="51" a="1"/>
  <c r="Y396" i="51" s="1"/>
  <c r="U396" i="51" a="1"/>
  <c r="U396" i="51" s="1"/>
  <c r="T396" i="51" a="1"/>
  <c r="T396" i="51" s="1"/>
  <c r="V396" i="51" a="1"/>
  <c r="V396" i="51" s="1"/>
  <c r="P396" i="51" a="1"/>
  <c r="P396" i="51" s="1"/>
  <c r="W396" i="51" a="1"/>
  <c r="W396" i="51" s="1"/>
  <c r="S396" i="51" a="1"/>
  <c r="S396" i="51" s="1"/>
  <c r="Z396" i="51" a="1"/>
  <c r="Z396" i="51" s="1"/>
  <c r="R396" i="51" a="1"/>
  <c r="R396" i="51" s="1"/>
  <c r="O396" i="51" a="1"/>
  <c r="O396" i="51" s="1"/>
  <c r="LK96" i="51"/>
  <c r="KK97" i="51"/>
  <c r="LU96" i="51"/>
  <c r="LL97" i="51"/>
  <c r="LH97" i="51"/>
  <c r="LH96" i="51"/>
  <c r="S410" i="51" a="1"/>
  <c r="S410" i="51" s="1"/>
  <c r="T410" i="51" a="1"/>
  <c r="T410" i="51" s="1"/>
  <c r="R410" i="51" a="1"/>
  <c r="R410" i="51" s="1"/>
  <c r="W410" i="51" a="1"/>
  <c r="W410" i="51" s="1"/>
  <c r="P410" i="51" a="1"/>
  <c r="P410" i="51" s="1"/>
  <c r="Z410" i="51" a="1"/>
  <c r="Z410" i="51" s="1"/>
  <c r="U410" i="51" a="1"/>
  <c r="U410" i="51" s="1"/>
  <c r="Y410" i="51" a="1"/>
  <c r="Y410" i="51" s="1"/>
  <c r="Q410" i="51" a="1"/>
  <c r="Q410" i="51" s="1"/>
  <c r="V410" i="51" a="1"/>
  <c r="V410" i="51" s="1"/>
  <c r="X410" i="51" a="1"/>
  <c r="X410" i="51" s="1"/>
  <c r="O410" i="51" a="1"/>
  <c r="O410" i="51" s="1"/>
  <c r="LX96" i="51"/>
  <c r="LX97" i="51"/>
  <c r="P426" i="51" a="1"/>
  <c r="P426" i="51" s="1"/>
  <c r="S426" i="51" a="1"/>
  <c r="S426" i="51" s="1"/>
  <c r="W426" i="51" a="1"/>
  <c r="W426" i="51" s="1"/>
  <c r="Y426" i="51" a="1"/>
  <c r="Y426" i="51" s="1"/>
  <c r="U426" i="51" a="1"/>
  <c r="U426" i="51" s="1"/>
  <c r="R426" i="51" a="1"/>
  <c r="R426" i="51" s="1"/>
  <c r="V426" i="51" a="1"/>
  <c r="V426" i="51" s="1"/>
  <c r="X426" i="51" a="1"/>
  <c r="X426" i="51" s="1"/>
  <c r="O426" i="51" a="1"/>
  <c r="O426" i="51" s="1"/>
  <c r="Z426" i="51" a="1"/>
  <c r="Z426" i="51" s="1"/>
  <c r="T426" i="51" a="1"/>
  <c r="T426" i="51" s="1"/>
  <c r="Q426" i="51" a="1"/>
  <c r="Q426" i="51" s="1"/>
  <c r="LG96" i="51"/>
  <c r="LG97" i="51"/>
  <c r="Y409" i="51" a="1"/>
  <c r="Y409" i="51" s="1"/>
  <c r="V409" i="51" a="1"/>
  <c r="V409" i="51" s="1"/>
  <c r="Z409" i="51" a="1"/>
  <c r="Z409" i="51" s="1"/>
  <c r="X409" i="51" a="1"/>
  <c r="X409" i="51" s="1"/>
  <c r="P409" i="51" a="1"/>
  <c r="P409" i="51" s="1"/>
  <c r="Q409" i="51" a="1"/>
  <c r="Q409" i="51" s="1"/>
  <c r="S409" i="51" a="1"/>
  <c r="S409" i="51" s="1"/>
  <c r="T409" i="51" a="1"/>
  <c r="T409" i="51" s="1"/>
  <c r="R409" i="51" a="1"/>
  <c r="R409" i="51" s="1"/>
  <c r="O409" i="51" a="1"/>
  <c r="O409" i="51" s="1"/>
  <c r="W409" i="51" a="1"/>
  <c r="W409" i="51" s="1"/>
  <c r="U409" i="51" a="1"/>
  <c r="U409" i="51" s="1"/>
  <c r="MH97" i="51"/>
  <c r="T436" i="51" a="1"/>
  <c r="T436" i="51" s="1"/>
  <c r="U436" i="51" a="1"/>
  <c r="U436" i="51" s="1"/>
  <c r="O436" i="51" a="1"/>
  <c r="O436" i="51" s="1"/>
  <c r="V436" i="51" a="1"/>
  <c r="V436" i="51" s="1"/>
  <c r="X436" i="51" a="1"/>
  <c r="X436" i="51" s="1"/>
  <c r="R436" i="51" a="1"/>
  <c r="R436" i="51" s="1"/>
  <c r="Q436" i="51" a="1"/>
  <c r="Q436" i="51" s="1"/>
  <c r="S436" i="51" a="1"/>
  <c r="S436" i="51" s="1"/>
  <c r="Y436" i="51" a="1"/>
  <c r="Y436" i="51" s="1"/>
  <c r="Z436" i="51" a="1"/>
  <c r="Z436" i="51" s="1"/>
  <c r="W436" i="51" a="1"/>
  <c r="W436" i="51" s="1"/>
  <c r="P436" i="51" a="1"/>
  <c r="P436" i="51" s="1"/>
  <c r="KR97" i="51"/>
  <c r="KR96" i="51"/>
  <c r="V394" i="51" a="1"/>
  <c r="V394" i="51" s="1"/>
  <c r="Y394" i="51" a="1"/>
  <c r="Y394" i="51" s="1"/>
  <c r="U394" i="51" a="1"/>
  <c r="U394" i="51" s="1"/>
  <c r="R394" i="51" a="1"/>
  <c r="R394" i="51" s="1"/>
  <c r="Z394" i="51" a="1"/>
  <c r="Z394" i="51" s="1"/>
  <c r="W394" i="51" a="1"/>
  <c r="W394" i="51" s="1"/>
  <c r="P394" i="51" a="1"/>
  <c r="P394" i="51" s="1"/>
  <c r="S394" i="51" a="1"/>
  <c r="S394" i="51" s="1"/>
  <c r="T394" i="51" a="1"/>
  <c r="T394" i="51" s="1"/>
  <c r="Q394" i="51" a="1"/>
  <c r="Q394" i="51" s="1"/>
  <c r="O394" i="51" a="1"/>
  <c r="O394" i="51" s="1"/>
  <c r="X394" i="51" a="1"/>
  <c r="X394" i="51" s="1"/>
  <c r="LU97" i="51"/>
  <c r="Q423" i="51" a="1"/>
  <c r="Q423" i="51" s="1"/>
  <c r="X423" i="51" a="1"/>
  <c r="X423" i="51" s="1"/>
  <c r="W423" i="51" a="1"/>
  <c r="W423" i="51" s="1"/>
  <c r="P423" i="51" a="1"/>
  <c r="P423" i="51" s="1"/>
  <c r="V423" i="51" a="1"/>
  <c r="V423" i="51" s="1"/>
  <c r="Z423" i="51" a="1"/>
  <c r="Z423" i="51" s="1"/>
  <c r="T423" i="51" a="1"/>
  <c r="T423" i="51" s="1"/>
  <c r="S423" i="51" a="1"/>
  <c r="S423" i="51" s="1"/>
  <c r="U423" i="51" a="1"/>
  <c r="U423" i="51" s="1"/>
  <c r="R423" i="51" a="1"/>
  <c r="R423" i="51" s="1"/>
  <c r="O423" i="51" a="1"/>
  <c r="O423" i="51" s="1"/>
  <c r="Y423" i="51" a="1"/>
  <c r="Y423" i="51" s="1"/>
  <c r="LN96" i="51"/>
  <c r="V416" i="51" a="1"/>
  <c r="V416" i="51" s="1"/>
  <c r="Z416" i="51" a="1"/>
  <c r="Z416" i="51" s="1"/>
  <c r="Y416" i="51" a="1"/>
  <c r="Y416" i="51" s="1"/>
  <c r="T416" i="51" a="1"/>
  <c r="T416" i="51" s="1"/>
  <c r="P416" i="51" a="1"/>
  <c r="P416" i="51" s="1"/>
  <c r="W416" i="51" a="1"/>
  <c r="W416" i="51" s="1"/>
  <c r="Q416" i="51" a="1"/>
  <c r="Q416" i="51" s="1"/>
  <c r="X416" i="51" a="1"/>
  <c r="X416" i="51" s="1"/>
  <c r="O416" i="51" a="1"/>
  <c r="O416" i="51" s="1"/>
  <c r="R416" i="51" a="1"/>
  <c r="R416" i="51" s="1"/>
  <c r="U416" i="51" a="1"/>
  <c r="U416" i="51" s="1"/>
  <c r="S416" i="51" a="1"/>
  <c r="S416" i="51" s="1"/>
  <c r="H36" i="45"/>
  <c r="J49" i="6"/>
  <c r="K49" i="6" s="1"/>
  <c r="L49" i="6" s="1"/>
  <c r="F49" i="6"/>
  <c r="G49" i="6" s="1"/>
  <c r="H49" i="6" s="1"/>
  <c r="Y390" i="51" l="1" a="1"/>
  <c r="Y390" i="51" s="1"/>
  <c r="AP252" i="51" s="1"/>
  <c r="U390" i="51" a="1"/>
  <c r="U390" i="51" s="1"/>
  <c r="AL252" i="51" s="1"/>
  <c r="AL237" i="51" s="1"/>
  <c r="AA83" i="55" s="1"/>
  <c r="R390" i="51" a="1"/>
  <c r="R390" i="51" s="1"/>
  <c r="AI252" i="51" s="1"/>
  <c r="AI237" i="51" s="1"/>
  <c r="X83" i="55" s="1"/>
  <c r="X390" i="51" a="1"/>
  <c r="X390" i="51" s="1"/>
  <c r="AO252" i="51" s="1"/>
  <c r="AO237" i="51" s="1"/>
  <c r="AD83" i="55" s="1"/>
  <c r="O390" i="51" a="1"/>
  <c r="O390" i="51" s="1"/>
  <c r="AF252" i="51" s="1"/>
  <c r="T390" i="51" a="1"/>
  <c r="T390" i="51" s="1"/>
  <c r="AK252" i="51" s="1"/>
  <c r="AK237" i="51" s="1"/>
  <c r="Z83" i="55" s="1"/>
  <c r="KN96" i="51"/>
  <c r="KN97" i="51"/>
  <c r="Z390" i="51" a="1"/>
  <c r="Z390" i="51" s="1"/>
  <c r="AQ252" i="51" s="1"/>
  <c r="AF101" i="55" s="1"/>
  <c r="V390" i="51" a="1"/>
  <c r="V390" i="51" s="1"/>
  <c r="AM252" i="51" s="1"/>
  <c r="AB101" i="55" s="1"/>
  <c r="Q390" i="51" a="1"/>
  <c r="Q390" i="51" s="1"/>
  <c r="AH252" i="51" s="1"/>
  <c r="W101" i="55" s="1"/>
  <c r="S390" i="51" a="1"/>
  <c r="S390" i="51" s="1"/>
  <c r="P390" i="51" a="1"/>
  <c r="P390" i="51" s="1"/>
  <c r="AG252" i="51" s="1"/>
  <c r="AG237" i="51" s="1"/>
  <c r="V83" i="55" s="1"/>
  <c r="W390" i="51" a="1"/>
  <c r="W390" i="51" s="1"/>
  <c r="AN252" i="51" s="1"/>
  <c r="AN237" i="51" s="1"/>
  <c r="AC83" i="55" s="1"/>
  <c r="KN98" i="51"/>
  <c r="G97" i="44"/>
  <c r="AJ238" i="51"/>
  <c r="Y85" i="55" s="1"/>
  <c r="H34" i="44"/>
  <c r="H52" i="31" s="1"/>
  <c r="AJ252" i="51"/>
  <c r="AJ237" i="51" s="1"/>
  <c r="W317" i="51" a="1"/>
  <c r="W317" i="51" s="1"/>
  <c r="KO98" i="51"/>
  <c r="MP43" i="51"/>
  <c r="AB437" i="51"/>
  <c r="AB430" i="51"/>
  <c r="AB384" i="51"/>
  <c r="AB435" i="51"/>
  <c r="AB433" i="51"/>
  <c r="AB406" i="51"/>
  <c r="AB427" i="51"/>
  <c r="AB436" i="51"/>
  <c r="AB410" i="51"/>
  <c r="AB403" i="51"/>
  <c r="AB397" i="51"/>
  <c r="AB415" i="51"/>
  <c r="AB393" i="51"/>
  <c r="AB428" i="51"/>
  <c r="AB400" i="51"/>
  <c r="AB434" i="51"/>
  <c r="AB399" i="51"/>
  <c r="AB425" i="51"/>
  <c r="AB395" i="51"/>
  <c r="AB386" i="51"/>
  <c r="AB411" i="51"/>
  <c r="AB405" i="51"/>
  <c r="AB422" i="51"/>
  <c r="AB440" i="51"/>
  <c r="AB418" i="51"/>
  <c r="AB416" i="51"/>
  <c r="AB394" i="51"/>
  <c r="AB396" i="51"/>
  <c r="AB417" i="51"/>
  <c r="AB392" i="51"/>
  <c r="AB390" i="51"/>
  <c r="AB421" i="51"/>
  <c r="AB407" i="51"/>
  <c r="AB387" i="51"/>
  <c r="AB429" i="51"/>
  <c r="AB441" i="51"/>
  <c r="AB419" i="51"/>
  <c r="AB438" i="51"/>
  <c r="AB401" i="51"/>
  <c r="AB413" i="51"/>
  <c r="AB432" i="51"/>
  <c r="AB402" i="51"/>
  <c r="AB383" i="51"/>
  <c r="AB423" i="51"/>
  <c r="AB426" i="51"/>
  <c r="AB431" i="51"/>
  <c r="AB414" i="51"/>
  <c r="AB404" i="51"/>
  <c r="AB409" i="51"/>
  <c r="AB420" i="51"/>
  <c r="AB408" i="51"/>
  <c r="AB398" i="51"/>
  <c r="AB439" i="51"/>
  <c r="AB424" i="51"/>
  <c r="AB412" i="51"/>
  <c r="AB382" i="51"/>
  <c r="MR98" i="51"/>
  <c r="AA317" i="51" s="1"/>
  <c r="R391" i="51" a="1"/>
  <c r="R391" i="51" s="1"/>
  <c r="KO97" i="51"/>
  <c r="O391" i="51" a="1"/>
  <c r="O391" i="51" s="1"/>
  <c r="AF255" i="51" s="1"/>
  <c r="T391" i="51" a="1"/>
  <c r="T391" i="51" s="1"/>
  <c r="P391" i="51" a="1"/>
  <c r="P391" i="51" s="1"/>
  <c r="W391" i="51" a="1"/>
  <c r="W391" i="51" s="1"/>
  <c r="Q391" i="51" a="1"/>
  <c r="Q391" i="51" s="1"/>
  <c r="U391" i="51" a="1"/>
  <c r="U391" i="51" s="1"/>
  <c r="Y391" i="51" a="1"/>
  <c r="Y391" i="51" s="1"/>
  <c r="Z391" i="51" a="1"/>
  <c r="Z391" i="51" s="1"/>
  <c r="V391" i="51" a="1"/>
  <c r="V391" i="51" s="1"/>
  <c r="KO96" i="51"/>
  <c r="S391" i="51" a="1"/>
  <c r="S391" i="51" s="1"/>
  <c r="X391" i="51" a="1"/>
  <c r="X391" i="51" s="1"/>
  <c r="AA85" i="55"/>
  <c r="X85" i="55"/>
  <c r="AA101" i="55"/>
  <c r="AF85" i="55"/>
  <c r="W85" i="55"/>
  <c r="Z101" i="55"/>
  <c r="AD85" i="55"/>
  <c r="V85" i="55"/>
  <c r="AP237" i="51"/>
  <c r="AE83" i="55" s="1"/>
  <c r="AE101" i="55"/>
  <c r="AD101" i="55"/>
  <c r="AE85" i="55"/>
  <c r="AB85" i="55"/>
  <c r="AC85" i="55"/>
  <c r="Z85" i="55"/>
  <c r="X101" i="55"/>
  <c r="MP44" i="51"/>
  <c r="Q317" i="51" a="1"/>
  <c r="Q317" i="51" s="1"/>
  <c r="O317" i="51" a="1"/>
  <c r="O317" i="51" s="1"/>
  <c r="P317" i="51" a="1"/>
  <c r="P317" i="51" s="1"/>
  <c r="R317" i="51" a="1"/>
  <c r="R317" i="51" s="1"/>
  <c r="V317" i="51" a="1"/>
  <c r="V317" i="51" s="1"/>
  <c r="T317" i="51" a="1"/>
  <c r="T317" i="51" s="1"/>
  <c r="X317" i="51" a="1"/>
  <c r="X317" i="51" s="1"/>
  <c r="MR96" i="51"/>
  <c r="Z317" i="51" a="1"/>
  <c r="Z317" i="51" s="1"/>
  <c r="MR97" i="51"/>
  <c r="Y317" i="51" a="1"/>
  <c r="Y317" i="51" s="1"/>
  <c r="U317" i="51" a="1"/>
  <c r="U317" i="51" s="1"/>
  <c r="S317" i="51" a="1"/>
  <c r="S317" i="51" s="1"/>
  <c r="KI46" i="51"/>
  <c r="AA419" i="51"/>
  <c r="AA432" i="51"/>
  <c r="AA402" i="51"/>
  <c r="AA399" i="51"/>
  <c r="AA440" i="51"/>
  <c r="AA418" i="51"/>
  <c r="AA435" i="51"/>
  <c r="AA441" i="51"/>
  <c r="AA410" i="51"/>
  <c r="AA426" i="51"/>
  <c r="AA396" i="51"/>
  <c r="AA437" i="51"/>
  <c r="AA407" i="51"/>
  <c r="AA387" i="51"/>
  <c r="J31" i="44" s="1"/>
  <c r="AA421" i="51"/>
  <c r="AA416" i="51"/>
  <c r="AA436" i="51"/>
  <c r="AA438" i="51"/>
  <c r="AA397" i="51"/>
  <c r="AA413" i="51"/>
  <c r="AA408" i="51"/>
  <c r="AA398" i="51"/>
  <c r="AA431" i="51"/>
  <c r="AA405" i="51"/>
  <c r="AA384" i="51"/>
  <c r="J27" i="44" s="1"/>
  <c r="AA400" i="51"/>
  <c r="AA439" i="51"/>
  <c r="AA424" i="51"/>
  <c r="AA394" i="51"/>
  <c r="AA420" i="51"/>
  <c r="AA428" i="51"/>
  <c r="AA433" i="51"/>
  <c r="AA383" i="51"/>
  <c r="AA423" i="51"/>
  <c r="AA422" i="51"/>
  <c r="AA430" i="51"/>
  <c r="AA434" i="51"/>
  <c r="AA404" i="51"/>
  <c r="AA411" i="51"/>
  <c r="AA403" i="51"/>
  <c r="AA401" i="51"/>
  <c r="AA392" i="51"/>
  <c r="AA415" i="51"/>
  <c r="AA393" i="51"/>
  <c r="J39" i="44" s="1"/>
  <c r="AA429" i="51"/>
  <c r="AA406" i="51"/>
  <c r="AA427" i="51"/>
  <c r="AA382" i="51"/>
  <c r="J25" i="44" s="1"/>
  <c r="AA409" i="51"/>
  <c r="AA417" i="51"/>
  <c r="AA414" i="51"/>
  <c r="AA412" i="51"/>
  <c r="AA425" i="51"/>
  <c r="AA395" i="51"/>
  <c r="AA386" i="51"/>
  <c r="C1" i="6"/>
  <c r="AQ237" i="51" l="1"/>
  <c r="AF83" i="55" s="1"/>
  <c r="AM237" i="51"/>
  <c r="AB83" i="55" s="1"/>
  <c r="AH237" i="51"/>
  <c r="W83" i="55" s="1"/>
  <c r="AC101" i="55"/>
  <c r="AA390" i="51"/>
  <c r="V101" i="55"/>
  <c r="Y101" i="55"/>
  <c r="AL255" i="51"/>
  <c r="AA105" i="55" s="1"/>
  <c r="AH255" i="51"/>
  <c r="W105" i="55" s="1"/>
  <c r="AO255" i="51"/>
  <c r="AD105" i="55" s="1"/>
  <c r="AN255" i="51"/>
  <c r="AC105" i="55" s="1"/>
  <c r="AJ255" i="51"/>
  <c r="Y105" i="55" s="1"/>
  <c r="AG255" i="51"/>
  <c r="V105" i="55" s="1"/>
  <c r="AK255" i="51"/>
  <c r="Z105" i="55" s="1"/>
  <c r="AM255" i="51"/>
  <c r="AB105" i="55" s="1"/>
  <c r="AQ255" i="51"/>
  <c r="AF105" i="55" s="1"/>
  <c r="AP255" i="51"/>
  <c r="AE105" i="55" s="1"/>
  <c r="AI255" i="51"/>
  <c r="X105" i="55" s="1"/>
  <c r="U105" i="55"/>
  <c r="AB391" i="51"/>
  <c r="AB317" i="51"/>
  <c r="Y83" i="55"/>
  <c r="G95" i="44"/>
  <c r="AA391" i="51"/>
  <c r="J37" i="44" s="1"/>
  <c r="MN46" i="51"/>
  <c r="K42" i="31"/>
  <c r="MO46" i="51"/>
  <c r="KL46" i="51"/>
  <c r="MQ46" i="51"/>
  <c r="AF237" i="51"/>
  <c r="U101" i="55"/>
  <c r="U85" i="55"/>
  <c r="AG85" i="55" s="1"/>
  <c r="AC317" i="51"/>
  <c r="KI52" i="51"/>
  <c r="KI94" i="51"/>
  <c r="KI87" i="51"/>
  <c r="KI82" i="51"/>
  <c r="KI59" i="51"/>
  <c r="KI93" i="51"/>
  <c r="KI71" i="51"/>
  <c r="KI92" i="51"/>
  <c r="KI61" i="51"/>
  <c r="KI62" i="51"/>
  <c r="KI56" i="51"/>
  <c r="KI55" i="51"/>
  <c r="KI69" i="51"/>
  <c r="KI79" i="51"/>
  <c r="KI53" i="51"/>
  <c r="KI60" i="51"/>
  <c r="KI58" i="51"/>
  <c r="KI72" i="51"/>
  <c r="KI89" i="51"/>
  <c r="KI50" i="51"/>
  <c r="KI65" i="51"/>
  <c r="KI77" i="51"/>
  <c r="KI66" i="51"/>
  <c r="KI86" i="51"/>
  <c r="KI83" i="51"/>
  <c r="KI63" i="51"/>
  <c r="KI81" i="51"/>
  <c r="KI57" i="51"/>
  <c r="KI68" i="51"/>
  <c r="KI67" i="51"/>
  <c r="KI80" i="51"/>
  <c r="KI54" i="51"/>
  <c r="KI84" i="51"/>
  <c r="KI85" i="51"/>
  <c r="KI78" i="51"/>
  <c r="KI76" i="51"/>
  <c r="KI88" i="51"/>
  <c r="KI70" i="51"/>
  <c r="KI51" i="51"/>
  <c r="KI48" i="51"/>
  <c r="KI64" i="51"/>
  <c r="KI75" i="51"/>
  <c r="KI73" i="51"/>
  <c r="KI91" i="51"/>
  <c r="KI74" i="51"/>
  <c r="KI90" i="51"/>
  <c r="KI47" i="51"/>
  <c r="AG101" i="55" l="1"/>
  <c r="AG105" i="55"/>
  <c r="F13" i="44"/>
  <c r="E23" i="55" a="1"/>
  <c r="G23" i="55" s="1"/>
  <c r="MN73" i="51"/>
  <c r="MN78" i="51"/>
  <c r="KM78" i="51"/>
  <c r="MN81" i="51"/>
  <c r="KM81" i="51"/>
  <c r="MN89" i="51"/>
  <c r="KM89" i="51"/>
  <c r="MN56" i="51"/>
  <c r="MN87" i="51"/>
  <c r="KM87" i="51"/>
  <c r="MN75" i="51"/>
  <c r="KM75" i="51"/>
  <c r="MN85" i="51"/>
  <c r="KM85" i="51"/>
  <c r="MN63" i="51"/>
  <c r="MN72" i="51"/>
  <c r="KM72" i="51"/>
  <c r="MN62" i="51"/>
  <c r="KM62" i="51"/>
  <c r="MN94" i="51"/>
  <c r="KM94" i="51"/>
  <c r="MN84" i="51"/>
  <c r="MN83" i="51"/>
  <c r="KM83" i="51"/>
  <c r="MN58" i="51"/>
  <c r="KM58" i="51"/>
  <c r="MN61" i="51"/>
  <c r="KM61" i="51"/>
  <c r="MN52" i="51"/>
  <c r="KM52" i="51"/>
  <c r="MN64" i="51"/>
  <c r="MN48" i="51"/>
  <c r="KM48" i="51"/>
  <c r="MN54" i="51"/>
  <c r="KM54" i="51"/>
  <c r="MN86" i="51"/>
  <c r="KM86" i="51"/>
  <c r="MN60" i="51"/>
  <c r="KM60" i="51"/>
  <c r="MN92" i="51"/>
  <c r="KM92" i="51"/>
  <c r="MN47" i="51"/>
  <c r="KM47" i="51"/>
  <c r="MN51" i="51"/>
  <c r="KM51" i="51"/>
  <c r="MN80" i="51"/>
  <c r="KM80" i="51"/>
  <c r="MN66" i="51"/>
  <c r="KM66" i="51"/>
  <c r="MN53" i="51"/>
  <c r="KM53" i="51"/>
  <c r="MN71" i="51"/>
  <c r="KM71" i="51"/>
  <c r="MN90" i="51"/>
  <c r="KM90" i="51"/>
  <c r="MN70" i="51"/>
  <c r="KM70" i="51"/>
  <c r="MN67" i="51"/>
  <c r="KM67" i="51"/>
  <c r="MN77" i="51"/>
  <c r="MN79" i="51"/>
  <c r="KM79" i="51"/>
  <c r="MN93" i="51"/>
  <c r="KM93" i="51"/>
  <c r="MN74" i="51"/>
  <c r="KM74" i="51"/>
  <c r="MN88" i="51"/>
  <c r="MN68" i="51"/>
  <c r="KM68" i="51"/>
  <c r="MN65" i="51"/>
  <c r="KM65" i="51"/>
  <c r="MN69" i="51"/>
  <c r="KM69" i="51"/>
  <c r="MN59" i="51"/>
  <c r="MN91" i="51"/>
  <c r="KM91" i="51"/>
  <c r="MN76" i="51"/>
  <c r="KM76" i="51"/>
  <c r="MN57" i="51"/>
  <c r="KM57" i="51"/>
  <c r="MN50" i="51"/>
  <c r="MN55" i="51"/>
  <c r="KM55" i="51"/>
  <c r="MN82" i="51"/>
  <c r="KM82" i="51"/>
  <c r="MO69" i="51"/>
  <c r="MO91" i="51"/>
  <c r="MO76" i="51"/>
  <c r="MO57" i="51"/>
  <c r="MO50" i="51"/>
  <c r="MO55" i="51"/>
  <c r="MO82" i="51"/>
  <c r="MO68" i="51"/>
  <c r="MO73" i="51"/>
  <c r="MO78" i="51"/>
  <c r="MO81" i="51"/>
  <c r="MO89" i="51"/>
  <c r="MO56" i="51"/>
  <c r="MO87" i="51"/>
  <c r="MO74" i="51"/>
  <c r="MO75" i="51"/>
  <c r="MO85" i="51"/>
  <c r="MO63" i="51"/>
  <c r="MO72" i="51"/>
  <c r="MO62" i="51"/>
  <c r="MO94" i="51"/>
  <c r="MO59" i="51"/>
  <c r="MO64" i="51"/>
  <c r="KM84" i="51"/>
  <c r="MO84" i="51"/>
  <c r="MO83" i="51"/>
  <c r="MO58" i="51"/>
  <c r="MO61" i="51"/>
  <c r="MO52" i="51"/>
  <c r="MO65" i="51"/>
  <c r="MO48" i="51"/>
  <c r="MO54" i="51"/>
  <c r="MO86" i="51"/>
  <c r="MO60" i="51"/>
  <c r="MO92" i="51"/>
  <c r="MO47" i="51"/>
  <c r="MO51" i="51"/>
  <c r="MO80" i="51"/>
  <c r="MO66" i="51"/>
  <c r="MO53" i="51"/>
  <c r="MO71" i="51"/>
  <c r="MO88" i="51"/>
  <c r="MO90" i="51"/>
  <c r="MO70" i="51"/>
  <c r="MO67" i="51"/>
  <c r="MO77" i="51"/>
  <c r="MO79" i="51"/>
  <c r="MO93" i="51"/>
  <c r="KL74" i="51"/>
  <c r="KL68" i="51"/>
  <c r="KL65" i="51"/>
  <c r="KL69" i="51"/>
  <c r="KL59" i="51"/>
  <c r="KL91" i="51"/>
  <c r="KL76" i="51"/>
  <c r="KL57" i="51"/>
  <c r="KL50" i="51"/>
  <c r="KL55" i="51"/>
  <c r="KL82" i="51"/>
  <c r="KM73" i="51"/>
  <c r="KL73" i="51"/>
  <c r="KL78" i="51"/>
  <c r="KL81" i="51"/>
  <c r="KL89" i="51"/>
  <c r="KL56" i="51"/>
  <c r="KL87" i="51"/>
  <c r="KL47" i="51"/>
  <c r="KL75" i="51"/>
  <c r="KL85" i="51"/>
  <c r="KL63" i="51"/>
  <c r="KL72" i="51"/>
  <c r="KL62" i="51"/>
  <c r="KL94" i="51"/>
  <c r="KL88" i="51"/>
  <c r="KL84" i="51"/>
  <c r="KL83" i="51"/>
  <c r="KL58" i="51"/>
  <c r="KL61" i="51"/>
  <c r="KL52" i="51"/>
  <c r="KL64" i="51"/>
  <c r="KL48" i="51"/>
  <c r="KL54" i="51"/>
  <c r="KL86" i="51"/>
  <c r="KL60" i="51"/>
  <c r="KL92" i="51"/>
  <c r="KL51" i="51"/>
  <c r="KL80" i="51"/>
  <c r="KL66" i="51"/>
  <c r="KL53" i="51"/>
  <c r="KL71" i="51"/>
  <c r="KL90" i="51"/>
  <c r="KL70" i="51"/>
  <c r="KL67" i="51"/>
  <c r="KM77" i="51"/>
  <c r="KL77" i="51"/>
  <c r="KL79" i="51"/>
  <c r="KL93" i="51"/>
  <c r="MQ67" i="51"/>
  <c r="MQ93" i="51"/>
  <c r="MQ69" i="51"/>
  <c r="MQ91" i="51"/>
  <c r="MQ76" i="51"/>
  <c r="MQ57" i="51"/>
  <c r="MQ50" i="51"/>
  <c r="MQ55" i="51"/>
  <c r="MQ82" i="51"/>
  <c r="MQ77" i="51"/>
  <c r="MQ81" i="51"/>
  <c r="MQ89" i="51"/>
  <c r="MQ56" i="51"/>
  <c r="MQ87" i="51"/>
  <c r="MQ79" i="51"/>
  <c r="MQ65" i="51"/>
  <c r="MQ75" i="51"/>
  <c r="MQ85" i="51"/>
  <c r="MQ63" i="51"/>
  <c r="MQ72" i="51"/>
  <c r="MQ62" i="51"/>
  <c r="MQ94" i="51"/>
  <c r="MQ74" i="51"/>
  <c r="KM59" i="51"/>
  <c r="MQ59" i="51"/>
  <c r="MQ78" i="51"/>
  <c r="MQ84" i="51"/>
  <c r="MQ83" i="51"/>
  <c r="MQ58" i="51"/>
  <c r="MQ61" i="51"/>
  <c r="MQ52" i="51"/>
  <c r="MQ90" i="51"/>
  <c r="MQ88" i="51"/>
  <c r="MQ73" i="51"/>
  <c r="MQ64" i="51"/>
  <c r="MQ48" i="51"/>
  <c r="MQ54" i="51"/>
  <c r="MQ86" i="51"/>
  <c r="MQ60" i="51"/>
  <c r="MQ92" i="51"/>
  <c r="MQ70" i="51"/>
  <c r="MQ68" i="51"/>
  <c r="MQ47" i="51"/>
  <c r="MQ51" i="51"/>
  <c r="MQ80" i="51"/>
  <c r="MQ66" i="51"/>
  <c r="MQ53" i="51"/>
  <c r="MQ71" i="51"/>
  <c r="U83" i="55"/>
  <c r="AG83" i="55" s="1"/>
  <c r="KM56" i="51"/>
  <c r="KM50" i="51"/>
  <c r="KM88" i="51"/>
  <c r="KM63" i="51"/>
  <c r="KM46" i="51"/>
  <c r="KM64" i="51"/>
  <c r="N23" i="55" l="1"/>
  <c r="F23" i="55"/>
  <c r="M23" i="55"/>
  <c r="K23" i="55"/>
  <c r="E23" i="55"/>
  <c r="P23" i="55"/>
  <c r="L23" i="55"/>
  <c r="H23" i="55"/>
  <c r="J23" i="55"/>
  <c r="O23" i="55"/>
  <c r="I23" i="55"/>
  <c r="MP70" i="51"/>
  <c r="MP81" i="51"/>
  <c r="MP72" i="51"/>
  <c r="MP61" i="51"/>
  <c r="MP69" i="51"/>
  <c r="MP84" i="51"/>
  <c r="MP47" i="51"/>
  <c r="MP88" i="51"/>
  <c r="MP55" i="51"/>
  <c r="MP89" i="51"/>
  <c r="MP65" i="51"/>
  <c r="MP68" i="51"/>
  <c r="MP74" i="51"/>
  <c r="MP91" i="51"/>
  <c r="MP85" i="51"/>
  <c r="MP90" i="51"/>
  <c r="MP59" i="51"/>
  <c r="MP54" i="51"/>
  <c r="MP75" i="51"/>
  <c r="MP60" i="51"/>
  <c r="MP76" i="51"/>
  <c r="MP73" i="51"/>
  <c r="MP64" i="51"/>
  <c r="MP92" i="51"/>
  <c r="MP57" i="51"/>
  <c r="MP51" i="51"/>
  <c r="MP58" i="51"/>
  <c r="MP94" i="51"/>
  <c r="MP53" i="51"/>
  <c r="MP50" i="51"/>
  <c r="MP56" i="51"/>
  <c r="MP67" i="51"/>
  <c r="MP77" i="51"/>
  <c r="MP87" i="51"/>
  <c r="MP79" i="51"/>
  <c r="MP66" i="51"/>
  <c r="MP62" i="51"/>
  <c r="MP71" i="51"/>
  <c r="MP86" i="51"/>
  <c r="MP63" i="51"/>
  <c r="MP78" i="51"/>
  <c r="MP80" i="51"/>
  <c r="MP83" i="51"/>
  <c r="MP52" i="51"/>
  <c r="MP82" i="51"/>
  <c r="MP93" i="51"/>
  <c r="MP46" i="51"/>
  <c r="MP48" i="51"/>
  <c r="KI49" i="51"/>
  <c r="Q23" i="55" l="1"/>
  <c r="KI98" i="51"/>
  <c r="MN49" i="51"/>
  <c r="MN98" i="51" s="1"/>
  <c r="AA313" i="51" s="1"/>
  <c r="KM49" i="51"/>
  <c r="KM98" i="51" s="1"/>
  <c r="MO49" i="51"/>
  <c r="MO98" i="51" s="1"/>
  <c r="AA314" i="51" s="1"/>
  <c r="KL49" i="51"/>
  <c r="KL98" i="51" s="1"/>
  <c r="MQ49" i="51"/>
  <c r="MQ98" i="51" s="1"/>
  <c r="AA316" i="51" s="1"/>
  <c r="KI97" i="51"/>
  <c r="KI96" i="51"/>
  <c r="Y385" i="51" a="1"/>
  <c r="Y385" i="51" s="1"/>
  <c r="AP243" i="51" s="1"/>
  <c r="X385" i="51" a="1"/>
  <c r="X385" i="51" s="1"/>
  <c r="AO243" i="51" s="1"/>
  <c r="Q385" i="51" a="1"/>
  <c r="Q385" i="51" s="1"/>
  <c r="AH243" i="51" s="1"/>
  <c r="R385" i="51" a="1"/>
  <c r="R385" i="51" s="1"/>
  <c r="AI243" i="51" s="1"/>
  <c r="Z385" i="51" a="1"/>
  <c r="Z385" i="51" s="1"/>
  <c r="AQ243" i="51" s="1"/>
  <c r="O385" i="51" a="1"/>
  <c r="O385" i="51" s="1"/>
  <c r="AF243" i="51" s="1"/>
  <c r="U385" i="51" a="1"/>
  <c r="U385" i="51" s="1"/>
  <c r="AL243" i="51" s="1"/>
  <c r="T385" i="51" a="1"/>
  <c r="T385" i="51" s="1"/>
  <c r="AK243" i="51" s="1"/>
  <c r="W385" i="51" a="1"/>
  <c r="W385" i="51" s="1"/>
  <c r="AN243" i="51" s="1"/>
  <c r="S385" i="51" a="1"/>
  <c r="S385" i="51" s="1"/>
  <c r="AJ243" i="51" s="1"/>
  <c r="V385" i="51" a="1"/>
  <c r="V385" i="51" s="1"/>
  <c r="AM243" i="51" s="1"/>
  <c r="P385" i="51" a="1"/>
  <c r="P385" i="51" s="1"/>
  <c r="AG243" i="51" s="1"/>
  <c r="AB385" i="51" l="1"/>
  <c r="AA93" i="55"/>
  <c r="Z93" i="55"/>
  <c r="AF93" i="55"/>
  <c r="V93" i="55"/>
  <c r="X93" i="55"/>
  <c r="W93" i="55"/>
  <c r="AB93" i="55"/>
  <c r="G103" i="44"/>
  <c r="AD93" i="55"/>
  <c r="AC93" i="55"/>
  <c r="AE93" i="55"/>
  <c r="X313" i="51" a="1"/>
  <c r="X313" i="51" s="1"/>
  <c r="V313" i="51" a="1"/>
  <c r="V313" i="51" s="1"/>
  <c r="MN97" i="51"/>
  <c r="W313" i="51" a="1"/>
  <c r="W313" i="51" s="1"/>
  <c r="T313" i="51" a="1"/>
  <c r="T313" i="51" s="1"/>
  <c r="O313" i="51" a="1"/>
  <c r="O313" i="51" s="1"/>
  <c r="S313" i="51" a="1"/>
  <c r="S313" i="51" s="1"/>
  <c r="Q313" i="51" a="1"/>
  <c r="Q313" i="51" s="1"/>
  <c r="U313" i="51" a="1"/>
  <c r="U313" i="51" s="1"/>
  <c r="MN96" i="51"/>
  <c r="Z313" i="51" a="1"/>
  <c r="Z313" i="51" s="1"/>
  <c r="P313" i="51" a="1"/>
  <c r="P313" i="51" s="1"/>
  <c r="R313" i="51" a="1"/>
  <c r="R313" i="51" s="1"/>
  <c r="Y313" i="51" a="1"/>
  <c r="Y313" i="51" s="1"/>
  <c r="S314" i="51" a="1"/>
  <c r="S314" i="51" s="1"/>
  <c r="P314" i="51" a="1"/>
  <c r="P314" i="51" s="1"/>
  <c r="X314" i="51" a="1"/>
  <c r="X314" i="51" s="1"/>
  <c r="W314" i="51" a="1"/>
  <c r="W314" i="51" s="1"/>
  <c r="R314" i="51" a="1"/>
  <c r="R314" i="51" s="1"/>
  <c r="V314" i="51" a="1"/>
  <c r="V314" i="51" s="1"/>
  <c r="MO97" i="51"/>
  <c r="U314" i="51" a="1"/>
  <c r="U314" i="51" s="1"/>
  <c r="T314" i="51" a="1"/>
  <c r="T314" i="51" s="1"/>
  <c r="Z314" i="51" a="1"/>
  <c r="Z314" i="51" s="1"/>
  <c r="O314" i="51" a="1"/>
  <c r="O314" i="51" s="1"/>
  <c r="Q314" i="51" a="1"/>
  <c r="Q314" i="51" s="1"/>
  <c r="MO96" i="51"/>
  <c r="Y314" i="51" a="1"/>
  <c r="Y314" i="51" s="1"/>
  <c r="KL97" i="51"/>
  <c r="W388" i="51" a="1"/>
  <c r="W388" i="51" s="1"/>
  <c r="O388" i="51" a="1"/>
  <c r="O388" i="51" s="1"/>
  <c r="Q388" i="51" a="1"/>
  <c r="Q388" i="51" s="1"/>
  <c r="KL96" i="51"/>
  <c r="R388" i="51" a="1"/>
  <c r="R388" i="51" s="1"/>
  <c r="V388" i="51" a="1"/>
  <c r="V388" i="51" s="1"/>
  <c r="T388" i="51" a="1"/>
  <c r="T388" i="51" s="1"/>
  <c r="Y388" i="51" a="1"/>
  <c r="Y388" i="51" s="1"/>
  <c r="U388" i="51" a="1"/>
  <c r="U388" i="51" s="1"/>
  <c r="S388" i="51" a="1"/>
  <c r="S388" i="51" s="1"/>
  <c r="P388" i="51" a="1"/>
  <c r="P388" i="51" s="1"/>
  <c r="Z388" i="51" a="1"/>
  <c r="Z388" i="51" s="1"/>
  <c r="X388" i="51" a="1"/>
  <c r="X388" i="51" s="1"/>
  <c r="R316" i="51" a="1"/>
  <c r="R316" i="51" s="1"/>
  <c r="Z316" i="51" a="1"/>
  <c r="Z316" i="51" s="1"/>
  <c r="V316" i="51" a="1"/>
  <c r="V316" i="51" s="1"/>
  <c r="U316" i="51" a="1"/>
  <c r="U316" i="51" s="1"/>
  <c r="MQ97" i="51"/>
  <c r="P316" i="51" a="1"/>
  <c r="P316" i="51" s="1"/>
  <c r="MQ96" i="51"/>
  <c r="Q316" i="51" a="1"/>
  <c r="Q316" i="51" s="1"/>
  <c r="T316" i="51" a="1"/>
  <c r="T316" i="51" s="1"/>
  <c r="O316" i="51" a="1"/>
  <c r="O316" i="51" s="1"/>
  <c r="S316" i="51" a="1"/>
  <c r="S316" i="51" s="1"/>
  <c r="Y316" i="51" a="1"/>
  <c r="Y316" i="51" s="1"/>
  <c r="W316" i="51" a="1"/>
  <c r="W316" i="51" s="1"/>
  <c r="X316" i="51" a="1"/>
  <c r="X316" i="51" s="1"/>
  <c r="MP49" i="51"/>
  <c r="KM96" i="51"/>
  <c r="KM97" i="51"/>
  <c r="V389" i="51" a="1"/>
  <c r="V389" i="51" s="1"/>
  <c r="U389" i="51" a="1"/>
  <c r="U389" i="51" s="1"/>
  <c r="Y389" i="51" a="1"/>
  <c r="Y389" i="51" s="1"/>
  <c r="T389" i="51" a="1"/>
  <c r="T389" i="51" s="1"/>
  <c r="R389" i="51" a="1"/>
  <c r="R389" i="51" s="1"/>
  <c r="W389" i="51" a="1"/>
  <c r="W389" i="51" s="1"/>
  <c r="Q389" i="51" a="1"/>
  <c r="Q389" i="51" s="1"/>
  <c r="P389" i="51" a="1"/>
  <c r="P389" i="51" s="1"/>
  <c r="Z389" i="51" a="1"/>
  <c r="Z389" i="51" s="1"/>
  <c r="X389" i="51" a="1"/>
  <c r="X389" i="51" s="1"/>
  <c r="O389" i="51" a="1"/>
  <c r="O389" i="51" s="1"/>
  <c r="S389" i="51" a="1"/>
  <c r="S389" i="51" s="1"/>
  <c r="AA385" i="51"/>
  <c r="J29" i="44" s="1"/>
  <c r="AK250" i="51" l="1"/>
  <c r="AK235" i="51" s="1"/>
  <c r="Z81" i="55" s="1"/>
  <c r="AM250" i="51"/>
  <c r="AM235" i="51" s="1"/>
  <c r="AB81" i="55" s="1"/>
  <c r="AO250" i="51"/>
  <c r="AD99" i="55" s="1"/>
  <c r="AI250" i="51"/>
  <c r="X99" i="55" s="1"/>
  <c r="AQ250" i="51"/>
  <c r="AQ235" i="51" s="1"/>
  <c r="AF81" i="55" s="1"/>
  <c r="AG250" i="51"/>
  <c r="AG235" i="51" s="1"/>
  <c r="V81" i="55" s="1"/>
  <c r="AH250" i="51"/>
  <c r="W99" i="55" s="1"/>
  <c r="AJ250" i="51"/>
  <c r="AJ235" i="51" s="1"/>
  <c r="AF250" i="51"/>
  <c r="AF235" i="51" s="1"/>
  <c r="AL250" i="51"/>
  <c r="AL235" i="51" s="1"/>
  <c r="AA81" i="55" s="1"/>
  <c r="AN250" i="51"/>
  <c r="AN235" i="51" s="1"/>
  <c r="AC81" i="55" s="1"/>
  <c r="AP250" i="51"/>
  <c r="AP235" i="51" s="1"/>
  <c r="AE81" i="55" s="1"/>
  <c r="AB388" i="51"/>
  <c r="K149" i="31" s="1"/>
  <c r="AB389" i="51"/>
  <c r="K150" i="31" s="1"/>
  <c r="AF101" i="51" a="1"/>
  <c r="AF101" i="51" s="1"/>
  <c r="AG101" i="51" s="1"/>
  <c r="AH101" i="51" s="1"/>
  <c r="MP98" i="51"/>
  <c r="AA315" i="51" s="1"/>
  <c r="AB314" i="51"/>
  <c r="AB316" i="51"/>
  <c r="AB313" i="51"/>
  <c r="Y93" i="55"/>
  <c r="H26" i="44"/>
  <c r="K153" i="31"/>
  <c r="K144" i="31"/>
  <c r="J147" i="31"/>
  <c r="J153" i="31"/>
  <c r="K147" i="31"/>
  <c r="J144" i="31"/>
  <c r="U93" i="55"/>
  <c r="AE91" i="55"/>
  <c r="AP233" i="51"/>
  <c r="AE79" i="55" s="1"/>
  <c r="AB91" i="55"/>
  <c r="AM233" i="51"/>
  <c r="AB79" i="55" s="1"/>
  <c r="AF91" i="55"/>
  <c r="AQ233" i="51"/>
  <c r="AF79" i="55" s="1"/>
  <c r="AC91" i="55"/>
  <c r="AN233" i="51"/>
  <c r="AC79" i="55" s="1"/>
  <c r="W91" i="55"/>
  <c r="AH233" i="51"/>
  <c r="W79" i="55" s="1"/>
  <c r="U91" i="55"/>
  <c r="AF233" i="51"/>
  <c r="AD91" i="55"/>
  <c r="AO233" i="51"/>
  <c r="AD79" i="55" s="1"/>
  <c r="X91" i="55"/>
  <c r="AI233" i="51"/>
  <c r="X79" i="55" s="1"/>
  <c r="Z91" i="55"/>
  <c r="AK233" i="51"/>
  <c r="Z79" i="55" s="1"/>
  <c r="Y91" i="55"/>
  <c r="AJ233" i="51"/>
  <c r="V91" i="55"/>
  <c r="AG233" i="51"/>
  <c r="V79" i="55" s="1"/>
  <c r="AA91" i="55"/>
  <c r="AL233" i="51"/>
  <c r="AA79" i="55" s="1"/>
  <c r="AC313" i="51"/>
  <c r="K46" i="31"/>
  <c r="AC314" i="51"/>
  <c r="AA388" i="51"/>
  <c r="K47" i="31"/>
  <c r="K48" i="31"/>
  <c r="AC316" i="51"/>
  <c r="U315" i="51" a="1"/>
  <c r="U315" i="51" s="1"/>
  <c r="W315" i="51" a="1"/>
  <c r="W315" i="51" s="1"/>
  <c r="V315" i="51" a="1"/>
  <c r="V315" i="51" s="1"/>
  <c r="Y315" i="51" a="1"/>
  <c r="Y315" i="51" s="1"/>
  <c r="Q315" i="51" a="1"/>
  <c r="Q315" i="51" s="1"/>
  <c r="O315" i="51" a="1"/>
  <c r="O315" i="51" s="1"/>
  <c r="S315" i="51" a="1"/>
  <c r="S315" i="51" s="1"/>
  <c r="X315" i="51" a="1"/>
  <c r="X315" i="51" s="1"/>
  <c r="MP97" i="51"/>
  <c r="R315" i="51" a="1"/>
  <c r="R315" i="51" s="1"/>
  <c r="P315" i="51" a="1"/>
  <c r="P315" i="51" s="1"/>
  <c r="T315" i="51" a="1"/>
  <c r="T315" i="51" s="1"/>
  <c r="Z315" i="51" a="1"/>
  <c r="Z315" i="51" s="1"/>
  <c r="MP96" i="51"/>
  <c r="AA389" i="51"/>
  <c r="Y99" i="55" l="1"/>
  <c r="AG93" i="55"/>
  <c r="AG91" i="55"/>
  <c r="K30" i="31"/>
  <c r="AB315" i="51"/>
  <c r="J34" i="44"/>
  <c r="AI235" i="51"/>
  <c r="X81" i="55" s="1"/>
  <c r="AE99" i="55"/>
  <c r="Z99" i="55"/>
  <c r="AA99" i="55"/>
  <c r="AB99" i="55"/>
  <c r="AC99" i="55"/>
  <c r="U99" i="55"/>
  <c r="AF99" i="55"/>
  <c r="V99" i="55"/>
  <c r="Y79" i="55"/>
  <c r="G90" i="44"/>
  <c r="Y81" i="55"/>
  <c r="G93" i="44"/>
  <c r="J33" i="44"/>
  <c r="J86" i="44"/>
  <c r="K189" i="31"/>
  <c r="I82" i="44"/>
  <c r="J186" i="31"/>
  <c r="I81" i="44"/>
  <c r="J185" i="31"/>
  <c r="I65" i="44"/>
  <c r="J173" i="31"/>
  <c r="I74" i="44"/>
  <c r="J180" i="31"/>
  <c r="I62" i="44"/>
  <c r="J171" i="31"/>
  <c r="J78" i="44"/>
  <c r="K183" i="31"/>
  <c r="I66" i="44"/>
  <c r="J174" i="31"/>
  <c r="I69" i="44"/>
  <c r="J176" i="31"/>
  <c r="J85" i="44"/>
  <c r="K188" i="31"/>
  <c r="J77" i="44"/>
  <c r="K182" i="31"/>
  <c r="J38" i="44"/>
  <c r="K57" i="31" s="1"/>
  <c r="K152" i="31"/>
  <c r="J81" i="44"/>
  <c r="K185" i="31"/>
  <c r="J82" i="44"/>
  <c r="K186" i="31"/>
  <c r="I78" i="44"/>
  <c r="J183" i="31"/>
  <c r="I34" i="44"/>
  <c r="J150" i="31"/>
  <c r="J30" i="31" s="1"/>
  <c r="J53" i="44"/>
  <c r="K164" i="31"/>
  <c r="I97" i="44"/>
  <c r="J197" i="31"/>
  <c r="I58" i="44"/>
  <c r="J168" i="31"/>
  <c r="I70" i="44"/>
  <c r="J177" i="31"/>
  <c r="I94" i="44"/>
  <c r="J195" i="31"/>
  <c r="I54" i="44"/>
  <c r="J165" i="31"/>
  <c r="I98" i="44"/>
  <c r="J198" i="31"/>
  <c r="I101" i="44"/>
  <c r="J200" i="31"/>
  <c r="I93" i="44"/>
  <c r="J194" i="31"/>
  <c r="I30" i="44"/>
  <c r="J45" i="31" s="1"/>
  <c r="J146" i="31"/>
  <c r="J69" i="44"/>
  <c r="K176" i="31"/>
  <c r="I89" i="44"/>
  <c r="J191" i="31"/>
  <c r="I46" i="44"/>
  <c r="J159" i="31"/>
  <c r="I42" i="44"/>
  <c r="J156" i="31"/>
  <c r="I57" i="44"/>
  <c r="J167" i="31"/>
  <c r="I73" i="44"/>
  <c r="J179" i="31"/>
  <c r="I77" i="44"/>
  <c r="J182" i="31"/>
  <c r="I38" i="44"/>
  <c r="J57" i="31" s="1"/>
  <c r="J152" i="31"/>
  <c r="J45" i="44"/>
  <c r="K158" i="31"/>
  <c r="J49" i="44"/>
  <c r="K161" i="31"/>
  <c r="I90" i="44"/>
  <c r="J192" i="31"/>
  <c r="I102" i="44"/>
  <c r="J201" i="31"/>
  <c r="I86" i="44"/>
  <c r="J189" i="31"/>
  <c r="J41" i="44"/>
  <c r="K155" i="31"/>
  <c r="J57" i="44"/>
  <c r="K167" i="31"/>
  <c r="J101" i="44"/>
  <c r="K200" i="31"/>
  <c r="J30" i="44"/>
  <c r="K45" i="31" s="1"/>
  <c r="K146" i="31"/>
  <c r="J42" i="44"/>
  <c r="K156" i="31"/>
  <c r="J66" i="44"/>
  <c r="K174" i="31"/>
  <c r="J70" i="44"/>
  <c r="K177" i="31"/>
  <c r="J73" i="44"/>
  <c r="K179" i="31"/>
  <c r="J65" i="44"/>
  <c r="K173" i="31"/>
  <c r="J89" i="44"/>
  <c r="K191" i="31"/>
  <c r="I53" i="44"/>
  <c r="J164" i="31"/>
  <c r="J61" i="44"/>
  <c r="K170" i="31"/>
  <c r="I50" i="44"/>
  <c r="J162" i="31"/>
  <c r="J62" i="44"/>
  <c r="K171" i="31"/>
  <c r="J74" i="44"/>
  <c r="K180" i="31"/>
  <c r="J98" i="44"/>
  <c r="K198" i="31"/>
  <c r="J58" i="44"/>
  <c r="K168" i="31"/>
  <c r="J102" i="44"/>
  <c r="K201" i="31"/>
  <c r="I61" i="44"/>
  <c r="J170" i="31"/>
  <c r="J97" i="44"/>
  <c r="K197" i="31"/>
  <c r="I85" i="44"/>
  <c r="J188" i="31"/>
  <c r="J93" i="44"/>
  <c r="K194" i="31"/>
  <c r="J94" i="44"/>
  <c r="K195" i="31"/>
  <c r="J54" i="44"/>
  <c r="K165" i="31"/>
  <c r="J46" i="44"/>
  <c r="K159" i="31"/>
  <c r="J90" i="44"/>
  <c r="K192" i="31"/>
  <c r="J50" i="44"/>
  <c r="K162" i="31"/>
  <c r="I49" i="44"/>
  <c r="J161" i="31"/>
  <c r="I41" i="44"/>
  <c r="J155" i="31"/>
  <c r="I33" i="44"/>
  <c r="J149" i="31"/>
  <c r="I45" i="44"/>
  <c r="J158" i="31"/>
  <c r="J26" i="44"/>
  <c r="K40" i="31" s="1"/>
  <c r="K143" i="31"/>
  <c r="I26" i="44"/>
  <c r="J40" i="31" s="1"/>
  <c r="J143" i="31"/>
  <c r="K145" i="31"/>
  <c r="J148" i="31"/>
  <c r="J154" i="31"/>
  <c r="K148" i="31"/>
  <c r="J145" i="31"/>
  <c r="K154" i="31"/>
  <c r="AO235" i="51"/>
  <c r="AD81" i="55" s="1"/>
  <c r="H42" i="31"/>
  <c r="H40" i="31"/>
  <c r="F5" i="44"/>
  <c r="AH235" i="51"/>
  <c r="W81" i="55" s="1"/>
  <c r="U79" i="55"/>
  <c r="E11" i="55" a="1"/>
  <c r="U81" i="55"/>
  <c r="AF102" i="51" a="1"/>
  <c r="AF102" i="51" s="1"/>
  <c r="AG102" i="51" s="1"/>
  <c r="AH102" i="51" s="1"/>
  <c r="AC315" i="51"/>
  <c r="AF103" i="51" s="1" a="1"/>
  <c r="AF103" i="51" s="1"/>
  <c r="AG103" i="51" s="1"/>
  <c r="AH103" i="51" s="1"/>
  <c r="AG79" i="55" l="1"/>
  <c r="AG99" i="55"/>
  <c r="AG81" i="55"/>
  <c r="K52" i="31"/>
  <c r="J52" i="31"/>
  <c r="K29" i="31"/>
  <c r="K32" i="31"/>
  <c r="I83" i="44"/>
  <c r="J187" i="31"/>
  <c r="J51" i="44"/>
  <c r="K163" i="31"/>
  <c r="J63" i="44"/>
  <c r="K172" i="31"/>
  <c r="J55" i="44"/>
  <c r="K166" i="31"/>
  <c r="I75" i="44"/>
  <c r="J181" i="31"/>
  <c r="J59" i="44"/>
  <c r="K169" i="31"/>
  <c r="J99" i="44"/>
  <c r="K199" i="31"/>
  <c r="I47" i="44"/>
  <c r="J160" i="31"/>
  <c r="I87" i="44"/>
  <c r="J190" i="31"/>
  <c r="I79" i="44"/>
  <c r="J184" i="31"/>
  <c r="K33" i="31"/>
  <c r="J83" i="44"/>
  <c r="K187" i="31"/>
  <c r="J95" i="44"/>
  <c r="K196" i="31"/>
  <c r="J87" i="44"/>
  <c r="K190" i="31"/>
  <c r="J47" i="44"/>
  <c r="K160" i="31"/>
  <c r="J91" i="44"/>
  <c r="K193" i="31"/>
  <c r="J75" i="44"/>
  <c r="K181" i="31"/>
  <c r="I51" i="44"/>
  <c r="J163" i="31"/>
  <c r="J79" i="44"/>
  <c r="K184" i="31"/>
  <c r="I35" i="44"/>
  <c r="J54" i="31" s="1"/>
  <c r="J151" i="31"/>
  <c r="J31" i="31" s="1"/>
  <c r="J33" i="31"/>
  <c r="J29" i="31"/>
  <c r="J32" i="31"/>
  <c r="I59" i="44"/>
  <c r="J169" i="31"/>
  <c r="I91" i="44"/>
  <c r="J193" i="31"/>
  <c r="J71" i="44"/>
  <c r="K178" i="31"/>
  <c r="I63" i="44"/>
  <c r="J172" i="31"/>
  <c r="I67" i="44"/>
  <c r="J175" i="31"/>
  <c r="I99" i="44"/>
  <c r="J199" i="31"/>
  <c r="I55" i="44"/>
  <c r="J166" i="31"/>
  <c r="I71" i="44"/>
  <c r="J178" i="31"/>
  <c r="I43" i="44"/>
  <c r="J157" i="31"/>
  <c r="I103" i="44"/>
  <c r="J202" i="31"/>
  <c r="J35" i="44"/>
  <c r="K54" i="31" s="1"/>
  <c r="K151" i="31"/>
  <c r="J43" i="44"/>
  <c r="K157" i="31"/>
  <c r="I95" i="44"/>
  <c r="J196" i="31"/>
  <c r="J67" i="44"/>
  <c r="K175" i="31"/>
  <c r="J103" i="44"/>
  <c r="K202" i="31"/>
  <c r="E17" i="55" a="1"/>
  <c r="G17" i="55" s="1"/>
  <c r="I11" i="55"/>
  <c r="G11" i="55"/>
  <c r="H11" i="55"/>
  <c r="N11" i="55"/>
  <c r="J11" i="55"/>
  <c r="F11" i="55"/>
  <c r="O11" i="55"/>
  <c r="M11" i="55"/>
  <c r="K11" i="55"/>
  <c r="E11" i="55"/>
  <c r="P11" i="55"/>
  <c r="L11" i="55"/>
  <c r="H17" i="44"/>
  <c r="F9" i="44"/>
  <c r="Q11" i="55" l="1"/>
  <c r="K31" i="31"/>
  <c r="L17" i="55"/>
  <c r="J17" i="55"/>
  <c r="K17" i="55"/>
  <c r="F17" i="55"/>
  <c r="I17" i="55"/>
  <c r="E17" i="55"/>
  <c r="N17" i="55"/>
  <c r="M17" i="55"/>
  <c r="P17" i="55"/>
  <c r="H17" i="55"/>
  <c r="O17" i="55"/>
  <c r="Q17" i="5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4" authorId="0" shapeId="0" xr:uid="{B9FDCC9D-FAFE-4ECB-B004-BC6E5C956985}">
      <text>
        <r>
          <rPr>
            <sz val="9"/>
            <color indexed="81"/>
            <rFont val="Tahoma"/>
            <family val="2"/>
          </rPr>
          <t xml:space="preserve">Enter the name of your organisation here. You can enter this using either the drop-down options, or as free text.
</t>
        </r>
      </text>
    </comment>
    <comment ref="D7" authorId="0" shapeId="0" xr:uid="{92F38291-5EFB-4575-B053-50775A02C407}">
      <text>
        <r>
          <rPr>
            <sz val="9"/>
            <color indexed="81"/>
            <rFont val="Tahoma"/>
            <family val="2"/>
          </rPr>
          <t>Enter the name of your service here.
You can use the drop-down menu or enter the information as free text. 
If you use the drop-down menu, then the Treatment Function Code (TFC) for the specialty will be displayed in later parts of this model, which may be useful if you are using this for planning purposes.</t>
        </r>
      </text>
    </comment>
    <comment ref="B9" authorId="0" shapeId="0" xr:uid="{8C13C9E3-48A8-4AF1-A090-98CC5BF4F148}">
      <text>
        <r>
          <rPr>
            <sz val="9"/>
            <color indexed="81"/>
            <rFont val="Tahoma"/>
            <family val="2"/>
          </rPr>
          <t>Select the number of demand and capacity models that you want to upload - this can be anything from 1 to 20 models.</t>
        </r>
      </text>
    </comment>
    <comment ref="H15" authorId="0" shapeId="0" xr:uid="{63A59AD7-6803-4EA9-BF8D-C339BFDC470E}">
      <text>
        <r>
          <rPr>
            <sz val="9"/>
            <color indexed="81"/>
            <rFont val="Tahoma"/>
            <family val="2"/>
          </rPr>
          <t>POD: Point Of Delivery
This is the type of appointment that the model you are uploading should be considered as for planning purposes. 
The options that are available are:
New: First appointment
Follow Up: Subsequent appointment
Admission: Elective daycase, or short term admission (1 day length of stay).
If you have enabled 'differentiate diagnostic activity...', then you will also have the option to specifiy:
Diagnostic (new)
Diagnostic (follow up)</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7" authorId="0" shapeId="0" xr:uid="{CB5E6713-41E1-4F34-BF24-F5A231D0630A}">
      <text>
        <r>
          <rPr>
            <sz val="9"/>
            <color indexed="81"/>
            <rFont val="Tahoma"/>
            <family val="2"/>
          </rPr>
          <t xml:space="preserve">This is the % of patients that were </t>
        </r>
        <r>
          <rPr>
            <i/>
            <sz val="9"/>
            <color indexed="81"/>
            <rFont val="Tahoma"/>
            <family val="2"/>
          </rPr>
          <t>seen</t>
        </r>
        <r>
          <rPr>
            <sz val="9"/>
            <color indexed="81"/>
            <rFont val="Tahoma"/>
            <family val="2"/>
          </rPr>
          <t xml:space="preserve"> in your source process that then require a subsequent appointment.
For example: 60% of your seen first outpatients require a follow up.</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5" authorId="0" shapeId="0" xr:uid="{39FAB253-4A13-4781-B229-CADFF19B5A3E}">
      <text>
        <r>
          <rPr>
            <b/>
            <sz val="9"/>
            <color indexed="81"/>
            <rFont val="Tahoma"/>
            <family val="2"/>
          </rPr>
          <t>1 = Year
0 = Week</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H18" authorId="0" shapeId="0" xr:uid="{C62FEDA7-4BDF-46C8-B6E3-C2DF21C9EB08}">
      <text>
        <r>
          <rPr>
            <sz val="9"/>
            <color indexed="81"/>
            <rFont val="Tahoma"/>
            <family val="2"/>
          </rPr>
          <t xml:space="preserve">translation to coordinates on table below
</t>
        </r>
      </text>
    </comment>
    <comment ref="G19" authorId="0" shapeId="0" xr:uid="{5A698BE5-EF85-488D-A439-39DBDE4E8835}">
      <text>
        <r>
          <rPr>
            <b/>
            <sz val="9"/>
            <color indexed="81"/>
            <rFont val="Tahoma"/>
            <family val="2"/>
          </rPr>
          <t>1 = Weekly
2 = Monthly
3 = Yearly</t>
        </r>
      </text>
    </comment>
    <comment ref="G20" authorId="0" shapeId="0" xr:uid="{240CAE80-4FAF-4739-87A0-2759013BD985}">
      <text>
        <r>
          <rPr>
            <b/>
            <sz val="9"/>
            <color indexed="81"/>
            <rFont val="Tahoma"/>
            <family val="2"/>
          </rPr>
          <t>Dynamically changes:
If Aggregate = 1, then max = 52
If Aggregate = 2,
then max = 12</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7" authorId="0" shapeId="0" xr:uid="{00000000-0006-0000-0E00-000001000000}">
      <text>
        <r>
          <rPr>
            <sz val="9"/>
            <color indexed="81"/>
            <rFont val="Tahoma"/>
            <family val="2"/>
          </rPr>
          <t>Change this to update the dropdown list of years on the 'data files' sheet.</t>
        </r>
      </text>
    </comment>
    <comment ref="D40" authorId="0" shapeId="0" xr:uid="{00000000-0006-0000-0E00-000002000000}">
      <text>
        <r>
          <rPr>
            <sz val="9"/>
            <color indexed="81"/>
            <rFont val="Tahoma"/>
            <family val="2"/>
          </rPr>
          <t>Working days in the week - default = 5</t>
        </r>
      </text>
    </comment>
    <comment ref="O43" authorId="0" shapeId="0" xr:uid="{00000000-0006-0000-0E00-000003000000}">
      <text>
        <r>
          <rPr>
            <sz val="9"/>
            <color indexed="81"/>
            <rFont val="Tahoma"/>
            <family val="2"/>
          </rPr>
          <t>This part of the table will be used to calculate distribution of demand where weekly values have been generated</t>
        </r>
      </text>
    </comment>
    <comment ref="AE100" authorId="0" shapeId="0" xr:uid="{2AA60FC7-5D1D-4573-896A-55F64F51AABE}">
      <text>
        <r>
          <rPr>
            <b/>
            <sz val="9"/>
            <color indexed="81"/>
            <rFont val="Tahoma"/>
            <family val="2"/>
          </rPr>
          <t>Used to calculate max y-axis on charts</t>
        </r>
      </text>
    </comment>
    <comment ref="J103" authorId="0" shapeId="0" xr:uid="{33653890-6907-4C82-AFB7-0816D87ABFC9}">
      <text>
        <r>
          <rPr>
            <b/>
            <sz val="9"/>
            <color indexed="81"/>
            <rFont val="Tahoma"/>
            <family val="2"/>
          </rPr>
          <t>0 = by POD
1 = by process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C1" authorId="0" shapeId="0" xr:uid="{61798AD6-4066-4530-976E-FC29816CF4A8}">
      <text>
        <r>
          <rPr>
            <sz val="9"/>
            <color indexed="81"/>
            <rFont val="Tahoma"/>
            <family val="2"/>
          </rPr>
          <t xml:space="preserve">Green section is for user interface on WL Clearance page.
</t>
        </r>
      </text>
    </comment>
    <comment ref="D4" authorId="0" shapeId="0" xr:uid="{00000000-0006-0000-0D00-000001000000}">
      <text>
        <r>
          <rPr>
            <b/>
            <sz val="9"/>
            <color indexed="81"/>
            <rFont val="Tahoma"/>
            <family val="2"/>
          </rPr>
          <t>permissible values = 1 - 3 (&gt;=2 is only used for Flow model)</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5" authorId="0" shapeId="0" xr:uid="{00000000-0006-0000-0F00-000001000000}">
      <text>
        <r>
          <rPr>
            <sz val="9"/>
            <color indexed="81"/>
            <rFont val="Tahoma"/>
            <family val="2"/>
          </rPr>
          <t>Yearly aggregate transformed to pt/slot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5" authorId="0" shapeId="0" xr:uid="{1C21E65F-5FC4-4A7A-BA53-2A39B3FF851F}">
      <text>
        <r>
          <rPr>
            <sz val="9"/>
            <color indexed="81"/>
            <rFont val="Tahoma"/>
            <family val="2"/>
          </rPr>
          <t>Yearly aggregate transformed to pt/slot</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5" authorId="0" shapeId="0" xr:uid="{EE9B25C7-DD87-435D-BD66-FD3326BBE145}">
      <text>
        <r>
          <rPr>
            <sz val="9"/>
            <color indexed="81"/>
            <rFont val="Tahoma"/>
            <family val="2"/>
          </rPr>
          <t>Yearly aggregate transformed to pt/slot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5" authorId="0" shapeId="0" xr:uid="{4F0B3051-394B-426F-8D5B-7AE4580532DA}">
      <text>
        <r>
          <rPr>
            <sz val="9"/>
            <color indexed="81"/>
            <rFont val="Tahoma"/>
            <family val="2"/>
          </rPr>
          <t>Yearly aggregate transformed to pt/slot</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5" authorId="0" shapeId="0" xr:uid="{D5EA4802-3DED-4687-846E-58B30DCD85AC}">
      <text>
        <r>
          <rPr>
            <sz val="9"/>
            <color indexed="81"/>
            <rFont val="Tahoma"/>
            <family val="2"/>
          </rPr>
          <t>Yearly aggregate transformed to pt/slot</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5" authorId="0" shapeId="0" xr:uid="{2E8D7537-2D12-4076-AEBB-A625C115A55D}">
      <text>
        <r>
          <rPr>
            <sz val="9"/>
            <color indexed="81"/>
            <rFont val="Tahoma"/>
            <family val="2"/>
          </rPr>
          <t>Yearly aggregate transformed to pt/slot</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5" authorId="0" shapeId="0" xr:uid="{887BE847-21A9-47AE-93F0-191B690FB3BA}">
      <text>
        <r>
          <rPr>
            <sz val="9"/>
            <color indexed="81"/>
            <rFont val="Tahoma"/>
            <family val="2"/>
          </rPr>
          <t>Yearly aggregate transformed to pt/slot</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5" authorId="0" shapeId="0" xr:uid="{A0A80018-6884-4393-92D8-9374819C09E9}">
      <text>
        <r>
          <rPr>
            <sz val="9"/>
            <color indexed="81"/>
            <rFont val="Tahoma"/>
            <family val="2"/>
          </rPr>
          <t>Yearly aggregate transformed to pt/slot</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5" authorId="0" shapeId="0" xr:uid="{64E32E05-78A9-4C07-A2DC-7D80E1FC2AAE}">
      <text>
        <r>
          <rPr>
            <sz val="9"/>
            <color indexed="81"/>
            <rFont val="Tahoma"/>
            <family val="2"/>
          </rPr>
          <t>Yearly aggregate transformed to pt/slot</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5" authorId="0" shapeId="0" xr:uid="{F6291121-4998-478A-B39E-DD0E414F00CE}">
      <text>
        <r>
          <rPr>
            <sz val="9"/>
            <color indexed="81"/>
            <rFont val="Tahoma"/>
            <family val="2"/>
          </rPr>
          <t>Yearly aggregate transformed to pt/slot</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5" authorId="0" shapeId="0" xr:uid="{6F581E05-C858-4150-8F6B-AC691234ACB8}">
      <text>
        <r>
          <rPr>
            <sz val="9"/>
            <color indexed="81"/>
            <rFont val="Tahoma"/>
            <family val="2"/>
          </rPr>
          <t>Yearly aggregate transformed to pt/slot</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5" authorId="0" shapeId="0" xr:uid="{E3344B88-6E11-4F3D-83C7-D5555B11A7D0}">
      <text>
        <r>
          <rPr>
            <sz val="9"/>
            <color indexed="81"/>
            <rFont val="Tahoma"/>
            <family val="2"/>
          </rPr>
          <t>Yearly aggregate transformed to pt/slot</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5" authorId="0" shapeId="0" xr:uid="{2710C269-CCFD-4B74-89B6-A6BE58E3DD50}">
      <text>
        <r>
          <rPr>
            <sz val="9"/>
            <color indexed="81"/>
            <rFont val="Tahoma"/>
            <family val="2"/>
          </rPr>
          <t>Yearly aggregate transformed to pt/slot</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5" authorId="0" shapeId="0" xr:uid="{94BCFC14-E339-4EC1-BADC-EA7472705A96}">
      <text>
        <r>
          <rPr>
            <sz val="9"/>
            <color indexed="81"/>
            <rFont val="Tahoma"/>
            <family val="2"/>
          </rPr>
          <t>Yearly aggregate transformed to pt/slot</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5" authorId="0" shapeId="0" xr:uid="{6C5533A1-E86B-4A2C-9E75-FACC71889E99}">
      <text>
        <r>
          <rPr>
            <sz val="9"/>
            <color indexed="81"/>
            <rFont val="Tahoma"/>
            <family val="2"/>
          </rPr>
          <t>Yearly aggregate transformed to pt/slot</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5" authorId="0" shapeId="0" xr:uid="{BFA3C226-5679-4DF2-A5F4-47DC57C5CE50}">
      <text>
        <r>
          <rPr>
            <sz val="9"/>
            <color indexed="81"/>
            <rFont val="Tahoma"/>
            <family val="2"/>
          </rPr>
          <t>Yearly aggregate transformed to pt/slot</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5" authorId="0" shapeId="0" xr:uid="{268C4C4F-8AF4-4FFA-A1DB-1AEE93CBEA35}">
      <text>
        <r>
          <rPr>
            <sz val="9"/>
            <color indexed="81"/>
            <rFont val="Tahoma"/>
            <family val="2"/>
          </rPr>
          <t>Yearly aggregate transformed to pt/slot</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5" authorId="0" shapeId="0" xr:uid="{E1AD11FA-F542-44A2-9583-A886E44AFD68}">
      <text>
        <r>
          <rPr>
            <sz val="9"/>
            <color indexed="81"/>
            <rFont val="Tahoma"/>
            <family val="2"/>
          </rPr>
          <t>Yearly aggregate transformed to pt/slot</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5" authorId="0" shapeId="0" xr:uid="{09B64F0E-F252-4ED1-93C9-9E3632615F4C}">
      <text>
        <r>
          <rPr>
            <sz val="9"/>
            <color indexed="81"/>
            <rFont val="Tahoma"/>
            <family val="2"/>
          </rPr>
          <t>Yearly aggregate transformed to pt/slot</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5" authorId="0" shapeId="0" xr:uid="{1EE1977A-58F4-44DE-B8A2-AFEFE6A040BB}">
      <text>
        <r>
          <rPr>
            <sz val="9"/>
            <color indexed="81"/>
            <rFont val="Tahoma"/>
            <family val="2"/>
          </rPr>
          <t>Yearly aggregate transformed to pt/slot</t>
        </r>
      </text>
    </comment>
  </commentList>
</comments>
</file>

<file path=xl/sharedStrings.xml><?xml version="1.0" encoding="utf-8"?>
<sst xmlns="http://schemas.openxmlformats.org/spreadsheetml/2006/main" count="6326" uniqueCount="1480">
  <si>
    <t xml:space="preserve">This sheet is the interface where we will load the component files. </t>
  </si>
  <si>
    <t xml:space="preserve">This is also where we will load starting parameters such as the number of service components, </t>
  </si>
  <si>
    <t>as well as additional information about the models, which will enable us to load the values correctly.</t>
  </si>
  <si>
    <t>Values that will be required for calculation of activity:</t>
  </si>
  <si>
    <t>Mean capacity</t>
  </si>
  <si>
    <t>Mean demand</t>
  </si>
  <si>
    <t>Upper and lower percentile boundaries for required capacity</t>
  </si>
  <si>
    <t>Current WL size</t>
  </si>
  <si>
    <t>Max sustainable WL size</t>
  </si>
  <si>
    <t>NASL %</t>
  </si>
  <si>
    <t>Name</t>
  </si>
  <si>
    <t>Organisation</t>
  </si>
  <si>
    <t>Description</t>
  </si>
  <si>
    <t>Service</t>
  </si>
  <si>
    <t>GASTROENTEROLOGY</t>
  </si>
  <si>
    <t>Number of service components:</t>
  </si>
  <si>
    <t>Yes</t>
  </si>
  <si>
    <t>See details of file upload sheets?</t>
  </si>
  <si>
    <t>No</t>
  </si>
  <si>
    <t>2WW v2.02di</t>
  </si>
  <si>
    <t>Diagnostic v2.02dii</t>
  </si>
  <si>
    <t>Endoscopy v2.02hi</t>
  </si>
  <si>
    <t>Inpatient v2.02biii</t>
  </si>
  <si>
    <t>Outpatient v2.02fii</t>
  </si>
  <si>
    <t>File Types</t>
  </si>
  <si>
    <t>Core</t>
  </si>
  <si>
    <t>This sheet is a background sheet and should remain hidden</t>
  </si>
  <si>
    <t>Number</t>
  </si>
  <si>
    <t>Desc</t>
  </si>
  <si>
    <t>ACCIDENT &amp; EMERGENCY</t>
  </si>
  <si>
    <t>SERVICES to care for PATIENTS with urgent problems delivered as part of an Accident and Emergency Attendance or admission at an Accident and Emergency Department </t>
  </si>
  <si>
    <t>ADDICTION SERVICES</t>
  </si>
  <si>
    <t>The prevention and treatment of substance misuse including drugs and alcohol. If PATIENTS have both severe mental illness and problematic substance misuse, see TREATMENT FUNCTION CODE 726 Dual Diagnosis Service</t>
  </si>
  <si>
    <t>ADULT CYSTIC FIBROSIS SERVICE</t>
  </si>
  <si>
    <t>Specialised, multidisciplinary SERVICE concerned with the diagnosis, assessment and management of PATIENTS with cystic fibrosis. This TREATMENT FUNCTION CODE should be used by recognised specialist centres only</t>
  </si>
  <si>
    <t>ADULT MENTAL ILLNESS</t>
  </si>
  <si>
    <t>SERVICES provided to adult PATIENTS for the assessment, diagnosis and treatment of mental illness</t>
  </si>
  <si>
    <t>ALLERGY SERVICE</t>
  </si>
  <si>
    <t>The diagnosis and management of allergic disease (abnormal immune responses to external substances) and the exclusion of allergic causes in other conditions</t>
  </si>
  <si>
    <t>ANAESTHETICS</t>
  </si>
  <si>
    <t>This can be used in out-patients only. Pain Management should be recorded in 191</t>
  </si>
  <si>
    <t>ANTICOAGULANT SERVICE</t>
  </si>
  <si>
    <t>The monitoring and control of anticoagulant therapy including the initiation and/or supervision of oral anticoagulant therapy and the determination of anticoagulant dosage. This can be used in out-patients only</t>
  </si>
  <si>
    <t>ART THERAPY</t>
  </si>
  <si>
    <t>The use of art techniques including clay, paint and paper for therapeutic purposes and as a means of communication</t>
  </si>
  <si>
    <t>AUDIOLOGICAL MEDICINE</t>
  </si>
  <si>
    <t>The medical specialty concerned with the investigation, diagnosis and management of patients with disorders of balance, hearing, tinnitus and auditory communication. Excludes audiology and hearing tests</t>
  </si>
  <si>
    <t>AUDIOLOGY</t>
  </si>
  <si>
    <t>Physiological measurement and diagnosis of hearing disorders, and the rehabilitation of PATIENTS with hearing loss</t>
  </si>
  <si>
    <t>BLOOD AND MARROW TRANSPLANTATION</t>
  </si>
  <si>
    <t>Previously coded within Clinical Haematology (TREATMENT FUNCTION CODE 303). Includes haemopoietic stem cell transplantation</t>
  </si>
  <si>
    <t>BREAST SURGERY</t>
  </si>
  <si>
    <t>Includes treatment for cancer, suspected neoplasms, cysts and post-cancer reconstructive surgery. Excludes cosmetic surgery</t>
  </si>
  <si>
    <t>BURNS CARE</t>
  </si>
  <si>
    <t>To be used by recognised specialist units and associated outreach SERVICES only</t>
  </si>
  <si>
    <t>CARDIAC REHABILITATION</t>
  </si>
  <si>
    <t>Rehabilitation SERVICE for PATIENTS with or recovering from heart related conditions such as heart attacks or from procedures such as coronary artery bypass surgery to ensure that they achieve their full potential in terms of physical and psychological health</t>
  </si>
  <si>
    <t>CARDIAC SURGERY</t>
  </si>
  <si>
    <t>Surgical treatment of the heart or great vessels</t>
  </si>
  <si>
    <t>CARDIOLOGY</t>
  </si>
  <si>
    <t>SERVICES treating diseases and abnormalities of the heart</t>
  </si>
  <si>
    <t>CARDIOTHORACIC SURGERY</t>
  </si>
  <si>
    <t>Should only be used where there are no separate SERVICES for Cardiac Surgery and Thoracic Surgery</t>
  </si>
  <si>
    <t>CARDIOTHORACIC TRANSPLANTATION</t>
  </si>
  <si>
    <t>To be used by recognised specialist units and associated outreach services only. Includes pre- and post-operative services</t>
  </si>
  <si>
    <t>CHEMICAL PATHOLOGY</t>
  </si>
  <si>
    <t>To be used for clinical management only</t>
  </si>
  <si>
    <t>CHILD and ADOLESCENT PSYCHIATRY</t>
  </si>
  <si>
    <t>SERVICES providing diagnosis, treatment, and prevention of psychopathological disorders of children and adolescents</t>
  </si>
  <si>
    <t>CLINICAL GENETICS</t>
  </si>
  <si>
    <t>Diagnosis of disorders caused by genetic mechanisms and counselling SERVICE to PATIENTS and affected family members. To be used by recognised specialist units and associated outreach SERVICES only</t>
  </si>
  <si>
    <t>CLINICAL HAEMATOLOGY</t>
  </si>
  <si>
    <t>Excludes Anticoagulant Service - see TREATMENT FUNCTION CODE 324</t>
  </si>
  <si>
    <t>CLINICAL IMMUNOLOGY</t>
  </si>
  <si>
    <t>The treatment of disorders of the immune system</t>
  </si>
  <si>
    <t>CLINICAL IMMUNOLOGY and ALLERGY SERVICE</t>
  </si>
  <si>
    <t>Should only be used where there are no separate SERVICES for Clinical Immunology and Allergy</t>
  </si>
  <si>
    <t>CLINICAL MICROBIOLOGY</t>
  </si>
  <si>
    <t>SERVICES to treat diseases caused by bacteria, viruses, fungi and parasites</t>
  </si>
  <si>
    <t>CLINICAL NEUROPHYSIOLOGY</t>
  </si>
  <si>
    <t>The study of the central and peripheral nervous systems through the recording of bioelectrical activity. Includes Electroencephalogram (EEG)</t>
  </si>
  <si>
    <t>CLINICAL ONCOLOGY (previously RADIOTHERAPY)</t>
  </si>
  <si>
    <t>The diagnosis and treatment, typically with Radiotherapy, of PATIENTS with cancer.</t>
  </si>
  <si>
    <t>CLINICAL PHARMACOLOGY</t>
  </si>
  <si>
    <t>SERVICES providing drug information, medication safety and other aspects of pharmacy practice</t>
  </si>
  <si>
    <t>CLINICAL PHYSIOLOGY</t>
  </si>
  <si>
    <t>Physiological measurement including ECG (e.g. exercise testing, stress testing), gastrointestinal physiology, cardiac physiology, vascular technology, urodynamics, and ophthalmic and vision science. Excludes Clinical Neurophysiology - see TREATMENT FUNCTION CODE 401, Audiology - see TREATMENT FUNCTION CODE 840 or Respiratory Physiology - see TREATMENT FUNCTION CODE 341</t>
  </si>
  <si>
    <t>CLINICAL PSYCHOLOGY</t>
  </si>
  <si>
    <t>The diagnosis and treatment of emotional and behavioural disorders</t>
  </si>
  <si>
    <t>COLORECTAL SURGERY</t>
  </si>
  <si>
    <t>Surgical treatment of disorders of the lower intestine (colon, anus and rectum)</t>
  </si>
  <si>
    <t>COMMUNITY PAEDIATRICS</t>
  </si>
  <si>
    <t>Includes routine health surveillance, health promotion, behavioural paediatrics and Looked After Children. Excludes Paediatric Neuro-Disability</t>
  </si>
  <si>
    <t>COMPLEX SPECIALISED REHABILITATION SERVICE</t>
  </si>
  <si>
    <t>Complex specialised rehabilitation SERVICE which meets the NHS Specialised Services Rehabilitation Services' criteria and is registered as a Level 1 service. For further information see the NHS Specialised Services website</t>
  </si>
  <si>
    <t>CONGENITAL HEART DISEASE SERVICE</t>
  </si>
  <si>
    <t>The management and treatment of congenital heart disease, this includes the ongoing care of children in to adulthood</t>
  </si>
  <si>
    <t>CRITICAL CARE MEDICINE</t>
  </si>
  <si>
    <t>also known as Intensive Care Medicine</t>
  </si>
  <si>
    <t>DEMENTIA ASSESSMENT SERVICE</t>
  </si>
  <si>
    <t>SERVICES for the assessment of PATIENTS with dementia, which may complicate care giving and can occur at any stage of the illness. In addition to memory impairment, dementia may include behavioural and psychological problems</t>
  </si>
  <si>
    <t>DENTAL MEDICINE SPECIALTIES</t>
  </si>
  <si>
    <t>Includes Oral Medicine.</t>
  </si>
  <si>
    <t>DERMATOLOGY</t>
  </si>
  <si>
    <t>SERVICES for the treatment of diseases of the skin</t>
  </si>
  <si>
    <t>DIABETIC EDUCATION SERVICE</t>
  </si>
  <si>
    <t>SERVICES providing dedicated small group education courses regarding self management for diabetic PATIENTS</t>
  </si>
  <si>
    <t>DIABETIC MEDICINE</t>
  </si>
  <si>
    <t>SERVICES to diagnose, treat and support PATIENTS with diabetes</t>
  </si>
  <si>
    <t>DIAGNOSTIC IMAGING</t>
  </si>
  <si>
    <t>The production and interpretation of high quality images of the body to diagnose injuries and disease, e.g. x-rays, Ultrasound Scan, MRI Scan, PET Scan or CT Scan.</t>
  </si>
  <si>
    <t>DIETETICS</t>
  </si>
  <si>
    <t>The application of the science of nutrition to devise eating plans for PATIENTS to treat medical conditions. The promotion of good health by helping to facilitate a positive change in food choices amongst individuals, groups and communities</t>
  </si>
  <si>
    <t>DRAMA THERAPY</t>
  </si>
  <si>
    <t>The use of drama and theatre techniques including role play, voice work and storytelling for therapeutic purposes</t>
  </si>
  <si>
    <t>EATING DISORDERS</t>
  </si>
  <si>
    <t>A specialist SERVICE for the diagnosis and treatment of eating disorders including anorexia, bulimia and compulsive overeating</t>
  </si>
  <si>
    <t>ENDOCRINOLOGY</t>
  </si>
  <si>
    <t>The treatment of disorders of the endocrine system</t>
  </si>
  <si>
    <t>ENT</t>
  </si>
  <si>
    <t>Ear, nose and throat</t>
  </si>
  <si>
    <t>FORENSIC PSYCHIATRY</t>
  </si>
  <si>
    <t>SERVICES to assess PATIENTS who have committed an offence and are receiving treatment in high, medium and low secure units or prisons</t>
  </si>
  <si>
    <t>The treatment of disorders of the digestive system</t>
  </si>
  <si>
    <t>GENERAL MEDICINE</t>
  </si>
  <si>
    <t>Includes sub-categories not elsewhere listed e.g. Metabolic Medicine.</t>
  </si>
  <si>
    <t>GENERAL SURGERY</t>
  </si>
  <si>
    <t>Includes sub-categories not elsewhere listed e.g. endocrine surgery</t>
  </si>
  <si>
    <t>GENITOURINARY MEDICINE</t>
  </si>
  <si>
    <t>Primarily related to medicine dealing with sexually transmitted diseases</t>
  </si>
  <si>
    <t>GERIATRIC MEDICINE</t>
  </si>
  <si>
    <t>SERVICES to treat diseases and disabilities in older adults. There is no set age at which PATIENTS may be under the care of Geriatric Medicine, this decision should be determined by the individual PATIENT's needs</t>
  </si>
  <si>
    <t>GYNAECOLOGICAL ONCOLOGY</t>
  </si>
  <si>
    <t>SERVICES to treat cancers of the female reproductive system</t>
  </si>
  <si>
    <t>GYNAECOLOGY</t>
  </si>
  <si>
    <t>Disorders of the female reproductive system. Includes planned terminations</t>
  </si>
  <si>
    <t>HAEMOPHILIA SERVICE</t>
  </si>
  <si>
    <t>Previously coded within Clinical Haematology (TREATMENT FUNCTION CODE 303).</t>
  </si>
  <si>
    <t>HEPATOBILIARY &amp; PANCREATIC SURGERY</t>
  </si>
  <si>
    <t>Includes liver surgery, but liver transplantation should be recorded in 102 Transplantation Surgery</t>
  </si>
  <si>
    <t>HEPATOLOGY</t>
  </si>
  <si>
    <t>Also known as liver medicine</t>
  </si>
  <si>
    <t>INFECTIOUS DISEASES</t>
  </si>
  <si>
    <t>SERVICES to diagnose and treat contagious or communicable diseases</t>
  </si>
  <si>
    <t>INTERMEDIATE CARE</t>
  </si>
  <si>
    <t>Intermediate care encompasses a range of multi-disciplinary SERVICES designed to safeguard independence by maximising rehabilitation and recovery after illness or injury</t>
  </si>
  <si>
    <t>INTERVENTIONAL RADIOLOGY</t>
  </si>
  <si>
    <t>Diagnosis and treatment of diseases utilising minimally-invasive image-guided procedures. Not to be used for Diagnostic Imaging - see TREATMENT FUNCTION CODE 812</t>
  </si>
  <si>
    <t>LEARNING DISABILITY</t>
  </si>
  <si>
    <t>SERVICES provided to PATIENTS with a Learning Disability</t>
  </si>
  <si>
    <t>LIAISON PSYCHIATRY</t>
  </si>
  <si>
    <t>The provision of psychiatric treatment to PATIENTS attending general hospitals including out-patient clinics, Accident and Emergency Departments and admission to wards. Deals with the interface between physical and psychological health.</t>
  </si>
  <si>
    <t>LOCAL SPECIALIST REHABILITATION SERVICE</t>
  </si>
  <si>
    <t>Local specialist rehabilitation SERVICE which meets the NHS Specialised Services Rehabilitation Services' criteria and is registered as a Level 2b service. For further information see the NHS Specialised Services website</t>
  </si>
  <si>
    <t>MAXILLO-FACIAL SURGERY</t>
  </si>
  <si>
    <t>Mouth, jaw and face related surgery</t>
  </si>
  <si>
    <t>MEDICAL ONCOLOGY</t>
  </si>
  <si>
    <t>The diagnosis and treatment, typically with Chemotherapy, of PATIENTS with cancer</t>
  </si>
  <si>
    <t>MEDICAL OPHTHALMOLOGY</t>
  </si>
  <si>
    <t>SERVICES to diagnose and treat medical conditions affecting the eye, orbits, and visual pathways</t>
  </si>
  <si>
    <t>MEDICAL VIROLOGY</t>
  </si>
  <si>
    <t>The diagnosis and management and prevention of virus and related infections, in hospital and in the community including HIV/AIDS, other blood-borne infections like hepatitis B and C and viruses such as SARS and avian flu</t>
  </si>
  <si>
    <t>MENTAL HEALTH DUAL DIAGNOSIS SERVICE</t>
  </si>
  <si>
    <t>SERVICES to provide support to PATIENTS with both severe mental illness and substance misuse problems. Personality disorder may coexist with psychiatric illness and/or substance misuse</t>
  </si>
  <si>
    <t>MENTAL HEALTH RECOVERY AND REHABILITATION SERVICE</t>
  </si>
  <si>
    <t>SERVICES provided to support recovery from mental illness that maximises the PATIENT's quality of life and social inclusion by encouraging their skills, promoting independence and autonomy</t>
  </si>
  <si>
    <t>MIDWIFERY SERVICE</t>
  </si>
  <si>
    <t>SERVICES provided under the direct care of a MIDWIFE. Excludes Obstetrics see TREATMENT FUNCTION CODE 501</t>
  </si>
  <si>
    <t>MUSIC THERAPY</t>
  </si>
  <si>
    <t>The use of music and all of its facets to help clients to improve or maintain their health</t>
  </si>
  <si>
    <t>NEONATOLOGY</t>
  </si>
  <si>
    <t>Special Care, High Dependency and Intensive Care</t>
  </si>
  <si>
    <t>NEPHROLOGY</t>
  </si>
  <si>
    <t>SERVICES to treat kidney conditions and abnormalities</t>
  </si>
  <si>
    <t>NEUROLOGY</t>
  </si>
  <si>
    <t>SERVICES to diagnose and treat conditions and diseases of the central nervous system</t>
  </si>
  <si>
    <t>NEUROSURGERY</t>
  </si>
  <si>
    <t>The prevention, diagnosis, treatment, and rehabilitation of disorders which affect any portion of the nervous system including the brain, spinal cord, peripheral nerves, and extra-cranial cerebrovascular system</t>
  </si>
  <si>
    <t>NUCLEAR MEDICINE</t>
  </si>
  <si>
    <t>The treatment of PATIENTS through the use of radioactive substances</t>
  </si>
  <si>
    <t>OBSTETRICS</t>
  </si>
  <si>
    <t>The management of pregnancy and childbirth including miscarriages and still births but excluding planned terminations. Excludes Midwifery Service see TREATMENT FUNCTION CODE 560</t>
  </si>
  <si>
    <t>OCCUPATIONAL THERAPY</t>
  </si>
  <si>
    <t>The use of specific activities to limit the effects of disability and promote independence in all aspects of daily life</t>
  </si>
  <si>
    <t>OLD AGE PSYCHIATRY</t>
  </si>
  <si>
    <t>SERVICES providing the diagnosis, treatment, and prevention of mental and emotional disorders in older adult PATIENTS</t>
  </si>
  <si>
    <t>OPHTHALMOLOGY</t>
  </si>
  <si>
    <t>The surgical treatment of disorders and diseases of the eye. Excludes Medical Ophthalmology - see TREATMENT FUNCTION CODE 460</t>
  </si>
  <si>
    <t>OPTOMETRY</t>
  </si>
  <si>
    <t>The diagnosis and non-surgical treatment of disorders of the eye and vision care</t>
  </si>
  <si>
    <t>ORAL SURGERY</t>
  </si>
  <si>
    <t>The diagnosis and surgical treatment of diseases, injuries and defects involving both the functional and aesthetic aspects of the hard and soft tissues of the head, mouth, teeth, gums, jaws and neck</t>
  </si>
  <si>
    <t>ORTHODONTICS</t>
  </si>
  <si>
    <t>The treatment of malocclusions (improper bites). Orthodontic treatment can focus on dental displacement only, or can deal with the control and modification of facial growth</t>
  </si>
  <si>
    <t>ORTHOPTICS</t>
  </si>
  <si>
    <t>The diagnosis and treatment of visual problems involving eye movement and alignment</t>
  </si>
  <si>
    <t>ORTHOTICS</t>
  </si>
  <si>
    <t>The supply of orthoses for PATIENTS</t>
  </si>
  <si>
    <t>PAEDIATRIC AUDIOLOGICAL MEDICINE</t>
  </si>
  <si>
    <t>PAEDIATRIC BURNS CARE</t>
  </si>
  <si>
    <t>PAEDIATRIC CARDIAC SURGERY</t>
  </si>
  <si>
    <t>PAEDIATRIC CARDIOLOGY</t>
  </si>
  <si>
    <t>Dedicated SERVICES to children with diseases and abnormalities of the heart, with appropriate facilities and support staff</t>
  </si>
  <si>
    <t>PAEDIATRIC CLINICAL HAEMATOLOGY</t>
  </si>
  <si>
    <t>PAEDIATRIC CLINICAL IMMUNOLOGY AND ALLERGY SERVICE</t>
  </si>
  <si>
    <t>Clinical Immunology is the treatment of disorders of the immune system. Allergy Service is the diagnosis  and management of allergic disease</t>
  </si>
  <si>
    <t>PAEDIATRIC CYSTIC FIBROSIS</t>
  </si>
  <si>
    <t>PAEDIATRIC DENTISTRY</t>
  </si>
  <si>
    <t>Dentistry SERVICES dedicated to children with appropriate facilities and support staff</t>
  </si>
  <si>
    <t>PAEDIATRIC DERMATOLOGY</t>
  </si>
  <si>
    <t>PAEDIATRIC DIABETIC MEDICINE</t>
  </si>
  <si>
    <t>PAEDIATRIC EAR NOSE AND THROAT</t>
  </si>
  <si>
    <t>PAEDIATRIC ENDOCRINOLOGY</t>
  </si>
  <si>
    <t>PAEDIATRIC EPILEPSY</t>
  </si>
  <si>
    <t>Designated clinic which provides SERVICES to children led by CONSULTANT paediatrician with expertise in epilepsy supported by specialist staff</t>
  </si>
  <si>
    <t>PAEDIATRIC GASTROENTEROLOGY</t>
  </si>
  <si>
    <t>PAEDIATRIC GASTROINTESTINAL SURGERY</t>
  </si>
  <si>
    <t>Surgical treatment of disorders of the gastrointestinal tract</t>
  </si>
  <si>
    <t>PAEDIATRIC INFECTIOUS DISEASES</t>
  </si>
  <si>
    <t>PAEDIATRIC INTENSIVE CARE</t>
  </si>
  <si>
    <t>Only to be used by designated Paediatric Intensive Care Units</t>
  </si>
  <si>
    <t>PAEDIATRIC INTERVENTIONAL RADIOLOGY</t>
  </si>
  <si>
    <t>PAEDIATRIC MAXILLO-FACIAL SURGERY</t>
  </si>
  <si>
    <t>PAEDIATRIC MEDICAL ONCOLOGY</t>
  </si>
  <si>
    <t>The diagnosis and treatment, typically with Chemotherapy of PATIENTS with cancer</t>
  </si>
  <si>
    <t>PAEDIATRIC METABOLIC DISEASE</t>
  </si>
  <si>
    <t>The diagnosis and management of inherited metabolic conditions</t>
  </si>
  <si>
    <t>PAEDIATRIC NEPHROLOGY</t>
  </si>
  <si>
    <t>PAEDIATRIC NEURO-DISABILITY</t>
  </si>
  <si>
    <t>Dedicated SERVICES for children with Cerebral Palsy and non-progressive handicapping neurological conditions, with or without Learning Disability</t>
  </si>
  <si>
    <t>PAEDIATRIC NEUROLOGY</t>
  </si>
  <si>
    <t>Dedicated SERVICES to children to diagnose and treat conditions and diseases of the central nervous system, with appropriate facilities and support staff</t>
  </si>
  <si>
    <t>PAEDIATRIC NEUROSURGERY</t>
  </si>
  <si>
    <t>PAEDIATRIC OPHTHALMOLOGY</t>
  </si>
  <si>
    <t>The surgical treatment of disorders and diseases of the eye.</t>
  </si>
  <si>
    <t>PAEDIATRIC PAIN MANAGEMENT</t>
  </si>
  <si>
    <t>Complex pain disorders requiring diagnosis and treatment by a specialist multi-professional team</t>
  </si>
  <si>
    <t>PAEDIATRIC PLASTIC SURGERY</t>
  </si>
  <si>
    <t>SERVICES to correct or restore form and function. In addition to cosmetic or aesthetic surgery, plastic surgery includes many types of reconstructive surgery, and the treatment of burns</t>
  </si>
  <si>
    <t>PAEDIATRIC RESPIRATORY MEDICINE</t>
  </si>
  <si>
    <t>Also known as Thoracic Medicine</t>
  </si>
  <si>
    <t>PAEDIATRIC RHEUMATOLOGY</t>
  </si>
  <si>
    <t>SERVICES to treat rheumatism, arthritis, and other disorders of the joints, muscles and ligaments</t>
  </si>
  <si>
    <t>PAEDIATRIC SURGERY</t>
  </si>
  <si>
    <t>This is paediatric general surgery</t>
  </si>
  <si>
    <t>PAEDIATRIC THORACIC SURGERY</t>
  </si>
  <si>
    <t>Surgical treatment of diseases affecting organs inside the thorax (the chest). Generally treatment of conditions of the lungs, chest wall, and diaphragm</t>
  </si>
  <si>
    <t>PAEDIATRIC TRANSPLANTATION SURGERY</t>
  </si>
  <si>
    <t>Includes pre- and post-operative care for major organ transplants except heart and lung (see Cardiothoracic Transplantation). Excludes corneal grafts</t>
  </si>
  <si>
    <t>PAEDIATRIC TRAUMA AND ORTHOPAEDICS</t>
  </si>
  <si>
    <t>Surgery to treat injuries, congenital and acquired disorders of the bones, joints, and their associated soft tissues, including ligaments, nerves and muscles. Excludes Spinal Surgery Service - see TREATMENT FUNCTION CODE 108</t>
  </si>
  <si>
    <t>PAEDIATRIC UROLOGY</t>
  </si>
  <si>
    <t>Surgical treatment of disorders of the urinary system and male reproductive system</t>
  </si>
  <si>
    <t>PAEDIATRICS</t>
  </si>
  <si>
    <t>SERVICES to treat infants, children, and adolescents</t>
  </si>
  <si>
    <t>PAIN MANAGEMENT</t>
  </si>
  <si>
    <t>PALLIATIVE MEDICINE</t>
  </si>
  <si>
    <t>The treatment for curable illnesses and those living with chronic diseases, as well as PATIENTS who are nearing the end of life</t>
  </si>
  <si>
    <t>PERINATAL PSYCHIATRY</t>
  </si>
  <si>
    <t>A specialist psychiatric SERVICE for the diagnosis and treatment of ante-natal and post-natal psychiatric problems</t>
  </si>
  <si>
    <t>PHYSIOTHERAPY</t>
  </si>
  <si>
    <t>The treatment of human function and movement to help people to achieve their full physical potential. The use of physical approaches to promote, maintain and restore wellbeing</t>
  </si>
  <si>
    <t>PLASTIC SURGERY</t>
  </si>
  <si>
    <t>PODIATRIC SURGERY</t>
  </si>
  <si>
    <t>The treatment of foot problems, including soft tissue, bone and joint surgery of the foot, ankle and associated structures, excludes Podiatry see TREATMENT FUNCTION CODE - 653</t>
  </si>
  <si>
    <t>PODIATRY</t>
  </si>
  <si>
    <t>Also known as Chiropody. The diagnosis and treatment of disorders, diseases and deformities of the feet. Excludes Podiatric Surgery see TREATMENT FUNCTION CODE 663</t>
  </si>
  <si>
    <t>PROGRAMMED PULMONARY REHABILITATION</t>
  </si>
  <si>
    <t>A multidisciplinary programme of care for PATIENTS with chronic respiratory impairment that is individually tailored and designed to optimise the individual's physical and social performance and autonomy</t>
  </si>
  <si>
    <t>PROSTHETICS</t>
  </si>
  <si>
    <t>The supply of prosthetics for PATIENTS</t>
  </si>
  <si>
    <t>PSYCHIATRIC INTENSIVE CARE</t>
  </si>
  <si>
    <t>The provision of psychiatric SERVICES to vulnerable individuals who are admitted to Psychiatric Intensive Care Units from open acute wards and forensic settings</t>
  </si>
  <si>
    <t>PSYCHOTHERAPY</t>
  </si>
  <si>
    <t>SERVICES providing therapy used to treat emotional problems and mental health conditions</t>
  </si>
  <si>
    <t>REHABILITATION SERVICE</t>
  </si>
  <si>
    <t>SERVICES to enhance and restore functional ability and quality of life to those with physical impairments or disabilities. Excludes Mental Health Recovery and Rehabilitation Service - see TREATMENT FUNCTION CODE 725</t>
  </si>
  <si>
    <t>RESPIRATORY MEDICINE</t>
  </si>
  <si>
    <t>RESPIRATORY PHYSIOLOGY</t>
  </si>
  <si>
    <t>Physiological measurement of the function of the respiratory system. Includes Sleep Studies (the diagnosis and treatment of sleep disordered breathing, including upper airway resistance syndrome and sleep apnoea)</t>
  </si>
  <si>
    <t>RESPITE CARE</t>
  </si>
  <si>
    <t>SERVICES providing temporary care of a dependant person, providing relief for their usual caregivers</t>
  </si>
  <si>
    <t>RESTORATIVE DENTISTRY</t>
  </si>
  <si>
    <t>Endodontics, Periodontics and Prosthodontics are all part of Restorative Dentistry</t>
  </si>
  <si>
    <t>RHEUMATOLOGY</t>
  </si>
  <si>
    <t>SPECIALIST REHABILITATION SERVICE</t>
  </si>
  <si>
    <t>Specialist rehabilitation SERVICE which meets the NHS Specialised Services Rehabilitation Services' criteria and is registered as a Level 2a service. For further information see the NHS Specialised Services website</t>
  </si>
  <si>
    <t>SPEECH AND LANGUAGE THERAPY</t>
  </si>
  <si>
    <t>The assessment, treatment and help to prevent speech, language and swallowing difficulties</t>
  </si>
  <si>
    <t>SPINAL INJURIES</t>
  </si>
  <si>
    <t>To be used by recognised specialist units and associated outreach SERVICES only, Excludes Spinal Surgery Service - see TREATMENT FUNCTION CODE 108</t>
  </si>
  <si>
    <t>SPINAL SURGERY SERVICE</t>
  </si>
  <si>
    <t>Surgery concentrating on specialised and complex treatment of the back and spine. The SERVICE has a significantly different composition and profile from the SERVICE provided in TREATMENT FUNCTION CODE - 110 Trauma &amp; Orthopaedic. Excludes Spinal Injuries - see TREATMENT FUNCTION CODE 323 </t>
  </si>
  <si>
    <t>SPORT AND EXERCISE MEDICINE</t>
  </si>
  <si>
    <t>The diagnosis and management of medical problems caused by physical activity, the prevention of related injury and disease and the role of exercise in disease treatment</t>
  </si>
  <si>
    <t>STROKE MEDICINE</t>
  </si>
  <si>
    <t>For stroke services excluding Transient Ischaemic Attack - see TREATMENT FUNCTION CODE 329</t>
  </si>
  <si>
    <t>THORACIC SURGERY</t>
  </si>
  <si>
    <t>TRANSIENT ISCHAEMIC ATTACK</t>
  </si>
  <si>
    <t>A multidisciplinary SERVICE for rapid diagnosis and treatment of PATIENTS presenting with suspected Transient Ischaemic Attack and mini-strokes to minimise the chance of a full stroke occurring and maximise the chances of independent living after a stroke</t>
  </si>
  <si>
    <t>TRANSPLANTATION SURGERY</t>
  </si>
  <si>
    <t>TRAUMA &amp; ORTHOPAEDICS</t>
  </si>
  <si>
    <t>TROPICAL MEDICINE</t>
  </si>
  <si>
    <t>SERVICES to diagnose and treat diseases that are found most often in tropical  or sub-tropical regions</t>
  </si>
  <si>
    <t>UPPER GASTROINTESTINAL SURGERY</t>
  </si>
  <si>
    <t>Surgical treatment of disorders of the upper parts of the gastrointestinal tract</t>
  </si>
  <si>
    <t>UROLOGY</t>
  </si>
  <si>
    <t>VASCULAR SURGERY</t>
  </si>
  <si>
    <t>Surgical treatment of diseases of the vascular system</t>
  </si>
  <si>
    <t>WELL BABIES</t>
  </si>
  <si>
    <t>Use when NEONATAL LEVEL OF CARE = 0 - Normal Care: Care given by the mother/substitute with medical and neonatal nursing advice if needed. See Well Baby</t>
  </si>
  <si>
    <t>Org code</t>
  </si>
  <si>
    <t>National Grouping</t>
  </si>
  <si>
    <t>High Level Health Geography</t>
  </si>
  <si>
    <t>Open date</t>
  </si>
  <si>
    <t>RTQ</t>
  </si>
  <si>
    <t>2GETHER NHS FOUNDATION TRUST</t>
  </si>
  <si>
    <t>Y57</t>
  </si>
  <si>
    <t>Q82</t>
  </si>
  <si>
    <t>REM</t>
  </si>
  <si>
    <t>AINTREE UNIVERSITY HOSPITAL NHS FOUNDATION TRUST</t>
  </si>
  <si>
    <t>Y54</t>
  </si>
  <si>
    <t>Q75</t>
  </si>
  <si>
    <t>RCF</t>
  </si>
  <si>
    <t>AIREDALE NHS FOUNDATION TRUST</t>
  </si>
  <si>
    <t>Q72</t>
  </si>
  <si>
    <t>RBS</t>
  </si>
  <si>
    <t>ALDER HEY CHILDREN'S NHS FOUNDATION TRUST</t>
  </si>
  <si>
    <t>RTK</t>
  </si>
  <si>
    <t>ASHFORD AND ST PETER'S HOSPITALS NHS FOUNDATION TRUST</t>
  </si>
  <si>
    <t>Q81</t>
  </si>
  <si>
    <t>RVN</t>
  </si>
  <si>
    <t>AVON AND WILTSHIRE MENTAL HEALTH PARTNERSHIP NHS TRUST</t>
  </si>
  <si>
    <t>RF4</t>
  </si>
  <si>
    <t>BARKING, HAVERING AND REDBRIDGE UNIVERSITY HOSPITALS NHS TRUST</t>
  </si>
  <si>
    <t>Y56</t>
  </si>
  <si>
    <t>Q71</t>
  </si>
  <si>
    <t>RRP</t>
  </si>
  <si>
    <t>BARNET, ENFIELD AND HARINGEY MENTAL HEALTH NHS TRUST</t>
  </si>
  <si>
    <t>RFF</t>
  </si>
  <si>
    <t>BARNSLEY HOSPITAL NHS FOUNDATION TRUST</t>
  </si>
  <si>
    <t>R1H</t>
  </si>
  <si>
    <t>BARTS HEALTH NHS TRUST</t>
  </si>
  <si>
    <t>RDD</t>
  </si>
  <si>
    <t>BASILDON AND THURROCK UNIVERSITY HOSPITALS NHS FOUNDATION TRUST</t>
  </si>
  <si>
    <t>Y55</t>
  </si>
  <si>
    <t>Q79</t>
  </si>
  <si>
    <t>RC1</t>
  </si>
  <si>
    <t>BEDFORD HOSPITAL NHS TRUST</t>
  </si>
  <si>
    <t>Q78</t>
  </si>
  <si>
    <t>RWX</t>
  </si>
  <si>
    <t>BERKSHIRE HEALTHCARE NHS FOUNDATION TRUST</t>
  </si>
  <si>
    <t>RXT</t>
  </si>
  <si>
    <t>BIRMINGHAM AND SOLIHULL MENTAL HEALTH NHS FOUNDATION TRUST</t>
  </si>
  <si>
    <t>Q77</t>
  </si>
  <si>
    <t>RYW</t>
  </si>
  <si>
    <t>BIRMINGHAM COMMUNITY HEALTHCARE NHS FOUNDATION TRUST</t>
  </si>
  <si>
    <t>RQ3</t>
  </si>
  <si>
    <t>BIRMINGHAM WOMEN'S AND CHILDREN'S NHS FOUNDATION TRUST</t>
  </si>
  <si>
    <t>TAJ</t>
  </si>
  <si>
    <t>BLACK COUNTRY PARTNERSHIP NHS FOUNDATION TRUST</t>
  </si>
  <si>
    <t>RXL</t>
  </si>
  <si>
    <t>BLACKPOOL TEACHING HOSPITALS NHS FOUNDATION TRUST</t>
  </si>
  <si>
    <t>Q84</t>
  </si>
  <si>
    <t>RMC</t>
  </si>
  <si>
    <t>BOLTON NHS FOUNDATION TRUST</t>
  </si>
  <si>
    <t>Q83</t>
  </si>
  <si>
    <t>TAD</t>
  </si>
  <si>
    <t>BRADFORD DISTRICT CARE NHS FOUNDATION TRUST</t>
  </si>
  <si>
    <t>RAE</t>
  </si>
  <si>
    <t>BRADFORD TEACHING HOSPITALS NHS FOUNDATION TRUST</t>
  </si>
  <si>
    <t>RY2</t>
  </si>
  <si>
    <t>BRIDGEWATER COMMUNITY HEALTHCARE NHS FOUNDATION TRUST</t>
  </si>
  <si>
    <t>RXH</t>
  </si>
  <si>
    <t>BRIGHTON AND SUSSEX UNIVERSITY HOSPITALS NHS TRUST</t>
  </si>
  <si>
    <t>RXQ</t>
  </si>
  <si>
    <t>BUCKINGHAMSHIRE HEALTHCARE NHS TRUST</t>
  </si>
  <si>
    <t>RJF</t>
  </si>
  <si>
    <t>BURTON HOSPITALS NHS FOUNDATION TRUST</t>
  </si>
  <si>
    <t>Q76</t>
  </si>
  <si>
    <t>RWY</t>
  </si>
  <si>
    <t>CALDERDALE AND HUDDERSFIELD NHS FOUNDATION TRUST</t>
  </si>
  <si>
    <t>RGT</t>
  </si>
  <si>
    <t>CAMBRIDGE UNIVERSITY HOSPITALS NHS FOUNDATION TRUST</t>
  </si>
  <si>
    <t>RT1</t>
  </si>
  <si>
    <t>CAMBRIDGESHIRE AND PETERBOROUGH NHS FOUNDATION TRUST</t>
  </si>
  <si>
    <t>RYV</t>
  </si>
  <si>
    <t>CAMBRIDGESHIRE COMMUNITY SERVICES NHS TRUST</t>
  </si>
  <si>
    <t>TAF</t>
  </si>
  <si>
    <t>CAMDEN AND ISLINGTON NHS FOUNDATION TRUST</t>
  </si>
  <si>
    <t>RV3</t>
  </si>
  <si>
    <t>CENTRAL AND NORTH WEST LONDON NHS FOUNDATION TRUST</t>
  </si>
  <si>
    <t>RYX</t>
  </si>
  <si>
    <t>CENTRAL LONDON COMMUNITY HEALTHCARE NHS TRUST</t>
  </si>
  <si>
    <t>RW3</t>
  </si>
  <si>
    <t>CENTRAL MANCHESTER UNIVERSITY HOSPITALS NHS FOUNDATION TRUST</t>
  </si>
  <si>
    <t>RQM</t>
  </si>
  <si>
    <t>CHELSEA AND WESTMINSTER HOSPITAL NHS FOUNDATION TRUST</t>
  </si>
  <si>
    <t>RXA</t>
  </si>
  <si>
    <t>CHESHIRE AND WIRRAL PARTNERSHIP NHS FOUNDATION TRUST</t>
  </si>
  <si>
    <t>RFS</t>
  </si>
  <si>
    <t>CHESTERFIELD ROYAL HOSPITAL NHS FOUNDATION TRUST</t>
  </si>
  <si>
    <t>RLN</t>
  </si>
  <si>
    <t>CITY HOSPITALS SUNDERLAND NHS FOUNDATION TRUST</t>
  </si>
  <si>
    <t>Q74</t>
  </si>
  <si>
    <t>RDE</t>
  </si>
  <si>
    <t>COLCHESTER HOSPITAL UNIVERSITY NHS FOUNDATION TRUST</t>
  </si>
  <si>
    <t>RJ8</t>
  </si>
  <si>
    <t>CORNWALL PARTNERSHIP NHS FOUNDATION TRUST</t>
  </si>
  <si>
    <t>Q80</t>
  </si>
  <si>
    <t>RJR</t>
  </si>
  <si>
    <t>COUNTESS OF CHESTER HOSPITAL NHS FOUNDATION TRUST</t>
  </si>
  <si>
    <t>RXP</t>
  </si>
  <si>
    <t>COUNTY DURHAM AND DARLINGTON NHS FOUNDATION TRUST</t>
  </si>
  <si>
    <t>RYG</t>
  </si>
  <si>
    <t>COVENTRY AND WARWICKSHIRE PARTNERSHIP NHS TRUST</t>
  </si>
  <si>
    <t>RJ6</t>
  </si>
  <si>
    <t>CROYDON HEALTH SERVICES NHS TRUST</t>
  </si>
  <si>
    <t>RNN</t>
  </si>
  <si>
    <t>CUMBRIA PARTNERSHIP NHS FOUNDATION TRUST</t>
  </si>
  <si>
    <t>RN7</t>
  </si>
  <si>
    <t>DARTFORD AND GRAVESHAM NHS TRUST</t>
  </si>
  <si>
    <t>RTG</t>
  </si>
  <si>
    <t>DERBY TEACHING HOSPITALS NHS FOUNDATION TRUST</t>
  </si>
  <si>
    <t>RY8</t>
  </si>
  <si>
    <t>DERBYSHIRE COMMUNITY HEALTH SERVICES NHS FOUNDATION TRUST</t>
  </si>
  <si>
    <t>RXM</t>
  </si>
  <si>
    <t>DERBYSHIRE HEALTHCARE NHS FOUNDATION TRUST</t>
  </si>
  <si>
    <t>RWV</t>
  </si>
  <si>
    <t>DEVON PARTNERSHIP NHS TRUST</t>
  </si>
  <si>
    <t>RP5</t>
  </si>
  <si>
    <t>DONCASTER AND BASSETLAW TEACHING HOSPITALS NHS FOUNDATION TRUST</t>
  </si>
  <si>
    <t>RBD</t>
  </si>
  <si>
    <t>DORSET COUNTY HOSPITAL NHS FOUNDATION TRUST</t>
  </si>
  <si>
    <t>Q70</t>
  </si>
  <si>
    <t>RDY</t>
  </si>
  <si>
    <t>DORSET HEALTHCARE UNIVERSITY NHS FOUNDATION TRUST</t>
  </si>
  <si>
    <t>RYK</t>
  </si>
  <si>
    <t>DUDLEY AND WALSALL MENTAL HEALTH PARTNERSHIP NHS TRUST</t>
  </si>
  <si>
    <t>RWH</t>
  </si>
  <si>
    <t>EAST AND NORTH HERTFORDSHIRE NHS TRUST</t>
  </si>
  <si>
    <t>RJN</t>
  </si>
  <si>
    <t>EAST CHESHIRE NHS TRUST</t>
  </si>
  <si>
    <t>RVV</t>
  </si>
  <si>
    <t>EAST KENT HOSPITALS UNIVERSITY NHS FOUNDATION TRUST</t>
  </si>
  <si>
    <t>RXR</t>
  </si>
  <si>
    <t>EAST LANCASHIRE HOSPITALS NHS TRUST</t>
  </si>
  <si>
    <t>RWK</t>
  </si>
  <si>
    <t>EAST LONDON NHS FOUNDATION TRUST</t>
  </si>
  <si>
    <t>RX9</t>
  </si>
  <si>
    <t>EAST MIDLANDS AMBULANCE SERVICE NHS TRUST</t>
  </si>
  <si>
    <t>RYC</t>
  </si>
  <si>
    <t>EAST OF ENGLAND AMBULANCE SERVICE NHS TRUST</t>
  </si>
  <si>
    <t>RXC</t>
  </si>
  <si>
    <t>EAST SUSSEX HEALTHCARE NHS TRUST</t>
  </si>
  <si>
    <t>RVR</t>
  </si>
  <si>
    <t>EPSOM AND ST HELIER UNIVERSITY HOSPITALS NHS TRUST</t>
  </si>
  <si>
    <t>R1L</t>
  </si>
  <si>
    <t>ESSEX PARTNERSHIP UNIVERSITY NHS FOUNDATION TRUST</t>
  </si>
  <si>
    <t>RDU</t>
  </si>
  <si>
    <t>FRIMLEY HEALTH NHS FOUNDATION TRUST</t>
  </si>
  <si>
    <t>RR7</t>
  </si>
  <si>
    <t>GATESHEAD HEALTH NHS FOUNDATION TRUST</t>
  </si>
  <si>
    <t>RLT</t>
  </si>
  <si>
    <t>GEORGE ELIOT HOSPITAL NHS TRUST</t>
  </si>
  <si>
    <t>R1J</t>
  </si>
  <si>
    <t>GLOUCESTERSHIRE CARE SERVICES NHS TRUST</t>
  </si>
  <si>
    <t>RTE</t>
  </si>
  <si>
    <t>GLOUCESTERSHIRE HOSPITALS NHS FOUNDATION TRUST</t>
  </si>
  <si>
    <t>RP4</t>
  </si>
  <si>
    <t>GREAT ORMOND STREET HOSPITAL FOR CHILDREN NHS FOUNDATION TRUST</t>
  </si>
  <si>
    <t>RN3</t>
  </si>
  <si>
    <t>GREAT WESTERN HOSPITALS NHS FOUNDATION TRUST</t>
  </si>
  <si>
    <t>RXV</t>
  </si>
  <si>
    <t>GREATER MANCHESTER MENTAL HEALTH NHS FOUNDATION TRUST</t>
  </si>
  <si>
    <t>RJ1</t>
  </si>
  <si>
    <t>GUY'S AND ST THOMAS' NHS FOUNDATION TRUST</t>
  </si>
  <si>
    <t>RN5</t>
  </si>
  <si>
    <t>HAMPSHIRE HOSPITALS NHS FOUNDATION TRUST</t>
  </si>
  <si>
    <t>RCD</t>
  </si>
  <si>
    <t>HARROGATE AND DISTRICT NHS FOUNDATION TRUST</t>
  </si>
  <si>
    <t>RR1</t>
  </si>
  <si>
    <t>HEART OF ENGLAND NHS FOUNDATION TRUST</t>
  </si>
  <si>
    <t>RY4</t>
  </si>
  <si>
    <t>HERTFORDSHIRE COMMUNITY NHS TRUST</t>
  </si>
  <si>
    <t>RWR</t>
  </si>
  <si>
    <t>HERTFORDSHIRE PARTNERSHIP UNIVERSITY NHS FOUNDATION TRUST</t>
  </si>
  <si>
    <t>RQX</t>
  </si>
  <si>
    <t>HOMERTON UNIVERSITY HOSPITAL NHS FOUNDATION TRUST</t>
  </si>
  <si>
    <t>RY9</t>
  </si>
  <si>
    <t>HOUNSLOW AND RICHMOND COMMUNITY HEALTHCARE NHS TRUST</t>
  </si>
  <si>
    <t>RWA</t>
  </si>
  <si>
    <t>HULL AND EAST YORKSHIRE HOSPITALS NHS TRUST</t>
  </si>
  <si>
    <t>RV9</t>
  </si>
  <si>
    <t>HUMBER NHS FOUNDATION TRUST</t>
  </si>
  <si>
    <t>RYJ</t>
  </si>
  <si>
    <t>IMPERIAL COLLEGE HEALTHCARE NHS TRUST</t>
  </si>
  <si>
    <t>RGQ</t>
  </si>
  <si>
    <t>IPSWICH HOSPITAL NHS TRUST</t>
  </si>
  <si>
    <t>R1F</t>
  </si>
  <si>
    <t>ISLE OF WIGHT NHS TRUST</t>
  </si>
  <si>
    <t>RGP</t>
  </si>
  <si>
    <t>JAMES PAGET UNIVERSITY HOSPITALS NHS FOUNDATION TRUST</t>
  </si>
  <si>
    <t>RXY</t>
  </si>
  <si>
    <t>KENT AND MEDWAY NHS AND SOCIAL CARE PARTNERSHIP TRUST</t>
  </si>
  <si>
    <t>RYY</t>
  </si>
  <si>
    <t>KENT COMMUNITY HEALTH NHS FOUNDATION TRUST</t>
  </si>
  <si>
    <t>RNQ</t>
  </si>
  <si>
    <t>KETTERING GENERAL HOSPITAL NHS FOUNDATION TRUST</t>
  </si>
  <si>
    <t>RJZ</t>
  </si>
  <si>
    <t>KING'S COLLEGE HOSPITAL NHS FOUNDATION TRUST</t>
  </si>
  <si>
    <t>RAX</t>
  </si>
  <si>
    <t>KINGSTON HOSPITAL NHS FOUNDATION TRUST</t>
  </si>
  <si>
    <t>RW5</t>
  </si>
  <si>
    <t>LANCASHIRE CARE NHS FOUNDATION TRUST</t>
  </si>
  <si>
    <t>RXN</t>
  </si>
  <si>
    <t>LANCASHIRE TEACHING HOSPITALS NHS FOUNDATION TRUST</t>
  </si>
  <si>
    <t>RGD</t>
  </si>
  <si>
    <t>LEEDS AND YORK PARTNERSHIP NHS FOUNDATION TRUST</t>
  </si>
  <si>
    <t>RY6</t>
  </si>
  <si>
    <t>LEEDS COMMUNITY HEALTHCARE NHS TRUST</t>
  </si>
  <si>
    <t>RR8</t>
  </si>
  <si>
    <t>LEEDS TEACHING HOSPITALS NHS TRUST</t>
  </si>
  <si>
    <t>RT5</t>
  </si>
  <si>
    <t>LEICESTERSHIRE PARTNERSHIP NHS TRUST</t>
  </si>
  <si>
    <t>RJ2</t>
  </si>
  <si>
    <t>LEWISHAM AND GREENWICH NHS TRUST</t>
  </si>
  <si>
    <t>RY5</t>
  </si>
  <si>
    <t>LINCOLNSHIRE COMMUNITY HEALTH SERVICES NHS TRUST</t>
  </si>
  <si>
    <t>RP7</t>
  </si>
  <si>
    <t>LINCOLNSHIRE PARTNERSHIP NHS FOUNDATION TRUST</t>
  </si>
  <si>
    <t>RY1</t>
  </si>
  <si>
    <t>LIVERPOOL COMMUNITY HEALTH NHS TRUST</t>
  </si>
  <si>
    <t>RBQ</t>
  </si>
  <si>
    <t>LIVERPOOL HEART AND CHEST HOSPITAL NHS FOUNDATION TRUST</t>
  </si>
  <si>
    <t>REP</t>
  </si>
  <si>
    <t>LIVERPOOL WOMEN'S NHS FOUNDATION TRUST</t>
  </si>
  <si>
    <t>RRU</t>
  </si>
  <si>
    <t>LONDON AMBULANCE SERVICE NHS TRUST</t>
  </si>
  <si>
    <t>R1K</t>
  </si>
  <si>
    <t>LONDON NORTH WEST HEALTHCARE NHS TRUST</t>
  </si>
  <si>
    <t>RC9</t>
  </si>
  <si>
    <t>LUTON AND DUNSTABLE UNIVERSITY HOSPITAL NHS FOUNDATION TRUST</t>
  </si>
  <si>
    <t>RWF</t>
  </si>
  <si>
    <t>MAIDSTONE AND TUNBRIDGE WELLS NHS TRUST</t>
  </si>
  <si>
    <t>RPA</t>
  </si>
  <si>
    <t>MEDWAY NHS FOUNDATION TRUST</t>
  </si>
  <si>
    <t>RW4</t>
  </si>
  <si>
    <t>MERSEY CARE NHS FOUNDATION TRUST</t>
  </si>
  <si>
    <t>RBT</t>
  </si>
  <si>
    <t>MID CHESHIRE HOSPITALS NHS FOUNDATION TRUST</t>
  </si>
  <si>
    <t>RQ8</t>
  </si>
  <si>
    <t>MID ESSEX HOSPITAL SERVICES NHS TRUST</t>
  </si>
  <si>
    <t>RJD</t>
  </si>
  <si>
    <t>MID STAFFORDSHIRE NHS FOUNDATION TRUST</t>
  </si>
  <si>
    <t>RXF</t>
  </si>
  <si>
    <t>MID YORKSHIRE HOSPITALS NHS TRUST</t>
  </si>
  <si>
    <t>RD8</t>
  </si>
  <si>
    <t>MILTON KEYNES UNIVERSITY HOSPITAL NHS FOUNDATION TRUST</t>
  </si>
  <si>
    <t>RP6</t>
  </si>
  <si>
    <t>MOORFIELDS EYE HOSPITAL NHS FOUNDATION TRUST</t>
  </si>
  <si>
    <t>RM1</t>
  </si>
  <si>
    <t>NORFOLK AND NORWICH UNIVERSITY HOSPITALS NHS FOUNDATION TRUST</t>
  </si>
  <si>
    <t>RMY</t>
  </si>
  <si>
    <t>NORFOLK AND SUFFOLK NHS FOUNDATION TRUST</t>
  </si>
  <si>
    <t>RY3</t>
  </si>
  <si>
    <t>NORFOLK COMMUNITY HEALTH AND CARE NHS TRUST</t>
  </si>
  <si>
    <t>RVJ</t>
  </si>
  <si>
    <t>NORTH BRISTOL NHS TRUST</t>
  </si>
  <si>
    <t>RNL</t>
  </si>
  <si>
    <t>NORTH CUMBRIA UNIVERSITY HOSPITALS NHS TRUST</t>
  </si>
  <si>
    <t>RX6</t>
  </si>
  <si>
    <t>NORTH EAST AMBULANCE SERVICE NHS FOUNDATION TRUST</t>
  </si>
  <si>
    <t>RAT</t>
  </si>
  <si>
    <t>NORTH EAST LONDON NHS FOUNDATION TRUST</t>
  </si>
  <si>
    <t>RAP</t>
  </si>
  <si>
    <t>NORTH MIDDLESEX UNIVERSITY HOSPITAL NHS TRUST</t>
  </si>
  <si>
    <t>RLY</t>
  </si>
  <si>
    <t>NORTH STAFFORDSHIRE COMBINED HEALTHCARE NHS TRUST</t>
  </si>
  <si>
    <t>RVW</t>
  </si>
  <si>
    <t>NORTH TEES AND HARTLEPOOL NHS FOUNDATION TRUST</t>
  </si>
  <si>
    <t>RX7</t>
  </si>
  <si>
    <t>NORTH WEST AMBULANCE SERVICE NHS TRUST</t>
  </si>
  <si>
    <t>RGN</t>
  </si>
  <si>
    <t>NORTH WEST ANGLIA NHS FOUNDATION TRUST</t>
  </si>
  <si>
    <t>RTV</t>
  </si>
  <si>
    <t>NORTH WEST BOROUGHS HEALTHCARE NHS FOUNDATION TRUST</t>
  </si>
  <si>
    <t>RNS</t>
  </si>
  <si>
    <t>NORTHAMPTON GENERAL HOSPITAL NHS TRUST</t>
  </si>
  <si>
    <t>RP1</t>
  </si>
  <si>
    <t>NORTHAMPTONSHIRE HEALTHCARE NHS FOUNDATION TRUST</t>
  </si>
  <si>
    <t>RBZ</t>
  </si>
  <si>
    <t>NORTHERN DEVON HEALTHCARE NHS TRUST</t>
  </si>
  <si>
    <t>RJL</t>
  </si>
  <si>
    <t>NORTHERN LINCOLNSHIRE AND GOOLE NHS FOUNDATION TRUST</t>
  </si>
  <si>
    <t>RX4</t>
  </si>
  <si>
    <t>NORTHUMBERLAND, TYNE AND WEAR NHS FOUNDATION TRUST</t>
  </si>
  <si>
    <t>RTF</t>
  </si>
  <si>
    <t>NORTHUMBRIA HEALTHCARE NHS FOUNDATION TRUST</t>
  </si>
  <si>
    <t>RX1</t>
  </si>
  <si>
    <t>NOTTINGHAM UNIVERSITY HOSPITALS NHS TRUST</t>
  </si>
  <si>
    <t>RHA</t>
  </si>
  <si>
    <t>NOTTINGHAMSHIRE HEALTHCARE NHS FOUNDATION TRUST</t>
  </si>
  <si>
    <t>RNU</t>
  </si>
  <si>
    <t>OXFORD HEALTH NHS FOUNDATION TRUST</t>
  </si>
  <si>
    <t>RTH</t>
  </si>
  <si>
    <t>OXFORD UNIVERSITY HOSPITALS NHS FOUNDATION TRUST</t>
  </si>
  <si>
    <t>RPG</t>
  </si>
  <si>
    <t>OXLEAS NHS FOUNDATION TRUST</t>
  </si>
  <si>
    <t>RGM</t>
  </si>
  <si>
    <t>PAPWORTH HOSPITAL NHS FOUNDATION TRUST</t>
  </si>
  <si>
    <t>RW6</t>
  </si>
  <si>
    <t>PENNINE ACUTE HOSPITALS NHS TRUST</t>
  </si>
  <si>
    <t>RT2</t>
  </si>
  <si>
    <t>PENNINE CARE NHS FOUNDATION TRUST</t>
  </si>
  <si>
    <t>RK9</t>
  </si>
  <si>
    <t>PLYMOUTH HOSPITALS NHS TRUST</t>
  </si>
  <si>
    <t>RD3</t>
  </si>
  <si>
    <t>POOLE HOSPITAL NHS FOUNDATION TRUST</t>
  </si>
  <si>
    <t>RHU</t>
  </si>
  <si>
    <t>PORTSMOUTH HOSPITALS NHS TRUST</t>
  </si>
  <si>
    <t>RYT</t>
  </si>
  <si>
    <t>PUBLIC HEALTH WALES NHS TRUST</t>
  </si>
  <si>
    <t>W00</t>
  </si>
  <si>
    <t>Q99</t>
  </si>
  <si>
    <t>RPC</t>
  </si>
  <si>
    <t>QUEEN VICTORIA HOSPITAL NHS FOUNDATION TRUST</t>
  </si>
  <si>
    <t>RXE</t>
  </si>
  <si>
    <t>ROTHERHAM DONCASTER AND SOUTH HUMBER NHS FOUNDATION TRUST</t>
  </si>
  <si>
    <t>RHW</t>
  </si>
  <si>
    <t>ROYAL BERKSHIRE NHS FOUNDATION TRUST</t>
  </si>
  <si>
    <t>RT3</t>
  </si>
  <si>
    <t>ROYAL BROMPTON &amp; HAREFIELD NHS FOUNDATION TRUST</t>
  </si>
  <si>
    <t>REF</t>
  </si>
  <si>
    <t>ROYAL CORNWALL HOSPITALS NHS TRUST</t>
  </si>
  <si>
    <t>RH8</t>
  </si>
  <si>
    <t>ROYAL DEVON AND EXETER NHS FOUNDATION TRUST</t>
  </si>
  <si>
    <t>RAL</t>
  </si>
  <si>
    <t>ROYAL FREE LONDON NHS FOUNDATION TRUST</t>
  </si>
  <si>
    <t>RQ6</t>
  </si>
  <si>
    <t>ROYAL LIVERPOOL AND BROADGREEN UNIVERSITY HOSPITALS NHS TRUST</t>
  </si>
  <si>
    <t>RAN</t>
  </si>
  <si>
    <t>ROYAL NATIONAL ORTHOPAEDIC HOSPITAL NHS TRUST</t>
  </si>
  <si>
    <t>RA2</t>
  </si>
  <si>
    <t>ROYAL SURREY COUNTY HOSPITAL NHS FOUNDATION TRUST</t>
  </si>
  <si>
    <t>RD1</t>
  </si>
  <si>
    <t>ROYAL UNITED HOSPITALS BATH NHS FOUNDATION TRUST</t>
  </si>
  <si>
    <t>RM3</t>
  </si>
  <si>
    <t>SALFORD ROYAL NHS FOUNDATION TRUST</t>
  </si>
  <si>
    <t>RNZ</t>
  </si>
  <si>
    <t>SALISBURY NHS FOUNDATION TRUST</t>
  </si>
  <si>
    <t>RXK</t>
  </si>
  <si>
    <t>SANDWELL AND WEST BIRMINGHAM HOSPITALS NHS TRUST</t>
  </si>
  <si>
    <t>RCU</t>
  </si>
  <si>
    <t>SHEFFIELD CHILDREN'S NHS FOUNDATION TRUST</t>
  </si>
  <si>
    <t>TAH</t>
  </si>
  <si>
    <t>SHEFFIELD HEALTH &amp; SOCIAL CARE NHS FOUNDATION TRUST</t>
  </si>
  <si>
    <t>RHQ</t>
  </si>
  <si>
    <t>SHEFFIELD TEACHING HOSPITALS NHS FOUNDATION TRUST</t>
  </si>
  <si>
    <t>RK5</t>
  </si>
  <si>
    <t>SHERWOOD FOREST HOSPITALS NHS FOUNDATION TRUST</t>
  </si>
  <si>
    <t>RXW</t>
  </si>
  <si>
    <t>SHREWSBURY AND TELFORD HOSPITAL NHS TRUST</t>
  </si>
  <si>
    <t>R1D</t>
  </si>
  <si>
    <t>SHROPSHIRE COMMUNITY HEALTH NHS TRUST</t>
  </si>
  <si>
    <t>R1C</t>
  </si>
  <si>
    <t>SOLENT NHS TRUST</t>
  </si>
  <si>
    <t>RH5</t>
  </si>
  <si>
    <t>SOMERSET PARTNERSHIP NHS FOUNDATION TRUST</t>
  </si>
  <si>
    <t>RYE</t>
  </si>
  <si>
    <t>SOUTH CENTRAL AMBULANCE SERVICE NHS FOUNDATION TRUST</t>
  </si>
  <si>
    <t>RYD</t>
  </si>
  <si>
    <t>SOUTH EAST COAST AMBULANCE SERVICE NHS FOUNDATION TRUST</t>
  </si>
  <si>
    <t>RV5</t>
  </si>
  <si>
    <t>SOUTH LONDON AND MAUDSLEY NHS FOUNDATION TRUST</t>
  </si>
  <si>
    <t>RRE</t>
  </si>
  <si>
    <t>SOUTH STAFFORDSHIRE AND SHROPSHIRE HEALTHCARE NHS FOUNDATION TRUST</t>
  </si>
  <si>
    <t>RTR</t>
  </si>
  <si>
    <t>SOUTH TEES HOSPITALS NHS FOUNDATION TRUST</t>
  </si>
  <si>
    <t>RE9</t>
  </si>
  <si>
    <t>SOUTH TYNESIDE NHS FOUNDATION TRUST</t>
  </si>
  <si>
    <t>RJC</t>
  </si>
  <si>
    <t>SOUTH WARWICKSHIRE NHS FOUNDATION TRUST</t>
  </si>
  <si>
    <t>RQY</t>
  </si>
  <si>
    <t>SOUTH WEST LONDON AND ST GEORGE'S MENTAL HEALTH NHS TRUST</t>
  </si>
  <si>
    <t>RXG</t>
  </si>
  <si>
    <t>SOUTH WEST YORKSHIRE PARTNERSHIP NHS FOUNDATION TRUST</t>
  </si>
  <si>
    <t>RYF</t>
  </si>
  <si>
    <t>SOUTH WESTERN AMBULANCE SERVICE NHS FOUNDATION TRUST</t>
  </si>
  <si>
    <t>RAJ</t>
  </si>
  <si>
    <t>SOUTHEND UNIVERSITY HOSPITAL NHS FOUNDATION TRUST</t>
  </si>
  <si>
    <t>RW1</t>
  </si>
  <si>
    <t>SOUTHERN HEALTH NHS FOUNDATION TRUST</t>
  </si>
  <si>
    <t>RVY</t>
  </si>
  <si>
    <t>SOUTHPORT AND ORMSKIRK HOSPITAL NHS TRUST</t>
  </si>
  <si>
    <t>RJ7</t>
  </si>
  <si>
    <t>ST GEORGE'S UNIVERSITY HOSPITALS NHS FOUNDATION TRUST</t>
  </si>
  <si>
    <t>RBN</t>
  </si>
  <si>
    <t>ST HELENS AND KNOWSLEY HOSPITAL SERVICES NHS TRUST</t>
  </si>
  <si>
    <t>R1E</t>
  </si>
  <si>
    <t>STAFFORDSHIRE AND STOKE ON TRENT PARTNERSHIP NHS TRUST</t>
  </si>
  <si>
    <t>RWJ</t>
  </si>
  <si>
    <t>STOCKPORT NHS FOUNDATION TRUST</t>
  </si>
  <si>
    <t>RXX</t>
  </si>
  <si>
    <t>SURREY AND BORDERS PARTNERSHIP NHS FOUNDATION TRUST</t>
  </si>
  <si>
    <t>RTP</t>
  </si>
  <si>
    <t>SURREY AND SUSSEX HEALTHCARE NHS TRUST</t>
  </si>
  <si>
    <t>RDR</t>
  </si>
  <si>
    <t>SUSSEX COMMUNITY NHS FOUNDATION TRUST</t>
  </si>
  <si>
    <t>RX2</t>
  </si>
  <si>
    <t>SUSSEX PARTNERSHIP NHS FOUNDATION TRUST</t>
  </si>
  <si>
    <t>RMP</t>
  </si>
  <si>
    <t>TAMESIDE AND GLOSSOP INTEGRATED CARE NHS FOUNDATION TRUST</t>
  </si>
  <si>
    <t>RBA</t>
  </si>
  <si>
    <t>TAUNTON AND SOMERSET NHS FOUNDATION TRUST</t>
  </si>
  <si>
    <t>RNK</t>
  </si>
  <si>
    <t>TAVISTOCK AND PORTMAN NHS FOUNDATION TRUST</t>
  </si>
  <si>
    <t>RX3</t>
  </si>
  <si>
    <t>TEES, ESK AND WEAR VALLEYS NHS FOUNDATION TRUST</t>
  </si>
  <si>
    <t>RBV</t>
  </si>
  <si>
    <t>THE CHRISTIE NHS FOUNDATION TRUST</t>
  </si>
  <si>
    <t>REN</t>
  </si>
  <si>
    <t>THE CLATTERBRIDGE CANCER CENTRE NHS FOUNDATION TRUST</t>
  </si>
  <si>
    <t>RNA</t>
  </si>
  <si>
    <t>THE DUDLEY GROUP NHS FOUNDATION TRUST</t>
  </si>
  <si>
    <t>RAS</t>
  </si>
  <si>
    <t>THE HILLINGDON HOSPITALS NHS FOUNDATION TRUST</t>
  </si>
  <si>
    <t>RTD</t>
  </si>
  <si>
    <t>THE NEWCASTLE UPON TYNE HOSPITALS NHS FOUNDATION TRUST</t>
  </si>
  <si>
    <t>RQW</t>
  </si>
  <si>
    <t>THE PRINCESS ALEXANDRA HOSPITAL NHS TRUST</t>
  </si>
  <si>
    <t>RCX</t>
  </si>
  <si>
    <t>THE QUEEN ELIZABETH HOSPITAL, KING'S LYNN, NHS FOUNDATION TRUST</t>
  </si>
  <si>
    <t>RL1</t>
  </si>
  <si>
    <t>THE ROBERT JONES AND AGNES HUNT ORTHOPAEDIC HOSPITAL NHS FOUNDATION TRUST</t>
  </si>
  <si>
    <t>RFR</t>
  </si>
  <si>
    <t>THE ROTHERHAM NHS FOUNDATION TRUST</t>
  </si>
  <si>
    <t>RDZ</t>
  </si>
  <si>
    <t>THE ROYAL BOURNEMOUTH AND CHRISTCHURCH HOSPITALS NHS FOUNDATION TRUST</t>
  </si>
  <si>
    <t>RPY</t>
  </si>
  <si>
    <t>THE ROYAL MARSDEN NHS FOUNDATION TRUST</t>
  </si>
  <si>
    <t>RRJ</t>
  </si>
  <si>
    <t>THE ROYAL ORTHOPAEDIC HOSPITAL NHS FOUNDATION TRUST</t>
  </si>
  <si>
    <t>RL4</t>
  </si>
  <si>
    <t>THE ROYAL WOLVERHAMPTON NHS TRUST</t>
  </si>
  <si>
    <t>RET</t>
  </si>
  <si>
    <t>THE WALTON CENTRE NHS FOUNDATION TRUST</t>
  </si>
  <si>
    <t>RKE</t>
  </si>
  <si>
    <t>THE WHITTINGTON HOSPITAL NHS TRUST</t>
  </si>
  <si>
    <t>RA9</t>
  </si>
  <si>
    <t>TORBAY AND SOUTH DEVON NHS FOUNDATION TRUST</t>
  </si>
  <si>
    <t>RWD</t>
  </si>
  <si>
    <t>UNITED LINCOLNSHIRE HOSPITALS NHS TRUST</t>
  </si>
  <si>
    <t>RRV</t>
  </si>
  <si>
    <t>UNIVERSITY COLLEGE LONDON HOSPITALS NHS FOUNDATION TRUST</t>
  </si>
  <si>
    <t>RM2</t>
  </si>
  <si>
    <t>UNIVERSITY HOSPITAL OF SOUTH MANCHESTER NHS FOUNDATION TRUST</t>
  </si>
  <si>
    <t>RHM</t>
  </si>
  <si>
    <t>UNIVERSITY HOSPITAL SOUTHAMPTON NHS FOUNDATION TRUST</t>
  </si>
  <si>
    <t>RRK</t>
  </si>
  <si>
    <t>UNIVERSITY HOSPITALS BIRMINGHAM NHS FOUNDATION TRUST</t>
  </si>
  <si>
    <t>RA7</t>
  </si>
  <si>
    <t>UNIVERSITY HOSPITALS BRISTOL NHS FOUNDATION TRUST</t>
  </si>
  <si>
    <t>RKB</t>
  </si>
  <si>
    <t>UNIVERSITY HOSPITALS COVENTRY AND WARWICKSHIRE NHS TRUST</t>
  </si>
  <si>
    <t>RWE</t>
  </si>
  <si>
    <t>UNIVERSITY HOSPITALS OF LEICESTER NHS TRUST</t>
  </si>
  <si>
    <t>RTX</t>
  </si>
  <si>
    <t>UNIVERSITY HOSPITALS OF MORECAMBE BAY NHS FOUNDATION TRUST</t>
  </si>
  <si>
    <t>RJE</t>
  </si>
  <si>
    <t>UNIVERSITY HOSPITALS OF NORTH MIDLANDS NHS TRUST</t>
  </si>
  <si>
    <t>RQF</t>
  </si>
  <si>
    <t>VELINDRE NHS TRUST</t>
  </si>
  <si>
    <t>RBK</t>
  </si>
  <si>
    <t>WALSALL HEALTHCARE NHS TRUST</t>
  </si>
  <si>
    <t>RWW</t>
  </si>
  <si>
    <t>WARRINGTON AND HALTON HOSPITALS NHS FOUNDATION TRUST</t>
  </si>
  <si>
    <t>RT4</t>
  </si>
  <si>
    <t>WELSH AMBULANCE SERVICES NHS TRUST</t>
  </si>
  <si>
    <t>RWG</t>
  </si>
  <si>
    <t>WEST HERTFORDSHIRE HOSPITALS NHS TRUST</t>
  </si>
  <si>
    <t>RKL</t>
  </si>
  <si>
    <t>WEST LONDON MENTAL HEALTH NHS TRUST</t>
  </si>
  <si>
    <t>RYA</t>
  </si>
  <si>
    <t>WEST MIDLANDS AMBULANCE SERVICE NHS FOUNDATION TRUST</t>
  </si>
  <si>
    <t>RGR</t>
  </si>
  <si>
    <t>WEST SUFFOLK NHS FOUNDATION TRUST</t>
  </si>
  <si>
    <t>RYR</t>
  </si>
  <si>
    <t>WESTERN SUSSEX HOSPITALS NHS FOUNDATION TRUST</t>
  </si>
  <si>
    <t>RA3</t>
  </si>
  <si>
    <t>WESTON AREA HEALTH NHS TRUST</t>
  </si>
  <si>
    <t>RY7</t>
  </si>
  <si>
    <t>WIRRAL COMMUNITY NHS FOUNDATION TRUST</t>
  </si>
  <si>
    <t>RBL</t>
  </si>
  <si>
    <t>WIRRAL UNIVERSITY TEACHING HOSPITAL NHS FOUNDATION TRUST</t>
  </si>
  <si>
    <t>RWP</t>
  </si>
  <si>
    <t>WORCESTERSHIRE ACUTE HOSPITALS NHS TRUST</t>
  </si>
  <si>
    <t>R1A</t>
  </si>
  <si>
    <t>WORCESTERSHIRE HEALTH AND CARE NHS TRUST</t>
  </si>
  <si>
    <t>RRF</t>
  </si>
  <si>
    <t>WRIGHTINGTON, WIGAN AND LEIGH NHS FOUNDATION TRUST</t>
  </si>
  <si>
    <t>RLQ</t>
  </si>
  <si>
    <t>WYE VALLEY NHS TRUST</t>
  </si>
  <si>
    <t>RA4</t>
  </si>
  <si>
    <t>YEOVIL DISTRICT HOSPITAL NHS FOUNDATION TRUST</t>
  </si>
  <si>
    <t>RCB</t>
  </si>
  <si>
    <t>YORK TEACHING HOSPITAL NHS FOUNDATION TRUST</t>
  </si>
  <si>
    <t>RX8</t>
  </si>
  <si>
    <t>YORKSHIRE AMBULANCE SERVICE NHS TRUST</t>
  </si>
  <si>
    <t>Index</t>
  </si>
  <si>
    <t>Filename</t>
  </si>
  <si>
    <t>Path</t>
  </si>
  <si>
    <t>Status</t>
  </si>
  <si>
    <t>Model Type</t>
  </si>
  <si>
    <t>File 1</t>
  </si>
  <si>
    <t>New</t>
  </si>
  <si>
    <t>File 2</t>
  </si>
  <si>
    <t>Endoscopy</t>
  </si>
  <si>
    <t>Follow Up</t>
  </si>
  <si>
    <t>File 3</t>
  </si>
  <si>
    <t>File 4</t>
  </si>
  <si>
    <t>Inpatient</t>
  </si>
  <si>
    <t>File 5</t>
  </si>
  <si>
    <t>File 6</t>
  </si>
  <si>
    <t>File 7</t>
  </si>
  <si>
    <t>File 8</t>
  </si>
  <si>
    <t>File 9</t>
  </si>
  <si>
    <t>File 10</t>
  </si>
  <si>
    <t>File 11</t>
  </si>
  <si>
    <t>File 12</t>
  </si>
  <si>
    <t>File 13</t>
  </si>
  <si>
    <t>File 14</t>
  </si>
  <si>
    <t>File 15</t>
  </si>
  <si>
    <t>File 16</t>
  </si>
  <si>
    <t>File 17</t>
  </si>
  <si>
    <t>File 18</t>
  </si>
  <si>
    <t>File 19</t>
  </si>
  <si>
    <t>File 20</t>
  </si>
  <si>
    <t>POD (No Diagnostic)</t>
  </si>
  <si>
    <t>Admission</t>
  </si>
  <si>
    <t>POD (With Diagnostic)</t>
  </si>
  <si>
    <t>Diagnostic (N)</t>
  </si>
  <si>
    <t>Diagnostic (FU)</t>
  </si>
  <si>
    <t>Possible POD (with D)</t>
  </si>
  <si>
    <t>Possible POD (no D)</t>
  </si>
  <si>
    <t>Flow v2.02dii + variants</t>
  </si>
  <si>
    <t>Data locations</t>
  </si>
  <si>
    <t>First OP</t>
  </si>
  <si>
    <t>For FU (Flow only)</t>
  </si>
  <si>
    <t>For IP (Flow only)</t>
  </si>
  <si>
    <t>Version</t>
  </si>
  <si>
    <t>Model</t>
  </si>
  <si>
    <t>Mean Demand</t>
  </si>
  <si>
    <t>Lower Bound</t>
  </si>
  <si>
    <t>Upper Bound</t>
  </si>
  <si>
    <t>NASL</t>
  </si>
  <si>
    <t>NASL DNADischarge</t>
  </si>
  <si>
    <t>NASR</t>
  </si>
  <si>
    <t>NASR Discharge</t>
  </si>
  <si>
    <t>Rebookings</t>
  </si>
  <si>
    <t>Available</t>
  </si>
  <si>
    <t>Ideal WL size</t>
  </si>
  <si>
    <t>ROTT</t>
  </si>
  <si>
    <t>Urgent%</t>
  </si>
  <si>
    <t>Point adjustment status</t>
  </si>
  <si>
    <t>Point Adjustment Value</t>
  </si>
  <si>
    <t>2.02di</t>
  </si>
  <si>
    <t>2WW</t>
  </si>
  <si>
    <t>Parameters'!RefsPerWeek</t>
  </si>
  <si>
    <t>Summary'!$E$39</t>
  </si>
  <si>
    <t>Summary'!$E$40</t>
  </si>
  <si>
    <t>Parameters'!$F$25</t>
  </si>
  <si>
    <t>Parameters'!DNADischargeRate</t>
  </si>
  <si>
    <t>Parameters'!DNARate</t>
  </si>
  <si>
    <t>Summary'!$E$30</t>
  </si>
  <si>
    <t>Calculations'!$L$40</t>
  </si>
  <si>
    <t>Demand'!WaitingList</t>
  </si>
  <si>
    <t>2.02dii</t>
  </si>
  <si>
    <t>Diagnostic</t>
  </si>
  <si>
    <t>Summary'!$E$34</t>
  </si>
  <si>
    <t>Summary'!$E$37</t>
  </si>
  <si>
    <t>Summary'!$E$38</t>
  </si>
  <si>
    <t>Summary'!E36</t>
  </si>
  <si>
    <t>Summary'!E27</t>
  </si>
  <si>
    <t>Calculations'!$L$35</t>
  </si>
  <si>
    <t>Demand'!ElectiveWaitingList</t>
  </si>
  <si>
    <t>Parameters'!ROTTRate</t>
  </si>
  <si>
    <t>Parameters'!ProportionUrgent</t>
  </si>
  <si>
    <t>Summary'!$A$7</t>
  </si>
  <si>
    <t>2.02hi</t>
  </si>
  <si>
    <t>Demand'!$S$7</t>
  </si>
  <si>
    <t>2.02biii</t>
  </si>
  <si>
    <t>Parameters'!DTAsPerWeek</t>
  </si>
  <si>
    <t>Summary'!$E$33</t>
  </si>
  <si>
    <t>Summary'!$E$25</t>
  </si>
  <si>
    <t>Calculations'!$K$35</t>
  </si>
  <si>
    <t>2.02fii</t>
  </si>
  <si>
    <t>Outpatient</t>
  </si>
  <si>
    <t>Summary'!E13</t>
  </si>
  <si>
    <t>Summary'!$E$28</t>
  </si>
  <si>
    <t>Calculations'!$M$42</t>
  </si>
  <si>
    <t>Flow</t>
  </si>
  <si>
    <t>Parameters'!$B$13/52</t>
  </si>
  <si>
    <t>Summary'!$H$9</t>
  </si>
  <si>
    <t>Summary'!$H$10</t>
  </si>
  <si>
    <t>Parameters'!ProportionFirstOPDNAs</t>
  </si>
  <si>
    <t>Parameters'!ProportionFirstOPDNAsDischarged</t>
  </si>
  <si>
    <t>Parameters'!ProportionFirstOPCancellations</t>
  </si>
  <si>
    <t>Parameters'!ProportionFirstOPCancellationsDischarged</t>
  </si>
  <si>
    <t>Summary'!$H$12</t>
  </si>
  <si>
    <t>First OP Calculations'!FirstOPMaxWaitingList</t>
  </si>
  <si>
    <t>Demand'!OPWLSize</t>
  </si>
  <si>
    <t>Parameters'!ProportionFirstOPROTT</t>
  </si>
  <si>
    <t>Parameters'!ProportionUrgentReferrals</t>
  </si>
  <si>
    <t>Parameters'!FirstToFollowUpRatio</t>
  </si>
  <si>
    <t>Summary'!$H$17</t>
  </si>
  <si>
    <t>Parameters'!ProportionFollowUpDNAs</t>
  </si>
  <si>
    <t>Parameters'!ProportionFollowUpDNAsDischarged</t>
  </si>
  <si>
    <t>Parameters'!ProportionFollowUpCancellations</t>
  </si>
  <si>
    <t>Parameters'!ProportionFollowUpCancellationsDischarged</t>
  </si>
  <si>
    <t>Summary'!$H$19</t>
  </si>
  <si>
    <t>Parameters'!ProportionFollowUpROTT</t>
  </si>
  <si>
    <t>Parameters'!FirstToAdmittedConversionRate</t>
  </si>
  <si>
    <t>Summary'!$O$8</t>
  </si>
  <si>
    <t>Parameters'!ProportionAdmittedCancellations</t>
  </si>
  <si>
    <t>Parameters'!ProportionAdmittedCancellationsRemoved</t>
  </si>
  <si>
    <t>Summary'!$O$10</t>
  </si>
  <si>
    <t>WL Calculations'!IPMaxWaitingList</t>
  </si>
  <si>
    <t>Parameters'!IPWLSize</t>
  </si>
  <si>
    <t>Parameters'!ProportionAdmittedROTT</t>
  </si>
  <si>
    <t>File 1:</t>
  </si>
  <si>
    <t>errorcheck:</t>
  </si>
  <si>
    <t>DNA / Cancellation behaviour is assumed to be consistent across urgent/routine - can be adjusted in future if required, by taking account of urgent/routine balance</t>
  </si>
  <si>
    <t>First</t>
  </si>
  <si>
    <t>FU</t>
  </si>
  <si>
    <t>IP</t>
  </si>
  <si>
    <t>Value</t>
  </si>
  <si>
    <t>Year estimate</t>
  </si>
  <si>
    <t>Lower bound</t>
  </si>
  <si>
    <t>Upper bound</t>
  </si>
  <si>
    <t>NASR %</t>
  </si>
  <si>
    <t>Available capacity</t>
  </si>
  <si>
    <t>Enable point adjustment?</t>
  </si>
  <si>
    <t>Point adjustment</t>
  </si>
  <si>
    <t>Excess WL</t>
  </si>
  <si>
    <t>Rebooking % (for NASL)</t>
  </si>
  <si>
    <t>Rebooking % (for NASR)</t>
  </si>
  <si>
    <t>Demand</t>
  </si>
  <si>
    <t>Non-activity adjustment</t>
  </si>
  <si>
    <t>Rebooking adjustment</t>
  </si>
  <si>
    <t>Expected Demand activity</t>
  </si>
  <si>
    <t>Capacity</t>
  </si>
  <si>
    <t>Expected Capacity activity</t>
  </si>
  <si>
    <t>WL driven activity</t>
  </si>
  <si>
    <t>Assumes DNA/Cancellation rates will be similar to normal functioning</t>
  </si>
  <si>
    <t>Expected WL Clearance activity</t>
  </si>
  <si>
    <t>Balance of demand and capacity</t>
  </si>
  <si>
    <t>% Flow</t>
  </si>
  <si>
    <t>File details</t>
  </si>
  <si>
    <t>File name</t>
  </si>
  <si>
    <t>Type</t>
  </si>
  <si>
    <t>Source</t>
  </si>
  <si>
    <t>Target</t>
  </si>
  <si>
    <t>File No.</t>
  </si>
  <si>
    <t>NASL Discharge % (of NASL%)</t>
  </si>
  <si>
    <t>NASR Discharge % (of NASR%)</t>
  </si>
  <si>
    <t>New + Follow Up</t>
  </si>
  <si>
    <t>New + FU + Inpatient</t>
  </si>
  <si>
    <t>New + Inpatient</t>
  </si>
  <si>
    <t>FU + Inpatient</t>
  </si>
  <si>
    <t>2.02dii + variants</t>
  </si>
  <si>
    <t>POD 1</t>
  </si>
  <si>
    <t>POD 2</t>
  </si>
  <si>
    <t>POD 3</t>
  </si>
  <si>
    <t>Type 1</t>
  </si>
  <si>
    <t>Type 2</t>
  </si>
  <si>
    <t>Type 3</t>
  </si>
  <si>
    <t>Pick 1</t>
  </si>
  <si>
    <t>Pick 2</t>
  </si>
  <si>
    <t>Pick 3</t>
  </si>
  <si>
    <t>Sets the list for display of source type selection in the dependency setup</t>
  </si>
  <si>
    <t>Max Number Types</t>
  </si>
  <si>
    <t>Total</t>
  </si>
  <si>
    <t>Summed expected activity (based on actual figures) outturn</t>
  </si>
  <si>
    <t>Lower</t>
  </si>
  <si>
    <t>Upper</t>
  </si>
  <si>
    <t>POD</t>
  </si>
  <si>
    <t>2nd</t>
  </si>
  <si>
    <t xml:space="preserve">3rd </t>
  </si>
  <si>
    <t>Select process for individual review:</t>
  </si>
  <si>
    <t>Available Capacity</t>
  </si>
  <si>
    <t>Follow up</t>
  </si>
  <si>
    <t>Risk status</t>
  </si>
  <si>
    <t>File level overview</t>
  </si>
  <si>
    <t>File / Process</t>
  </si>
  <si>
    <t>POD Type</t>
  </si>
  <si>
    <t>Process 1</t>
  </si>
  <si>
    <t>Process 2</t>
  </si>
  <si>
    <t>Process 3</t>
  </si>
  <si>
    <t>Status 1</t>
  </si>
  <si>
    <t>Status 2</t>
  </si>
  <si>
    <t>Status 3</t>
  </si>
  <si>
    <t>There is sufficient capacity to meet the lower bound of estimated variation of demand</t>
  </si>
  <si>
    <t>Capacity in all processes exceeds the upper bound of estimated variation of demand</t>
  </si>
  <si>
    <t>Key</t>
  </si>
  <si>
    <t>At least one part of the process does not have sufficent capacity to meet the lower bound of demand</t>
  </si>
  <si>
    <t>Meaning</t>
  </si>
  <si>
    <t>Expected effects</t>
  </si>
  <si>
    <t>Waiting list size for this process is likely to increase, as will patient wait times.</t>
  </si>
  <si>
    <t>Waiting list sizes should be stable; high urgency/variation services may need additional head room for safety.</t>
  </si>
  <si>
    <t>Waiting list sizes are likely to decrease; this may be appropriate for high urgency/variation services.</t>
  </si>
  <si>
    <t>Show/hide multi level processes:</t>
  </si>
  <si>
    <t>Show</t>
  </si>
  <si>
    <t>Hide</t>
  </si>
  <si>
    <t>Hide if you are not using multi stage processes.</t>
  </si>
  <si>
    <t>Note: All figures here are given as expected activity, and is therefore adjusted for ROTT, non-attendances (NASL &amp; NASR) etc.</t>
  </si>
  <si>
    <t>Activity adjustment</t>
  </si>
  <si>
    <t>B</t>
  </si>
  <si>
    <t>F</t>
  </si>
  <si>
    <t>J</t>
  </si>
  <si>
    <t>POD Pick</t>
  </si>
  <si>
    <t>Column Lookup</t>
  </si>
  <si>
    <t>Current</t>
  </si>
  <si>
    <t>Yearly total</t>
  </si>
  <si>
    <t>Patient adjustment (/wk)</t>
  </si>
  <si>
    <t>Select chart type:</t>
  </si>
  <si>
    <t>Menu options (misc)</t>
  </si>
  <si>
    <t>Waiting List status</t>
  </si>
  <si>
    <t>WL clearance activity</t>
  </si>
  <si>
    <t>Figures provided on a per week basis</t>
  </si>
  <si>
    <t>Enter source data files on this page</t>
  </si>
  <si>
    <t>Measured</t>
  </si>
  <si>
    <t xml:space="preserve"> </t>
  </si>
  <si>
    <t>Expected activity only</t>
  </si>
  <si>
    <t>Expected activity + backlog clearance</t>
  </si>
  <si>
    <t>Overall setup</t>
  </si>
  <si>
    <t>Selected process level</t>
  </si>
  <si>
    <t>Number of PODs</t>
  </si>
  <si>
    <t>Chart label</t>
  </si>
  <si>
    <t>Label setup</t>
  </si>
  <si>
    <t>WL Size</t>
  </si>
  <si>
    <t>Chart selection</t>
  </si>
  <si>
    <t>Data series to display:</t>
  </si>
  <si>
    <t>High complexity</t>
  </si>
  <si>
    <t>Data item</t>
  </si>
  <si>
    <t>Notes</t>
  </si>
  <si>
    <t>Mean demand - unadjusted</t>
  </si>
  <si>
    <t>Lower bound of required capacity</t>
  </si>
  <si>
    <t>Upper bound of required capacity</t>
  </si>
  <si>
    <t>Non attendances (slot lost - discharged) as % - denominator is NASL</t>
  </si>
  <si>
    <t>Non attendances (slot reused) as % - denominator is total bookings (ie. Demand - ROTT)</t>
  </si>
  <si>
    <t>Non attendances (slot lost) as % - denominator is total bookings (ie. Demand - ROTT)</t>
  </si>
  <si>
    <t>Non attendances (slot reused - discharged) as % - denominator is NASR</t>
  </si>
  <si>
    <t>Rebookings following non-attendance (slot lost) as % - denominator is NASL (value can also be considered as 1 - NASL Discharge %)</t>
  </si>
  <si>
    <t>Total available capacity (ad hoc + core)</t>
  </si>
  <si>
    <t>Maximum sustainable waiting list size</t>
  </si>
  <si>
    <t>Stated current WL size</t>
  </si>
  <si>
    <t>ROTT as % - denominator is Demand</t>
  </si>
  <si>
    <t>% urgent (optional)</t>
  </si>
  <si>
    <t>1 if units are not in patients, 0 if in patients</t>
  </si>
  <si>
    <t>Adjust to relevant unit conversion. If multiple modalities, use aggregate value.</t>
  </si>
  <si>
    <t>File 2:</t>
  </si>
  <si>
    <t>File 3:</t>
  </si>
  <si>
    <t>File 4:</t>
  </si>
  <si>
    <t>File 5:</t>
  </si>
  <si>
    <t>File 6:</t>
  </si>
  <si>
    <t>File 7:</t>
  </si>
  <si>
    <t>File 8:</t>
  </si>
  <si>
    <t>File 9:</t>
  </si>
  <si>
    <t>File 10:</t>
  </si>
  <si>
    <t>File 11:</t>
  </si>
  <si>
    <t>File 12:</t>
  </si>
  <si>
    <t>File 13:</t>
  </si>
  <si>
    <t>File 14:</t>
  </si>
  <si>
    <t>File 15:</t>
  </si>
  <si>
    <t>File 16:</t>
  </si>
  <si>
    <t>File 17:</t>
  </si>
  <si>
    <t>File 18:</t>
  </si>
  <si>
    <t>File 19:</t>
  </si>
  <si>
    <t>File 20:</t>
  </si>
  <si>
    <t>Per POD basis</t>
  </si>
  <si>
    <t>ROTT%</t>
  </si>
  <si>
    <t>Sense check</t>
  </si>
  <si>
    <t>For component level chart and table</t>
  </si>
  <si>
    <t>Chart title</t>
  </si>
  <si>
    <t>Chart option</t>
  </si>
  <si>
    <t>Demand (measured)</t>
  </si>
  <si>
    <t>Your calculated demand is within 5% of your measured demand</t>
  </si>
  <si>
    <t>Your calculated demand differs from your measured demand - please check your flow measurements</t>
  </si>
  <si>
    <t>* Note</t>
  </si>
  <si>
    <t>WL Clearance (Flow)</t>
  </si>
  <si>
    <t>No. Picks</t>
  </si>
  <si>
    <t>File no.</t>
  </si>
  <si>
    <t>Required capacity</t>
  </si>
  <si>
    <t>The following are required data items to complete the back end sheets. Use this to help define your outputs.</t>
  </si>
  <si>
    <t>WL size (calc)</t>
  </si>
  <si>
    <t>WL size (actual)</t>
  </si>
  <si>
    <t>Label1</t>
  </si>
  <si>
    <t>Label2</t>
  </si>
  <si>
    <t>WL lower</t>
  </si>
  <si>
    <t>WL Upper</t>
  </si>
  <si>
    <t>WL Upper (Chart)</t>
  </si>
  <si>
    <t>Overall, by process and POD</t>
  </si>
  <si>
    <t>Estimated activity</t>
  </si>
  <si>
    <t>Aggregate by:</t>
  </si>
  <si>
    <t>Process</t>
  </si>
  <si>
    <t>Date</t>
  </si>
  <si>
    <t>Author</t>
  </si>
  <si>
    <t>Changes</t>
  </si>
  <si>
    <t>Sai Khunpha</t>
  </si>
  <si>
    <t>Sense check now separated from Aggregate activity chart.
Aggregate activity allows user to view expected activity resulting from demand, capacity and backlog clearance (incl. flow) by process as well as POD</t>
  </si>
  <si>
    <t>NHS Demand and Capacity Programme: Aggregation module</t>
  </si>
  <si>
    <t>1.0</t>
  </si>
  <si>
    <t>Version control page now visible to users to help with change history tracking.</t>
  </si>
  <si>
    <t>Export (hide)'!C4</t>
  </si>
  <si>
    <t>Export (hide)'!C5</t>
  </si>
  <si>
    <t>Export (hide)'!C6</t>
  </si>
  <si>
    <t>Export (hide)'!C7</t>
  </si>
  <si>
    <t>Export (hide)'!C8</t>
  </si>
  <si>
    <t>Export (hide)'!C11</t>
  </si>
  <si>
    <t>Export (hide)'!C12</t>
  </si>
  <si>
    <t>Export (hide)'!C16</t>
  </si>
  <si>
    <t>Export (hide)'!C17</t>
  </si>
  <si>
    <t>Export (hide)'!C18</t>
  </si>
  <si>
    <t>1.1</t>
  </si>
  <si>
    <t>Major fixes:
- Correction to Core and High Complexity model imports - errors in loading due to coding bug.
- Correction to display of DC Balance chart: previously added upper and lower bound values together to obtain range, now correctly uses the difference.
Minor fixes: 
Titles for sheets corrected [previously adding 'Service' spuriously to end of title or was static]
Visual bugs in Aggregate activity sheet corrected - adjusting number of process elements will no longer result in both POD and process overview tables being visible. Process table view is now streamlined to show only rows where PODs have been selected.</t>
  </si>
  <si>
    <t>Aggregation Module (hide)'!B2</t>
  </si>
  <si>
    <t>Aggregation Module (hide)'!B3</t>
  </si>
  <si>
    <t>Aggregation Module (hide)'!B4</t>
  </si>
  <si>
    <t>Aggregation Module (hide)'!B5</t>
  </si>
  <si>
    <t>Aggregation Module (hide)'!B6</t>
  </si>
  <si>
    <t>Aggregation Module (hide)'!B7</t>
  </si>
  <si>
    <t>Aggregation Module (hide)'!B8</t>
  </si>
  <si>
    <t>Aggregation Module (hide)'!B9</t>
  </si>
  <si>
    <t>Aggregation Module (hide)'!B10</t>
  </si>
  <si>
    <t>Aggregation Module (hide)'!B11</t>
  </si>
  <si>
    <t>Aggregation Module (hide)'!B12</t>
  </si>
  <si>
    <t>Aggregation Module (hide)'!B13</t>
  </si>
  <si>
    <t>Aggregation Module (hide)'!B14</t>
  </si>
  <si>
    <t>Aggregation Module (hide)'!B15</t>
  </si>
  <si>
    <t>Aggregation Module (hide)'!B16</t>
  </si>
  <si>
    <t>Time breakdown</t>
  </si>
  <si>
    <t>1 or 0: 1 = Yes, include weekly figures below:</t>
  </si>
  <si>
    <t>Start date:</t>
  </si>
  <si>
    <t>Week</t>
  </si>
  <si>
    <t>To be used to pick appropriate summary parameter values for activity calculation, from initial upload sheet (eg. File 1)</t>
  </si>
  <si>
    <t>Col 1</t>
  </si>
  <si>
    <t>Col 2</t>
  </si>
  <si>
    <t>Col 3</t>
  </si>
  <si>
    <t>Expected</t>
  </si>
  <si>
    <t>[include check for start date consistency with other parts of the service]</t>
  </si>
  <si>
    <t>Week number</t>
  </si>
  <si>
    <t>File Number</t>
  </si>
  <si>
    <t>File Type</t>
  </si>
  <si>
    <t>Flow + Conversion</t>
  </si>
  <si>
    <t>WL Clearance</t>
  </si>
  <si>
    <t>File</t>
  </si>
  <si>
    <t>Expected additions</t>
  </si>
  <si>
    <t>WL transfer</t>
  </si>
  <si>
    <t>Year</t>
  </si>
  <si>
    <t>Easter</t>
  </si>
  <si>
    <t>Note: Formula for calculation of Easter taken from the following: https://www.contextures.com/exceleastercalculation.html</t>
  </si>
  <si>
    <t>This is accurate to 2078</t>
  </si>
  <si>
    <t>Date (Easter Sunday)</t>
  </si>
  <si>
    <t>Good Friday</t>
  </si>
  <si>
    <t>Easter Monday</t>
  </si>
  <si>
    <t>New Years</t>
  </si>
  <si>
    <t>Christmas (day 1)</t>
  </si>
  <si>
    <t>Christmas (day 2)</t>
  </si>
  <si>
    <t>August</t>
  </si>
  <si>
    <t>May (First)</t>
  </si>
  <si>
    <t>May (Last)</t>
  </si>
  <si>
    <t>Reference dates for bank holidays</t>
  </si>
  <si>
    <t>Lookup list</t>
  </si>
  <si>
    <t>[reference date entered here]</t>
  </si>
  <si>
    <t>Year Type</t>
  </si>
  <si>
    <t>Starting</t>
  </si>
  <si>
    <t>Day type</t>
  </si>
  <si>
    <t>offset [for matching dates]</t>
  </si>
  <si>
    <t>FY checks</t>
  </si>
  <si>
    <t>Use check</t>
  </si>
  <si>
    <t>Weeknum</t>
  </si>
  <si>
    <t>Week commencing (Mon)</t>
  </si>
  <si>
    <t>Week setup</t>
  </si>
  <si>
    <t>Week starting</t>
  </si>
  <si>
    <t>Working days</t>
  </si>
  <si>
    <t>Month setup</t>
  </si>
  <si>
    <t>Month</t>
  </si>
  <si>
    <t>Lower (1)</t>
  </si>
  <si>
    <t>Lower (2)</t>
  </si>
  <si>
    <t>Lower (3)</t>
  </si>
  <si>
    <t>Upper (1)</t>
  </si>
  <si>
    <t>Upper (2)</t>
  </si>
  <si>
    <t>Upper (3)</t>
  </si>
  <si>
    <t>Week starting (Mon)</t>
  </si>
  <si>
    <t>Baseline working week</t>
  </si>
  <si>
    <t>Cap 1</t>
  </si>
  <si>
    <t>Cap 2</t>
  </si>
  <si>
    <t>Cap 3</t>
  </si>
  <si>
    <t>Total working days</t>
  </si>
  <si>
    <t>% of total working days</t>
  </si>
  <si>
    <t>Date adjustment</t>
  </si>
  <si>
    <t>Reference values (Core and HCM only)</t>
  </si>
  <si>
    <t>Mean</t>
  </si>
  <si>
    <t>Required</t>
  </si>
  <si>
    <t>WL</t>
  </si>
  <si>
    <t>WL Clear</t>
  </si>
  <si>
    <t>Final outputs</t>
  </si>
  <si>
    <t>Patient adjustment</t>
  </si>
  <si>
    <t>Lower bound (/wk)</t>
  </si>
  <si>
    <t>Upper bound (/wk)</t>
  </si>
  <si>
    <t>Proportion of total working days (assuming even spread between weeks)</t>
  </si>
  <si>
    <t>Available capacity (to activity)</t>
  </si>
  <si>
    <t>Reference week start</t>
  </si>
  <si>
    <t>Wk index</t>
  </si>
  <si>
    <t>[convert this to isoweek standard]</t>
  </si>
  <si>
    <t>[units = as per user selection on main setup]</t>
  </si>
  <si>
    <t>Emergency carve out</t>
  </si>
  <si>
    <t>[units = dynamic, based on user selection on summary pg]</t>
  </si>
  <si>
    <t>Planned carve out</t>
  </si>
  <si>
    <t>Ad hoc</t>
  </si>
  <si>
    <t>Adjusted available capacity</t>
  </si>
  <si>
    <t>Carve out</t>
  </si>
  <si>
    <t>Parameters calculator (hide)'!B43</t>
  </si>
  <si>
    <t>1.1c</t>
  </si>
  <si>
    <t>Major patch:
Model can now adjust inputs and allocate by month, including proportioning based on number of working days in month, taking account of all recurring bank holidays.
Will also load per-week data if available (ie. from Core and High Complexity models), and calculate expected activity accordingly.</t>
  </si>
  <si>
    <t>Parameters calculator (hide)'!B44</t>
  </si>
  <si>
    <t/>
  </si>
  <si>
    <t>Waiting list</t>
  </si>
  <si>
    <t>Comparison figures for DC balance (lower to upper boundary) vs capacity, by week of year. Includes a time based view on an overall / process level</t>
  </si>
  <si>
    <t>Week:</t>
  </si>
  <si>
    <t>Year average / week toggle:</t>
  </si>
  <si>
    <t>Time based view</t>
  </si>
  <si>
    <t>Max X-Axis</t>
  </si>
  <si>
    <t>Max values</t>
  </si>
  <si>
    <t>Show by:</t>
  </si>
  <si>
    <t>Demand based activity</t>
  </si>
  <si>
    <t>Selected POD</t>
  </si>
  <si>
    <t>POD:</t>
  </si>
  <si>
    <t>Capacity de-adjustment:</t>
  </si>
  <si>
    <t>Group by:</t>
  </si>
  <si>
    <t>Summation of target columns</t>
  </si>
  <si>
    <t>Process:</t>
  </si>
  <si>
    <t>Year total</t>
  </si>
  <si>
    <t>Week summary</t>
  </si>
  <si>
    <t>Time slice</t>
  </si>
  <si>
    <t>Aggregate activity, by process</t>
  </si>
  <si>
    <t>Aggregation switches:</t>
  </si>
  <si>
    <t>Process/POD switch</t>
  </si>
  <si>
    <t>Week selection</t>
  </si>
  <si>
    <t>Offset lookup</t>
  </si>
  <si>
    <t>Scroll bar max value</t>
  </si>
  <si>
    <t>By POD/Process</t>
  </si>
  <si>
    <t>Process - offset</t>
  </si>
  <si>
    <t>POD (user selected)</t>
  </si>
  <si>
    <t>Weekly</t>
  </si>
  <si>
    <t>Monthly</t>
  </si>
  <si>
    <t>Yearly</t>
  </si>
  <si>
    <t>Small division</t>
  </si>
  <si>
    <t>Max axis value</t>
  </si>
  <si>
    <t>NASR (DC)</t>
  </si>
  <si>
    <t>NASL (DC)</t>
  </si>
  <si>
    <t>Parameter type</t>
  </si>
  <si>
    <t>Data series</t>
  </si>
  <si>
    <t>[0 for all, otherwise use value as row group offset]</t>
  </si>
  <si>
    <t xml:space="preserve">Type of parameter </t>
  </si>
  <si>
    <t>Carveout</t>
  </si>
  <si>
    <t>Summary'!AdHocMeanSlots</t>
  </si>
  <si>
    <t>Summary'!E26</t>
  </si>
  <si>
    <t>Summary'!E28</t>
  </si>
  <si>
    <t>Summary'!AdditionalMeanAdmissions</t>
  </si>
  <si>
    <t>Summary'!AdHocSlotsPerWeek</t>
  </si>
  <si>
    <t>Summary'!H14</t>
  </si>
  <si>
    <t>Summary'!H21</t>
  </si>
  <si>
    <t>ad hoc capacity</t>
  </si>
  <si>
    <t>Total capacity</t>
  </si>
  <si>
    <t>Ad hoc capacity (to activity)</t>
  </si>
  <si>
    <t>Total Capacity (including carve out)</t>
  </si>
  <si>
    <t>Ad hoc capacity</t>
  </si>
  <si>
    <t>Parameters Calculator (hide)'!H66</t>
  </si>
  <si>
    <t>Parameters Calculator (hide)'!H67</t>
  </si>
  <si>
    <t>File loaded</t>
  </si>
  <si>
    <t>Summary'!B8</t>
  </si>
  <si>
    <t>Summary'!$O$12</t>
  </si>
  <si>
    <t>Parameter value</t>
  </si>
  <si>
    <t>Values for parameter (table)</t>
  </si>
  <si>
    <t>Max value</t>
  </si>
  <si>
    <t>Appts per pt</t>
  </si>
  <si>
    <t>1st</t>
  </si>
  <si>
    <t>3rd</t>
  </si>
  <si>
    <t>NASRDC_Overall</t>
  </si>
  <si>
    <t>WL_Ideal</t>
  </si>
  <si>
    <t>WL_Current</t>
  </si>
  <si>
    <t>_FU</t>
  </si>
  <si>
    <t>_IP</t>
  </si>
  <si>
    <t>--</t>
  </si>
  <si>
    <t>NASLDC</t>
  </si>
  <si>
    <t>Max values (Demand)</t>
  </si>
  <si>
    <t>Activity</t>
  </si>
  <si>
    <t>Month summary</t>
  </si>
  <si>
    <t>Month selection</t>
  </si>
  <si>
    <t>Max Value</t>
  </si>
  <si>
    <t>Sum</t>
  </si>
  <si>
    <t>POD Select</t>
  </si>
  <si>
    <t>Summary'!D33</t>
  </si>
  <si>
    <t>Total Available capacity (to activity)</t>
  </si>
  <si>
    <t>Core capacity (to activity)</t>
  </si>
  <si>
    <t>Values for core capacity</t>
  </si>
  <si>
    <t>Capacity (Total available)</t>
  </si>
  <si>
    <t>Capacity (core)</t>
  </si>
  <si>
    <t>Capacity (available)</t>
  </si>
  <si>
    <t>Capacity (Core)</t>
  </si>
  <si>
    <t>Core capacity</t>
  </si>
  <si>
    <t>Capacity Core</t>
  </si>
  <si>
    <t>2miii</t>
  </si>
  <si>
    <t xml:space="preserve">Major changes: Differentiation of Core vs. Total available capacity - now visible on all sheets. Per-week data now available for DC balance, and per-week/per-month summaries also generated for activity. </t>
  </si>
  <si>
    <t>Overall</t>
  </si>
  <si>
    <t>Diagnostic (New)</t>
  </si>
  <si>
    <t>Admission (elective daycase)</t>
  </si>
  <si>
    <t>Select process you would like to view:</t>
  </si>
  <si>
    <t>Recurrent</t>
  </si>
  <si>
    <t>Full breakdown of expected activity, by process</t>
  </si>
  <si>
    <t>Non-attendance, Slot lost</t>
  </si>
  <si>
    <t>% NASL subsequently discharged</t>
  </si>
  <si>
    <t>% Cancellation, subsequent discharge</t>
  </si>
  <si>
    <t>% ROTT</t>
  </si>
  <si>
    <t>Demand by POD, by month (for aggregation table)</t>
  </si>
  <si>
    <t>2mv</t>
  </si>
  <si>
    <t>Partial alpha release - limited aggregation functionality restored, choice selection restrictions to be implemented, likewise for aggregation flow calculations.
While this is finalised, dependency sheet is temporarily hidden, as it is currently not functional.</t>
  </si>
  <si>
    <t>Line chart (for year)</t>
  </si>
  <si>
    <t>Show as:</t>
  </si>
  <si>
    <t>Group by select</t>
  </si>
  <si>
    <t>Dependency tables</t>
  </si>
  <si>
    <t>translated to match against file number</t>
  </si>
  <si>
    <t>Source type</t>
  </si>
  <si>
    <t>Conversion (overall)</t>
  </si>
  <si>
    <t>Max dependencies:</t>
  </si>
  <si>
    <t>Current waiting list size:</t>
  </si>
  <si>
    <t>Sustainable waiting list size:</t>
  </si>
  <si>
    <t>Clearance capacity (patients)</t>
  </si>
  <si>
    <t>Sources used</t>
  </si>
  <si>
    <t>Targets used</t>
  </si>
  <si>
    <t xml:space="preserve">    </t>
  </si>
  <si>
    <t>Start</t>
  </si>
  <si>
    <t>End</t>
  </si>
  <si>
    <t>Attendance type</t>
  </si>
  <si>
    <t>Timeframe (wks)</t>
  </si>
  <si>
    <t>Week commencing:</t>
  </si>
  <si>
    <t>WL Clearance capacity</t>
  </si>
  <si>
    <t>Difference</t>
  </si>
  <si>
    <t>Source1</t>
  </si>
  <si>
    <t>Target1</t>
  </si>
  <si>
    <t>Temp columns: for in-sheet processing</t>
  </si>
  <si>
    <t>Timeframe</t>
  </si>
  <si>
    <t>start</t>
  </si>
  <si>
    <t>end</t>
  </si>
  <si>
    <t>Target period</t>
  </si>
  <si>
    <t>validitycheck</t>
  </si>
  <si>
    <t>POD type:</t>
  </si>
  <si>
    <t>Type:</t>
  </si>
  <si>
    <t>No. PODs</t>
  </si>
  <si>
    <t>file check</t>
  </si>
  <si>
    <t>Type check</t>
  </si>
  <si>
    <t>Waiting list (Basic clearance)</t>
  </si>
  <si>
    <t>Waiting list (Basic)</t>
  </si>
  <si>
    <t>Waiting list (Flow)</t>
  </si>
  <si>
    <t>WL Basic</t>
  </si>
  <si>
    <t>WL Flow</t>
  </si>
  <si>
    <t>Waiting list (Flow clearance)</t>
  </si>
  <si>
    <t>WL Flow clearance</t>
  </si>
  <si>
    <t>Bar chart (week)</t>
  </si>
  <si>
    <t>Bar chart (month)</t>
  </si>
  <si>
    <t>WL Clearance (Initial clearance)</t>
  </si>
  <si>
    <t>Total clearance (to upper bound):</t>
  </si>
  <si>
    <t>Ideal_size</t>
  </si>
  <si>
    <t>Cleared:</t>
  </si>
  <si>
    <t>Remaining:</t>
  </si>
  <si>
    <t>Calculated</t>
  </si>
  <si>
    <t>[for chart]</t>
  </si>
  <si>
    <t>Line chart (by week)</t>
  </si>
  <si>
    <t>Line chart (by month)</t>
  </si>
  <si>
    <t>Bar chart (year)</t>
  </si>
  <si>
    <t>Line chart selected</t>
  </si>
  <si>
    <t>Control switches for selecting aggregated values over time:</t>
  </si>
  <si>
    <t>Sense check: Rebuilding dependencies to cross check against actual demand</t>
  </si>
  <si>
    <t>Aggregate summary controls:</t>
  </si>
  <si>
    <t>Aggregate activity chart options:</t>
  </si>
  <si>
    <t>None</t>
  </si>
  <si>
    <t>WL: Initial clearance only</t>
  </si>
  <si>
    <t>WL: Clearance + flow</t>
  </si>
  <si>
    <t>Non-recurrent</t>
  </si>
  <si>
    <t>Dependency: For checking changes</t>
  </si>
  <si>
    <t>Non-recurrent, by month</t>
  </si>
  <si>
    <t>2mx</t>
  </si>
  <si>
    <t>Major changes: Flow calculations completed, WL clearances can now be entered on a per-week basis and effects seen in aggregate activity charts. Interface updated for better user experience. Addition of aggregate summary tables.</t>
  </si>
  <si>
    <t>Note: This is done on a per-year basis</t>
  </si>
  <si>
    <t>Type source</t>
  </si>
  <si>
    <t>Source name</t>
  </si>
  <si>
    <t>Transfer value</t>
  </si>
  <si>
    <t>Conversion</t>
  </si>
  <si>
    <t>First to FU/IP ratio</t>
  </si>
  <si>
    <t>First:FU conversion</t>
  </si>
  <si>
    <t>First:IP conversion</t>
  </si>
  <si>
    <t>Target type</t>
  </si>
  <si>
    <t>Calculated transfer</t>
  </si>
  <si>
    <t>Actual</t>
  </si>
  <si>
    <t>Adjustments (Flow models, or non-dependent processes)</t>
  </si>
  <si>
    <t>Final (avg)</t>
  </si>
  <si>
    <t>Select the year you want to plan:</t>
  </si>
  <si>
    <t>Conversions</t>
  </si>
  <si>
    <t xml:space="preserve">You will be planning for: </t>
  </si>
  <si>
    <t>Differentiate diagnostic activity in POD?*</t>
  </si>
  <si>
    <t>Models completed</t>
  </si>
  <si>
    <t>Pathway mapped</t>
  </si>
  <si>
    <t>Dependencies understood</t>
  </si>
  <si>
    <t>DC Balance checked</t>
  </si>
  <si>
    <t>Parameters checked</t>
  </si>
  <si>
    <t>WL clearance completed</t>
  </si>
  <si>
    <t>For annual planning purposes:</t>
  </si>
  <si>
    <t>What does this workbook do?</t>
  </si>
  <si>
    <t>This tool allows you to upload up to 20 demand and capacity models, and carry out the following tasks:</t>
  </si>
  <si>
    <t>Link together the parts of the pathway you have modelled, and factor conversion rates from one process to another</t>
  </si>
  <si>
    <t>Look at key metrics for demand and capacity analysis, either individually, or comparing across all models, and use these figures to inform how you manage your service</t>
  </si>
  <si>
    <t>Estimate the activity for your service pathway, either for specific parts of your service, or at a whole service level, and use this for annual planning</t>
  </si>
  <si>
    <t>NASR (discharged)</t>
  </si>
  <si>
    <t>NASL (discharged)</t>
  </si>
  <si>
    <t>DC Balance</t>
  </si>
  <si>
    <t>For staff involved in operational management of services</t>
  </si>
  <si>
    <t>Data files</t>
  </si>
  <si>
    <t>Upload your files here</t>
  </si>
  <si>
    <t>Dependency setup</t>
  </si>
  <si>
    <t>Link your models together, and specify the conversion rates between them</t>
  </si>
  <si>
    <t>Visualise the balance of required capacity vs. available capacity, either for each individual model, or compare them all side by side.</t>
  </si>
  <si>
    <t>Non-attendance rates - Visualise these individually, or across all uploaded models. Select between the following:</t>
  </si>
  <si>
    <t>Parameter check</t>
  </si>
  <si>
    <t>WL Balance</t>
  </si>
  <si>
    <t>Visualise the current waiting list against the calculated sustainable waiting list size, either for each model, or compare them side by side.</t>
  </si>
  <si>
    <t>2mxiii</t>
  </si>
  <si>
    <t>Misc. minor bug fixes from 2mx
* Transposition of Aggregate activity tables following discussion within team.
* Addition of start date selection in Data files, to ensure consistency of starting point in charts, and for axis labelling</t>
  </si>
  <si>
    <t>Start date value</t>
  </si>
  <si>
    <t>Planning for:</t>
  </si>
  <si>
    <t>Diagnostic 
(New)</t>
  </si>
  <si>
    <t>Diagnostic 
(Follow up)</t>
  </si>
  <si>
    <t>Mean value</t>
  </si>
  <si>
    <t>Click here to  view key demand and capacity metrics:</t>
  </si>
  <si>
    <t>For staff involved in activity planning</t>
  </si>
  <si>
    <t>Use the list below to check you have completed the main steps needed to use this model:</t>
  </si>
  <si>
    <t>Check that your estimates for pathway flow are consistent with data from your process models</t>
  </si>
  <si>
    <t>Aggregate activity</t>
  </si>
  <si>
    <t>Aggregate summary</t>
  </si>
  <si>
    <t>Update your waiting list clearances for each process here</t>
  </si>
  <si>
    <t>Explore your expected activity (based on estimated demand) here</t>
  </si>
  <si>
    <t>Summary tables of your expected activity - you can use this to populate your plans</t>
  </si>
  <si>
    <t>Sense check completed</t>
  </si>
  <si>
    <t>Done?</t>
  </si>
  <si>
    <t>Step</t>
  </si>
  <si>
    <t>Status check</t>
  </si>
  <si>
    <t>Please select a date-axis scale:</t>
  </si>
  <si>
    <t>Core / HCM check</t>
  </si>
  <si>
    <t>Avg</t>
  </si>
  <si>
    <t>Weekly breakdown</t>
  </si>
  <si>
    <t>Bar chart label</t>
  </si>
  <si>
    <t>Line chart label</t>
  </si>
  <si>
    <t>2mxvii</t>
  </si>
  <si>
    <t>* bug fixes - aggregate activity options are now all fully functional, including dynamic chart titles.
* Aggregate summary table layout has been changed: all tables now show dates across the top, for consistency.</t>
  </si>
  <si>
    <t>Include downstream effects of waiting list clearances in non-recurrent figures?:</t>
  </si>
  <si>
    <t>Calendar year</t>
  </si>
  <si>
    <t>Planning starting date: 31/12/2018</t>
  </si>
  <si>
    <t>Show all sheets</t>
  </si>
  <si>
    <t>Include non-recurrent activity?</t>
  </si>
  <si>
    <t>Waiting list clearances (without downstream effects)</t>
  </si>
  <si>
    <t>Downstream effect of waiting list clearances</t>
  </si>
  <si>
    <t>mxviii</t>
  </si>
  <si>
    <t>Final bug fixes and wording changes</t>
  </si>
  <si>
    <t>test service</t>
  </si>
  <si>
    <t>1. test service</t>
  </si>
  <si>
    <t>Test service</t>
  </si>
  <si>
    <t>Test Trust</t>
  </si>
  <si>
    <t>\\testdirectory</t>
  </si>
  <si>
    <t>Test file.xlsm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</si>
</sst>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3" formatCode="_-* #,##0.00_-;\-* #,##0.00_-;_-* &quot;-&quot;??_-;_-@_-"/>
    <numFmt numFmtId="164" formatCode="#,##0.0"/>
    <numFmt numFmtId="165" formatCode="0.0"/>
    <numFmt numFmtId="166" formatCode="0.000"/>
    <numFmt numFmtId="167" formatCode="0.0000"/>
    <numFmt numFmtId="168" formatCode="0.00000"/>
    <numFmt numFmtId="169" formatCode="0.0%"/>
    <numFmt numFmtId="170" formatCode="mmm\ yyyy"/>
    <numFmt numFmtId="171" formatCode="mmm"/>
    <numFmt numFmtId="172" formatCode="_-* #,##0_-;\-* #,##0_-;_-* &quot;-&quot;??_-;_-@_-"/>
  </numFmts>
  <fonts count="25" x14ac:knownFonts="1">
    <font>
      <sz val="11"/>
      <color theme="1"/>
      <name val="Arial"/>
      <family val="2"/>
    </font>
    <font>
      <sz val="11"/>
      <color theme="1"/>
      <name val="Calibri"/>
      <family val="2"/>
      <scheme val="minor"/>
    </font>
    <font>
      <b/>
      <sz val="11"/>
      <color theme="1"/>
      <name val="Arial"/>
      <family val="2"/>
    </font>
    <font>
      <i/>
      <sz val="11"/>
      <color theme="1"/>
      <name val="Arial"/>
      <family val="2"/>
    </font>
    <font>
      <sz val="10"/>
      <color theme="1"/>
      <name val="Arial"/>
      <family val="2"/>
    </font>
    <font>
      <b/>
      <sz val="10"/>
      <color theme="1"/>
      <name val="Arial"/>
      <family val="2"/>
    </font>
    <font>
      <sz val="11"/>
      <color theme="9"/>
      <name val="Arial"/>
      <family val="2"/>
    </font>
    <font>
      <sz val="11"/>
      <color theme="4" tint="0.39997558519241921"/>
      <name val="Arial"/>
      <family val="2"/>
    </font>
    <font>
      <sz val="11"/>
      <color theme="7" tint="0.59999389629810485"/>
      <name val="Arial"/>
      <family val="2"/>
    </font>
    <font>
      <sz val="11"/>
      <color rgb="FF000000"/>
      <name val="Arial"/>
      <family val="2"/>
    </font>
    <font>
      <sz val="8"/>
      <color theme="1"/>
      <name val="Arial"/>
      <family val="2"/>
    </font>
    <font>
      <b/>
      <sz val="11"/>
      <color theme="1"/>
      <name val="Calibri"/>
      <family val="2"/>
      <scheme val="minor"/>
    </font>
    <font>
      <sz val="11"/>
      <color theme="1"/>
      <name val="Arial"/>
      <family val="2"/>
    </font>
    <font>
      <b/>
      <sz val="9"/>
      <color indexed="81"/>
      <name val="Tahoma"/>
      <family val="2"/>
    </font>
    <font>
      <sz val="9"/>
      <color indexed="81"/>
      <name val="Tahoma"/>
      <family val="2"/>
    </font>
    <font>
      <sz val="11"/>
      <color theme="0" tint="-0.499984740745262"/>
      <name val="Arial"/>
      <family val="2"/>
    </font>
    <font>
      <sz val="11"/>
      <color theme="0"/>
      <name val="Arial"/>
      <family val="2"/>
    </font>
    <font>
      <sz val="10"/>
      <color theme="0"/>
      <name val="Arial"/>
      <family val="2"/>
    </font>
    <font>
      <b/>
      <sz val="10"/>
      <color theme="0"/>
      <name val="Arial"/>
      <family val="2"/>
    </font>
    <font>
      <i/>
      <sz val="9"/>
      <color theme="1"/>
      <name val="Arial"/>
      <family val="2"/>
    </font>
    <font>
      <i/>
      <sz val="9"/>
      <color indexed="81"/>
      <name val="Tahoma"/>
      <family val="2"/>
    </font>
    <font>
      <sz val="11"/>
      <color theme="1" tint="0.34998626667073579"/>
      <name val="Arial"/>
      <family val="2"/>
    </font>
    <font>
      <b/>
      <sz val="11"/>
      <color theme="1" tint="0.34998626667073579"/>
      <name val="Arial"/>
      <family val="2"/>
    </font>
    <font>
      <u/>
      <sz val="11"/>
      <color theme="10"/>
      <name val="Arial"/>
      <family val="2"/>
    </font>
    <font>
      <sz val="9"/>
      <color theme="1"/>
      <name val="Arial"/>
      <family val="2"/>
    </font>
  </fonts>
  <fills count="26">
    <fill>
      <patternFill patternType="none"/>
    </fill>
    <fill>
      <patternFill patternType="gray125"/>
    </fill>
    <fill>
      <patternFill patternType="solid">
        <fgColor theme="4"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6"/>
        <bgColor indexed="64"/>
      </patternFill>
    </fill>
    <fill>
      <patternFill patternType="solid">
        <fgColor theme="3" tint="0.59999389629810485"/>
        <bgColor indexed="64"/>
      </patternFill>
    </fill>
    <fill>
      <patternFill patternType="solid">
        <fgColor theme="7" tint="0.59999389629810485"/>
        <bgColor indexed="64"/>
      </patternFill>
    </fill>
    <fill>
      <patternFill patternType="solid">
        <fgColor theme="9"/>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rgb="FF92D050"/>
        <bgColor indexed="64"/>
      </patternFill>
    </fill>
    <fill>
      <patternFill patternType="solid">
        <fgColor theme="9" tint="0.39997558519241921"/>
        <bgColor indexed="64"/>
      </patternFill>
    </fill>
    <fill>
      <patternFill patternType="solid">
        <fgColor rgb="FFFFFF00"/>
        <bgColor indexed="64"/>
      </patternFill>
    </fill>
    <fill>
      <patternFill patternType="solid">
        <fgColor theme="6" tint="0.79998168889431442"/>
        <bgColor indexed="64"/>
      </patternFill>
    </fill>
    <fill>
      <patternFill patternType="solid">
        <fgColor theme="0" tint="-0.14999847407452621"/>
        <bgColor indexed="64"/>
      </patternFill>
    </fill>
    <fill>
      <patternFill patternType="solid">
        <fgColor rgb="FFB1A0C7"/>
        <bgColor indexed="64"/>
      </patternFill>
    </fill>
    <fill>
      <patternFill patternType="solid">
        <fgColor theme="0"/>
        <bgColor indexed="64"/>
      </patternFill>
    </fill>
    <fill>
      <patternFill patternType="solid">
        <fgColor theme="3" tint="0.79998168889431442"/>
        <bgColor indexed="64"/>
      </patternFill>
    </fill>
    <fill>
      <patternFill patternType="solid">
        <fgColor theme="8"/>
        <bgColor indexed="64"/>
      </patternFill>
    </fill>
  </fills>
  <borders count="56">
    <border>
      <left/>
      <right/>
      <top/>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style="thin">
        <color indexed="64"/>
      </right>
      <top style="thin">
        <color indexed="64"/>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thin">
        <color theme="0" tint="-0.34998626667073579"/>
      </right>
      <top/>
      <bottom style="thin">
        <color theme="0" tint="-0.34998626667073579"/>
      </bottom>
      <diagonal/>
    </border>
    <border>
      <left style="thin">
        <color theme="1" tint="0.34998626667073579"/>
      </left>
      <right/>
      <top style="thin">
        <color theme="1" tint="0.34998626667073579"/>
      </top>
      <bottom style="thin">
        <color theme="1"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1" tint="0.14996795556505021"/>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style="thin">
        <color indexed="64"/>
      </left>
      <right style="thin">
        <color indexed="64"/>
      </right>
      <top style="thin">
        <color indexed="64"/>
      </top>
      <bottom/>
      <diagonal/>
    </border>
    <border>
      <left/>
      <right/>
      <top style="thin">
        <color theme="1" tint="0.499984740745262"/>
      </top>
      <bottom/>
      <diagonal/>
    </border>
    <border>
      <left style="thin">
        <color theme="1" tint="0.499984740745262"/>
      </left>
      <right/>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indexed="64"/>
      </right>
      <top/>
      <bottom/>
      <diagonal/>
    </border>
    <border>
      <left style="thin">
        <color theme="1" tint="0.34998626667073579"/>
      </left>
      <right/>
      <top style="thin">
        <color indexed="64"/>
      </top>
      <bottom style="thin">
        <color theme="1" tint="0.34998626667073579"/>
      </bottom>
      <diagonal/>
    </border>
    <border>
      <left/>
      <right/>
      <top style="thin">
        <color indexed="64"/>
      </top>
      <bottom style="thin">
        <color theme="1" tint="0.34998626667073579"/>
      </bottom>
      <diagonal/>
    </border>
    <border>
      <left/>
      <right style="thin">
        <color theme="1" tint="0.34998626667073579"/>
      </right>
      <top style="thin">
        <color indexed="64"/>
      </top>
      <bottom style="thin">
        <color theme="1" tint="0.34998626667073579"/>
      </bottom>
      <diagonal/>
    </border>
    <border>
      <left/>
      <right/>
      <top/>
      <bottom style="thin">
        <color theme="0" tint="-0.34998626667073579"/>
      </bottom>
      <diagonal/>
    </border>
    <border>
      <left style="thin">
        <color theme="1" tint="0.499984740745262"/>
      </left>
      <right style="thin">
        <color theme="1" tint="0.499984740745262"/>
      </right>
      <top style="thin">
        <color theme="1" tint="0.499984740745262"/>
      </top>
      <bottom/>
      <diagonal/>
    </border>
    <border>
      <left style="thin">
        <color theme="0" tint="-0.34998626667073579"/>
      </left>
      <right/>
      <top style="thin">
        <color theme="0" tint="-0.34998626667073579"/>
      </top>
      <bottom/>
      <diagonal/>
    </border>
    <border>
      <left style="thin">
        <color theme="0" tint="-0.34998626667073579"/>
      </left>
      <right/>
      <top/>
      <bottom style="thin">
        <color theme="0" tint="-0.34998626667073579"/>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style="thin">
        <color theme="1" tint="0.499984740745262"/>
      </top>
      <bottom style="thin">
        <color theme="1" tint="0.499984740745262"/>
      </bottom>
      <diagonal/>
    </border>
    <border>
      <left/>
      <right/>
      <top style="thin">
        <color indexed="64"/>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auto="1"/>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0" tint="-0.24994659260841701"/>
      </left>
      <right/>
      <top style="thin">
        <color theme="0" tint="-0.24994659260841701"/>
      </top>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theme="0" tint="-0.24994659260841701"/>
      </right>
      <top style="thin">
        <color indexed="64"/>
      </top>
      <bottom style="thin">
        <color theme="0" tint="-0.24994659260841701"/>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style="thin">
        <color theme="0" tint="-0.499984740745262"/>
      </bottom>
      <diagonal/>
    </border>
    <border>
      <left style="thin">
        <color indexed="64"/>
      </left>
      <right style="thin">
        <color indexed="64"/>
      </right>
      <top/>
      <bottom style="thin">
        <color indexed="64"/>
      </bottom>
      <diagonal/>
    </border>
    <border>
      <left style="thin">
        <color theme="0" tint="-0.24994659260841701"/>
      </left>
      <right/>
      <top/>
      <bottom style="thin">
        <color theme="0" tint="-0.24994659260841701"/>
      </bottom>
      <diagonal/>
    </border>
    <border>
      <left/>
      <right/>
      <top/>
      <bottom style="thin">
        <color theme="0" tint="-0.24994659260841701"/>
      </bottom>
      <diagonal/>
    </border>
  </borders>
  <cellStyleXfs count="4">
    <xf numFmtId="0" fontId="0" fillId="0" borderId="0"/>
    <xf numFmtId="9" fontId="12" fillId="0" borderId="0" applyFont="0" applyFill="0" applyBorder="0" applyAlignment="0" applyProtection="0"/>
    <xf numFmtId="43" fontId="12" fillId="0" borderId="0" applyFont="0" applyFill="0" applyBorder="0" applyAlignment="0" applyProtection="0"/>
    <xf numFmtId="0" fontId="23" fillId="0" borderId="0" applyNumberFormat="0" applyFill="0" applyBorder="0" applyAlignment="0" applyProtection="0"/>
  </cellStyleXfs>
  <cellXfs count="344">
    <xf numFmtId="0" fontId="0" fillId="0" borderId="0" xfId="0"/>
    <xf numFmtId="0" fontId="2" fillId="0" borderId="0" xfId="0" applyFont="1"/>
    <xf numFmtId="0" fontId="0" fillId="0" borderId="0" xfId="0" applyAlignment="1">
      <alignment wrapText="1"/>
    </xf>
    <xf numFmtId="0" fontId="0" fillId="0" borderId="3" xfId="0" applyBorder="1" applyAlignment="1" applyProtection="1">
      <alignment wrapText="1"/>
      <protection locked="0"/>
    </xf>
    <xf numFmtId="0" fontId="0" fillId="0" borderId="0" xfId="0" applyAlignment="1"/>
    <xf numFmtId="0" fontId="0" fillId="0" borderId="0" xfId="0" quotePrefix="1" applyAlignment="1">
      <alignment wrapText="1"/>
    </xf>
    <xf numFmtId="164" fontId="0" fillId="0" borderId="0" xfId="0" applyNumberFormat="1"/>
    <xf numFmtId="165" fontId="0" fillId="0" borderId="0" xfId="0" applyNumberFormat="1"/>
    <xf numFmtId="3" fontId="0" fillId="0" borderId="0" xfId="0" applyNumberFormat="1"/>
    <xf numFmtId="166" fontId="0" fillId="0" borderId="0" xfId="0" applyNumberFormat="1"/>
    <xf numFmtId="0" fontId="3" fillId="0" borderId="0" xfId="0" applyFont="1"/>
    <xf numFmtId="167" fontId="0" fillId="0" borderId="0" xfId="0" applyNumberFormat="1"/>
    <xf numFmtId="168" fontId="0" fillId="0" borderId="0" xfId="0" applyNumberFormat="1"/>
    <xf numFmtId="0" fontId="0" fillId="0" borderId="7" xfId="0" applyBorder="1" applyProtection="1">
      <protection locked="0"/>
    </xf>
    <xf numFmtId="0" fontId="0" fillId="0" borderId="7" xfId="0" applyBorder="1" applyAlignment="1" applyProtection="1">
      <alignment horizontal="right"/>
      <protection locked="0"/>
    </xf>
    <xf numFmtId="0" fontId="0" fillId="0" borderId="8" xfId="0" applyBorder="1" applyProtection="1">
      <protection locked="0"/>
    </xf>
    <xf numFmtId="0" fontId="0" fillId="0" borderId="9" xfId="0" applyBorder="1" applyProtection="1">
      <protection hidden="1"/>
    </xf>
    <xf numFmtId="0" fontId="2" fillId="8" borderId="0" xfId="0" applyFont="1" applyFill="1" applyProtection="1">
      <protection hidden="1"/>
    </xf>
    <xf numFmtId="0" fontId="0" fillId="0" borderId="0" xfId="0" applyProtection="1">
      <protection hidden="1"/>
    </xf>
    <xf numFmtId="0" fontId="2" fillId="0" borderId="0" xfId="0" applyFont="1" applyProtection="1">
      <protection hidden="1"/>
    </xf>
    <xf numFmtId="165" fontId="0" fillId="0" borderId="9" xfId="0" applyNumberFormat="1" applyBorder="1" applyAlignment="1" applyProtection="1">
      <protection hidden="1"/>
    </xf>
    <xf numFmtId="0" fontId="2" fillId="0" borderId="3" xfId="0" applyFont="1" applyBorder="1" applyProtection="1">
      <protection hidden="1"/>
    </xf>
    <xf numFmtId="0" fontId="6" fillId="10" borderId="3" xfId="0" applyFont="1" applyFill="1" applyBorder="1" applyProtection="1">
      <protection hidden="1"/>
    </xf>
    <xf numFmtId="0" fontId="4" fillId="0" borderId="0" xfId="0" applyFont="1" applyProtection="1">
      <protection hidden="1"/>
    </xf>
    <xf numFmtId="0" fontId="7" fillId="8" borderId="3" xfId="0" applyFont="1" applyFill="1" applyBorder="1" applyProtection="1">
      <protection hidden="1"/>
    </xf>
    <xf numFmtId="0" fontId="8" fillId="9" borderId="3" xfId="0" applyFont="1" applyFill="1" applyBorder="1" applyProtection="1">
      <protection hidden="1"/>
    </xf>
    <xf numFmtId="0" fontId="2" fillId="6" borderId="0" xfId="0" applyFont="1" applyFill="1" applyProtection="1">
      <protection hidden="1"/>
    </xf>
    <xf numFmtId="0" fontId="0" fillId="6" borderId="0" xfId="0" applyFill="1" applyProtection="1">
      <protection hidden="1"/>
    </xf>
    <xf numFmtId="0" fontId="4" fillId="4" borderId="3" xfId="0" applyFont="1" applyFill="1" applyBorder="1" applyAlignment="1" applyProtection="1">
      <alignment horizontal="center" vertical="center" wrapText="1"/>
      <protection hidden="1"/>
    </xf>
    <xf numFmtId="0" fontId="0" fillId="0" borderId="0" xfId="0" applyFont="1" applyProtection="1">
      <protection hidden="1"/>
    </xf>
    <xf numFmtId="3" fontId="0" fillId="0" borderId="0" xfId="0" applyNumberFormat="1" applyProtection="1">
      <protection hidden="1"/>
    </xf>
    <xf numFmtId="0" fontId="4" fillId="0" borderId="0" xfId="0" applyFont="1" applyAlignment="1" applyProtection="1">
      <alignment vertical="center"/>
      <protection hidden="1"/>
    </xf>
    <xf numFmtId="3" fontId="0" fillId="0" borderId="3" xfId="0" applyNumberFormat="1" applyBorder="1" applyProtection="1">
      <protection hidden="1"/>
    </xf>
    <xf numFmtId="0" fontId="0" fillId="0" borderId="0" xfId="0" applyAlignment="1" applyProtection="1">
      <alignment vertical="center"/>
      <protection hidden="1"/>
    </xf>
    <xf numFmtId="0" fontId="0" fillId="8" borderId="0" xfId="0" applyFill="1" applyProtection="1">
      <protection hidden="1"/>
    </xf>
    <xf numFmtId="0" fontId="2" fillId="7" borderId="0" xfId="0" applyFont="1" applyFill="1" applyProtection="1">
      <protection hidden="1"/>
    </xf>
    <xf numFmtId="0" fontId="0" fillId="7" borderId="0" xfId="0" applyFill="1" applyProtection="1">
      <protection hidden="1"/>
    </xf>
    <xf numFmtId="0" fontId="2" fillId="0" borderId="0" xfId="0" applyFont="1" applyAlignment="1" applyProtection="1">
      <alignment horizontal="center"/>
      <protection hidden="1"/>
    </xf>
    <xf numFmtId="0" fontId="0" fillId="0" borderId="3" xfId="0" applyBorder="1" applyProtection="1">
      <protection hidden="1"/>
    </xf>
    <xf numFmtId="0" fontId="0" fillId="0" borderId="0" xfId="0" applyAlignment="1" applyProtection="1">
      <alignment horizontal="right"/>
      <protection hidden="1"/>
    </xf>
    <xf numFmtId="0" fontId="2" fillId="2" borderId="3" xfId="0" applyFont="1" applyFill="1" applyBorder="1" applyProtection="1">
      <protection hidden="1"/>
    </xf>
    <xf numFmtId="0" fontId="2" fillId="2" borderId="3" xfId="0" applyFont="1" applyFill="1" applyBorder="1" applyAlignment="1" applyProtection="1">
      <alignment wrapText="1"/>
      <protection hidden="1"/>
    </xf>
    <xf numFmtId="0" fontId="5" fillId="2" borderId="10" xfId="0" applyFont="1" applyFill="1" applyBorder="1" applyAlignment="1" applyProtection="1">
      <alignment horizontal="center" vertical="center"/>
      <protection hidden="1"/>
    </xf>
    <xf numFmtId="0" fontId="5" fillId="2" borderId="11" xfId="0" applyFont="1" applyFill="1" applyBorder="1" applyAlignment="1" applyProtection="1">
      <alignment horizontal="center" vertical="center"/>
      <protection hidden="1"/>
    </xf>
    <xf numFmtId="0" fontId="2" fillId="12" borderId="0" xfId="0" applyFont="1" applyFill="1"/>
    <xf numFmtId="0" fontId="0" fillId="12" borderId="0" xfId="0" applyFill="1"/>
    <xf numFmtId="0" fontId="2" fillId="14" borderId="0" xfId="0" applyFont="1" applyFill="1" applyProtection="1">
      <protection hidden="1"/>
    </xf>
    <xf numFmtId="0" fontId="0" fillId="14" borderId="0" xfId="0" applyFill="1" applyProtection="1">
      <protection hidden="1"/>
    </xf>
    <xf numFmtId="0" fontId="0" fillId="0" borderId="8" xfId="0" applyBorder="1" applyAlignment="1" applyProtection="1">
      <alignment horizontal="center" vertical="center"/>
      <protection hidden="1"/>
    </xf>
    <xf numFmtId="0" fontId="5" fillId="4" borderId="20" xfId="0" applyFont="1" applyFill="1" applyBorder="1" applyAlignment="1" applyProtection="1">
      <alignment horizontal="center" vertical="center" wrapText="1"/>
      <protection hidden="1"/>
    </xf>
    <xf numFmtId="0" fontId="4" fillId="0" borderId="7" xfId="0" applyFont="1" applyBorder="1"/>
    <xf numFmtId="0" fontId="4" fillId="13" borderId="7" xfId="0" applyFont="1" applyFill="1" applyBorder="1"/>
    <xf numFmtId="3" fontId="0" fillId="13" borderId="3" xfId="0" applyNumberFormat="1" applyFill="1" applyBorder="1" applyProtection="1">
      <protection hidden="1"/>
    </xf>
    <xf numFmtId="0" fontId="2" fillId="4" borderId="21" xfId="0" applyFont="1" applyFill="1" applyBorder="1" applyProtection="1">
      <protection hidden="1"/>
    </xf>
    <xf numFmtId="0" fontId="2" fillId="3" borderId="21" xfId="0" applyFont="1" applyFill="1" applyBorder="1" applyProtection="1">
      <protection hidden="1"/>
    </xf>
    <xf numFmtId="0" fontId="2" fillId="0" borderId="8" xfId="0" applyFont="1" applyBorder="1" applyAlignment="1">
      <alignment wrapText="1"/>
    </xf>
    <xf numFmtId="0" fontId="0" fillId="0" borderId="8" xfId="0" applyBorder="1" applyAlignment="1">
      <alignment wrapText="1"/>
    </xf>
    <xf numFmtId="0" fontId="0" fillId="0" borderId="0" xfId="0" applyFont="1"/>
    <xf numFmtId="0" fontId="2" fillId="15" borderId="0" xfId="0" applyFont="1" applyFill="1" applyProtection="1">
      <protection hidden="1"/>
    </xf>
    <xf numFmtId="0" fontId="0" fillId="15" borderId="0" xfId="0" applyFill="1" applyProtection="1">
      <protection hidden="1"/>
    </xf>
    <xf numFmtId="0" fontId="2" fillId="0" borderId="0" xfId="0" applyFont="1" applyFill="1" applyProtection="1">
      <protection hidden="1"/>
    </xf>
    <xf numFmtId="0" fontId="10" fillId="0" borderId="0" xfId="0" applyFont="1" applyProtection="1">
      <protection hidden="1"/>
    </xf>
    <xf numFmtId="3" fontId="0" fillId="0" borderId="9" xfId="0" applyNumberFormat="1" applyBorder="1" applyProtection="1">
      <protection hidden="1"/>
    </xf>
    <xf numFmtId="0" fontId="0" fillId="16" borderId="0" xfId="0" applyFill="1" applyProtection="1">
      <protection hidden="1"/>
    </xf>
    <xf numFmtId="0" fontId="0" fillId="17" borderId="0" xfId="0" applyFill="1" applyProtection="1">
      <protection hidden="1"/>
    </xf>
    <xf numFmtId="0" fontId="0" fillId="0" borderId="0" xfId="0" applyFill="1"/>
    <xf numFmtId="3" fontId="0" fillId="12" borderId="0" xfId="0" applyNumberFormat="1" applyFill="1"/>
    <xf numFmtId="0" fontId="2" fillId="4" borderId="0" xfId="0" applyFont="1" applyFill="1"/>
    <xf numFmtId="3" fontId="0" fillId="4" borderId="0" xfId="0" applyNumberFormat="1" applyFill="1"/>
    <xf numFmtId="0" fontId="2" fillId="16" borderId="0" xfId="0" applyFont="1" applyFill="1"/>
    <xf numFmtId="3" fontId="0" fillId="16" borderId="0" xfId="0" applyNumberFormat="1" applyFill="1"/>
    <xf numFmtId="0" fontId="0" fillId="18" borderId="0" xfId="0" applyFill="1"/>
    <xf numFmtId="0" fontId="2" fillId="18" borderId="0" xfId="0" applyFont="1" applyFill="1"/>
    <xf numFmtId="0" fontId="0" fillId="11" borderId="0" xfId="0" applyFill="1"/>
    <xf numFmtId="0" fontId="2" fillId="11" borderId="0" xfId="0" applyFont="1" applyFill="1"/>
    <xf numFmtId="3" fontId="0" fillId="18" borderId="0" xfId="0" applyNumberFormat="1" applyFill="1"/>
    <xf numFmtId="3" fontId="0" fillId="0" borderId="0" xfId="0" applyNumberFormat="1" applyFont="1"/>
    <xf numFmtId="3" fontId="0" fillId="11" borderId="0" xfId="0" applyNumberFormat="1" applyFill="1"/>
    <xf numFmtId="3" fontId="0" fillId="0" borderId="9" xfId="0" applyNumberFormat="1" applyBorder="1" applyAlignment="1" applyProtection="1">
      <protection hidden="1"/>
    </xf>
    <xf numFmtId="0" fontId="0" fillId="0" borderId="0" xfId="0" applyFill="1" applyBorder="1" applyProtection="1">
      <protection hidden="1"/>
    </xf>
    <xf numFmtId="0" fontId="4" fillId="0" borderId="0" xfId="0" applyFont="1" applyFill="1" applyBorder="1" applyAlignment="1">
      <alignment vertical="top" wrapText="1"/>
    </xf>
    <xf numFmtId="0" fontId="5" fillId="4" borderId="3" xfId="0" applyFont="1" applyFill="1" applyBorder="1" applyAlignment="1" applyProtection="1">
      <alignment horizontal="center" vertical="center" wrapText="1"/>
      <protection hidden="1"/>
    </xf>
    <xf numFmtId="0" fontId="0" fillId="0" borderId="3" xfId="0" applyBorder="1"/>
    <xf numFmtId="0" fontId="0" fillId="13" borderId="3" xfId="0" applyFill="1" applyBorder="1" applyProtection="1">
      <protection hidden="1"/>
    </xf>
    <xf numFmtId="3" fontId="0" fillId="0" borderId="3" xfId="0" applyNumberFormat="1" applyBorder="1"/>
    <xf numFmtId="14" fontId="0" fillId="0" borderId="0" xfId="0" applyNumberFormat="1"/>
    <xf numFmtId="0" fontId="0" fillId="0" borderId="0" xfId="0" applyFill="1" applyProtection="1">
      <protection hidden="1"/>
    </xf>
    <xf numFmtId="49" fontId="2" fillId="0" borderId="0" xfId="0" applyNumberFormat="1" applyFont="1"/>
    <xf numFmtId="0" fontId="2" fillId="0" borderId="0" xfId="0" applyFont="1" applyAlignment="1">
      <alignment wrapText="1"/>
    </xf>
    <xf numFmtId="49" fontId="0" fillId="0" borderId="0" xfId="0" applyNumberFormat="1"/>
    <xf numFmtId="0" fontId="4" fillId="0" borderId="22" xfId="0" applyFont="1" applyFill="1" applyBorder="1" applyAlignment="1">
      <alignment vertical="top" wrapText="1"/>
    </xf>
    <xf numFmtId="0" fontId="0" fillId="0" borderId="22" xfId="0" applyBorder="1" applyProtection="1">
      <protection hidden="1"/>
    </xf>
    <xf numFmtId="164" fontId="0" fillId="19" borderId="0" xfId="0" applyNumberFormat="1" applyFill="1"/>
    <xf numFmtId="164" fontId="11" fillId="0" borderId="0" xfId="0" applyNumberFormat="1" applyFont="1"/>
    <xf numFmtId="164" fontId="2" fillId="0" borderId="0" xfId="0" applyNumberFormat="1" applyFont="1"/>
    <xf numFmtId="0" fontId="12" fillId="0" borderId="0" xfId="0" applyNumberFormat="1" applyFont="1"/>
    <xf numFmtId="0" fontId="0" fillId="0" borderId="0" xfId="0" applyNumberFormat="1" applyFont="1"/>
    <xf numFmtId="164" fontId="11" fillId="0" borderId="0" xfId="0" applyNumberFormat="1" applyFont="1" applyAlignment="1"/>
    <xf numFmtId="165" fontId="0" fillId="0" borderId="0" xfId="0" applyNumberFormat="1" applyFont="1"/>
    <xf numFmtId="0" fontId="0" fillId="0" borderId="0" xfId="0" applyNumberFormat="1"/>
    <xf numFmtId="14" fontId="0" fillId="0" borderId="0" xfId="0" applyNumberFormat="1" applyFill="1"/>
    <xf numFmtId="14" fontId="0" fillId="13" borderId="0" xfId="0" applyNumberFormat="1" applyFill="1"/>
    <xf numFmtId="0" fontId="0" fillId="0" borderId="8" xfId="0" applyBorder="1" applyProtection="1">
      <protection hidden="1"/>
    </xf>
    <xf numFmtId="0" fontId="0" fillId="20" borderId="0" xfId="0" applyFill="1"/>
    <xf numFmtId="0" fontId="15" fillId="21" borderId="0" xfId="0" applyFont="1" applyFill="1"/>
    <xf numFmtId="14" fontId="15" fillId="21" borderId="0" xfId="0" applyNumberFormat="1" applyFont="1" applyFill="1"/>
    <xf numFmtId="17" fontId="2" fillId="0" borderId="0" xfId="0" applyNumberFormat="1" applyFont="1"/>
    <xf numFmtId="164" fontId="5" fillId="0" borderId="0" xfId="0" applyNumberFormat="1" applyFont="1"/>
    <xf numFmtId="0" fontId="5" fillId="0" borderId="0" xfId="0" applyFont="1"/>
    <xf numFmtId="164" fontId="0" fillId="20" borderId="0" xfId="0" applyNumberFormat="1" applyFont="1" applyFill="1"/>
    <xf numFmtId="165" fontId="0" fillId="15" borderId="0" xfId="0" applyNumberFormat="1" applyFont="1" applyFill="1"/>
    <xf numFmtId="165" fontId="2" fillId="0" borderId="0" xfId="0" applyNumberFormat="1" applyFont="1"/>
    <xf numFmtId="170" fontId="0" fillId="0" borderId="0" xfId="0" applyNumberFormat="1"/>
    <xf numFmtId="169" fontId="0" fillId="0" borderId="0" xfId="1" applyNumberFormat="1" applyFont="1"/>
    <xf numFmtId="9" fontId="0" fillId="0" borderId="0" xfId="1" applyFont="1"/>
    <xf numFmtId="0" fontId="0" fillId="0" borderId="0" xfId="0" quotePrefix="1" applyProtection="1">
      <protection hidden="1"/>
    </xf>
    <xf numFmtId="0" fontId="0" fillId="2" borderId="8" xfId="0" applyFill="1" applyBorder="1"/>
    <xf numFmtId="0" fontId="0" fillId="0" borderId="0" xfId="1" applyNumberFormat="1" applyFont="1"/>
    <xf numFmtId="0" fontId="0" fillId="3" borderId="8" xfId="0" applyFill="1" applyBorder="1"/>
    <xf numFmtId="0" fontId="0" fillId="22" borderId="0" xfId="0" applyFill="1"/>
    <xf numFmtId="0" fontId="2" fillId="0" borderId="0" xfId="0" applyFont="1" applyAlignment="1"/>
    <xf numFmtId="15" fontId="0" fillId="0" borderId="0" xfId="0" applyNumberFormat="1"/>
    <xf numFmtId="2" fontId="0" fillId="0" borderId="0" xfId="0" applyNumberFormat="1"/>
    <xf numFmtId="3" fontId="0" fillId="13" borderId="0" xfId="0" applyNumberFormat="1" applyFill="1"/>
    <xf numFmtId="3" fontId="0" fillId="0" borderId="0" xfId="0" applyNumberFormat="1" applyFill="1"/>
    <xf numFmtId="169" fontId="0" fillId="0" borderId="0" xfId="0" applyNumberFormat="1"/>
    <xf numFmtId="0" fontId="0" fillId="0" borderId="0" xfId="0" applyBorder="1"/>
    <xf numFmtId="0" fontId="2" fillId="0" borderId="0" xfId="0" applyFont="1" applyBorder="1" applyAlignment="1"/>
    <xf numFmtId="0" fontId="0" fillId="0" borderId="0" xfId="0" applyBorder="1" applyAlignment="1"/>
    <xf numFmtId="0" fontId="2" fillId="0" borderId="0" xfId="0" applyFont="1" applyBorder="1"/>
    <xf numFmtId="0" fontId="2" fillId="0" borderId="30" xfId="0" applyFont="1" applyBorder="1" applyProtection="1">
      <protection hidden="1"/>
    </xf>
    <xf numFmtId="169" fontId="0" fillId="0" borderId="9" xfId="1" applyNumberFormat="1" applyFont="1" applyBorder="1" applyProtection="1">
      <protection hidden="1"/>
    </xf>
    <xf numFmtId="169" fontId="0" fillId="0" borderId="9" xfId="1" applyNumberFormat="1" applyFont="1" applyBorder="1" applyAlignment="1" applyProtection="1">
      <protection hidden="1"/>
    </xf>
    <xf numFmtId="0" fontId="0" fillId="0" borderId="0" xfId="0" quotePrefix="1"/>
    <xf numFmtId="0" fontId="0" fillId="0" borderId="0" xfId="0" applyAlignment="1">
      <alignment horizontal="right"/>
    </xf>
    <xf numFmtId="0" fontId="5" fillId="2" borderId="10" xfId="0" applyFont="1" applyFill="1" applyBorder="1" applyAlignment="1" applyProtection="1">
      <alignment vertical="center" wrapText="1"/>
      <protection hidden="1"/>
    </xf>
    <xf numFmtId="0" fontId="5" fillId="2" borderId="11" xfId="0" applyFont="1" applyFill="1" applyBorder="1" applyAlignment="1" applyProtection="1">
      <alignment vertical="center" wrapText="1"/>
      <protection hidden="1"/>
    </xf>
    <xf numFmtId="3" fontId="0" fillId="12" borderId="0" xfId="0" quotePrefix="1" applyNumberFormat="1" applyFill="1"/>
    <xf numFmtId="3" fontId="0" fillId="0" borderId="9" xfId="0" quotePrefix="1" applyNumberFormat="1" applyBorder="1" applyAlignment="1" applyProtection="1">
      <protection hidden="1"/>
    </xf>
    <xf numFmtId="164" fontId="0" fillId="0" borderId="9" xfId="0" applyNumberFormat="1" applyBorder="1" applyProtection="1">
      <protection hidden="1"/>
    </xf>
    <xf numFmtId="164" fontId="0" fillId="20" borderId="0" xfId="0" applyNumberFormat="1" applyFill="1"/>
    <xf numFmtId="164" fontId="0" fillId="15" borderId="0" xfId="0" applyNumberFormat="1" applyFill="1"/>
    <xf numFmtId="164" fontId="0" fillId="2" borderId="0" xfId="0" applyNumberFormat="1" applyFill="1"/>
    <xf numFmtId="164" fontId="0" fillId="8" borderId="0" xfId="0" applyNumberFormat="1" applyFill="1"/>
    <xf numFmtId="0" fontId="16" fillId="0" borderId="0" xfId="0" applyFont="1" applyBorder="1" applyAlignment="1" applyProtection="1">
      <protection hidden="1"/>
    </xf>
    <xf numFmtId="3" fontId="16" fillId="0" borderId="0" xfId="0" applyNumberFormat="1" applyFont="1" applyBorder="1" applyProtection="1">
      <protection hidden="1"/>
    </xf>
    <xf numFmtId="0" fontId="16" fillId="0" borderId="0" xfId="0" applyFont="1" applyBorder="1" applyProtection="1">
      <protection hidden="1"/>
    </xf>
    <xf numFmtId="0" fontId="0" fillId="4" borderId="0" xfId="0" applyFill="1"/>
    <xf numFmtId="0" fontId="16" fillId="0" borderId="0" xfId="0" applyFont="1" applyProtection="1">
      <protection hidden="1"/>
    </xf>
    <xf numFmtId="3" fontId="16" fillId="23" borderId="0" xfId="0" applyNumberFormat="1" applyFont="1" applyFill="1" applyBorder="1" applyProtection="1">
      <protection hidden="1"/>
    </xf>
    <xf numFmtId="0" fontId="16" fillId="23" borderId="0" xfId="0" applyFont="1" applyFill="1" applyProtection="1">
      <protection hidden="1"/>
    </xf>
    <xf numFmtId="0" fontId="16" fillId="23" borderId="0" xfId="0" applyFont="1" applyFill="1" applyBorder="1" applyProtection="1">
      <protection hidden="1"/>
    </xf>
    <xf numFmtId="0" fontId="17" fillId="23" borderId="23" xfId="0" quotePrefix="1" applyFont="1" applyFill="1" applyBorder="1" applyAlignment="1" applyProtection="1">
      <alignment horizontal="center" vertical="center" wrapText="1"/>
      <protection hidden="1"/>
    </xf>
    <xf numFmtId="3" fontId="16" fillId="23" borderId="23" xfId="0" applyNumberFormat="1" applyFont="1" applyFill="1" applyBorder="1" applyProtection="1">
      <protection hidden="1"/>
    </xf>
    <xf numFmtId="0" fontId="0" fillId="0" borderId="8" xfId="0" applyBorder="1"/>
    <xf numFmtId="172" fontId="0" fillId="0" borderId="0" xfId="2" applyNumberFormat="1" applyFont="1"/>
    <xf numFmtId="0" fontId="2" fillId="0" borderId="0" xfId="0" applyFont="1" applyBorder="1" applyAlignment="1">
      <alignment horizontal="left"/>
    </xf>
    <xf numFmtId="0" fontId="0" fillId="13" borderId="0" xfId="0" applyFill="1"/>
    <xf numFmtId="3" fontId="0" fillId="0" borderId="9" xfId="0" applyNumberFormat="1" applyBorder="1" applyAlignment="1" applyProtection="1">
      <alignment horizontal="right"/>
      <protection hidden="1"/>
    </xf>
    <xf numFmtId="0" fontId="0" fillId="24" borderId="0" xfId="0" applyFill="1"/>
    <xf numFmtId="0" fontId="0" fillId="24" borderId="0" xfId="0" applyFont="1" applyFill="1"/>
    <xf numFmtId="0" fontId="0" fillId="0" borderId="34" xfId="0" applyBorder="1"/>
    <xf numFmtId="14" fontId="0" fillId="0" borderId="34" xfId="0" applyNumberFormat="1" applyBorder="1"/>
    <xf numFmtId="0" fontId="11" fillId="0" borderId="0" xfId="0" applyNumberFormat="1" applyFont="1" applyAlignment="1"/>
    <xf numFmtId="0" fontId="1" fillId="0" borderId="0" xfId="0" applyNumberFormat="1" applyFont="1" applyAlignment="1"/>
    <xf numFmtId="164" fontId="0" fillId="18" borderId="0" xfId="0" applyNumberFormat="1" applyFill="1"/>
    <xf numFmtId="0" fontId="5" fillId="4" borderId="31" xfId="0" applyFont="1" applyFill="1" applyBorder="1" applyAlignment="1" applyProtection="1">
      <alignment horizontal="center" vertical="center" wrapText="1"/>
      <protection hidden="1"/>
    </xf>
    <xf numFmtId="0" fontId="5" fillId="0" borderId="0" xfId="0" applyFont="1" applyAlignment="1" applyProtection="1">
      <alignment vertical="center"/>
      <protection hidden="1"/>
    </xf>
    <xf numFmtId="0" fontId="18" fillId="23" borderId="23" xfId="0" quotePrefix="1" applyFont="1" applyFill="1" applyBorder="1" applyAlignment="1" applyProtection="1">
      <alignment horizontal="center" vertical="center" wrapText="1"/>
      <protection hidden="1"/>
    </xf>
    <xf numFmtId="3" fontId="0" fillId="0" borderId="34" xfId="0" applyNumberFormat="1" applyBorder="1"/>
    <xf numFmtId="0" fontId="0" fillId="0" borderId="34" xfId="0" applyBorder="1" applyAlignment="1">
      <alignment horizontal="right"/>
    </xf>
    <xf numFmtId="0" fontId="0" fillId="0" borderId="37" xfId="0" applyBorder="1"/>
    <xf numFmtId="3" fontId="0" fillId="0" borderId="37" xfId="0" applyNumberFormat="1" applyBorder="1"/>
    <xf numFmtId="0" fontId="0" fillId="0" borderId="34" xfId="0" applyBorder="1" applyProtection="1">
      <protection locked="0"/>
    </xf>
    <xf numFmtId="0" fontId="0" fillId="16" borderId="0" xfId="0" applyFill="1"/>
    <xf numFmtId="3" fontId="0" fillId="0" borderId="37" xfId="0" applyNumberFormat="1" applyBorder="1" applyAlignment="1">
      <alignment horizontal="right"/>
    </xf>
    <xf numFmtId="3" fontId="0" fillId="0" borderId="34" xfId="0" applyNumberFormat="1" applyBorder="1" applyAlignment="1">
      <alignment horizontal="right"/>
    </xf>
    <xf numFmtId="0" fontId="0" fillId="21" borderId="34" xfId="0" applyFill="1" applyBorder="1"/>
    <xf numFmtId="0" fontId="2" fillId="13" borderId="40" xfId="0" applyFont="1" applyFill="1" applyBorder="1" applyAlignment="1">
      <alignment horizontal="center"/>
    </xf>
    <xf numFmtId="0" fontId="2" fillId="13" borderId="38" xfId="0" applyFont="1" applyFill="1" applyBorder="1" applyAlignment="1">
      <alignment horizontal="center"/>
    </xf>
    <xf numFmtId="3" fontId="0" fillId="0" borderId="9" xfId="0" quotePrefix="1" applyNumberFormat="1" applyBorder="1" applyProtection="1">
      <protection hidden="1"/>
    </xf>
    <xf numFmtId="0" fontId="2" fillId="10" borderId="21" xfId="0" applyFont="1" applyFill="1" applyBorder="1" applyProtection="1">
      <protection hidden="1"/>
    </xf>
    <xf numFmtId="0" fontId="2" fillId="25" borderId="21" xfId="0" applyFont="1" applyFill="1" applyBorder="1" applyProtection="1">
      <protection hidden="1"/>
    </xf>
    <xf numFmtId="0" fontId="5" fillId="0" borderId="0" xfId="0" applyFont="1" applyProtection="1">
      <protection hidden="1"/>
    </xf>
    <xf numFmtId="0" fontId="0" fillId="0" borderId="35" xfId="0" applyBorder="1" applyAlignment="1" applyProtection="1">
      <alignment vertical="center" wrapText="1"/>
      <protection locked="0"/>
    </xf>
    <xf numFmtId="0" fontId="0" fillId="0" borderId="34" xfId="0" applyBorder="1" applyProtection="1">
      <protection hidden="1"/>
    </xf>
    <xf numFmtId="0" fontId="21" fillId="0" borderId="0" xfId="0" applyFont="1" applyProtection="1">
      <protection hidden="1"/>
    </xf>
    <xf numFmtId="0" fontId="21" fillId="13" borderId="34" xfId="0" applyFont="1" applyFill="1" applyBorder="1" applyAlignment="1" applyProtection="1">
      <alignment vertical="center" wrapText="1"/>
      <protection hidden="1"/>
    </xf>
    <xf numFmtId="0" fontId="21" fillId="13" borderId="3" xfId="0" applyFont="1" applyFill="1" applyBorder="1" applyProtection="1">
      <protection hidden="1"/>
    </xf>
    <xf numFmtId="0" fontId="0" fillId="13" borderId="3" xfId="0" applyFill="1" applyBorder="1" applyAlignment="1" applyProtection="1">
      <alignment wrapText="1"/>
      <protection hidden="1"/>
    </xf>
    <xf numFmtId="0" fontId="0" fillId="0" borderId="23" xfId="0" applyBorder="1" applyAlignment="1" applyProtection="1">
      <alignment wrapText="1"/>
      <protection locked="0"/>
    </xf>
    <xf numFmtId="0" fontId="0" fillId="0" borderId="0" xfId="0" applyBorder="1" applyAlignment="1" applyProtection="1">
      <alignment wrapText="1"/>
      <protection locked="0"/>
    </xf>
    <xf numFmtId="0" fontId="0" fillId="0" borderId="34" xfId="0" applyFill="1" applyBorder="1" applyProtection="1">
      <protection locked="0"/>
    </xf>
    <xf numFmtId="169" fontId="0" fillId="0" borderId="34" xfId="0" applyNumberFormat="1" applyFill="1" applyBorder="1" applyProtection="1">
      <protection locked="0"/>
    </xf>
    <xf numFmtId="0" fontId="2" fillId="0" borderId="0" xfId="0" applyFont="1" applyFill="1" applyBorder="1"/>
    <xf numFmtId="0" fontId="0" fillId="0" borderId="0" xfId="0" applyFill="1" applyBorder="1"/>
    <xf numFmtId="0" fontId="0" fillId="0" borderId="0" xfId="0" applyNumberFormat="1" applyFill="1" applyBorder="1" applyAlignment="1">
      <alignment horizontal="center"/>
    </xf>
    <xf numFmtId="171" fontId="0" fillId="0" borderId="0" xfId="0" applyNumberFormat="1" applyFill="1" applyBorder="1" applyAlignment="1">
      <alignment horizontal="center"/>
    </xf>
    <xf numFmtId="172" fontId="0" fillId="0" borderId="0" xfId="2" applyNumberFormat="1" applyFont="1" applyFill="1" applyBorder="1"/>
    <xf numFmtId="0" fontId="0" fillId="0" borderId="0" xfId="0" applyFill="1" applyBorder="1" applyAlignment="1">
      <alignment wrapText="1"/>
    </xf>
    <xf numFmtId="0" fontId="0" fillId="0" borderId="0" xfId="0" applyFill="1" applyBorder="1" applyAlignment="1">
      <alignment vertical="top" wrapText="1"/>
    </xf>
    <xf numFmtId="3" fontId="0" fillId="0" borderId="8" xfId="0" applyNumberFormat="1" applyBorder="1"/>
    <xf numFmtId="0" fontId="0" fillId="21" borderId="8" xfId="0" applyFill="1" applyBorder="1"/>
    <xf numFmtId="3" fontId="0" fillId="21" borderId="8" xfId="0" applyNumberFormat="1" applyFill="1" applyBorder="1"/>
    <xf numFmtId="0" fontId="0" fillId="0" borderId="0" xfId="0" applyFont="1" applyFill="1" applyBorder="1"/>
    <xf numFmtId="0" fontId="2" fillId="13" borderId="8" xfId="0" applyFont="1" applyFill="1" applyBorder="1" applyAlignment="1">
      <alignment horizontal="center"/>
    </xf>
    <xf numFmtId="0" fontId="2" fillId="13" borderId="15" xfId="0" applyFont="1" applyFill="1" applyBorder="1" applyAlignment="1">
      <alignment horizontal="center"/>
    </xf>
    <xf numFmtId="0" fontId="2" fillId="13" borderId="16" xfId="0" applyFont="1" applyFill="1" applyBorder="1" applyAlignment="1">
      <alignment horizontal="center"/>
    </xf>
    <xf numFmtId="0" fontId="0" fillId="16" borderId="8" xfId="0" applyFill="1" applyBorder="1" applyAlignment="1">
      <alignment horizontal="center" vertical="center"/>
    </xf>
    <xf numFmtId="0" fontId="0" fillId="0" borderId="8" xfId="0" applyBorder="1" applyAlignment="1">
      <alignment vertical="center"/>
    </xf>
    <xf numFmtId="0" fontId="0" fillId="0" borderId="42" xfId="0" applyBorder="1"/>
    <xf numFmtId="0" fontId="0" fillId="0" borderId="43" xfId="0" applyBorder="1"/>
    <xf numFmtId="0" fontId="0" fillId="0" borderId="36" xfId="0" applyBorder="1"/>
    <xf numFmtId="0" fontId="0" fillId="0" borderId="44" xfId="0" applyBorder="1"/>
    <xf numFmtId="0" fontId="23" fillId="0" borderId="42" xfId="3" applyBorder="1"/>
    <xf numFmtId="0" fontId="0" fillId="0" borderId="26" xfId="0" applyBorder="1"/>
    <xf numFmtId="0" fontId="0" fillId="0" borderId="45" xfId="0" applyBorder="1"/>
    <xf numFmtId="0" fontId="0" fillId="0" borderId="46" xfId="0" applyBorder="1"/>
    <xf numFmtId="0" fontId="0" fillId="0" borderId="47" xfId="0" applyBorder="1"/>
    <xf numFmtId="0" fontId="2" fillId="0" borderId="42" xfId="0" applyFont="1" applyBorder="1"/>
    <xf numFmtId="0" fontId="5" fillId="4" borderId="2" xfId="0" applyFont="1" applyFill="1" applyBorder="1" applyAlignment="1" applyProtection="1">
      <alignment horizontal="center" vertical="center" wrapText="1"/>
      <protection hidden="1"/>
    </xf>
    <xf numFmtId="0" fontId="2" fillId="13" borderId="48" xfId="0" applyFont="1" applyFill="1" applyBorder="1" applyAlignment="1">
      <alignment horizontal="center"/>
    </xf>
    <xf numFmtId="3" fontId="0" fillId="0" borderId="34" xfId="0" applyNumberFormat="1" applyFill="1" applyBorder="1"/>
    <xf numFmtId="0" fontId="2" fillId="13" borderId="54" xfId="0" applyFont="1" applyFill="1" applyBorder="1" applyAlignment="1">
      <alignment horizontal="center"/>
    </xf>
    <xf numFmtId="0" fontId="2" fillId="13" borderId="55" xfId="0" applyFont="1" applyFill="1" applyBorder="1" applyAlignment="1">
      <alignment horizontal="center"/>
    </xf>
    <xf numFmtId="0" fontId="5" fillId="4" borderId="8" xfId="0" applyFont="1" applyFill="1" applyBorder="1" applyAlignment="1" applyProtection="1">
      <alignment horizontal="center" vertical="center" wrapText="1"/>
      <protection hidden="1"/>
    </xf>
    <xf numFmtId="0" fontId="0" fillId="0" borderId="15" xfId="0" applyBorder="1" applyAlignment="1">
      <alignment horizontal="left" vertical="center"/>
    </xf>
    <xf numFmtId="0" fontId="0" fillId="0" borderId="16" xfId="0" applyBorder="1" applyAlignment="1">
      <alignment horizontal="left" vertical="center"/>
    </xf>
    <xf numFmtId="0" fontId="0" fillId="0" borderId="17" xfId="0" applyBorder="1" applyAlignment="1">
      <alignment horizontal="left" vertical="center"/>
    </xf>
    <xf numFmtId="0" fontId="21" fillId="13" borderId="4" xfId="0" applyFont="1" applyFill="1" applyBorder="1" applyAlignment="1" applyProtection="1">
      <alignment horizontal="left"/>
      <protection hidden="1"/>
    </xf>
    <xf numFmtId="0" fontId="21" fillId="13" borderId="5" xfId="0" applyFont="1" applyFill="1" applyBorder="1" applyAlignment="1" applyProtection="1">
      <alignment horizontal="left"/>
      <protection hidden="1"/>
    </xf>
    <xf numFmtId="0" fontId="21" fillId="13" borderId="6" xfId="0" applyFont="1" applyFill="1" applyBorder="1" applyAlignment="1" applyProtection="1">
      <alignment horizontal="left"/>
      <protection hidden="1"/>
    </xf>
    <xf numFmtId="0" fontId="2" fillId="8" borderId="0" xfId="0" applyFont="1" applyFill="1" applyAlignment="1" applyProtection="1">
      <alignment horizontal="right"/>
      <protection hidden="1"/>
    </xf>
    <xf numFmtId="0" fontId="22" fillId="13" borderId="39" xfId="0" applyFont="1" applyFill="1" applyBorder="1" applyAlignment="1" applyProtection="1">
      <alignment horizontal="left" vertical="center"/>
      <protection hidden="1"/>
    </xf>
    <xf numFmtId="0" fontId="22" fillId="13" borderId="41" xfId="0" applyFont="1" applyFill="1" applyBorder="1" applyAlignment="1" applyProtection="1">
      <alignment horizontal="left" vertical="center"/>
      <protection hidden="1"/>
    </xf>
    <xf numFmtId="0" fontId="22" fillId="13" borderId="4" xfId="0" applyFont="1" applyFill="1" applyBorder="1" applyAlignment="1" applyProtection="1">
      <alignment horizontal="left"/>
      <protection hidden="1"/>
    </xf>
    <xf numFmtId="0" fontId="22" fillId="13" borderId="5" xfId="0" applyFont="1" applyFill="1" applyBorder="1" applyAlignment="1" applyProtection="1">
      <alignment horizontal="left"/>
      <protection hidden="1"/>
    </xf>
    <xf numFmtId="0" fontId="22" fillId="13" borderId="6" xfId="0" applyFont="1" applyFill="1" applyBorder="1" applyAlignment="1" applyProtection="1">
      <alignment horizontal="left"/>
      <protection hidden="1"/>
    </xf>
    <xf numFmtId="0" fontId="2" fillId="0" borderId="0" xfId="0" applyFont="1" applyAlignment="1" applyProtection="1">
      <alignment horizontal="center"/>
      <protection hidden="1"/>
    </xf>
    <xf numFmtId="0" fontId="4" fillId="0" borderId="1" xfId="0" applyFont="1" applyBorder="1" applyAlignment="1" applyProtection="1">
      <alignment horizontal="left" vertical="center" wrapText="1" shrinkToFit="1"/>
      <protection hidden="1"/>
    </xf>
    <xf numFmtId="0" fontId="4" fillId="0" borderId="2" xfId="0" applyFont="1" applyBorder="1" applyAlignment="1" applyProtection="1">
      <alignment horizontal="left" vertical="center" wrapText="1" shrinkToFit="1"/>
      <protection hidden="1"/>
    </xf>
    <xf numFmtId="0" fontId="4" fillId="0" borderId="3" xfId="0" applyFont="1" applyBorder="1" applyAlignment="1" applyProtection="1">
      <alignment horizontal="left" vertical="center" wrapText="1"/>
      <protection hidden="1"/>
    </xf>
    <xf numFmtId="0" fontId="2" fillId="0" borderId="3" xfId="0" applyFont="1" applyBorder="1" applyAlignment="1" applyProtection="1">
      <alignment horizontal="center"/>
      <protection hidden="1"/>
    </xf>
    <xf numFmtId="0" fontId="0" fillId="0" borderId="9" xfId="0" applyBorder="1" applyAlignment="1" applyProtection="1">
      <alignment horizontal="left"/>
      <protection hidden="1"/>
    </xf>
    <xf numFmtId="0" fontId="2" fillId="0" borderId="1" xfId="0" applyFont="1" applyBorder="1" applyAlignment="1" applyProtection="1">
      <alignment horizontal="center"/>
      <protection hidden="1"/>
    </xf>
    <xf numFmtId="0" fontId="2" fillId="0" borderId="2" xfId="0" applyFont="1" applyBorder="1" applyAlignment="1" applyProtection="1">
      <alignment horizontal="center"/>
      <protection hidden="1"/>
    </xf>
    <xf numFmtId="0" fontId="5" fillId="2" borderId="10" xfId="0" applyFont="1" applyFill="1" applyBorder="1" applyAlignment="1" applyProtection="1">
      <alignment horizontal="center" vertical="center" wrapText="1"/>
      <protection hidden="1"/>
    </xf>
    <xf numFmtId="0" fontId="5" fillId="2" borderId="11" xfId="0" applyFont="1" applyFill="1" applyBorder="1" applyAlignment="1" applyProtection="1">
      <alignment horizontal="center" vertical="center" wrapText="1"/>
      <protection hidden="1"/>
    </xf>
    <xf numFmtId="0" fontId="10" fillId="0" borderId="0" xfId="0" applyFont="1" applyAlignment="1" applyProtection="1">
      <alignment horizontal="left"/>
      <protection hidden="1"/>
    </xf>
    <xf numFmtId="0" fontId="2" fillId="2" borderId="9" xfId="0" applyFont="1" applyFill="1" applyBorder="1" applyAlignment="1" applyProtection="1">
      <alignment horizontal="left" vertical="center"/>
      <protection hidden="1"/>
    </xf>
    <xf numFmtId="0" fontId="5" fillId="2" borderId="10" xfId="0" applyFont="1" applyFill="1" applyBorder="1" applyAlignment="1" applyProtection="1">
      <alignment horizontal="center" vertical="center"/>
      <protection hidden="1"/>
    </xf>
    <xf numFmtId="0" fontId="5" fillId="2" borderId="11" xfId="0" applyFont="1" applyFill="1" applyBorder="1" applyAlignment="1" applyProtection="1">
      <alignment horizontal="center" vertical="center"/>
      <protection hidden="1"/>
    </xf>
    <xf numFmtId="0" fontId="0" fillId="0" borderId="8" xfId="0" applyBorder="1" applyAlignment="1" applyProtection="1">
      <alignment horizontal="center"/>
      <protection locked="0"/>
    </xf>
    <xf numFmtId="0" fontId="2" fillId="0" borderId="0" xfId="0" applyFont="1" applyAlignment="1">
      <alignment horizontal="center"/>
    </xf>
    <xf numFmtId="0" fontId="2" fillId="0" borderId="0" xfId="0" applyFont="1" applyBorder="1" applyAlignment="1" applyProtection="1">
      <alignment horizontal="left"/>
      <protection hidden="1"/>
    </xf>
    <xf numFmtId="0" fontId="0" fillId="0" borderId="12" xfId="0" applyBorder="1" applyAlignment="1" applyProtection="1">
      <alignment horizontal="center"/>
      <protection locked="0"/>
    </xf>
    <xf numFmtId="0" fontId="0" fillId="0" borderId="13" xfId="0" applyBorder="1" applyAlignment="1" applyProtection="1">
      <alignment horizontal="center"/>
      <protection locked="0"/>
    </xf>
    <xf numFmtId="0" fontId="0" fillId="0" borderId="14" xfId="0" applyBorder="1" applyAlignment="1" applyProtection="1">
      <alignment horizontal="center"/>
      <protection locked="0"/>
    </xf>
    <xf numFmtId="0" fontId="0" fillId="0" borderId="0" xfId="0" applyAlignment="1" applyProtection="1">
      <alignment horizontal="left"/>
      <protection hidden="1"/>
    </xf>
    <xf numFmtId="0" fontId="0" fillId="0" borderId="15" xfId="0" applyBorder="1" applyAlignment="1">
      <alignment horizontal="center"/>
    </xf>
    <xf numFmtId="0" fontId="0" fillId="0" borderId="17" xfId="0" applyBorder="1" applyAlignment="1">
      <alignment horizontal="center"/>
    </xf>
    <xf numFmtId="14" fontId="24" fillId="0" borderId="15" xfId="0" applyNumberFormat="1" applyFont="1" applyBorder="1" applyAlignment="1">
      <alignment horizontal="center"/>
    </xf>
    <xf numFmtId="14" fontId="24" fillId="0" borderId="16" xfId="0" applyNumberFormat="1" applyFont="1" applyBorder="1" applyAlignment="1">
      <alignment horizontal="center"/>
    </xf>
    <xf numFmtId="14" fontId="24" fillId="0" borderId="17" xfId="0" applyNumberFormat="1" applyFont="1" applyBorder="1" applyAlignment="1">
      <alignment horizontal="center"/>
    </xf>
    <xf numFmtId="0" fontId="2" fillId="5" borderId="8" xfId="0" applyFont="1" applyFill="1" applyBorder="1" applyAlignment="1">
      <alignment horizontal="center" vertical="center"/>
    </xf>
    <xf numFmtId="0" fontId="0" fillId="0" borderId="0" xfId="0" applyAlignment="1">
      <alignment horizontal="center"/>
    </xf>
    <xf numFmtId="0" fontId="5" fillId="5" borderId="32" xfId="0" applyFont="1" applyFill="1" applyBorder="1" applyAlignment="1" applyProtection="1">
      <alignment horizontal="center" vertical="center" wrapText="1"/>
      <protection hidden="1"/>
    </xf>
    <xf numFmtId="0" fontId="5" fillId="5" borderId="33" xfId="0" applyFont="1" applyFill="1" applyBorder="1" applyAlignment="1" applyProtection="1">
      <alignment horizontal="center" vertical="center" wrapText="1"/>
      <protection hidden="1"/>
    </xf>
    <xf numFmtId="0" fontId="5" fillId="5" borderId="10" xfId="0" applyFont="1" applyFill="1" applyBorder="1" applyAlignment="1" applyProtection="1">
      <alignment horizontal="center" vertical="center" wrapText="1"/>
      <protection hidden="1"/>
    </xf>
    <xf numFmtId="0" fontId="5" fillId="5" borderId="11" xfId="0" applyFont="1" applyFill="1" applyBorder="1" applyAlignment="1" applyProtection="1">
      <alignment horizontal="center" vertical="center" wrapText="1"/>
      <protection hidden="1"/>
    </xf>
    <xf numFmtId="0" fontId="0" fillId="0" borderId="15" xfId="0" applyBorder="1" applyAlignment="1" applyProtection="1">
      <alignment horizontal="center"/>
      <protection locked="0"/>
    </xf>
    <xf numFmtId="0" fontId="0" fillId="0" borderId="16" xfId="0" applyBorder="1" applyAlignment="1" applyProtection="1">
      <alignment horizontal="center"/>
      <protection locked="0"/>
    </xf>
    <xf numFmtId="0" fontId="0" fillId="0" borderId="17" xfId="0" applyBorder="1" applyAlignment="1" applyProtection="1">
      <alignment horizontal="center"/>
      <protection locked="0"/>
    </xf>
    <xf numFmtId="0" fontId="2" fillId="5" borderId="9" xfId="0" applyFont="1" applyFill="1" applyBorder="1" applyAlignment="1" applyProtection="1">
      <alignment horizontal="left" vertical="center"/>
      <protection hidden="1"/>
    </xf>
    <xf numFmtId="0" fontId="5" fillId="5" borderId="10" xfId="0" applyFont="1" applyFill="1" applyBorder="1" applyAlignment="1" applyProtection="1">
      <alignment horizontal="center" vertical="center"/>
      <protection hidden="1"/>
    </xf>
    <xf numFmtId="0" fontId="5" fillId="5" borderId="11" xfId="0" applyFont="1" applyFill="1" applyBorder="1" applyAlignment="1" applyProtection="1">
      <alignment horizontal="center" vertical="center"/>
      <protection hidden="1"/>
    </xf>
    <xf numFmtId="0" fontId="4" fillId="0" borderId="0" xfId="0" applyFont="1" applyAlignment="1" applyProtection="1">
      <alignment horizontal="left"/>
      <protection hidden="1"/>
    </xf>
    <xf numFmtId="0" fontId="0" fillId="0" borderId="16" xfId="0" applyBorder="1" applyAlignment="1">
      <alignment horizontal="center"/>
    </xf>
    <xf numFmtId="0" fontId="0" fillId="0" borderId="26" xfId="0" applyBorder="1" applyAlignment="1" applyProtection="1">
      <alignment horizontal="left"/>
      <protection hidden="1"/>
    </xf>
    <xf numFmtId="0" fontId="0" fillId="0" borderId="27" xfId="0" applyBorder="1" applyAlignment="1" applyProtection="1">
      <alignment horizontal="center"/>
      <protection locked="0"/>
    </xf>
    <xf numFmtId="0" fontId="0" fillId="0" borderId="28" xfId="0" applyBorder="1" applyAlignment="1" applyProtection="1">
      <alignment horizontal="center"/>
      <protection locked="0"/>
    </xf>
    <xf numFmtId="0" fontId="0" fillId="0" borderId="29" xfId="0" applyBorder="1" applyAlignment="1" applyProtection="1">
      <alignment horizontal="center"/>
      <protection locked="0"/>
    </xf>
    <xf numFmtId="0" fontId="2" fillId="0" borderId="0" xfId="0" applyFont="1" applyBorder="1" applyAlignment="1">
      <alignment horizontal="center"/>
    </xf>
    <xf numFmtId="0" fontId="0" fillId="0" borderId="0" xfId="0" applyBorder="1" applyAlignment="1" applyProtection="1">
      <alignment horizontal="center"/>
      <protection locked="0"/>
    </xf>
    <xf numFmtId="0" fontId="0" fillId="0" borderId="0" xfId="0" applyBorder="1" applyAlignment="1" applyProtection="1">
      <alignment horizontal="center"/>
    </xf>
    <xf numFmtId="0" fontId="0" fillId="0" borderId="0" xfId="0" applyBorder="1" applyAlignment="1">
      <alignment horizontal="center"/>
    </xf>
    <xf numFmtId="0" fontId="5" fillId="15" borderId="10" xfId="0" applyFont="1" applyFill="1" applyBorder="1" applyAlignment="1" applyProtection="1">
      <alignment horizontal="center" vertical="center" wrapText="1"/>
      <protection hidden="1"/>
    </xf>
    <xf numFmtId="0" fontId="5" fillId="15" borderId="11" xfId="0" applyFont="1" applyFill="1" applyBorder="1" applyAlignment="1" applyProtection="1">
      <alignment horizontal="center" vertical="center" wrapText="1"/>
      <protection hidden="1"/>
    </xf>
    <xf numFmtId="0" fontId="5" fillId="4" borderId="10" xfId="0" applyFont="1" applyFill="1" applyBorder="1" applyAlignment="1" applyProtection="1">
      <alignment horizontal="center" vertical="center" wrapText="1"/>
      <protection hidden="1"/>
    </xf>
    <xf numFmtId="0" fontId="5" fillId="4" borderId="11" xfId="0" applyFont="1" applyFill="1" applyBorder="1" applyAlignment="1" applyProtection="1">
      <alignment horizontal="center" vertical="center" wrapText="1"/>
      <protection hidden="1"/>
    </xf>
    <xf numFmtId="0" fontId="2" fillId="4" borderId="9" xfId="0" applyFont="1" applyFill="1" applyBorder="1" applyAlignment="1" applyProtection="1">
      <alignment horizontal="left" vertical="center"/>
      <protection hidden="1"/>
    </xf>
    <xf numFmtId="0" fontId="2" fillId="0" borderId="34" xfId="0" applyFont="1" applyBorder="1" applyAlignment="1">
      <alignment horizontal="center" wrapText="1"/>
    </xf>
    <xf numFmtId="0" fontId="2" fillId="0" borderId="34" xfId="0" applyFont="1" applyBorder="1" applyAlignment="1">
      <alignment horizontal="left" vertical="center"/>
    </xf>
    <xf numFmtId="3" fontId="0" fillId="13" borderId="1" xfId="0" applyNumberFormat="1" applyFill="1" applyBorder="1" applyAlignment="1" applyProtection="1">
      <alignment horizontal="right"/>
      <protection hidden="1"/>
    </xf>
    <xf numFmtId="3" fontId="0" fillId="13" borderId="35" xfId="0" applyNumberFormat="1" applyFill="1" applyBorder="1" applyAlignment="1" applyProtection="1">
      <alignment horizontal="right"/>
      <protection hidden="1"/>
    </xf>
    <xf numFmtId="3" fontId="0" fillId="13" borderId="2" xfId="0" applyNumberFormat="1" applyFill="1" applyBorder="1" applyAlignment="1" applyProtection="1">
      <alignment horizontal="right"/>
      <protection hidden="1"/>
    </xf>
    <xf numFmtId="0" fontId="0" fillId="0" borderId="0" xfId="0" applyAlignment="1" applyProtection="1">
      <alignment horizontal="center"/>
      <protection hidden="1"/>
    </xf>
    <xf numFmtId="3" fontId="0" fillId="0" borderId="1" xfId="0" applyNumberFormat="1" applyBorder="1" applyAlignment="1" applyProtection="1">
      <alignment horizontal="right"/>
      <protection hidden="1"/>
    </xf>
    <xf numFmtId="3" fontId="0" fillId="0" borderId="35" xfId="0" applyNumberFormat="1" applyBorder="1" applyAlignment="1" applyProtection="1">
      <alignment horizontal="right"/>
      <protection hidden="1"/>
    </xf>
    <xf numFmtId="3" fontId="0" fillId="0" borderId="2" xfId="0" applyNumberFormat="1" applyBorder="1" applyAlignment="1" applyProtection="1">
      <alignment horizontal="right"/>
      <protection hidden="1"/>
    </xf>
    <xf numFmtId="0" fontId="5" fillId="4" borderId="8" xfId="0" applyFont="1" applyFill="1" applyBorder="1" applyAlignment="1" applyProtection="1">
      <alignment horizontal="center" vertical="center" wrapText="1"/>
      <protection hidden="1"/>
    </xf>
    <xf numFmtId="0" fontId="4" fillId="13" borderId="20" xfId="0" applyFont="1" applyFill="1" applyBorder="1" applyAlignment="1">
      <alignment horizontal="left" vertical="top" wrapText="1"/>
    </xf>
    <xf numFmtId="0" fontId="4" fillId="13" borderId="22" xfId="0" applyFont="1" applyFill="1" applyBorder="1" applyAlignment="1">
      <alignment horizontal="left" vertical="top" wrapText="1"/>
    </xf>
    <xf numFmtId="0" fontId="4" fillId="13" borderId="23" xfId="0" applyFont="1" applyFill="1" applyBorder="1" applyAlignment="1">
      <alignment horizontal="left" vertical="top" wrapText="1"/>
    </xf>
    <xf numFmtId="0" fontId="4" fillId="13" borderId="0" xfId="0" applyFont="1" applyFill="1" applyBorder="1" applyAlignment="1">
      <alignment horizontal="left" vertical="top" wrapText="1"/>
    </xf>
    <xf numFmtId="0" fontId="4" fillId="13" borderId="24" xfId="0" applyFont="1" applyFill="1" applyBorder="1" applyAlignment="1">
      <alignment horizontal="left" vertical="top" wrapText="1"/>
    </xf>
    <xf numFmtId="0" fontId="4" fillId="13" borderId="25" xfId="0" applyFont="1" applyFill="1" applyBorder="1" applyAlignment="1">
      <alignment horizontal="left" vertical="top" wrapText="1"/>
    </xf>
    <xf numFmtId="0" fontId="4" fillId="0" borderId="20" xfId="0" applyFont="1" applyFill="1" applyBorder="1" applyAlignment="1">
      <alignment horizontal="left" vertical="top" wrapText="1"/>
    </xf>
    <xf numFmtId="0" fontId="4" fillId="0" borderId="22" xfId="0" applyFont="1" applyFill="1" applyBorder="1" applyAlignment="1">
      <alignment horizontal="left" vertical="top" wrapText="1"/>
    </xf>
    <xf numFmtId="0" fontId="4" fillId="0" borderId="23" xfId="0" applyFont="1" applyFill="1" applyBorder="1" applyAlignment="1">
      <alignment horizontal="left" vertical="top" wrapText="1"/>
    </xf>
    <xf numFmtId="0" fontId="4" fillId="0" borderId="0" xfId="0" applyFont="1" applyFill="1" applyBorder="1" applyAlignment="1">
      <alignment horizontal="left" vertical="top" wrapText="1"/>
    </xf>
    <xf numFmtId="0" fontId="4" fillId="0" borderId="24" xfId="0" applyFont="1" applyFill="1" applyBorder="1" applyAlignment="1">
      <alignment horizontal="left" vertical="top" wrapText="1"/>
    </xf>
    <xf numFmtId="0" fontId="4" fillId="0" borderId="25" xfId="0" applyFont="1" applyFill="1" applyBorder="1" applyAlignment="1">
      <alignment horizontal="left" vertical="top" wrapText="1"/>
    </xf>
    <xf numFmtId="0" fontId="5" fillId="4" borderId="1" xfId="0" applyFont="1" applyFill="1" applyBorder="1" applyAlignment="1" applyProtection="1">
      <alignment horizontal="center" vertical="center" wrapText="1"/>
      <protection hidden="1"/>
    </xf>
    <xf numFmtId="0" fontId="5" fillId="4" borderId="2" xfId="0" applyFont="1" applyFill="1" applyBorder="1" applyAlignment="1" applyProtection="1">
      <alignment horizontal="center" vertical="center" wrapText="1"/>
      <protection hidden="1"/>
    </xf>
    <xf numFmtId="0" fontId="4" fillId="13" borderId="7" xfId="0" applyFont="1" applyFill="1" applyBorder="1" applyAlignment="1">
      <alignment horizontal="left" vertical="top" wrapText="1"/>
    </xf>
    <xf numFmtId="0" fontId="4" fillId="0" borderId="7" xfId="0" applyFont="1" applyBorder="1" applyAlignment="1">
      <alignment horizontal="left" vertical="top" wrapText="1"/>
    </xf>
    <xf numFmtId="0" fontId="5" fillId="4" borderId="18" xfId="0" applyFont="1" applyFill="1" applyBorder="1" applyAlignment="1" applyProtection="1">
      <alignment horizontal="center" vertical="center" wrapText="1"/>
      <protection hidden="1"/>
    </xf>
    <xf numFmtId="0" fontId="5" fillId="4" borderId="19" xfId="0" applyFont="1" applyFill="1" applyBorder="1" applyAlignment="1" applyProtection="1">
      <alignment horizontal="center" vertical="center" wrapText="1"/>
      <protection hidden="1"/>
    </xf>
    <xf numFmtId="0" fontId="2" fillId="0" borderId="8" xfId="0" applyFont="1" applyBorder="1" applyAlignment="1" applyProtection="1">
      <alignment horizontal="center"/>
      <protection hidden="1"/>
    </xf>
    <xf numFmtId="0" fontId="19" fillId="0" borderId="0" xfId="0" applyFont="1" applyBorder="1" applyAlignment="1" applyProtection="1">
      <alignment horizontal="center" vertical="center" wrapText="1"/>
      <protection hidden="1"/>
    </xf>
    <xf numFmtId="0" fontId="2" fillId="0" borderId="15" xfId="0" applyFont="1" applyBorder="1" applyAlignment="1" applyProtection="1">
      <alignment horizontal="center"/>
      <protection hidden="1"/>
    </xf>
    <xf numFmtId="0" fontId="2" fillId="0" borderId="16" xfId="0" applyFont="1" applyBorder="1" applyAlignment="1" applyProtection="1">
      <alignment horizontal="center"/>
      <protection hidden="1"/>
    </xf>
    <xf numFmtId="0" fontId="2" fillId="0" borderId="17" xfId="0" applyFont="1" applyBorder="1" applyAlignment="1" applyProtection="1">
      <alignment horizontal="center"/>
      <protection hidden="1"/>
    </xf>
    <xf numFmtId="3" fontId="16" fillId="0" borderId="36" xfId="0" applyNumberFormat="1" applyFont="1" applyBorder="1" applyAlignment="1" applyProtection="1">
      <alignment horizontal="right"/>
      <protection hidden="1"/>
    </xf>
    <xf numFmtId="3" fontId="16" fillId="0" borderId="0" xfId="0" applyNumberFormat="1" applyFont="1" applyBorder="1" applyAlignment="1" applyProtection="1">
      <alignment horizontal="right"/>
      <protection hidden="1"/>
    </xf>
    <xf numFmtId="0" fontId="16" fillId="0" borderId="0" xfId="0" applyFont="1" applyBorder="1" applyAlignment="1" applyProtection="1">
      <alignment horizontal="center"/>
      <protection locked="0"/>
    </xf>
    <xf numFmtId="0" fontId="4" fillId="4" borderId="1" xfId="0" applyFont="1" applyFill="1" applyBorder="1" applyAlignment="1" applyProtection="1">
      <alignment horizontal="center" vertical="center" wrapText="1"/>
      <protection hidden="1"/>
    </xf>
    <xf numFmtId="0" fontId="4" fillId="4" borderId="35" xfId="0" applyFont="1" applyFill="1" applyBorder="1" applyAlignment="1" applyProtection="1">
      <alignment horizontal="center" vertical="center" wrapText="1"/>
      <protection hidden="1"/>
    </xf>
    <xf numFmtId="0" fontId="4" fillId="4" borderId="2" xfId="0" applyFont="1" applyFill="1" applyBorder="1" applyAlignment="1" applyProtection="1">
      <alignment horizontal="center" vertical="center" wrapText="1"/>
      <protection hidden="1"/>
    </xf>
    <xf numFmtId="0" fontId="2" fillId="13" borderId="49" xfId="0" applyFont="1" applyFill="1" applyBorder="1" applyAlignment="1">
      <alignment horizontal="center" vertical="center"/>
    </xf>
    <xf numFmtId="0" fontId="2" fillId="13" borderId="50" xfId="0" applyFont="1" applyFill="1" applyBorder="1" applyAlignment="1">
      <alignment horizontal="center" vertical="center"/>
    </xf>
    <xf numFmtId="0" fontId="2" fillId="13" borderId="51" xfId="0" applyFont="1" applyFill="1" applyBorder="1" applyAlignment="1">
      <alignment horizontal="center" vertical="center"/>
    </xf>
    <xf numFmtId="0" fontId="2" fillId="13" borderId="52" xfId="0" applyFont="1" applyFill="1" applyBorder="1" applyAlignment="1">
      <alignment horizontal="center" vertical="center"/>
    </xf>
    <xf numFmtId="0" fontId="2" fillId="0" borderId="0" xfId="0" applyFont="1" applyAlignment="1">
      <alignment horizontal="left" wrapText="1"/>
    </xf>
    <xf numFmtId="0" fontId="0" fillId="0" borderId="21" xfId="0" applyBorder="1" applyAlignment="1">
      <alignment horizontal="center" vertical="center"/>
    </xf>
    <xf numFmtId="0" fontId="0" fillId="0" borderId="53" xfId="0" applyBorder="1" applyAlignment="1">
      <alignment horizontal="center" vertical="center"/>
    </xf>
    <xf numFmtId="0" fontId="2" fillId="0" borderId="15" xfId="0" applyFont="1" applyBorder="1" applyAlignment="1">
      <alignment horizontal="center"/>
    </xf>
    <xf numFmtId="0" fontId="2" fillId="0" borderId="17" xfId="0" applyFont="1" applyBorder="1" applyAlignment="1">
      <alignment horizontal="center"/>
    </xf>
    <xf numFmtId="0" fontId="2" fillId="0" borderId="0" xfId="0" applyFont="1" applyAlignment="1">
      <alignment horizontal="left"/>
    </xf>
    <xf numFmtId="0" fontId="2" fillId="0" borderId="26" xfId="0" applyFont="1" applyBorder="1" applyAlignment="1">
      <alignment horizontal="left"/>
    </xf>
    <xf numFmtId="0" fontId="2" fillId="0" borderId="8" xfId="0" applyFont="1" applyBorder="1" applyAlignment="1">
      <alignment horizontal="left" vertical="center" wrapText="1"/>
    </xf>
    <xf numFmtId="0" fontId="2" fillId="0" borderId="15" xfId="0" applyFont="1" applyBorder="1" applyAlignment="1" applyProtection="1">
      <alignment horizontal="center"/>
      <protection locked="0"/>
    </xf>
    <xf numFmtId="0" fontId="2" fillId="0" borderId="17" xfId="0" applyFont="1" applyBorder="1" applyAlignment="1" applyProtection="1">
      <alignment horizontal="center"/>
      <protection locked="0"/>
    </xf>
  </cellXfs>
  <cellStyles count="4">
    <cellStyle name="Comma" xfId="2" builtinId="3"/>
    <cellStyle name="Hyperlink" xfId="3" builtinId="8"/>
    <cellStyle name="Normal" xfId="0" builtinId="0"/>
    <cellStyle name="Percent" xfId="1" builtinId="5"/>
  </cellStyles>
  <dxfs count="54">
    <dxf>
      <border>
        <left style="thin">
          <color auto="1"/>
        </left>
        <vertical/>
        <horizontal/>
      </border>
    </dxf>
    <dxf>
      <border>
        <left style="thin">
          <color theme="0" tint="-0.24994659260841701"/>
        </left>
        <vertical/>
        <horizontal/>
      </border>
    </dxf>
    <dxf>
      <font>
        <color theme="0"/>
      </font>
      <border>
        <left style="thin">
          <color theme="0"/>
        </left>
        <right style="thin">
          <color theme="0"/>
        </right>
        <top style="thin">
          <color theme="0"/>
        </top>
        <bottom style="thin">
          <color theme="0"/>
        </bottom>
        <vertical/>
        <horizontal/>
      </border>
    </dxf>
    <dxf>
      <font>
        <color theme="1"/>
      </font>
      <border>
        <left style="thin">
          <color theme="1"/>
        </left>
        <right style="thin">
          <color theme="1"/>
        </right>
        <top style="thin">
          <color theme="1"/>
        </top>
        <bottom style="thin">
          <color theme="1"/>
        </bottom>
      </border>
    </dxf>
    <dxf>
      <font>
        <color theme="0"/>
      </font>
      <border>
        <left style="thin">
          <color theme="0"/>
        </left>
        <right style="thin">
          <color theme="0"/>
        </right>
        <top style="thin">
          <color theme="0"/>
        </top>
        <bottom style="thin">
          <color theme="0"/>
        </bottom>
      </border>
    </dxf>
    <dxf>
      <font>
        <color theme="9"/>
      </font>
      <fill>
        <patternFill>
          <bgColor theme="9"/>
        </patternFill>
      </fill>
    </dxf>
    <dxf>
      <font>
        <color theme="3" tint="0.59996337778862885"/>
      </font>
      <fill>
        <patternFill>
          <bgColor theme="3" tint="0.59996337778862885"/>
        </patternFill>
      </fill>
    </dxf>
    <dxf>
      <font>
        <color theme="7" tint="0.59996337778862885"/>
      </font>
      <fill>
        <patternFill>
          <bgColor theme="7" tint="0.59996337778862885"/>
        </patternFill>
      </fill>
    </dxf>
    <dxf>
      <fill>
        <patternFill>
          <bgColor theme="5" tint="0.79998168889431442"/>
        </patternFill>
      </fill>
    </dxf>
    <dxf>
      <font>
        <color rgb="FF9C0006"/>
      </font>
      <fill>
        <patternFill>
          <bgColor rgb="FFFFC7CE"/>
        </patternFill>
      </fill>
    </dxf>
    <dxf>
      <font>
        <color rgb="FF9C0006"/>
      </font>
      <fill>
        <patternFill>
          <bgColor rgb="FFFFC7CE"/>
        </patternFill>
      </fill>
    </dxf>
    <dxf>
      <fill>
        <patternFill patternType="solid">
          <fgColor auto="1"/>
          <bgColor rgb="FF92D050"/>
        </patternFill>
      </fill>
    </dxf>
    <dxf>
      <fill>
        <patternFill>
          <bgColor theme="5" tint="0.59996337778862885"/>
        </patternFill>
      </fill>
    </dxf>
    <dxf>
      <fill>
        <patternFill patternType="solid">
          <fgColor auto="1"/>
          <bgColor rgb="FF92D050"/>
        </patternFill>
      </fill>
    </dxf>
    <dxf>
      <fill>
        <patternFill>
          <bgColor theme="5" tint="0.59996337778862885"/>
        </patternFill>
      </fill>
    </dxf>
    <dxf>
      <fill>
        <patternFill patternType="solid">
          <fgColor auto="1"/>
          <bgColor rgb="FF92D050"/>
        </patternFill>
      </fill>
    </dxf>
    <dxf>
      <fill>
        <patternFill>
          <bgColor theme="5" tint="0.59996337778862885"/>
        </patternFill>
      </fill>
    </dxf>
    <dxf>
      <font>
        <color theme="0"/>
      </font>
      <fill>
        <patternFill>
          <bgColor theme="0"/>
        </patternFill>
      </fill>
      <border>
        <left style="thin">
          <color theme="0"/>
        </left>
        <right style="thin">
          <color theme="0"/>
        </right>
        <top style="thin">
          <color theme="0"/>
        </top>
        <bottom style="thin">
          <color theme="0"/>
        </bottom>
        <vertical/>
        <horizontal/>
      </border>
    </dxf>
    <dxf>
      <font>
        <color theme="0"/>
      </font>
    </dxf>
    <dxf>
      <fill>
        <patternFill>
          <bgColor theme="6" tint="0.39994506668294322"/>
        </patternFill>
      </fill>
    </dxf>
    <dxf>
      <fill>
        <patternFill>
          <bgColor theme="5" tint="0.39994506668294322"/>
        </patternFill>
      </fill>
    </dxf>
    <dxf>
      <font>
        <color theme="0"/>
      </font>
      <fill>
        <patternFill>
          <bgColor theme="0"/>
        </patternFill>
      </fill>
      <border>
        <left style="thin">
          <color theme="0"/>
        </left>
        <right style="thin">
          <color theme="0"/>
        </right>
        <top style="thin">
          <color theme="0"/>
        </top>
        <bottom style="thin">
          <color theme="0"/>
        </bottom>
        <vertical/>
        <horizontal/>
      </border>
    </dxf>
    <dxf>
      <fill>
        <patternFill>
          <bgColor theme="6" tint="0.39994506668294322"/>
        </patternFill>
      </fill>
    </dxf>
    <dxf>
      <fill>
        <patternFill>
          <bgColor theme="5" tint="0.39994506668294322"/>
        </patternFill>
      </fill>
    </dxf>
    <dxf>
      <fill>
        <patternFill>
          <bgColor theme="6" tint="0.39994506668294322"/>
        </patternFill>
      </fill>
    </dxf>
    <dxf>
      <fill>
        <patternFill>
          <bgColor theme="5" tint="0.39994506668294322"/>
        </patternFill>
      </fill>
    </dxf>
    <dxf>
      <fill>
        <patternFill>
          <bgColor theme="6" tint="0.39994506668294322"/>
        </patternFill>
      </fill>
    </dxf>
    <dxf>
      <fill>
        <patternFill>
          <bgColor theme="5" tint="0.39994506668294322"/>
        </patternFill>
      </fill>
    </dxf>
    <dxf>
      <font>
        <color theme="0"/>
      </font>
      <border>
        <left style="thin">
          <color theme="0"/>
        </left>
        <right style="thin">
          <color theme="0"/>
        </right>
        <top style="thin">
          <color theme="0"/>
        </top>
        <bottom style="thin">
          <color theme="0"/>
        </bottom>
        <vertical/>
        <horizontal/>
      </border>
    </dxf>
    <dxf>
      <font>
        <color theme="0"/>
      </font>
      <fill>
        <patternFill>
          <bgColor theme="0"/>
        </patternFill>
      </fill>
      <border>
        <left style="thin">
          <color theme="0"/>
        </left>
        <right style="thin">
          <color theme="0"/>
        </right>
        <top style="thin">
          <color theme="0"/>
        </top>
        <bottom style="thin">
          <color theme="0"/>
        </bottom>
        <vertical/>
        <horizontal/>
      </border>
    </dxf>
    <dxf>
      <font>
        <color theme="0"/>
      </font>
      <border>
        <left style="thin">
          <color theme="0"/>
        </left>
        <right style="thin">
          <color theme="0"/>
        </right>
        <top style="thin">
          <color theme="0"/>
        </top>
        <bottom style="thin">
          <color theme="0"/>
        </bottom>
        <vertical/>
        <horizontal/>
      </border>
    </dxf>
    <dxf>
      <font>
        <color theme="0"/>
      </font>
      <fill>
        <patternFill>
          <bgColor theme="0"/>
        </patternFill>
      </fill>
      <border>
        <left style="thin">
          <color theme="0"/>
        </left>
        <right style="thin">
          <color theme="0"/>
        </right>
        <top style="thin">
          <color theme="0"/>
        </top>
        <bottom style="thin">
          <color theme="0"/>
        </bottom>
        <vertical/>
        <horizontal/>
      </border>
    </dxf>
    <dxf>
      <font>
        <color theme="0"/>
      </font>
      <fill>
        <patternFill>
          <bgColor theme="0"/>
        </patternFill>
      </fill>
      <border>
        <left/>
        <right/>
        <top/>
        <bottom/>
        <vertical/>
        <horizontal/>
      </border>
    </dxf>
    <dxf>
      <fill>
        <patternFill>
          <bgColor theme="7" tint="0.79998168889431442"/>
        </patternFill>
      </fill>
    </dxf>
    <dxf>
      <fill>
        <patternFill>
          <bgColor theme="3" tint="0.79998168889431442"/>
        </patternFill>
      </fill>
    </dxf>
    <dxf>
      <fill>
        <patternFill>
          <bgColor theme="9" tint="0.79998168889431442"/>
        </patternFill>
      </fill>
    </dxf>
    <dxf>
      <fill>
        <patternFill>
          <bgColor theme="7" tint="0.79998168889431442"/>
        </patternFill>
      </fill>
    </dxf>
    <dxf>
      <fill>
        <patternFill>
          <bgColor theme="3" tint="0.79998168889431442"/>
        </patternFill>
      </fill>
    </dxf>
    <dxf>
      <fill>
        <patternFill>
          <bgColor theme="9" tint="0.79998168889431442"/>
        </patternFill>
      </fill>
    </dxf>
    <dxf>
      <fill>
        <patternFill>
          <bgColor theme="7" tint="0.79998168889431442"/>
        </patternFill>
      </fill>
    </dxf>
    <dxf>
      <fill>
        <patternFill>
          <bgColor theme="3" tint="0.79998168889431442"/>
        </patternFill>
      </fill>
    </dxf>
    <dxf>
      <fill>
        <patternFill>
          <bgColor theme="9" tint="0.79998168889431442"/>
        </patternFill>
      </fill>
    </dxf>
    <dxf>
      <font>
        <color theme="9"/>
      </font>
      <fill>
        <patternFill>
          <bgColor theme="9"/>
        </patternFill>
      </fill>
    </dxf>
    <dxf>
      <font>
        <color theme="3" tint="0.59996337778862885"/>
      </font>
      <fill>
        <patternFill>
          <bgColor theme="3" tint="0.59996337778862885"/>
        </patternFill>
      </fill>
    </dxf>
    <dxf>
      <font>
        <color theme="7" tint="0.59996337778862885"/>
      </font>
      <fill>
        <patternFill>
          <bgColor theme="7" tint="0.59996337778862885"/>
        </patternFill>
      </fill>
    </dxf>
    <dxf>
      <fill>
        <patternFill>
          <bgColor theme="5"/>
        </patternFill>
      </fill>
    </dxf>
    <dxf>
      <fill>
        <patternFill>
          <bgColor theme="5"/>
        </patternFill>
      </fill>
    </dxf>
    <dxf>
      <fill>
        <patternFill>
          <bgColor theme="5" tint="0.79998168889431442"/>
        </patternFill>
      </fill>
      <border>
        <left style="thin">
          <color auto="1"/>
        </left>
        <right style="thin">
          <color auto="1"/>
        </right>
        <top style="thin">
          <color auto="1"/>
        </top>
        <bottom style="thin">
          <color auto="1"/>
        </bottom>
        <vertical/>
        <horizontal/>
      </border>
    </dxf>
    <dxf>
      <fill>
        <patternFill>
          <bgColor theme="8" tint="0.59996337778862885"/>
        </patternFill>
      </fill>
      <border>
        <left style="thin">
          <color auto="1"/>
        </left>
        <right style="thin">
          <color auto="1"/>
        </right>
        <top style="thin">
          <color auto="1"/>
        </top>
        <bottom style="thin">
          <color auto="1"/>
        </bottom>
      </border>
    </dxf>
    <dxf>
      <fill>
        <patternFill>
          <bgColor theme="9" tint="0.39994506668294322"/>
        </patternFill>
      </fill>
      <border>
        <left style="thin">
          <color theme="1"/>
        </left>
        <right style="thin">
          <color theme="1"/>
        </right>
        <top style="thin">
          <color theme="1"/>
        </top>
        <bottom style="thin">
          <color theme="1"/>
        </bottom>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6" tint="0.79998168889431442"/>
        </patternFill>
      </fill>
      <border>
        <left style="thin">
          <color auto="1"/>
        </left>
        <right style="thin">
          <color auto="1"/>
        </right>
        <top style="thin">
          <color auto="1"/>
        </top>
        <bottom style="thin">
          <color auto="1"/>
        </bottom>
        <vertical/>
        <horizontal/>
      </border>
    </dxf>
    <dxf>
      <border>
        <left style="thin">
          <color theme="1" tint="0.34998626667073579"/>
        </left>
        <right style="thin">
          <color theme="1" tint="0.34998626667073579"/>
        </right>
        <top style="thin">
          <color theme="1" tint="0.34998626667073579"/>
        </top>
        <bottom style="thin">
          <color theme="1" tint="0.34998626667073579"/>
        </bottom>
        <vertical/>
        <horizontal/>
      </border>
    </dxf>
    <dxf>
      <fill>
        <patternFill>
          <bgColor theme="6"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45"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alcChain" Target="calcChain.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5.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7.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9.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'DC Balance (hide)'!$P$3</c:f>
          <c:strCache>
            <c:ptCount val="1"/>
            <c:pt idx="0">
              <c:v>Demand and capacity balance for all processes, week commencing 30 Dec 2019</c:v>
            </c:pt>
          </c:strCache>
        </c:strRef>
      </c:tx>
      <c:overlay val="0"/>
    </c:title>
    <c:autoTitleDeleted val="0"/>
    <c:plotArea>
      <c:layout/>
      <c:barChart>
        <c:barDir val="col"/>
        <c:grouping val="stacked"/>
        <c:varyColors val="0"/>
        <c:ser>
          <c:idx val="0"/>
          <c:order val="0"/>
          <c:tx>
            <c:v>Lower</c:v>
          </c:tx>
          <c:spPr>
            <a:noFill/>
          </c:spPr>
          <c:invertIfNegative val="0"/>
          <c:cat>
            <c:multiLvlStrRef>
              <c:f>[0]!range_DCBalance_XAxis</c:f>
              <c:multiLvlStrCache>
                <c:ptCount val="3"/>
                <c:lvl>
                  <c:pt idx="1">
                    <c:v>New</c:v>
                  </c:pt>
                  <c:pt idx="2">
                    <c:v> </c:v>
                  </c:pt>
                </c:lvl>
                <c:lvl>
                  <c:pt idx="0">
                    <c:v>test service</c:v>
                  </c:pt>
                </c:lvl>
              </c:multiLvlStrCache>
            </c:multiLvlStrRef>
          </c:cat>
          <c:val>
            <c:numRef>
              <c:f>[0]!range_DCBalance_Lower</c:f>
              <c:numCache>
                <c:formatCode>#,##0</c:formatCode>
                <c:ptCount val="3"/>
                <c:pt idx="0">
                  <c:v>0</c:v>
                </c:pt>
                <c:pt idx="1">
                  <c:v>23.375250655101734</c:v>
                </c:pt>
                <c:pt idx="2">
                  <c:v>0</c:v>
                </c:pt>
              </c:numCache>
            </c:numRef>
          </c:val>
          <c:extLst>
            <c:ext xmlns:c16="http://schemas.microsoft.com/office/drawing/2014/chart" uri="{C3380CC4-5D6E-409C-BE32-E72D297353CC}">
              <c16:uniqueId val="{00000000-2C72-4670-8AB4-C2052D202E18}"/>
            </c:ext>
          </c:extLst>
        </c:ser>
        <c:ser>
          <c:idx val="1"/>
          <c:order val="1"/>
          <c:tx>
            <c:v>Upper</c:v>
          </c:tx>
          <c:spPr>
            <a:solidFill>
              <a:schemeClr val="accent1">
                <a:lumMod val="40000"/>
                <a:lumOff val="60000"/>
              </a:schemeClr>
            </a:solidFill>
            <a:ln>
              <a:solidFill>
                <a:schemeClr val="tx1"/>
              </a:solidFill>
            </a:ln>
          </c:spPr>
          <c:invertIfNegative val="0"/>
          <c:cat>
            <c:multiLvlStrRef>
              <c:f>[0]!range_DCBalance_XAxis</c:f>
              <c:multiLvlStrCache>
                <c:ptCount val="3"/>
                <c:lvl>
                  <c:pt idx="1">
                    <c:v>New</c:v>
                  </c:pt>
                  <c:pt idx="2">
                    <c:v> </c:v>
                  </c:pt>
                </c:lvl>
                <c:lvl>
                  <c:pt idx="0">
                    <c:v>test service</c:v>
                  </c:pt>
                </c:lvl>
              </c:multiLvlStrCache>
            </c:multiLvlStrRef>
          </c:cat>
          <c:val>
            <c:numRef>
              <c:f>[0]!range_DCBalance_Upper</c:f>
              <c:numCache>
                <c:formatCode>#,##0</c:formatCode>
                <c:ptCount val="3"/>
                <c:pt idx="0">
                  <c:v>0</c:v>
                </c:pt>
                <c:pt idx="1">
                  <c:v>1.1200640938902922</c:v>
                </c:pt>
                <c:pt idx="2">
                  <c:v>0</c:v>
                </c:pt>
              </c:numCache>
            </c:numRef>
          </c:val>
          <c:extLst>
            <c:ext xmlns:c16="http://schemas.microsoft.com/office/drawing/2014/chart" uri="{C3380CC4-5D6E-409C-BE32-E72D297353CC}">
              <c16:uniqueId val="{00000001-2C72-4670-8AB4-C2052D202E18}"/>
            </c:ext>
          </c:extLst>
        </c:ser>
        <c:dLbls>
          <c:showLegendKey val="0"/>
          <c:showVal val="0"/>
          <c:showCatName val="0"/>
          <c:showSerName val="0"/>
          <c:showPercent val="0"/>
          <c:showBubbleSize val="0"/>
        </c:dLbls>
        <c:gapWidth val="250"/>
        <c:overlap val="100"/>
        <c:axId val="259238528"/>
        <c:axId val="263267072"/>
      </c:barChart>
      <c:lineChart>
        <c:grouping val="standard"/>
        <c:varyColors val="0"/>
        <c:ser>
          <c:idx val="3"/>
          <c:order val="2"/>
          <c:tx>
            <c:v>Capacity (Core)</c:v>
          </c:tx>
          <c:spPr>
            <a:ln w="28575">
              <a:noFill/>
            </a:ln>
          </c:spPr>
          <c:val>
            <c:numRef>
              <c:f>[0]!Range_DCBalance_CapacityCore</c:f>
              <c:numCache>
                <c:formatCode>#,##0</c:formatCode>
                <c:ptCount val="3"/>
                <c:pt idx="0">
                  <c:v>#N/A</c:v>
                </c:pt>
                <c:pt idx="1">
                  <c:v>8.5711359506635088</c:v>
                </c:pt>
                <c:pt idx="2">
                  <c:v>#N/A</c:v>
                </c:pt>
              </c:numCache>
            </c:numRef>
          </c:val>
          <c:smooth val="0"/>
          <c:extLst>
            <c:ext xmlns:c16="http://schemas.microsoft.com/office/drawing/2014/chart" uri="{C3380CC4-5D6E-409C-BE32-E72D297353CC}">
              <c16:uniqueId val="{00000000-B40F-40C2-BE75-072DCDA0A22B}"/>
            </c:ext>
          </c:extLst>
        </c:ser>
        <c:ser>
          <c:idx val="2"/>
          <c:order val="3"/>
          <c:tx>
            <c:v>Capacity</c:v>
          </c:tx>
          <c:spPr>
            <a:ln>
              <a:noFill/>
            </a:ln>
          </c:spPr>
          <c:marker>
            <c:symbol val="x"/>
            <c:size val="7"/>
            <c:spPr>
              <a:noFill/>
              <a:ln w="22225">
                <a:solidFill>
                  <a:schemeClr val="tx2"/>
                </a:solidFill>
              </a:ln>
            </c:spPr>
          </c:marker>
          <c:cat>
            <c:multiLvlStrRef>
              <c:f>[0]!range_DCBalance_XAxis</c:f>
              <c:multiLvlStrCache>
                <c:ptCount val="3"/>
                <c:lvl>
                  <c:pt idx="1">
                    <c:v>New</c:v>
                  </c:pt>
                  <c:pt idx="2">
                    <c:v> </c:v>
                  </c:pt>
                </c:lvl>
                <c:lvl>
                  <c:pt idx="0">
                    <c:v>test service</c:v>
                  </c:pt>
                </c:lvl>
              </c:multiLvlStrCache>
            </c:multiLvlStrRef>
          </c:cat>
          <c:val>
            <c:numRef>
              <c:f>[0]!range_DCBalance_Capacity</c:f>
              <c:numCache>
                <c:formatCode>#,##0</c:formatCode>
                <c:ptCount val="3"/>
                <c:pt idx="0">
                  <c:v>#N/A</c:v>
                </c:pt>
                <c:pt idx="1">
                  <c:v>10.028082154066407</c:v>
                </c:pt>
                <c:pt idx="2">
                  <c:v>#N/A</c:v>
                </c:pt>
              </c:numCache>
            </c:numRef>
          </c:val>
          <c:smooth val="0"/>
          <c:extLst>
            <c:ext xmlns:c16="http://schemas.microsoft.com/office/drawing/2014/chart" uri="{C3380CC4-5D6E-409C-BE32-E72D297353CC}">
              <c16:uniqueId val="{00000002-2C72-4670-8AB4-C2052D202E18}"/>
            </c:ext>
          </c:extLst>
        </c:ser>
        <c:dLbls>
          <c:showLegendKey val="0"/>
          <c:showVal val="0"/>
          <c:showCatName val="0"/>
          <c:showSerName val="0"/>
          <c:showPercent val="0"/>
          <c:showBubbleSize val="0"/>
        </c:dLbls>
        <c:marker val="1"/>
        <c:smooth val="0"/>
        <c:axId val="259238528"/>
        <c:axId val="263267072"/>
      </c:lineChart>
      <c:catAx>
        <c:axId val="259238528"/>
        <c:scaling>
          <c:orientation val="minMax"/>
        </c:scaling>
        <c:delete val="0"/>
        <c:axPos val="b"/>
        <c:numFmt formatCode="General" sourceLinked="0"/>
        <c:majorTickMark val="none"/>
        <c:minorTickMark val="none"/>
        <c:tickLblPos val="nextTo"/>
        <c:txPr>
          <a:bodyPr rot="-5400000" vert="horz"/>
          <a:lstStyle/>
          <a:p>
            <a:pPr>
              <a:defRPr/>
            </a:pPr>
            <a:endParaRPr lang="en-US"/>
          </a:p>
        </c:txPr>
        <c:crossAx val="263267072"/>
        <c:crosses val="autoZero"/>
        <c:auto val="1"/>
        <c:lblAlgn val="ctr"/>
        <c:lblOffset val="100"/>
        <c:noMultiLvlLbl val="0"/>
      </c:catAx>
      <c:valAx>
        <c:axId val="263267072"/>
        <c:scaling>
          <c:orientation val="minMax"/>
          <c:max val="400"/>
        </c:scaling>
        <c:delete val="0"/>
        <c:axPos val="l"/>
        <c:majorGridlines>
          <c:spPr>
            <a:ln>
              <a:solidFill>
                <a:schemeClr val="bg1">
                  <a:lumMod val="95000"/>
                </a:schemeClr>
              </a:solidFill>
            </a:ln>
          </c:spPr>
        </c:majorGridlines>
        <c:numFmt formatCode="#,##0" sourceLinked="0"/>
        <c:majorTickMark val="out"/>
        <c:minorTickMark val="none"/>
        <c:tickLblPos val="nextTo"/>
        <c:crossAx val="259238528"/>
        <c:crosses val="autoZero"/>
        <c:crossBetween val="between"/>
      </c:valAx>
    </c:plotArea>
    <c:legend>
      <c:legendPos val="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'DC Balance (hide)'!$P$3</c:f>
          <c:strCache>
            <c:ptCount val="1"/>
            <c:pt idx="0">
              <c:v>Demand and capacity balance for all processes, week commencing 30 Dec 2019</c:v>
            </c:pt>
          </c:strCache>
        </c:strRef>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mn-lt"/>
              <a:ea typeface="+mn-ea"/>
              <a:cs typeface="+mn-cs"/>
            </a:defRPr>
          </a:pPr>
          <a:endParaRPr lang="en-US"/>
        </a:p>
      </c:txPr>
    </c:title>
    <c:autoTitleDeleted val="0"/>
    <c:plotArea>
      <c:layout/>
      <c:areaChart>
        <c:grouping val="stacked"/>
        <c:varyColors val="0"/>
        <c:ser>
          <c:idx val="1"/>
          <c:order val="1"/>
          <c:tx>
            <c:v>Lower (hide)</c:v>
          </c:tx>
          <c:spPr>
            <a:noFill/>
            <a:ln>
              <a:noFill/>
            </a:ln>
            <a:effectLst/>
          </c:spPr>
          <c:cat>
            <c:numRef>
              <c:f>'DC Balance (hide)'!$K$39:$K$90</c:f>
              <c:numCache>
                <c:formatCode>m/d/yyyy</c:formatCode>
                <c:ptCount val="52"/>
                <c:pt idx="0">
                  <c:v>43829</c:v>
                </c:pt>
                <c:pt idx="1">
                  <c:v>43836</c:v>
                </c:pt>
                <c:pt idx="2">
                  <c:v>43843</c:v>
                </c:pt>
                <c:pt idx="3">
                  <c:v>43850</c:v>
                </c:pt>
                <c:pt idx="4">
                  <c:v>43857</c:v>
                </c:pt>
                <c:pt idx="5">
                  <c:v>43864</c:v>
                </c:pt>
                <c:pt idx="6">
                  <c:v>43871</c:v>
                </c:pt>
                <c:pt idx="7">
                  <c:v>43878</c:v>
                </c:pt>
                <c:pt idx="8">
                  <c:v>43885</c:v>
                </c:pt>
                <c:pt idx="9">
                  <c:v>43892</c:v>
                </c:pt>
                <c:pt idx="10">
                  <c:v>43899</c:v>
                </c:pt>
                <c:pt idx="11">
                  <c:v>43906</c:v>
                </c:pt>
                <c:pt idx="12">
                  <c:v>43913</c:v>
                </c:pt>
                <c:pt idx="13">
                  <c:v>43920</c:v>
                </c:pt>
                <c:pt idx="14">
                  <c:v>43927</c:v>
                </c:pt>
                <c:pt idx="15">
                  <c:v>43934</c:v>
                </c:pt>
                <c:pt idx="16">
                  <c:v>43941</c:v>
                </c:pt>
                <c:pt idx="17">
                  <c:v>43948</c:v>
                </c:pt>
                <c:pt idx="18">
                  <c:v>43955</c:v>
                </c:pt>
                <c:pt idx="19">
                  <c:v>43962</c:v>
                </c:pt>
                <c:pt idx="20">
                  <c:v>43969</c:v>
                </c:pt>
                <c:pt idx="21">
                  <c:v>43976</c:v>
                </c:pt>
                <c:pt idx="22">
                  <c:v>43983</c:v>
                </c:pt>
                <c:pt idx="23">
                  <c:v>43990</c:v>
                </c:pt>
                <c:pt idx="24">
                  <c:v>43997</c:v>
                </c:pt>
                <c:pt idx="25">
                  <c:v>44004</c:v>
                </c:pt>
                <c:pt idx="26">
                  <c:v>44011</c:v>
                </c:pt>
                <c:pt idx="27">
                  <c:v>44018</c:v>
                </c:pt>
                <c:pt idx="28">
                  <c:v>44025</c:v>
                </c:pt>
                <c:pt idx="29">
                  <c:v>44032</c:v>
                </c:pt>
                <c:pt idx="30">
                  <c:v>44039</c:v>
                </c:pt>
                <c:pt idx="31">
                  <c:v>44046</c:v>
                </c:pt>
                <c:pt idx="32">
                  <c:v>44053</c:v>
                </c:pt>
                <c:pt idx="33">
                  <c:v>44060</c:v>
                </c:pt>
                <c:pt idx="34">
                  <c:v>44067</c:v>
                </c:pt>
                <c:pt idx="35">
                  <c:v>44074</c:v>
                </c:pt>
                <c:pt idx="36">
                  <c:v>44081</c:v>
                </c:pt>
                <c:pt idx="37">
                  <c:v>44088</c:v>
                </c:pt>
                <c:pt idx="38">
                  <c:v>44095</c:v>
                </c:pt>
                <c:pt idx="39">
                  <c:v>44102</c:v>
                </c:pt>
                <c:pt idx="40">
                  <c:v>44109</c:v>
                </c:pt>
                <c:pt idx="41">
                  <c:v>44116</c:v>
                </c:pt>
                <c:pt idx="42">
                  <c:v>44123</c:v>
                </c:pt>
                <c:pt idx="43">
                  <c:v>44130</c:v>
                </c:pt>
                <c:pt idx="44">
                  <c:v>44137</c:v>
                </c:pt>
                <c:pt idx="45">
                  <c:v>44144</c:v>
                </c:pt>
                <c:pt idx="46">
                  <c:v>44151</c:v>
                </c:pt>
                <c:pt idx="47">
                  <c:v>44158</c:v>
                </c:pt>
                <c:pt idx="48">
                  <c:v>44165</c:v>
                </c:pt>
                <c:pt idx="49">
                  <c:v>44172</c:v>
                </c:pt>
                <c:pt idx="50">
                  <c:v>44179</c:v>
                </c:pt>
                <c:pt idx="51">
                  <c:v>44186</c:v>
                </c:pt>
              </c:numCache>
            </c:numRef>
          </c:cat>
          <c:val>
            <c:numRef>
              <c:f>[0]!Range_DCBalance_LowerTIme</c:f>
              <c:numCache>
                <c:formatCode>0.0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5-B541-440C-92BD-6C23DED59454}"/>
            </c:ext>
          </c:extLst>
        </c:ser>
        <c:ser>
          <c:idx val="0"/>
          <c:order val="0"/>
          <c:tx>
            <c:strRef>
              <c:f>'DC Balance'!$M$51:$O$51</c:f>
              <c:strCache>
                <c:ptCount val="3"/>
                <c:pt idx="0">
                  <c:v>POD Type</c:v>
                </c:pt>
                <c:pt idx="1">
                  <c:v>--</c:v>
                </c:pt>
                <c:pt idx="2">
                  <c:v>--</c:v>
                </c:pt>
              </c:strCache>
            </c:strRef>
          </c:tx>
          <c:spPr>
            <a:solidFill>
              <a:schemeClr val="accent1"/>
            </a:solidFill>
            <a:ln>
              <a:noFill/>
            </a:ln>
            <a:effectLst/>
          </c:spPr>
          <c:cat>
            <c:numRef>
              <c:f>'DC Balance (hide)'!$K$39:$K$90</c:f>
              <c:numCache>
                <c:formatCode>m/d/yyyy</c:formatCode>
                <c:ptCount val="52"/>
                <c:pt idx="0">
                  <c:v>43829</c:v>
                </c:pt>
                <c:pt idx="1">
                  <c:v>43836</c:v>
                </c:pt>
                <c:pt idx="2">
                  <c:v>43843</c:v>
                </c:pt>
                <c:pt idx="3">
                  <c:v>43850</c:v>
                </c:pt>
                <c:pt idx="4">
                  <c:v>43857</c:v>
                </c:pt>
                <c:pt idx="5">
                  <c:v>43864</c:v>
                </c:pt>
                <c:pt idx="6">
                  <c:v>43871</c:v>
                </c:pt>
                <c:pt idx="7">
                  <c:v>43878</c:v>
                </c:pt>
                <c:pt idx="8">
                  <c:v>43885</c:v>
                </c:pt>
                <c:pt idx="9">
                  <c:v>43892</c:v>
                </c:pt>
                <c:pt idx="10">
                  <c:v>43899</c:v>
                </c:pt>
                <c:pt idx="11">
                  <c:v>43906</c:v>
                </c:pt>
                <c:pt idx="12">
                  <c:v>43913</c:v>
                </c:pt>
                <c:pt idx="13">
                  <c:v>43920</c:v>
                </c:pt>
                <c:pt idx="14">
                  <c:v>43927</c:v>
                </c:pt>
                <c:pt idx="15">
                  <c:v>43934</c:v>
                </c:pt>
                <c:pt idx="16">
                  <c:v>43941</c:v>
                </c:pt>
                <c:pt idx="17">
                  <c:v>43948</c:v>
                </c:pt>
                <c:pt idx="18">
                  <c:v>43955</c:v>
                </c:pt>
                <c:pt idx="19">
                  <c:v>43962</c:v>
                </c:pt>
                <c:pt idx="20">
                  <c:v>43969</c:v>
                </c:pt>
                <c:pt idx="21">
                  <c:v>43976</c:v>
                </c:pt>
                <c:pt idx="22">
                  <c:v>43983</c:v>
                </c:pt>
                <c:pt idx="23">
                  <c:v>43990</c:v>
                </c:pt>
                <c:pt idx="24">
                  <c:v>43997</c:v>
                </c:pt>
                <c:pt idx="25">
                  <c:v>44004</c:v>
                </c:pt>
                <c:pt idx="26">
                  <c:v>44011</c:v>
                </c:pt>
                <c:pt idx="27">
                  <c:v>44018</c:v>
                </c:pt>
                <c:pt idx="28">
                  <c:v>44025</c:v>
                </c:pt>
                <c:pt idx="29">
                  <c:v>44032</c:v>
                </c:pt>
                <c:pt idx="30">
                  <c:v>44039</c:v>
                </c:pt>
                <c:pt idx="31">
                  <c:v>44046</c:v>
                </c:pt>
                <c:pt idx="32">
                  <c:v>44053</c:v>
                </c:pt>
                <c:pt idx="33">
                  <c:v>44060</c:v>
                </c:pt>
                <c:pt idx="34">
                  <c:v>44067</c:v>
                </c:pt>
                <c:pt idx="35">
                  <c:v>44074</c:v>
                </c:pt>
                <c:pt idx="36">
                  <c:v>44081</c:v>
                </c:pt>
                <c:pt idx="37">
                  <c:v>44088</c:v>
                </c:pt>
                <c:pt idx="38">
                  <c:v>44095</c:v>
                </c:pt>
                <c:pt idx="39">
                  <c:v>44102</c:v>
                </c:pt>
                <c:pt idx="40">
                  <c:v>44109</c:v>
                </c:pt>
                <c:pt idx="41">
                  <c:v>44116</c:v>
                </c:pt>
                <c:pt idx="42">
                  <c:v>44123</c:v>
                </c:pt>
                <c:pt idx="43">
                  <c:v>44130</c:v>
                </c:pt>
                <c:pt idx="44">
                  <c:v>44137</c:v>
                </c:pt>
                <c:pt idx="45">
                  <c:v>44144</c:v>
                </c:pt>
                <c:pt idx="46">
                  <c:v>44151</c:v>
                </c:pt>
                <c:pt idx="47">
                  <c:v>44158</c:v>
                </c:pt>
                <c:pt idx="48">
                  <c:v>44165</c:v>
                </c:pt>
                <c:pt idx="49">
                  <c:v>44172</c:v>
                </c:pt>
                <c:pt idx="50">
                  <c:v>44179</c:v>
                </c:pt>
                <c:pt idx="51">
                  <c:v>44186</c:v>
                </c:pt>
              </c:numCache>
            </c:numRef>
          </c:cat>
          <c:val>
            <c:numRef>
              <c:f>'DC Balance'!$P$51</c:f>
            </c:numRef>
          </c:val>
          <c:extLst>
            <c:ext xmlns:c16="http://schemas.microsoft.com/office/drawing/2014/chart" uri="{C3380CC4-5D6E-409C-BE32-E72D297353CC}">
              <c16:uniqueId val="{00000000-B541-440C-92BD-6C23DED59454}"/>
            </c:ext>
          </c:extLst>
        </c:ser>
        <c:ser>
          <c:idx val="2"/>
          <c:order val="3"/>
          <c:tx>
            <c:v>Required capacity</c:v>
          </c:tx>
          <c:spPr>
            <a:solidFill>
              <a:schemeClr val="accent3"/>
            </a:solidFill>
            <a:ln w="3175">
              <a:solidFill>
                <a:schemeClr val="accent3"/>
              </a:solidFill>
            </a:ln>
            <a:effectLst/>
          </c:spPr>
          <c:cat>
            <c:numRef>
              <c:f>'DC Balance (hide)'!$K$39:$K$90</c:f>
              <c:numCache>
                <c:formatCode>m/d/yyyy</c:formatCode>
                <c:ptCount val="52"/>
                <c:pt idx="0">
                  <c:v>43829</c:v>
                </c:pt>
                <c:pt idx="1">
                  <c:v>43836</c:v>
                </c:pt>
                <c:pt idx="2">
                  <c:v>43843</c:v>
                </c:pt>
                <c:pt idx="3">
                  <c:v>43850</c:v>
                </c:pt>
                <c:pt idx="4">
                  <c:v>43857</c:v>
                </c:pt>
                <c:pt idx="5">
                  <c:v>43864</c:v>
                </c:pt>
                <c:pt idx="6">
                  <c:v>43871</c:v>
                </c:pt>
                <c:pt idx="7">
                  <c:v>43878</c:v>
                </c:pt>
                <c:pt idx="8">
                  <c:v>43885</c:v>
                </c:pt>
                <c:pt idx="9">
                  <c:v>43892</c:v>
                </c:pt>
                <c:pt idx="10">
                  <c:v>43899</c:v>
                </c:pt>
                <c:pt idx="11">
                  <c:v>43906</c:v>
                </c:pt>
                <c:pt idx="12">
                  <c:v>43913</c:v>
                </c:pt>
                <c:pt idx="13">
                  <c:v>43920</c:v>
                </c:pt>
                <c:pt idx="14">
                  <c:v>43927</c:v>
                </c:pt>
                <c:pt idx="15">
                  <c:v>43934</c:v>
                </c:pt>
                <c:pt idx="16">
                  <c:v>43941</c:v>
                </c:pt>
                <c:pt idx="17">
                  <c:v>43948</c:v>
                </c:pt>
                <c:pt idx="18">
                  <c:v>43955</c:v>
                </c:pt>
                <c:pt idx="19">
                  <c:v>43962</c:v>
                </c:pt>
                <c:pt idx="20">
                  <c:v>43969</c:v>
                </c:pt>
                <c:pt idx="21">
                  <c:v>43976</c:v>
                </c:pt>
                <c:pt idx="22">
                  <c:v>43983</c:v>
                </c:pt>
                <c:pt idx="23">
                  <c:v>43990</c:v>
                </c:pt>
                <c:pt idx="24">
                  <c:v>43997</c:v>
                </c:pt>
                <c:pt idx="25">
                  <c:v>44004</c:v>
                </c:pt>
                <c:pt idx="26">
                  <c:v>44011</c:v>
                </c:pt>
                <c:pt idx="27">
                  <c:v>44018</c:v>
                </c:pt>
                <c:pt idx="28">
                  <c:v>44025</c:v>
                </c:pt>
                <c:pt idx="29">
                  <c:v>44032</c:v>
                </c:pt>
                <c:pt idx="30">
                  <c:v>44039</c:v>
                </c:pt>
                <c:pt idx="31">
                  <c:v>44046</c:v>
                </c:pt>
                <c:pt idx="32">
                  <c:v>44053</c:v>
                </c:pt>
                <c:pt idx="33">
                  <c:v>44060</c:v>
                </c:pt>
                <c:pt idx="34">
                  <c:v>44067</c:v>
                </c:pt>
                <c:pt idx="35">
                  <c:v>44074</c:v>
                </c:pt>
                <c:pt idx="36">
                  <c:v>44081</c:v>
                </c:pt>
                <c:pt idx="37">
                  <c:v>44088</c:v>
                </c:pt>
                <c:pt idx="38">
                  <c:v>44095</c:v>
                </c:pt>
                <c:pt idx="39">
                  <c:v>44102</c:v>
                </c:pt>
                <c:pt idx="40">
                  <c:v>44109</c:v>
                </c:pt>
                <c:pt idx="41">
                  <c:v>44116</c:v>
                </c:pt>
                <c:pt idx="42">
                  <c:v>44123</c:v>
                </c:pt>
                <c:pt idx="43">
                  <c:v>44130</c:v>
                </c:pt>
                <c:pt idx="44">
                  <c:v>44137</c:v>
                </c:pt>
                <c:pt idx="45">
                  <c:v>44144</c:v>
                </c:pt>
                <c:pt idx="46">
                  <c:v>44151</c:v>
                </c:pt>
                <c:pt idx="47">
                  <c:v>44158</c:v>
                </c:pt>
                <c:pt idx="48">
                  <c:v>44165</c:v>
                </c:pt>
                <c:pt idx="49">
                  <c:v>44172</c:v>
                </c:pt>
                <c:pt idx="50">
                  <c:v>44179</c:v>
                </c:pt>
                <c:pt idx="51">
                  <c:v>44186</c:v>
                </c:pt>
              </c:numCache>
            </c:numRef>
          </c:cat>
          <c:val>
            <c:numRef>
              <c:f>[0]!Range_DCBalance_UpperTime</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6-B541-440C-92BD-6C23DED59454}"/>
            </c:ext>
          </c:extLst>
        </c:ser>
        <c:dLbls>
          <c:showLegendKey val="0"/>
          <c:showVal val="0"/>
          <c:showCatName val="0"/>
          <c:showSerName val="0"/>
          <c:showPercent val="0"/>
          <c:showBubbleSize val="0"/>
        </c:dLbls>
        <c:axId val="1042682832"/>
        <c:axId val="1042683488"/>
      </c:areaChart>
      <c:lineChart>
        <c:grouping val="standard"/>
        <c:varyColors val="0"/>
        <c:ser>
          <c:idx val="4"/>
          <c:order val="2"/>
          <c:tx>
            <c:v>Capacity (Core)</c:v>
          </c:tx>
          <c:spPr>
            <a:ln w="28575" cap="rnd">
              <a:solidFill>
                <a:schemeClr val="accent5"/>
              </a:solidFill>
              <a:round/>
            </a:ln>
            <a:effectLst/>
          </c:spPr>
          <c:marker>
            <c:symbol val="circle"/>
            <c:size val="5"/>
            <c:spPr>
              <a:solidFill>
                <a:schemeClr val="accent5"/>
              </a:solidFill>
              <a:ln w="9525">
                <a:solidFill>
                  <a:schemeClr val="accent5"/>
                </a:solidFill>
              </a:ln>
              <a:effectLst/>
            </c:spPr>
          </c:marker>
          <c:val>
            <c:numRef>
              <c:f>[0]!Range_DCBalance_CapacityCore_Time</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0-B43E-4BAC-985D-04E3B345FC29}"/>
            </c:ext>
          </c:extLst>
        </c:ser>
        <c:ser>
          <c:idx val="3"/>
          <c:order val="4"/>
          <c:tx>
            <c:v>Total available capacity</c:v>
          </c:tx>
          <c:spPr>
            <a:ln w="25400" cap="rnd">
              <a:solidFill>
                <a:schemeClr val="accent4"/>
              </a:solidFill>
              <a:round/>
            </a:ln>
            <a:effectLst/>
          </c:spPr>
          <c:marker>
            <c:symbol val="diamond"/>
            <c:size val="5"/>
            <c:spPr>
              <a:solidFill>
                <a:schemeClr val="accent4"/>
              </a:solidFill>
              <a:ln w="9525">
                <a:solidFill>
                  <a:schemeClr val="accent4"/>
                </a:solidFill>
              </a:ln>
              <a:effectLst/>
            </c:spPr>
          </c:marker>
          <c:val>
            <c:numRef>
              <c:f>[0]!Range_DCBalance_CapacityTime</c:f>
              <c:numCache>
                <c:formatCode>0.0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7-B541-440C-92BD-6C23DED59454}"/>
            </c:ext>
          </c:extLst>
        </c:ser>
        <c:dLbls>
          <c:showLegendKey val="0"/>
          <c:showVal val="0"/>
          <c:showCatName val="0"/>
          <c:showSerName val="0"/>
          <c:showPercent val="0"/>
          <c:showBubbleSize val="0"/>
        </c:dLbls>
        <c:marker val="1"/>
        <c:smooth val="0"/>
        <c:axId val="1042682832"/>
        <c:axId val="1042683488"/>
      </c:lineChart>
      <c:catAx>
        <c:axId val="104268283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2683488"/>
        <c:crosses val="autoZero"/>
        <c:auto val="0"/>
        <c:lblAlgn val="ctr"/>
        <c:lblOffset val="100"/>
        <c:noMultiLvlLbl val="0"/>
      </c:catAx>
      <c:valAx>
        <c:axId val="104268348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2682832"/>
        <c:crosses val="autoZero"/>
        <c:crossBetween val="between"/>
      </c:valAx>
      <c:spPr>
        <a:noFill/>
        <a:ln>
          <a:noFill/>
        </a:ln>
        <a:effectLst/>
      </c:spPr>
    </c:plotArea>
    <c:legend>
      <c:legendPos val="t"/>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'WL Balance (hide)'!$D$26</c:f>
          <c:strCache>
            <c:ptCount val="1"/>
            <c:pt idx="0">
              <c:v>Waiting list status for all processes</c:v>
            </c:pt>
          </c:strCache>
        </c:strRef>
      </c:tx>
      <c:overlay val="0"/>
    </c:title>
    <c:autoTitleDeleted val="0"/>
    <c:plotArea>
      <c:layout/>
      <c:barChart>
        <c:barDir val="col"/>
        <c:grouping val="stacked"/>
        <c:varyColors val="0"/>
        <c:ser>
          <c:idx val="0"/>
          <c:order val="0"/>
          <c:tx>
            <c:v>Lower bound</c:v>
          </c:tx>
          <c:spPr>
            <a:noFill/>
            <a:ln>
              <a:noFill/>
            </a:ln>
          </c:spPr>
          <c:invertIfNegative val="0"/>
          <c:cat>
            <c:multiLvlStrRef>
              <c:f>[0]!range_WLBalance_XAxis</c:f>
              <c:multiLvlStrCache>
                <c:ptCount val="4"/>
                <c:lvl>
                  <c:pt idx="1">
                    <c:v>New</c:v>
                  </c:pt>
                </c:lvl>
                <c:lvl>
                  <c:pt idx="0">
                    <c:v>test service</c:v>
                  </c:pt>
                  <c:pt idx="3">
                    <c:v> </c:v>
                  </c:pt>
                </c:lvl>
              </c:multiLvlStrCache>
            </c:multiLvlStrRef>
          </c:cat>
          <c:val>
            <c:numRef>
              <c:f>[0]!range_WLBalance_WLIdeal1</c:f>
              <c:numCache>
                <c:formatCode>#,##0</c:formatCode>
                <c:ptCount val="3"/>
                <c:pt idx="0">
                  <c:v>#N/A</c:v>
                </c:pt>
                <c:pt idx="1">
                  <c:v>40.434330285099513</c:v>
                </c:pt>
                <c:pt idx="2">
                  <c:v>#N/A</c:v>
                </c:pt>
              </c:numCache>
            </c:numRef>
          </c:val>
          <c:extLst>
            <c:ext xmlns:c16="http://schemas.microsoft.com/office/drawing/2014/chart" uri="{C3380CC4-5D6E-409C-BE32-E72D297353CC}">
              <c16:uniqueId val="{00000000-B998-423C-8674-A9FDB4C015D6}"/>
            </c:ext>
          </c:extLst>
        </c:ser>
        <c:ser>
          <c:idx val="1"/>
          <c:order val="1"/>
          <c:tx>
            <c:v>WL calculated range</c:v>
          </c:tx>
          <c:spPr>
            <a:solidFill>
              <a:schemeClr val="accent6">
                <a:lumMod val="40000"/>
                <a:lumOff val="60000"/>
              </a:schemeClr>
            </a:solidFill>
            <a:ln>
              <a:solidFill>
                <a:sysClr val="windowText" lastClr="000000"/>
              </a:solidFill>
            </a:ln>
          </c:spPr>
          <c:invertIfNegative val="0"/>
          <c:val>
            <c:numRef>
              <c:f>[0]!range_WLBalance_WLIdeal2</c:f>
              <c:numCache>
                <c:formatCode>#,##0</c:formatCode>
                <c:ptCount val="3"/>
                <c:pt idx="0">
                  <c:v>#N/A</c:v>
                </c:pt>
                <c:pt idx="1">
                  <c:v>4.2562452931683765</c:v>
                </c:pt>
                <c:pt idx="2">
                  <c:v>#N/A</c:v>
                </c:pt>
              </c:numCache>
            </c:numRef>
          </c:val>
          <c:extLst>
            <c:ext xmlns:c16="http://schemas.microsoft.com/office/drawing/2014/chart" uri="{C3380CC4-5D6E-409C-BE32-E72D297353CC}">
              <c16:uniqueId val="{00000001-B998-423C-8674-A9FDB4C015D6}"/>
            </c:ext>
          </c:extLst>
        </c:ser>
        <c:dLbls>
          <c:showLegendKey val="0"/>
          <c:showVal val="0"/>
          <c:showCatName val="0"/>
          <c:showSerName val="0"/>
          <c:showPercent val="0"/>
          <c:showBubbleSize val="0"/>
        </c:dLbls>
        <c:gapWidth val="14"/>
        <c:overlap val="100"/>
        <c:axId val="290853632"/>
        <c:axId val="290855552"/>
      </c:barChart>
      <c:lineChart>
        <c:grouping val="standard"/>
        <c:varyColors val="0"/>
        <c:ser>
          <c:idx val="2"/>
          <c:order val="2"/>
          <c:tx>
            <c:v>Current WL</c:v>
          </c:tx>
          <c:spPr>
            <a:ln>
              <a:noFill/>
            </a:ln>
          </c:spPr>
          <c:marker>
            <c:symbol val="diamond"/>
            <c:size val="7"/>
            <c:spPr>
              <a:ln>
                <a:solidFill>
                  <a:schemeClr val="tx1"/>
                </a:solidFill>
              </a:ln>
            </c:spPr>
          </c:marker>
          <c:val>
            <c:numRef>
              <c:f>[0]!range_WLBalance_WLActual</c:f>
              <c:numCache>
                <c:formatCode>#,##0</c:formatCode>
                <c:ptCount val="3"/>
                <c:pt idx="0">
                  <c:v>#N/A</c:v>
                </c:pt>
                <c:pt idx="1">
                  <c:v>56.78321678321678</c:v>
                </c:pt>
                <c:pt idx="2">
                  <c:v>#N/A</c:v>
                </c:pt>
              </c:numCache>
            </c:numRef>
          </c:val>
          <c:smooth val="0"/>
          <c:extLst>
            <c:ext xmlns:c16="http://schemas.microsoft.com/office/drawing/2014/chart" uri="{C3380CC4-5D6E-409C-BE32-E72D297353CC}">
              <c16:uniqueId val="{00000002-B998-423C-8674-A9FDB4C015D6}"/>
            </c:ext>
          </c:extLst>
        </c:ser>
        <c:dLbls>
          <c:showLegendKey val="0"/>
          <c:showVal val="0"/>
          <c:showCatName val="0"/>
          <c:showSerName val="0"/>
          <c:showPercent val="0"/>
          <c:showBubbleSize val="0"/>
        </c:dLbls>
        <c:marker val="1"/>
        <c:smooth val="0"/>
        <c:axId val="290853632"/>
        <c:axId val="290855552"/>
      </c:lineChart>
      <c:catAx>
        <c:axId val="290853632"/>
        <c:scaling>
          <c:orientation val="minMax"/>
        </c:scaling>
        <c:delete val="0"/>
        <c:axPos val="b"/>
        <c:numFmt formatCode="General" sourceLinked="0"/>
        <c:majorTickMark val="none"/>
        <c:minorTickMark val="none"/>
        <c:tickLblPos val="nextTo"/>
        <c:txPr>
          <a:bodyPr rot="-5400000" vert="horz"/>
          <a:lstStyle/>
          <a:p>
            <a:pPr>
              <a:defRPr sz="900"/>
            </a:pPr>
            <a:endParaRPr lang="en-US"/>
          </a:p>
        </c:txPr>
        <c:crossAx val="290855552"/>
        <c:crosses val="autoZero"/>
        <c:auto val="1"/>
        <c:lblAlgn val="ctr"/>
        <c:lblOffset val="100"/>
        <c:noMultiLvlLbl val="0"/>
      </c:catAx>
      <c:valAx>
        <c:axId val="290855552"/>
        <c:scaling>
          <c:orientation val="minMax"/>
        </c:scaling>
        <c:delete val="0"/>
        <c:axPos val="l"/>
        <c:majorGridlines>
          <c:spPr>
            <a:ln>
              <a:solidFill>
                <a:schemeClr val="bg1">
                  <a:lumMod val="95000"/>
                </a:schemeClr>
              </a:solidFill>
            </a:ln>
          </c:spPr>
        </c:majorGridlines>
        <c:numFmt formatCode="#,##0" sourceLinked="0"/>
        <c:majorTickMark val="out"/>
        <c:minorTickMark val="none"/>
        <c:tickLblPos val="nextTo"/>
        <c:crossAx val="290853632"/>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'Dependency (hide)'!$O$18</c:f>
          <c:strCache>
            <c:ptCount val="1"/>
            <c:pt idx="0">
              <c:v>Parameter: NASL (DC), for all processes</c:v>
            </c:pt>
          </c:strCache>
        </c:strRef>
      </c:tx>
      <c:overlay val="0"/>
    </c:title>
    <c:autoTitleDeleted val="0"/>
    <c:plotArea>
      <c:layout/>
      <c:barChart>
        <c:barDir val="col"/>
        <c:grouping val="clustered"/>
        <c:varyColors val="0"/>
        <c:ser>
          <c:idx val="2"/>
          <c:order val="0"/>
          <c:tx>
            <c:v>Parameter value</c:v>
          </c:tx>
          <c:spPr>
            <a:ln>
              <a:noFill/>
            </a:ln>
          </c:spPr>
          <c:invertIfNegative val="0"/>
          <c:cat>
            <c:multiLvlStrRef>
              <c:f>[0]!range_parameter_xaxis</c:f>
              <c:multiLvlStrCache>
                <c:ptCount val="3"/>
                <c:lvl>
                  <c:pt idx="1">
                    <c:v>New</c:v>
                  </c:pt>
                  <c:pt idx="2">
                    <c:v> </c:v>
                  </c:pt>
                </c:lvl>
                <c:lvl>
                  <c:pt idx="0">
                    <c:v>test service</c:v>
                  </c:pt>
                </c:lvl>
              </c:multiLvlStrCache>
            </c:multiLvlStrRef>
          </c:cat>
          <c:val>
            <c:numRef>
              <c:f>[0]!range_parameter_chart</c:f>
              <c:numCache>
                <c:formatCode>0.0%</c:formatCode>
                <c:ptCount val="3"/>
                <c:pt idx="0">
                  <c:v>#N/A</c:v>
                </c:pt>
                <c:pt idx="1">
                  <c:v>0.20000000000000004</c:v>
                </c:pt>
                <c:pt idx="2">
                  <c:v>#N/A</c:v>
                </c:pt>
              </c:numCache>
            </c:numRef>
          </c:val>
          <c:extLst>
            <c:ext xmlns:c16="http://schemas.microsoft.com/office/drawing/2014/chart" uri="{C3380CC4-5D6E-409C-BE32-E72D297353CC}">
              <c16:uniqueId val="{00000002-FBF1-41AE-B0F9-30C90FC63EA6}"/>
            </c:ext>
          </c:extLst>
        </c:ser>
        <c:dLbls>
          <c:showLegendKey val="0"/>
          <c:showVal val="0"/>
          <c:showCatName val="0"/>
          <c:showSerName val="0"/>
          <c:showPercent val="0"/>
          <c:showBubbleSize val="0"/>
        </c:dLbls>
        <c:gapWidth val="150"/>
        <c:axId val="259238528"/>
        <c:axId val="263267072"/>
      </c:barChart>
      <c:catAx>
        <c:axId val="259238528"/>
        <c:scaling>
          <c:orientation val="minMax"/>
        </c:scaling>
        <c:delete val="0"/>
        <c:axPos val="b"/>
        <c:numFmt formatCode="General" sourceLinked="0"/>
        <c:majorTickMark val="none"/>
        <c:minorTickMark val="none"/>
        <c:tickLblPos val="nextTo"/>
        <c:txPr>
          <a:bodyPr rot="-5400000" vert="horz"/>
          <a:lstStyle/>
          <a:p>
            <a:pPr>
              <a:defRPr/>
            </a:pPr>
            <a:endParaRPr lang="en-US"/>
          </a:p>
        </c:txPr>
        <c:crossAx val="263267072"/>
        <c:crosses val="autoZero"/>
        <c:auto val="1"/>
        <c:lblAlgn val="ctr"/>
        <c:lblOffset val="100"/>
        <c:noMultiLvlLbl val="0"/>
      </c:catAx>
      <c:valAx>
        <c:axId val="263267072"/>
        <c:scaling>
          <c:orientation val="minMax"/>
        </c:scaling>
        <c:delete val="0"/>
        <c:axPos val="l"/>
        <c:majorGridlines>
          <c:spPr>
            <a:ln>
              <a:solidFill>
                <a:schemeClr val="bg1">
                  <a:lumMod val="95000"/>
                </a:schemeClr>
              </a:solidFill>
            </a:ln>
          </c:spPr>
        </c:majorGridlines>
        <c:numFmt formatCode="0.0%" sourceLinked="0"/>
        <c:majorTickMark val="out"/>
        <c:minorTickMark val="none"/>
        <c:tickLblPos val="nextTo"/>
        <c:crossAx val="259238528"/>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mn-lt"/>
              <a:ea typeface="+mn-ea"/>
              <a:cs typeface="+mn-cs"/>
            </a:defRPr>
          </a:pPr>
          <a:endParaRPr lang="en-US"/>
        </a:p>
      </c:txPr>
    </c:title>
    <c:autoTitleDeleted val="0"/>
    <c:plotArea>
      <c:layout/>
      <c:areaChart>
        <c:grouping val="stacked"/>
        <c:varyColors val="0"/>
        <c:ser>
          <c:idx val="1"/>
          <c:order val="1"/>
          <c:tx>
            <c:v>Lower (hide)</c:v>
          </c:tx>
          <c:spPr>
            <a:noFill/>
            <a:ln>
              <a:noFill/>
            </a:ln>
            <a:effectLst/>
          </c:spPr>
          <c:val>
            <c:numRef>
              <c:f>[0]!Range_DCBalance_LowerTIme</c:f>
              <c:numCache>
                <c:formatCode>0.0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1015-48AA-8E1B-1CF1377594D6}"/>
            </c:ext>
          </c:extLst>
        </c:ser>
        <c:ser>
          <c:idx val="0"/>
          <c:order val="0"/>
          <c:tx>
            <c:strRef>
              <c:f>'DC Balance'!$M$51:$O$51</c:f>
              <c:strCache>
                <c:ptCount val="3"/>
                <c:pt idx="0">
                  <c:v>POD Type</c:v>
                </c:pt>
                <c:pt idx="1">
                  <c:v>--</c:v>
                </c:pt>
                <c:pt idx="2">
                  <c:v>--</c:v>
                </c:pt>
              </c:strCache>
            </c:strRef>
          </c:tx>
          <c:spPr>
            <a:solidFill>
              <a:schemeClr val="accent1"/>
            </a:solidFill>
            <a:ln>
              <a:noFill/>
            </a:ln>
            <a:effectLst/>
          </c:spPr>
          <c:cat>
            <c:strRef>
              <c:f>'DC Balance'!$P$29:$P$50</c:f>
              <c:strCache>
                <c:ptCount val="4"/>
                <c:pt idx="1">
                  <c:v>Available Capacity</c:v>
                </c:pt>
                <c:pt idx="3">
                  <c:v>--</c:v>
                </c:pt>
              </c:strCache>
            </c:strRef>
          </c:cat>
          <c:val>
            <c:numRef>
              <c:f>'DC Balance'!$P$51</c:f>
            </c:numRef>
          </c:val>
          <c:extLst>
            <c:ext xmlns:c16="http://schemas.microsoft.com/office/drawing/2014/chart" uri="{C3380CC4-5D6E-409C-BE32-E72D297353CC}">
              <c16:uniqueId val="{00000001-1015-48AA-8E1B-1CF1377594D6}"/>
            </c:ext>
          </c:extLst>
        </c:ser>
        <c:ser>
          <c:idx val="2"/>
          <c:order val="2"/>
          <c:tx>
            <c:v>Required demand</c:v>
          </c:tx>
          <c:spPr>
            <a:solidFill>
              <a:schemeClr val="accent3"/>
            </a:solidFill>
            <a:ln>
              <a:noFill/>
            </a:ln>
            <a:effectLst/>
          </c:spPr>
          <c:val>
            <c:numRef>
              <c:f>[0]!Range_DCBalance_UpperTime</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2-1015-48AA-8E1B-1CF1377594D6}"/>
            </c:ext>
          </c:extLst>
        </c:ser>
        <c:dLbls>
          <c:showLegendKey val="0"/>
          <c:showVal val="0"/>
          <c:showCatName val="0"/>
          <c:showSerName val="0"/>
          <c:showPercent val="0"/>
          <c:showBubbleSize val="0"/>
        </c:dLbls>
        <c:axId val="1042682832"/>
        <c:axId val="1042683488"/>
      </c:areaChart>
      <c:lineChart>
        <c:grouping val="standard"/>
        <c:varyColors val="0"/>
        <c:ser>
          <c:idx val="3"/>
          <c:order val="3"/>
          <c:tx>
            <c:v>Available capacity</c:v>
          </c:tx>
          <c:spPr>
            <a:ln w="25400" cap="rnd">
              <a:solidFill>
                <a:schemeClr val="accent4"/>
              </a:solidFill>
              <a:round/>
            </a:ln>
            <a:effectLst/>
          </c:spPr>
          <c:marker>
            <c:symbol val="diamond"/>
            <c:size val="5"/>
            <c:spPr>
              <a:solidFill>
                <a:schemeClr val="accent4"/>
              </a:solidFill>
              <a:ln w="9525">
                <a:solidFill>
                  <a:schemeClr val="accent4"/>
                </a:solidFill>
              </a:ln>
              <a:effectLst/>
            </c:spPr>
          </c:marker>
          <c:val>
            <c:numRef>
              <c:f>[0]!Range_DCBalance_CapacityTime</c:f>
              <c:numCache>
                <c:formatCode>0.0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3-1015-48AA-8E1B-1CF1377594D6}"/>
            </c:ext>
          </c:extLst>
        </c:ser>
        <c:dLbls>
          <c:showLegendKey val="0"/>
          <c:showVal val="0"/>
          <c:showCatName val="0"/>
          <c:showSerName val="0"/>
          <c:showPercent val="0"/>
          <c:showBubbleSize val="0"/>
        </c:dLbls>
        <c:marker val="1"/>
        <c:smooth val="0"/>
        <c:axId val="1042682832"/>
        <c:axId val="1042683488"/>
      </c:lineChart>
      <c:catAx>
        <c:axId val="104268283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2683488"/>
        <c:crosses val="autoZero"/>
        <c:auto val="1"/>
        <c:lblAlgn val="ctr"/>
        <c:lblOffset val="100"/>
        <c:noMultiLvlLbl val="0"/>
      </c:catAx>
      <c:valAx>
        <c:axId val="104268348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26828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'Dependency (hide)'!$L$19</c:f>
          <c:strCache>
            <c:ptCount val="1"/>
            <c:pt idx="0">
              <c:v>Sense check - comparison of measured vs expected demand: all processes</c:v>
            </c:pt>
          </c:strCache>
        </c:strRef>
      </c:tx>
      <c:overlay val="0"/>
    </c:title>
    <c:autoTitleDeleted val="0"/>
    <c:plotArea>
      <c:layout>
        <c:manualLayout>
          <c:layoutTarget val="inner"/>
          <c:xMode val="edge"/>
          <c:yMode val="edge"/>
          <c:x val="3.0082332176509876E-2"/>
          <c:y val="0.15999969815859977"/>
          <c:w val="0.95139536645306766"/>
          <c:h val="0.59023213280574438"/>
        </c:manualLayout>
      </c:layout>
      <c:barChart>
        <c:barDir val="col"/>
        <c:grouping val="stacked"/>
        <c:varyColors val="0"/>
        <c:ser>
          <c:idx val="0"/>
          <c:order val="0"/>
          <c:spPr>
            <a:noFill/>
          </c:spPr>
          <c:invertIfNegative val="0"/>
          <c:cat>
            <c:multiLvlStrRef>
              <c:f>[0]!range_Check_Axis</c:f>
              <c:multiLvlStrCache>
                <c:ptCount val="3"/>
                <c:lvl>
                  <c:pt idx="1">
                    <c:v>New</c:v>
                  </c:pt>
                  <c:pt idx="2">
                    <c:v> </c:v>
                  </c:pt>
                </c:lvl>
                <c:lvl>
                  <c:pt idx="0">
                    <c:v>test service</c:v>
                  </c:pt>
                </c:lvl>
              </c:multiLvlStrCache>
            </c:multiLvlStrRef>
          </c:cat>
          <c:val>
            <c:numRef>
              <c:f>[0]!range_Check_Calc_Lower</c:f>
              <c:numCache>
                <c:formatCode>#,##0</c:formatCode>
                <c:ptCount val="3"/>
                <c:pt idx="0">
                  <c:v>#N/A</c:v>
                </c:pt>
                <c:pt idx="1">
                  <c:v>595.4114627804189</c:v>
                </c:pt>
                <c:pt idx="2">
                  <c:v>#N/A</c:v>
                </c:pt>
              </c:numCache>
            </c:numRef>
          </c:val>
          <c:extLst>
            <c:ext xmlns:c16="http://schemas.microsoft.com/office/drawing/2014/chart" uri="{C3380CC4-5D6E-409C-BE32-E72D297353CC}">
              <c16:uniqueId val="{00000000-FE1A-445E-8475-371BD1C13555}"/>
            </c:ext>
          </c:extLst>
        </c:ser>
        <c:ser>
          <c:idx val="1"/>
          <c:order val="1"/>
          <c:tx>
            <c:v>Expected range of demand</c:v>
          </c:tx>
          <c:spPr>
            <a:solidFill>
              <a:schemeClr val="accent3">
                <a:lumMod val="40000"/>
                <a:lumOff val="60000"/>
              </a:schemeClr>
            </a:solidFill>
            <a:ln>
              <a:solidFill>
                <a:schemeClr val="tx1"/>
              </a:solidFill>
            </a:ln>
          </c:spPr>
          <c:invertIfNegative val="0"/>
          <c:cat>
            <c:multiLvlStrRef>
              <c:f>[0]!range_Check_Axis</c:f>
              <c:multiLvlStrCache>
                <c:ptCount val="3"/>
                <c:lvl>
                  <c:pt idx="1">
                    <c:v>New</c:v>
                  </c:pt>
                  <c:pt idx="2">
                    <c:v> </c:v>
                  </c:pt>
                </c:lvl>
                <c:lvl>
                  <c:pt idx="0">
                    <c:v>test service</c:v>
                  </c:pt>
                </c:lvl>
              </c:multiLvlStrCache>
            </c:multiLvlStrRef>
          </c:cat>
          <c:val>
            <c:numRef>
              <c:f>[0]!range_Check_Calc_Upper</c:f>
              <c:numCache>
                <c:formatCode>#,##0</c:formatCode>
                <c:ptCount val="3"/>
                <c:pt idx="0">
                  <c:v>#N/A</c:v>
                </c:pt>
                <c:pt idx="1">
                  <c:v>62.674890818991571</c:v>
                </c:pt>
                <c:pt idx="2">
                  <c:v>#N/A</c:v>
                </c:pt>
              </c:numCache>
            </c:numRef>
          </c:val>
          <c:extLst>
            <c:ext xmlns:c16="http://schemas.microsoft.com/office/drawing/2014/chart" uri="{C3380CC4-5D6E-409C-BE32-E72D297353CC}">
              <c16:uniqueId val="{00000001-FE1A-445E-8475-371BD1C13555}"/>
            </c:ext>
          </c:extLst>
        </c:ser>
        <c:dLbls>
          <c:showLegendKey val="0"/>
          <c:showVal val="0"/>
          <c:showCatName val="0"/>
          <c:showSerName val="0"/>
          <c:showPercent val="0"/>
          <c:showBubbleSize val="0"/>
        </c:dLbls>
        <c:gapWidth val="60"/>
        <c:overlap val="100"/>
        <c:axId val="259600768"/>
        <c:axId val="259602688"/>
      </c:barChart>
      <c:lineChart>
        <c:grouping val="standard"/>
        <c:varyColors val="0"/>
        <c:ser>
          <c:idx val="2"/>
          <c:order val="2"/>
          <c:tx>
            <c:v>Measured demand</c:v>
          </c:tx>
          <c:spPr>
            <a:ln>
              <a:noFill/>
            </a:ln>
          </c:spPr>
          <c:marker>
            <c:symbol val="x"/>
            <c:size val="7"/>
            <c:spPr>
              <a:noFill/>
              <a:ln w="22225">
                <a:solidFill>
                  <a:schemeClr val="accent3">
                    <a:lumMod val="50000"/>
                  </a:schemeClr>
                </a:solidFill>
              </a:ln>
            </c:spPr>
          </c:marker>
          <c:cat>
            <c:multiLvlStrRef>
              <c:f>[0]!range_Check_Axis</c:f>
              <c:multiLvlStrCache>
                <c:ptCount val="3"/>
                <c:lvl>
                  <c:pt idx="1">
                    <c:v>New</c:v>
                  </c:pt>
                  <c:pt idx="2">
                    <c:v> </c:v>
                  </c:pt>
                </c:lvl>
                <c:lvl>
                  <c:pt idx="0">
                    <c:v>test service</c:v>
                  </c:pt>
                </c:lvl>
              </c:multiLvlStrCache>
            </c:multiLvlStrRef>
          </c:cat>
          <c:val>
            <c:numRef>
              <c:f>[0]!range_Check_Measured</c:f>
              <c:numCache>
                <c:formatCode>#,##0</c:formatCode>
                <c:ptCount val="3"/>
                <c:pt idx="0">
                  <c:v>#N/A</c:v>
                </c:pt>
                <c:pt idx="1">
                  <c:v>626.74890818991469</c:v>
                </c:pt>
                <c:pt idx="2">
                  <c:v>#N/A</c:v>
                </c:pt>
              </c:numCache>
            </c:numRef>
          </c:val>
          <c:smooth val="0"/>
          <c:extLst>
            <c:ext xmlns:c16="http://schemas.microsoft.com/office/drawing/2014/chart" uri="{C3380CC4-5D6E-409C-BE32-E72D297353CC}">
              <c16:uniqueId val="{00000002-FE1A-445E-8475-371BD1C13555}"/>
            </c:ext>
          </c:extLst>
        </c:ser>
        <c:dLbls>
          <c:showLegendKey val="0"/>
          <c:showVal val="0"/>
          <c:showCatName val="0"/>
          <c:showSerName val="0"/>
          <c:showPercent val="0"/>
          <c:showBubbleSize val="0"/>
        </c:dLbls>
        <c:marker val="1"/>
        <c:smooth val="0"/>
        <c:axId val="259600768"/>
        <c:axId val="259602688"/>
      </c:lineChart>
      <c:catAx>
        <c:axId val="259600768"/>
        <c:scaling>
          <c:orientation val="minMax"/>
        </c:scaling>
        <c:delete val="0"/>
        <c:axPos val="b"/>
        <c:numFmt formatCode="General" sourceLinked="1"/>
        <c:majorTickMark val="none"/>
        <c:minorTickMark val="none"/>
        <c:tickLblPos val="nextTo"/>
        <c:txPr>
          <a:bodyPr rot="-5400000" vert="horz"/>
          <a:lstStyle/>
          <a:p>
            <a:pPr>
              <a:defRPr/>
            </a:pPr>
            <a:endParaRPr lang="en-US"/>
          </a:p>
        </c:txPr>
        <c:crossAx val="259602688"/>
        <c:crosses val="autoZero"/>
        <c:auto val="1"/>
        <c:lblAlgn val="ctr"/>
        <c:lblOffset val="100"/>
        <c:noMultiLvlLbl val="0"/>
      </c:catAx>
      <c:valAx>
        <c:axId val="259602688"/>
        <c:scaling>
          <c:orientation val="minMax"/>
        </c:scaling>
        <c:delete val="0"/>
        <c:axPos val="l"/>
        <c:majorGridlines>
          <c:spPr>
            <a:ln>
              <a:solidFill>
                <a:schemeClr val="bg1">
                  <a:lumMod val="95000"/>
                </a:schemeClr>
              </a:solidFill>
            </a:ln>
          </c:spPr>
        </c:majorGridlines>
        <c:numFmt formatCode="#,##0" sourceLinked="1"/>
        <c:majorTickMark val="out"/>
        <c:minorTickMark val="none"/>
        <c:tickLblPos val="nextTo"/>
        <c:crossAx val="259600768"/>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Waiting list clearance over the next 52 weeks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19050" cap="rnd">
              <a:solidFill>
                <a:schemeClr val="accent1"/>
              </a:solidFill>
              <a:round/>
            </a:ln>
            <a:effectLst/>
          </c:spPr>
          <c:marker>
            <c:symbol val="none"/>
          </c:marker>
          <c:cat>
            <c:numRef>
              <c:f>'WL Clearance'!$A$18:$A$69</c:f>
              <c:numCache>
                <c:formatCode>m/d/yyyy</c:formatCode>
                <c:ptCount val="52"/>
                <c:pt idx="0">
                  <c:v>43829</c:v>
                </c:pt>
                <c:pt idx="1">
                  <c:v>43836</c:v>
                </c:pt>
                <c:pt idx="2">
                  <c:v>43843</c:v>
                </c:pt>
                <c:pt idx="3">
                  <c:v>43850</c:v>
                </c:pt>
                <c:pt idx="4">
                  <c:v>43857</c:v>
                </c:pt>
                <c:pt idx="5">
                  <c:v>43864</c:v>
                </c:pt>
                <c:pt idx="6">
                  <c:v>43871</c:v>
                </c:pt>
                <c:pt idx="7">
                  <c:v>43878</c:v>
                </c:pt>
                <c:pt idx="8">
                  <c:v>43885</c:v>
                </c:pt>
                <c:pt idx="9">
                  <c:v>43892</c:v>
                </c:pt>
                <c:pt idx="10">
                  <c:v>43899</c:v>
                </c:pt>
                <c:pt idx="11">
                  <c:v>43906</c:v>
                </c:pt>
                <c:pt idx="12">
                  <c:v>43913</c:v>
                </c:pt>
                <c:pt idx="13">
                  <c:v>43920</c:v>
                </c:pt>
                <c:pt idx="14">
                  <c:v>43927</c:v>
                </c:pt>
                <c:pt idx="15">
                  <c:v>43934</c:v>
                </c:pt>
                <c:pt idx="16">
                  <c:v>43941</c:v>
                </c:pt>
                <c:pt idx="17">
                  <c:v>43948</c:v>
                </c:pt>
                <c:pt idx="18">
                  <c:v>43955</c:v>
                </c:pt>
                <c:pt idx="19">
                  <c:v>43962</c:v>
                </c:pt>
                <c:pt idx="20">
                  <c:v>43969</c:v>
                </c:pt>
                <c:pt idx="21">
                  <c:v>43976</c:v>
                </c:pt>
                <c:pt idx="22">
                  <c:v>43983</c:v>
                </c:pt>
                <c:pt idx="23">
                  <c:v>43990</c:v>
                </c:pt>
                <c:pt idx="24">
                  <c:v>43997</c:v>
                </c:pt>
                <c:pt idx="25">
                  <c:v>44004</c:v>
                </c:pt>
                <c:pt idx="26">
                  <c:v>44011</c:v>
                </c:pt>
                <c:pt idx="27">
                  <c:v>44018</c:v>
                </c:pt>
                <c:pt idx="28">
                  <c:v>44025</c:v>
                </c:pt>
                <c:pt idx="29">
                  <c:v>44032</c:v>
                </c:pt>
                <c:pt idx="30">
                  <c:v>44039</c:v>
                </c:pt>
                <c:pt idx="31">
                  <c:v>44046</c:v>
                </c:pt>
                <c:pt idx="32">
                  <c:v>44053</c:v>
                </c:pt>
                <c:pt idx="33">
                  <c:v>44060</c:v>
                </c:pt>
                <c:pt idx="34">
                  <c:v>44067</c:v>
                </c:pt>
                <c:pt idx="35">
                  <c:v>44074</c:v>
                </c:pt>
                <c:pt idx="36">
                  <c:v>44081</c:v>
                </c:pt>
                <c:pt idx="37">
                  <c:v>44088</c:v>
                </c:pt>
                <c:pt idx="38">
                  <c:v>44095</c:v>
                </c:pt>
                <c:pt idx="39">
                  <c:v>44102</c:v>
                </c:pt>
                <c:pt idx="40">
                  <c:v>44109</c:v>
                </c:pt>
                <c:pt idx="41">
                  <c:v>44116</c:v>
                </c:pt>
                <c:pt idx="42">
                  <c:v>44123</c:v>
                </c:pt>
                <c:pt idx="43">
                  <c:v>44130</c:v>
                </c:pt>
                <c:pt idx="44">
                  <c:v>44137</c:v>
                </c:pt>
                <c:pt idx="45">
                  <c:v>44144</c:v>
                </c:pt>
                <c:pt idx="46">
                  <c:v>44151</c:v>
                </c:pt>
                <c:pt idx="47">
                  <c:v>44158</c:v>
                </c:pt>
                <c:pt idx="48">
                  <c:v>44165</c:v>
                </c:pt>
                <c:pt idx="49">
                  <c:v>44172</c:v>
                </c:pt>
                <c:pt idx="50">
                  <c:v>44179</c:v>
                </c:pt>
                <c:pt idx="51">
                  <c:v>44186</c:v>
                </c:pt>
              </c:numCache>
            </c:numRef>
          </c:cat>
          <c:val>
            <c:numRef>
              <c:f>'WL Clearance'!$B$18:$B$69</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0-6F47-45DF-B470-6EE791C6FD7F}"/>
            </c:ext>
          </c:extLst>
        </c:ser>
        <c:dLbls>
          <c:showLegendKey val="0"/>
          <c:showVal val="0"/>
          <c:showCatName val="0"/>
          <c:showSerName val="0"/>
          <c:showPercent val="0"/>
          <c:showBubbleSize val="0"/>
        </c:dLbls>
        <c:smooth val="0"/>
        <c:axId val="701008200"/>
        <c:axId val="701008528"/>
      </c:lineChart>
      <c:dateAx>
        <c:axId val="701008200"/>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1008528"/>
        <c:crosses val="autoZero"/>
        <c:auto val="1"/>
        <c:lblOffset val="100"/>
        <c:baseTimeUnit val="days"/>
      </c:dateAx>
      <c:valAx>
        <c:axId val="7010085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10082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'Dependency (hide)'!$A$2</c:f>
          <c:strCache>
            <c:ptCount val="1"/>
            <c:pt idx="0">
              <c:v>Estimated aggregate activity by Process, overall, Jan - Dec 2020</c:v>
            </c:pt>
          </c:strCache>
        </c:strRef>
      </c:tx>
      <c:overlay val="0"/>
    </c:title>
    <c:autoTitleDeleted val="0"/>
    <c:plotArea>
      <c:layout/>
      <c:barChart>
        <c:barDir val="col"/>
        <c:grouping val="stacked"/>
        <c:varyColors val="0"/>
        <c:ser>
          <c:idx val="2"/>
          <c:order val="0"/>
          <c:tx>
            <c:strRef>
              <c:f>'Dependency (hide)'!$B$3</c:f>
              <c:strCache>
                <c:ptCount val="1"/>
                <c:pt idx="0">
                  <c:v>Demand (measured)</c:v>
                </c:pt>
              </c:strCache>
            </c:strRef>
          </c:tx>
          <c:spPr>
            <a:solidFill>
              <a:schemeClr val="accent4">
                <a:lumMod val="40000"/>
                <a:lumOff val="60000"/>
              </a:schemeClr>
            </a:solidFill>
            <a:ln w="6350">
              <a:solidFill>
                <a:schemeClr val="accent4"/>
              </a:solidFill>
            </a:ln>
          </c:spPr>
          <c:invertIfNegative val="0"/>
          <c:cat>
            <c:multiLvlStrRef>
              <c:f>[0]!range_Aggregate_Xaxis</c:f>
              <c:multiLvlStrCache>
                <c:ptCount val="3"/>
                <c:lvl>
                  <c:pt idx="1">
                    <c:v>New</c:v>
                  </c:pt>
                  <c:pt idx="2">
                    <c:v> </c:v>
                  </c:pt>
                </c:lvl>
                <c:lvl>
                  <c:pt idx="0">
                    <c:v>test service</c:v>
                  </c:pt>
                </c:lvl>
              </c:multiLvlStrCache>
            </c:multiLvlStrRef>
          </c:cat>
          <c:val>
            <c:numRef>
              <c:f>[0]!range_Aggregate_Demand</c:f>
              <c:numCache>
                <c:formatCode>#,##0</c:formatCode>
                <c:ptCount val="3"/>
                <c:pt idx="0">
                  <c:v>#N/A</c:v>
                </c:pt>
                <c:pt idx="1">
                  <c:v>20573.086296004381</c:v>
                </c:pt>
                <c:pt idx="2">
                  <c:v>#N/A</c:v>
                </c:pt>
              </c:numCache>
            </c:numRef>
          </c:val>
          <c:extLst>
            <c:ext xmlns:c16="http://schemas.microsoft.com/office/drawing/2014/chart" uri="{C3380CC4-5D6E-409C-BE32-E72D297353CC}">
              <c16:uniqueId val="{00000000-FD4F-452A-BF80-F50DA7CC6F46}"/>
            </c:ext>
          </c:extLst>
        </c:ser>
        <c:ser>
          <c:idx val="4"/>
          <c:order val="1"/>
          <c:tx>
            <c:v>WL (Initial clearance)</c:v>
          </c:tx>
          <c:spPr>
            <a:solidFill>
              <a:schemeClr val="accent3">
                <a:lumMod val="20000"/>
                <a:lumOff val="80000"/>
              </a:schemeClr>
            </a:solidFill>
            <a:ln w="6350">
              <a:solidFill>
                <a:schemeClr val="accent3">
                  <a:lumMod val="50000"/>
                </a:schemeClr>
              </a:solidFill>
            </a:ln>
          </c:spPr>
          <c:invertIfNegative val="0"/>
          <c:cat>
            <c:multiLvlStrRef>
              <c:f>[0]!range_Aggregate_Xaxis</c:f>
              <c:multiLvlStrCache>
                <c:ptCount val="3"/>
                <c:lvl>
                  <c:pt idx="1">
                    <c:v>New</c:v>
                  </c:pt>
                  <c:pt idx="2">
                    <c:v> </c:v>
                  </c:pt>
                </c:lvl>
                <c:lvl>
                  <c:pt idx="0">
                    <c:v>test service</c:v>
                  </c:pt>
                </c:lvl>
              </c:multiLvlStrCache>
            </c:multiLvlStrRef>
          </c:cat>
          <c:val>
            <c:numRef>
              <c:f>[0]!range_Aggregate_WLClear</c:f>
              <c:numCache>
                <c:formatCode>#,##0.0</c:formatCode>
                <c:ptCount val="3"/>
                <c:pt idx="0" formatCode="#,##0">
                  <c:v>#N/A</c:v>
                </c:pt>
                <c:pt idx="1">
                  <c:v>0</c:v>
                </c:pt>
                <c:pt idx="2" formatCode="#,##0">
                  <c:v>#N/A</c:v>
                </c:pt>
              </c:numCache>
            </c:numRef>
          </c:val>
          <c:extLst>
            <c:ext xmlns:c16="http://schemas.microsoft.com/office/drawing/2014/chart" uri="{C3380CC4-5D6E-409C-BE32-E72D297353CC}">
              <c16:uniqueId val="{00000002-FD4F-452A-BF80-F50DA7CC6F46}"/>
            </c:ext>
          </c:extLst>
        </c:ser>
        <c:ser>
          <c:idx val="0"/>
          <c:order val="2"/>
          <c:tx>
            <c:v>WL Clearance</c:v>
          </c:tx>
          <c:spPr>
            <a:ln w="6350">
              <a:solidFill>
                <a:schemeClr val="tx1"/>
              </a:solidFill>
            </a:ln>
          </c:spPr>
          <c:invertIfNegative val="0"/>
          <c:val>
            <c:numRef>
              <c:f>[0]!range_Aggregate_WLFlow</c:f>
              <c:numCache>
                <c:formatCode>#,##0</c:formatCode>
                <c:ptCount val="3"/>
                <c:pt idx="0">
                  <c:v>#N/A</c:v>
                </c:pt>
                <c:pt idx="1">
                  <c:v>0</c:v>
                </c:pt>
                <c:pt idx="2">
                  <c:v>#N/A</c:v>
                </c:pt>
              </c:numCache>
            </c:numRef>
          </c:val>
          <c:extLst>
            <c:ext xmlns:c16="http://schemas.microsoft.com/office/drawing/2014/chart" uri="{C3380CC4-5D6E-409C-BE32-E72D297353CC}">
              <c16:uniqueId val="{00000002-1E77-42D8-9DB6-8FF91BB3A793}"/>
            </c:ext>
          </c:extLst>
        </c:ser>
        <c:dLbls>
          <c:showLegendKey val="0"/>
          <c:showVal val="0"/>
          <c:showCatName val="0"/>
          <c:showSerName val="0"/>
          <c:showPercent val="0"/>
          <c:showBubbleSize val="0"/>
        </c:dLbls>
        <c:gapWidth val="150"/>
        <c:overlap val="100"/>
        <c:axId val="259979520"/>
        <c:axId val="260047232"/>
      </c:barChart>
      <c:catAx>
        <c:axId val="259979520"/>
        <c:scaling>
          <c:orientation val="minMax"/>
        </c:scaling>
        <c:delete val="0"/>
        <c:axPos val="b"/>
        <c:numFmt formatCode="General" sourceLinked="1"/>
        <c:majorTickMark val="none"/>
        <c:minorTickMark val="none"/>
        <c:tickLblPos val="nextTo"/>
        <c:txPr>
          <a:bodyPr rot="-5400000" vert="horz"/>
          <a:lstStyle/>
          <a:p>
            <a:pPr>
              <a:defRPr sz="900"/>
            </a:pPr>
            <a:endParaRPr lang="en-US"/>
          </a:p>
        </c:txPr>
        <c:crossAx val="260047232"/>
        <c:crosses val="autoZero"/>
        <c:auto val="1"/>
        <c:lblAlgn val="ctr"/>
        <c:lblOffset val="10"/>
        <c:noMultiLvlLbl val="0"/>
      </c:catAx>
      <c:valAx>
        <c:axId val="260047232"/>
        <c:scaling>
          <c:orientation val="minMax"/>
          <c:max val="0"/>
        </c:scaling>
        <c:delete val="0"/>
        <c:axPos val="l"/>
        <c:majorGridlines>
          <c:spPr>
            <a:ln>
              <a:solidFill>
                <a:schemeClr val="bg1">
                  <a:lumMod val="95000"/>
                </a:schemeClr>
              </a:solidFill>
            </a:ln>
          </c:spPr>
        </c:majorGridlines>
        <c:numFmt formatCode="#,##0" sourceLinked="1"/>
        <c:majorTickMark val="out"/>
        <c:minorTickMark val="none"/>
        <c:tickLblPos val="nextTo"/>
        <c:crossAx val="259979520"/>
        <c:crosses val="autoZero"/>
        <c:crossBetween val="between"/>
      </c:valAx>
    </c:plotArea>
    <c:legend>
      <c:legendPos val="t"/>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'Dependency (hide)'!$D$2</c:f>
          <c:strCache>
            <c:ptCount val="1"/>
            <c:pt idx="0">
              <c:v>Estimated aggregate activity by Process, overall</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687649205574526E-2"/>
          <c:y val="0.2890232577213756"/>
          <c:w val="0.94646916698812755"/>
          <c:h val="0.52023194222676705"/>
        </c:manualLayout>
      </c:layout>
      <c:lineChart>
        <c:grouping val="stacked"/>
        <c:varyColors val="0"/>
        <c:ser>
          <c:idx val="0"/>
          <c:order val="0"/>
          <c:tx>
            <c:v>Demand converted to activity</c:v>
          </c:tx>
          <c:spPr>
            <a:ln w="19050" cap="rnd">
              <a:solidFill>
                <a:schemeClr val="accent1"/>
              </a:solidFill>
              <a:round/>
            </a:ln>
            <a:effectLst/>
          </c:spPr>
          <c:marker>
            <c:symbol val="none"/>
          </c:marker>
          <c:cat>
            <c:multiLvlStrRef>
              <c:f>'Aggregate activity'!Range_Aggregate_Time_Axis</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2020</c:v>
                  </c:pt>
                </c:lvl>
              </c:multiLvlStrCache>
            </c:multiLvlStrRef>
          </c:cat>
          <c:val>
            <c:numRef>
              <c:f>[0]!Aggregate_Demand_Time</c:f>
              <c:numCache>
                <c:formatCode>#,##0.0</c:formatCode>
                <c:ptCount val="12"/>
                <c:pt idx="0">
                  <c:v>1940.8571977362626</c:v>
                </c:pt>
                <c:pt idx="1">
                  <c:v>1552.6857581890101</c:v>
                </c:pt>
                <c:pt idx="2">
                  <c:v>1707.9543340079113</c:v>
                </c:pt>
                <c:pt idx="3">
                  <c:v>1707.954334007911</c:v>
                </c:pt>
                <c:pt idx="4">
                  <c:v>1630.3200460984606</c:v>
                </c:pt>
                <c:pt idx="5">
                  <c:v>1707.9543340079113</c:v>
                </c:pt>
                <c:pt idx="6">
                  <c:v>1785.5886219173615</c:v>
                </c:pt>
                <c:pt idx="7">
                  <c:v>1552.6857581890101</c:v>
                </c:pt>
                <c:pt idx="8">
                  <c:v>1785.5886219173617</c:v>
                </c:pt>
                <c:pt idx="9">
                  <c:v>1707.954334007911</c:v>
                </c:pt>
                <c:pt idx="10">
                  <c:v>1630.3200460984606</c:v>
                </c:pt>
                <c:pt idx="11">
                  <c:v>1863.2229098268119</c:v>
                </c:pt>
              </c:numCache>
            </c:numRef>
          </c:val>
          <c:smooth val="0"/>
          <c:extLst>
            <c:ext xmlns:c16="http://schemas.microsoft.com/office/drawing/2014/chart" uri="{C3380CC4-5D6E-409C-BE32-E72D297353CC}">
              <c16:uniqueId val="{00000004-A30F-454D-897E-8D5671540FB3}"/>
            </c:ext>
          </c:extLst>
        </c:ser>
        <c:ser>
          <c:idx val="1"/>
          <c:order val="1"/>
          <c:tx>
            <c:v>Waiting list clearances (without downstream effects)</c:v>
          </c:tx>
          <c:spPr>
            <a:ln w="12700" cap="rnd">
              <a:solidFill>
                <a:schemeClr val="accent2"/>
              </a:solidFill>
              <a:round/>
            </a:ln>
            <a:effectLst/>
          </c:spPr>
          <c:marker>
            <c:symbol val="none"/>
          </c:marker>
          <c:cat>
            <c:multiLvlStrRef>
              <c:f>'Aggregate activity'!Range_Aggregate_Time_Axis</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2020</c:v>
                  </c:pt>
                </c:lvl>
              </c:multiLvlStrCache>
            </c:multiLvlStrRef>
          </c:cat>
          <c:val>
            <c:numRef>
              <c:f>[0]!Aggregate_WLBasic_Time</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6-DE62-42B9-B588-6A7E3D6AC7AA}"/>
            </c:ext>
          </c:extLst>
        </c:ser>
        <c:ser>
          <c:idx val="2"/>
          <c:order val="2"/>
          <c:tx>
            <c:v>Downstream effects of WL clearances</c:v>
          </c:tx>
          <c:spPr>
            <a:ln w="22225" cap="rnd">
              <a:solidFill>
                <a:schemeClr val="accent3"/>
              </a:solidFill>
              <a:prstDash val="dash"/>
              <a:round/>
            </a:ln>
            <a:effectLst/>
          </c:spPr>
          <c:marker>
            <c:symbol val="none"/>
          </c:marker>
          <c:val>
            <c:numRef>
              <c:f>[0]!Aggregate_WLFlow_Time</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8976-416B-89A5-5B59F5B7264E}"/>
            </c:ext>
          </c:extLst>
        </c:ser>
        <c:dLbls>
          <c:showLegendKey val="0"/>
          <c:showVal val="0"/>
          <c:showCatName val="0"/>
          <c:showSerName val="0"/>
          <c:showPercent val="0"/>
          <c:showBubbleSize val="0"/>
        </c:dLbls>
        <c:smooth val="0"/>
        <c:axId val="598395448"/>
        <c:axId val="598395776"/>
      </c:lineChart>
      <c:catAx>
        <c:axId val="598395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8395776"/>
        <c:crosses val="autoZero"/>
        <c:auto val="1"/>
        <c:lblAlgn val="ctr"/>
        <c:lblOffset val="100"/>
        <c:noMultiLvlLbl val="1"/>
      </c:catAx>
      <c:valAx>
        <c:axId val="59839577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839544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Scroll" dx="22" fmlaLink="'DC Balance (hide)'!$C$4" horiz="1" max="52" min="1" noThreeD="1" page="0"/>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Scroll" dx="22" fmlaLink="'DC Balance (hide)'!$C$4" horiz="1" max="52" min="1" noThreeD="1" page="0"/>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Scroll" dx="26" fmlaLink="'Aggregate activity'!$T$16" horiz="1" max="1" min="1" noThreeD="1" page="0"/>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662940</xdr:colOff>
          <xdr:row>11</xdr:row>
          <xdr:rowOff>167640</xdr:rowOff>
        </xdr:from>
        <xdr:to>
          <xdr:col>10</xdr:col>
          <xdr:colOff>0</xdr:colOff>
          <xdr:row>13</xdr:row>
          <xdr:rowOff>167640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200-0000016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Show operational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662940</xdr:colOff>
          <xdr:row>19</xdr:row>
          <xdr:rowOff>45720</xdr:rowOff>
        </xdr:from>
        <xdr:to>
          <xdr:col>10</xdr:col>
          <xdr:colOff>0</xdr:colOff>
          <xdr:row>23</xdr:row>
          <xdr:rowOff>83820</xdr:rowOff>
        </xdr:to>
        <xdr:sp macro="" textlink="">
          <xdr:nvSpPr>
            <xdr:cNvPr id="222210" name="Button 2" hidden="1">
              <a:extLst>
                <a:ext uri="{63B3BB69-23CF-44E3-9099-C40C66FF867C}">
                  <a14:compatExt spid="_x0000_s222210"/>
                </a:ext>
                <a:ext uri="{FF2B5EF4-FFF2-40B4-BE49-F238E27FC236}">
                  <a16:creationId xmlns:a16="http://schemas.microsoft.com/office/drawing/2014/main" id="{00000000-0008-0000-0200-0000026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16</xdr:row>
          <xdr:rowOff>0</xdr:rowOff>
        </xdr:from>
        <xdr:to>
          <xdr:col>9</xdr:col>
          <xdr:colOff>662940</xdr:colOff>
          <xdr:row>17</xdr:row>
          <xdr:rowOff>160020</xdr:rowOff>
        </xdr:to>
        <xdr:sp macro="" textlink="">
          <xdr:nvSpPr>
            <xdr:cNvPr id="222211" name="Button 3" hidden="1">
              <a:extLst>
                <a:ext uri="{63B3BB69-23CF-44E3-9099-C40C66FF867C}">
                  <a14:compatExt spid="_x0000_s222211"/>
                </a:ext>
                <a:ext uri="{FF2B5EF4-FFF2-40B4-BE49-F238E27FC236}">
                  <a16:creationId xmlns:a16="http://schemas.microsoft.com/office/drawing/2014/main" id="{00000000-0008-0000-0200-0000036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Show activity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30480</xdr:colOff>
          <xdr:row>11</xdr:row>
          <xdr:rowOff>114300</xdr:rowOff>
        </xdr:from>
        <xdr:to>
          <xdr:col>8</xdr:col>
          <xdr:colOff>868680</xdr:colOff>
          <xdr:row>13</xdr:row>
          <xdr:rowOff>7620</xdr:rowOff>
        </xdr:to>
        <xdr:sp macro="" textlink="">
          <xdr:nvSpPr>
            <xdr:cNvPr id="26657" name="Button 33" hidden="1">
              <a:extLst>
                <a:ext uri="{63B3BB69-23CF-44E3-9099-C40C66FF867C}">
                  <a14:compatExt spid="_x0000_s26657"/>
                </a:ext>
                <a:ext uri="{FF2B5EF4-FFF2-40B4-BE49-F238E27FC236}">
                  <a16:creationId xmlns:a16="http://schemas.microsoft.com/office/drawing/2014/main" id="{00000000-0008-0000-0300-000021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Reload All</a:t>
              </a:r>
            </a:p>
          </xdr:txBody>
        </xdr:sp>
        <xdr:clientData fPrintsWithSheet="0"/>
      </xdr:twoCellAnchor>
    </mc:Choice>
    <mc:Fallback/>
  </mc:AlternateContent>
  <xdr:oneCellAnchor>
    <xdr:from>
      <xdr:col>9</xdr:col>
      <xdr:colOff>669036</xdr:colOff>
      <xdr:row>3</xdr:row>
      <xdr:rowOff>21336</xdr:rowOff>
    </xdr:from>
    <xdr:ext cx="896874" cy="344424"/>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737086" y="583311"/>
          <a:ext cx="893064" cy="359664"/>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editAs="absolute">
    <xdr:from>
      <xdr:col>0</xdr:col>
      <xdr:colOff>1</xdr:colOff>
      <xdr:row>4</xdr:row>
      <xdr:rowOff>15240</xdr:rowOff>
    </xdr:from>
    <xdr:to>
      <xdr:col>17</xdr:col>
      <xdr:colOff>872491</xdr:colOff>
      <xdr:row>24</xdr:row>
      <xdr:rowOff>1632</xdr:rowOff>
    </xdr:to>
    <xdr:graphicFrame macro="">
      <xdr:nvGraphicFramePr>
        <xdr:cNvPr id="2" name="Bar Plot">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0</xdr:colOff>
          <xdr:row>24</xdr:row>
          <xdr:rowOff>0</xdr:rowOff>
        </xdr:from>
        <xdr:to>
          <xdr:col>18</xdr:col>
          <xdr:colOff>0</xdr:colOff>
          <xdr:row>25</xdr:row>
          <xdr:rowOff>0</xdr:rowOff>
        </xdr:to>
        <xdr:sp macro="" textlink="">
          <xdr:nvSpPr>
            <xdr:cNvPr id="27649" name="Scroll Bar 1" hidden="1">
              <a:extLst>
                <a:ext uri="{63B3BB69-23CF-44E3-9099-C40C66FF867C}">
                  <a14:compatExt spid="_x0000_s27649"/>
                </a:ext>
                <a:ext uri="{FF2B5EF4-FFF2-40B4-BE49-F238E27FC236}">
                  <a16:creationId xmlns:a16="http://schemas.microsoft.com/office/drawing/2014/main" id="{00000000-0008-0000-0700-000001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18</xdr:col>
          <xdr:colOff>0</xdr:colOff>
          <xdr:row>12</xdr:row>
          <xdr:rowOff>0</xdr:rowOff>
        </xdr:from>
        <xdr:to>
          <xdr:col>20</xdr:col>
          <xdr:colOff>0</xdr:colOff>
          <xdr:row>14</xdr:row>
          <xdr:rowOff>0</xdr:rowOff>
        </xdr:to>
        <xdr:sp macro="" textlink="">
          <xdr:nvSpPr>
            <xdr:cNvPr id="27652" name="Button_ShowAnimation" hidden="1">
              <a:extLst>
                <a:ext uri="{63B3BB69-23CF-44E3-9099-C40C66FF867C}">
                  <a14:compatExt spid="_x0000_s27652"/>
                </a:ext>
                <a:ext uri="{FF2B5EF4-FFF2-40B4-BE49-F238E27FC236}">
                  <a16:creationId xmlns:a16="http://schemas.microsoft.com/office/drawing/2014/main" id="{00000000-0008-0000-0700-000004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Run through year</a:t>
              </a:r>
            </a:p>
          </xdr:txBody>
        </xdr:sp>
        <xdr:clientData fPrintsWithSheet="0"/>
      </xdr:twoCellAnchor>
    </mc:Choice>
    <mc:Fallback/>
  </mc:AlternateContent>
  <xdr:twoCellAnchor>
    <xdr:from>
      <xdr:col>0</xdr:col>
      <xdr:colOff>0</xdr:colOff>
      <xdr:row>4</xdr:row>
      <xdr:rowOff>0</xdr:rowOff>
    </xdr:from>
    <xdr:to>
      <xdr:col>17</xdr:col>
      <xdr:colOff>878476</xdr:colOff>
      <xdr:row>23</xdr:row>
      <xdr:rowOff>167640</xdr:rowOff>
    </xdr:to>
    <xdr:graphicFrame macro="">
      <xdr:nvGraphicFramePr>
        <xdr:cNvPr id="4" name="Chart (Time)" hidden="1">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4</xdr:row>
      <xdr:rowOff>0</xdr:rowOff>
    </xdr:from>
    <xdr:to>
      <xdr:col>18</xdr:col>
      <xdr:colOff>628873</xdr:colOff>
      <xdr:row>27</xdr:row>
      <xdr:rowOff>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1</xdr:colOff>
      <xdr:row>4</xdr:row>
      <xdr:rowOff>19050</xdr:rowOff>
    </xdr:from>
    <xdr:to>
      <xdr:col>17</xdr:col>
      <xdr:colOff>743959</xdr:colOff>
      <xdr:row>24</xdr:row>
      <xdr:rowOff>1632</xdr:rowOff>
    </xdr:to>
    <xdr:graphicFrame macro="">
      <xdr:nvGraphicFramePr>
        <xdr:cNvPr id="2" name="Bar Plot">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0</xdr:colOff>
          <xdr:row>24</xdr:row>
          <xdr:rowOff>0</xdr:rowOff>
        </xdr:from>
        <xdr:to>
          <xdr:col>17</xdr:col>
          <xdr:colOff>922020</xdr:colOff>
          <xdr:row>25</xdr:row>
          <xdr:rowOff>0</xdr:rowOff>
        </xdr:to>
        <xdr:sp macro="" textlink="">
          <xdr:nvSpPr>
            <xdr:cNvPr id="121857" name="Scroll Bar 1" hidden="1">
              <a:extLst>
                <a:ext uri="{63B3BB69-23CF-44E3-9099-C40C66FF867C}">
                  <a14:compatExt spid="_x0000_s121857"/>
                </a:ext>
                <a:ext uri="{FF2B5EF4-FFF2-40B4-BE49-F238E27FC236}">
                  <a16:creationId xmlns:a16="http://schemas.microsoft.com/office/drawing/2014/main" id="{00000000-0008-0000-0900-000001DC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18</xdr:col>
          <xdr:colOff>0</xdr:colOff>
          <xdr:row>12</xdr:row>
          <xdr:rowOff>0</xdr:rowOff>
        </xdr:from>
        <xdr:to>
          <xdr:col>20</xdr:col>
          <xdr:colOff>0</xdr:colOff>
          <xdr:row>14</xdr:row>
          <xdr:rowOff>0</xdr:rowOff>
        </xdr:to>
        <xdr:sp macro="" textlink="">
          <xdr:nvSpPr>
            <xdr:cNvPr id="121858" name="Button_ShowAnimation" hidden="1">
              <a:extLst>
                <a:ext uri="{63B3BB69-23CF-44E3-9099-C40C66FF867C}">
                  <a14:compatExt spid="_x0000_s121858"/>
                </a:ext>
                <a:ext uri="{FF2B5EF4-FFF2-40B4-BE49-F238E27FC236}">
                  <a16:creationId xmlns:a16="http://schemas.microsoft.com/office/drawing/2014/main" id="{00000000-0008-0000-0900-000002D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Run through year</a:t>
              </a:r>
            </a:p>
          </xdr:txBody>
        </xdr:sp>
        <xdr:clientData fPrintsWithSheet="0"/>
      </xdr:twoCellAnchor>
    </mc:Choice>
    <mc:Fallback/>
  </mc:AlternateContent>
  <xdr:twoCellAnchor>
    <xdr:from>
      <xdr:col>0</xdr:col>
      <xdr:colOff>0</xdr:colOff>
      <xdr:row>4</xdr:row>
      <xdr:rowOff>0</xdr:rowOff>
    </xdr:from>
    <xdr:to>
      <xdr:col>17</xdr:col>
      <xdr:colOff>878476</xdr:colOff>
      <xdr:row>23</xdr:row>
      <xdr:rowOff>167640</xdr:rowOff>
    </xdr:to>
    <xdr:graphicFrame macro="">
      <xdr:nvGraphicFramePr>
        <xdr:cNvPr id="5" name="Chart (Time)" hidden="1">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4</xdr:row>
      <xdr:rowOff>15465</xdr:rowOff>
    </xdr:from>
    <xdr:to>
      <xdr:col>14</xdr:col>
      <xdr:colOff>472440</xdr:colOff>
      <xdr:row>24</xdr:row>
      <xdr:rowOff>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2</xdr:col>
      <xdr:colOff>647700</xdr:colOff>
      <xdr:row>17</xdr:row>
      <xdr:rowOff>53340</xdr:rowOff>
    </xdr:from>
    <xdr:to>
      <xdr:col>16</xdr:col>
      <xdr:colOff>167640</xdr:colOff>
      <xdr:row>33</xdr:row>
      <xdr:rowOff>53340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16</xdr:col>
      <xdr:colOff>571500</xdr:colOff>
      <xdr:row>24</xdr:row>
      <xdr:rowOff>0</xdr:rowOff>
    </xdr:to>
    <xdr:graphicFrame macro="">
      <xdr:nvGraphicFramePr>
        <xdr:cNvPr id="6" name="Chart Column" hidden="1">
          <a:extLst>
            <a:ext uri="{FF2B5EF4-FFF2-40B4-BE49-F238E27FC236}">
              <a16:creationId xmlns:a16="http://schemas.microsoft.com/office/drawing/2014/main" id="{00000000-0008-0000-10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0</xdr:colOff>
          <xdr:row>24</xdr:row>
          <xdr:rowOff>0</xdr:rowOff>
        </xdr:from>
        <xdr:to>
          <xdr:col>16</xdr:col>
          <xdr:colOff>579120</xdr:colOff>
          <xdr:row>25</xdr:row>
          <xdr:rowOff>0</xdr:rowOff>
        </xdr:to>
        <xdr:sp macro="" textlink="">
          <xdr:nvSpPr>
            <xdr:cNvPr id="79874" name="Scroll_BarTime" hidden="1">
              <a:extLst>
                <a:ext uri="{63B3BB69-23CF-44E3-9099-C40C66FF867C}">
                  <a14:compatExt spid="_x0000_s79874"/>
                </a:ext>
                <a:ext uri="{FF2B5EF4-FFF2-40B4-BE49-F238E27FC236}">
                  <a16:creationId xmlns:a16="http://schemas.microsoft.com/office/drawing/2014/main" id="{00000000-0008-0000-1000-00000238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0</xdr:col>
      <xdr:colOff>1</xdr:colOff>
      <xdr:row>6</xdr:row>
      <xdr:rowOff>0</xdr:rowOff>
    </xdr:from>
    <xdr:to>
      <xdr:col>16</xdr:col>
      <xdr:colOff>571501</xdr:colOff>
      <xdr:row>24</xdr:row>
      <xdr:rowOff>0</xdr:rowOff>
    </xdr:to>
    <xdr:graphicFrame macro="">
      <xdr:nvGraphicFramePr>
        <xdr:cNvPr id="8" name="Chart Time">
          <a:extLst>
            <a:ext uri="{FF2B5EF4-FFF2-40B4-BE49-F238E27FC236}">
              <a16:creationId xmlns:a16="http://schemas.microsoft.com/office/drawing/2014/main" id="{00000000-0008-0000-1000-000008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19</xdr:col>
          <xdr:colOff>0</xdr:colOff>
          <xdr:row>20</xdr:row>
          <xdr:rowOff>76200</xdr:rowOff>
        </xdr:from>
        <xdr:to>
          <xdr:col>19</xdr:col>
          <xdr:colOff>1371600</xdr:colOff>
          <xdr:row>22</xdr:row>
          <xdr:rowOff>76200</xdr:rowOff>
        </xdr:to>
        <xdr:sp macro="" textlink="">
          <xdr:nvSpPr>
            <xdr:cNvPr id="79878" name="Button_ShowAnimation" hidden="1">
              <a:extLst>
                <a:ext uri="{63B3BB69-23CF-44E3-9099-C40C66FF867C}">
                  <a14:compatExt spid="_x0000_s79878"/>
                </a:ext>
                <a:ext uri="{FF2B5EF4-FFF2-40B4-BE49-F238E27FC236}">
                  <a16:creationId xmlns:a16="http://schemas.microsoft.com/office/drawing/2014/main" id="{00000000-0008-0000-1000-0000063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Run through year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8.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10.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8.xml"/><Relationship Id="rId1" Type="http://schemas.openxmlformats.org/officeDocument/2006/relationships/printerSettings" Target="../printerSettings/printerSettings16.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1.v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2.v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13.vml"/></Relationships>
</file>

<file path=xl/worksheets/_rels/sheet23.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4.vml"/></Relationships>
</file>

<file path=xl/worksheets/_rels/sheet24.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5.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6.vml"/></Relationships>
</file>

<file path=xl/worksheets/_rels/sheet26.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7.vml"/></Relationships>
</file>

<file path=xl/worksheets/_rels/sheet27.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8.vml"/></Relationships>
</file>

<file path=xl/worksheets/_rels/sheet28.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9.vml"/></Relationships>
</file>

<file path=xl/worksheets/_rels/sheet29.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30.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31.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32.xml.rels><?xml version="1.0" encoding="UTF-8" standalone="yes"?>
<Relationships xmlns="http://schemas.openxmlformats.org/package/2006/relationships"><Relationship Id="rId2" Type="http://schemas.openxmlformats.org/officeDocument/2006/relationships/comments" Target="../comments19.xml"/><Relationship Id="rId1" Type="http://schemas.openxmlformats.org/officeDocument/2006/relationships/vmlDrawing" Target="../drawings/vmlDrawing23.vml"/></Relationships>
</file>

<file path=xl/worksheets/_rels/sheet33.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34.xml.rels><?xml version="1.0" encoding="UTF-8" standalone="yes"?>
<Relationships xmlns="http://schemas.openxmlformats.org/package/2006/relationships"><Relationship Id="rId2" Type="http://schemas.openxmlformats.org/officeDocument/2006/relationships/comments" Target="../comments21.xml"/><Relationship Id="rId1" Type="http://schemas.openxmlformats.org/officeDocument/2006/relationships/vmlDrawing" Target="../drawings/vmlDrawing25.vml"/></Relationships>
</file>

<file path=xl/worksheets/_rels/sheet35.xml.rels><?xml version="1.0" encoding="UTF-8" standalone="yes"?>
<Relationships xmlns="http://schemas.openxmlformats.org/package/2006/relationships"><Relationship Id="rId2" Type="http://schemas.openxmlformats.org/officeDocument/2006/relationships/comments" Target="../comments22.xml"/><Relationship Id="rId1" Type="http://schemas.openxmlformats.org/officeDocument/2006/relationships/vmlDrawing" Target="../drawings/vmlDrawing26.vml"/></Relationships>
</file>

<file path=xl/worksheets/_rels/sheet36.xml.rels><?xml version="1.0" encoding="UTF-8" standalone="yes"?>
<Relationships xmlns="http://schemas.openxmlformats.org/package/2006/relationships"><Relationship Id="rId2" Type="http://schemas.openxmlformats.org/officeDocument/2006/relationships/comments" Target="../comments23.xml"/><Relationship Id="rId1" Type="http://schemas.openxmlformats.org/officeDocument/2006/relationships/vmlDrawing" Target="../drawings/vmlDrawing27.vml"/></Relationships>
</file>

<file path=xl/worksheets/_rels/sheet37.xml.rels><?xml version="1.0" encoding="UTF-8" standalone="yes"?>
<Relationships xmlns="http://schemas.openxmlformats.org/package/2006/relationships"><Relationship Id="rId2" Type="http://schemas.openxmlformats.org/officeDocument/2006/relationships/comments" Target="../comments24.xml"/><Relationship Id="rId1" Type="http://schemas.openxmlformats.org/officeDocument/2006/relationships/vmlDrawing" Target="../drawings/vmlDrawing28.vml"/></Relationships>
</file>

<file path=xl/worksheets/_rels/sheet38.xml.rels><?xml version="1.0" encoding="UTF-8" standalone="yes"?>
<Relationships xmlns="http://schemas.openxmlformats.org/package/2006/relationships"><Relationship Id="rId2" Type="http://schemas.openxmlformats.org/officeDocument/2006/relationships/comments" Target="../comments25.xml"/><Relationship Id="rId1" Type="http://schemas.openxmlformats.org/officeDocument/2006/relationships/vmlDrawing" Target="../drawings/vmlDrawing29.vml"/></Relationships>
</file>

<file path=xl/worksheets/_rels/sheet39.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0.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240"/>
  <sheetViews>
    <sheetView workbookViewId="0"/>
  </sheetViews>
  <sheetFormatPr defaultRowHeight="13.8" x14ac:dyDescent="0.25"/>
  <sheetData>
    <row r="1" spans="1:12" x14ac:dyDescent="0.25">
      <c r="A1" t="s">
        <v>26</v>
      </c>
    </row>
    <row r="3" spans="1:12" x14ac:dyDescent="0.25">
      <c r="A3" t="s">
        <v>27</v>
      </c>
      <c r="B3" t="s">
        <v>10</v>
      </c>
      <c r="C3" t="s">
        <v>28</v>
      </c>
      <c r="D3" t="s">
        <v>27</v>
      </c>
      <c r="G3" t="s">
        <v>311</v>
      </c>
      <c r="H3" t="s">
        <v>10</v>
      </c>
      <c r="I3" t="s">
        <v>312</v>
      </c>
      <c r="J3" t="s">
        <v>313</v>
      </c>
      <c r="K3" t="s">
        <v>314</v>
      </c>
      <c r="L3" t="s">
        <v>311</v>
      </c>
    </row>
    <row r="4" spans="1:12" x14ac:dyDescent="0.25">
      <c r="A4">
        <v>180</v>
      </c>
      <c r="B4" t="s">
        <v>29</v>
      </c>
      <c r="C4" t="s">
        <v>30</v>
      </c>
      <c r="D4">
        <v>180</v>
      </c>
      <c r="G4" t="s">
        <v>315</v>
      </c>
      <c r="H4" t="s">
        <v>316</v>
      </c>
      <c r="I4" t="s">
        <v>317</v>
      </c>
      <c r="J4" t="s">
        <v>318</v>
      </c>
      <c r="K4">
        <v>20020401</v>
      </c>
      <c r="L4" t="s">
        <v>315</v>
      </c>
    </row>
    <row r="5" spans="1:12" x14ac:dyDescent="0.25">
      <c r="A5">
        <v>721</v>
      </c>
      <c r="B5" t="s">
        <v>31</v>
      </c>
      <c r="C5" t="s">
        <v>32</v>
      </c>
      <c r="D5">
        <v>721</v>
      </c>
      <c r="G5" t="s">
        <v>319</v>
      </c>
      <c r="H5" t="s">
        <v>320</v>
      </c>
      <c r="I5" t="s">
        <v>321</v>
      </c>
      <c r="J5" t="s">
        <v>322</v>
      </c>
      <c r="K5">
        <v>19920401</v>
      </c>
      <c r="L5" t="s">
        <v>319</v>
      </c>
    </row>
    <row r="6" spans="1:12" x14ac:dyDescent="0.25">
      <c r="A6">
        <v>343</v>
      </c>
      <c r="B6" t="s">
        <v>33</v>
      </c>
      <c r="C6" t="s">
        <v>34</v>
      </c>
      <c r="D6">
        <v>343</v>
      </c>
      <c r="G6" t="s">
        <v>323</v>
      </c>
      <c r="H6" t="s">
        <v>324</v>
      </c>
      <c r="I6" t="s">
        <v>321</v>
      </c>
      <c r="J6" t="s">
        <v>325</v>
      </c>
      <c r="K6">
        <v>19920401</v>
      </c>
      <c r="L6" t="s">
        <v>323</v>
      </c>
    </row>
    <row r="7" spans="1:12" x14ac:dyDescent="0.25">
      <c r="A7">
        <v>710</v>
      </c>
      <c r="B7" t="s">
        <v>35</v>
      </c>
      <c r="C7" t="s">
        <v>36</v>
      </c>
      <c r="D7">
        <v>710</v>
      </c>
      <c r="G7" t="s">
        <v>326</v>
      </c>
      <c r="H7" t="s">
        <v>327</v>
      </c>
      <c r="I7" t="s">
        <v>321</v>
      </c>
      <c r="J7" t="s">
        <v>322</v>
      </c>
      <c r="K7">
        <v>19910401</v>
      </c>
      <c r="L7" t="s">
        <v>326</v>
      </c>
    </row>
    <row r="8" spans="1:12" x14ac:dyDescent="0.25">
      <c r="A8">
        <v>317</v>
      </c>
      <c r="B8" t="s">
        <v>37</v>
      </c>
      <c r="C8" t="s">
        <v>38</v>
      </c>
      <c r="D8">
        <v>317</v>
      </c>
      <c r="G8" t="s">
        <v>328</v>
      </c>
      <c r="H8" t="s">
        <v>329</v>
      </c>
      <c r="I8" t="s">
        <v>317</v>
      </c>
      <c r="J8" t="s">
        <v>330</v>
      </c>
      <c r="K8">
        <v>19980401</v>
      </c>
      <c r="L8" t="s">
        <v>328</v>
      </c>
    </row>
    <row r="9" spans="1:12" x14ac:dyDescent="0.25">
      <c r="A9">
        <v>190</v>
      </c>
      <c r="B9" t="s">
        <v>39</v>
      </c>
      <c r="C9" t="s">
        <v>40</v>
      </c>
      <c r="D9">
        <v>190</v>
      </c>
      <c r="G9" t="s">
        <v>331</v>
      </c>
      <c r="H9" t="s">
        <v>332</v>
      </c>
      <c r="I9" t="s">
        <v>317</v>
      </c>
      <c r="J9" t="s">
        <v>318</v>
      </c>
      <c r="K9">
        <v>19990401</v>
      </c>
      <c r="L9" t="s">
        <v>331</v>
      </c>
    </row>
    <row r="10" spans="1:12" x14ac:dyDescent="0.25">
      <c r="A10">
        <v>324</v>
      </c>
      <c r="B10" t="s">
        <v>41</v>
      </c>
      <c r="C10" t="s">
        <v>42</v>
      </c>
      <c r="D10">
        <v>324</v>
      </c>
      <c r="G10" t="s">
        <v>333</v>
      </c>
      <c r="H10" t="s">
        <v>334</v>
      </c>
      <c r="I10" t="s">
        <v>335</v>
      </c>
      <c r="J10" t="s">
        <v>336</v>
      </c>
      <c r="K10">
        <v>20010401</v>
      </c>
      <c r="L10" t="s">
        <v>333</v>
      </c>
    </row>
    <row r="11" spans="1:12" x14ac:dyDescent="0.25">
      <c r="A11">
        <v>660</v>
      </c>
      <c r="B11" t="s">
        <v>43</v>
      </c>
      <c r="C11" t="s">
        <v>44</v>
      </c>
      <c r="D11">
        <v>660</v>
      </c>
      <c r="G11" t="s">
        <v>337</v>
      </c>
      <c r="H11" t="s">
        <v>338</v>
      </c>
      <c r="I11" t="s">
        <v>335</v>
      </c>
      <c r="J11" t="s">
        <v>336</v>
      </c>
      <c r="K11">
        <v>20010401</v>
      </c>
      <c r="L11" t="s">
        <v>337</v>
      </c>
    </row>
    <row r="12" spans="1:12" x14ac:dyDescent="0.25">
      <c r="A12">
        <v>310</v>
      </c>
      <c r="B12" t="s">
        <v>45</v>
      </c>
      <c r="C12" t="s">
        <v>46</v>
      </c>
      <c r="D12">
        <v>310</v>
      </c>
      <c r="G12" t="s">
        <v>339</v>
      </c>
      <c r="H12" t="s">
        <v>340</v>
      </c>
      <c r="I12" t="s">
        <v>321</v>
      </c>
      <c r="J12" t="s">
        <v>325</v>
      </c>
      <c r="K12">
        <v>19930401</v>
      </c>
      <c r="L12" t="s">
        <v>339</v>
      </c>
    </row>
    <row r="13" spans="1:12" x14ac:dyDescent="0.25">
      <c r="A13">
        <v>840</v>
      </c>
      <c r="B13" t="s">
        <v>47</v>
      </c>
      <c r="C13" t="s">
        <v>48</v>
      </c>
      <c r="D13">
        <v>840</v>
      </c>
      <c r="G13" t="s">
        <v>341</v>
      </c>
      <c r="H13" t="s">
        <v>342</v>
      </c>
      <c r="I13" t="s">
        <v>335</v>
      </c>
      <c r="J13" t="s">
        <v>336</v>
      </c>
      <c r="K13">
        <v>20120401</v>
      </c>
      <c r="L13" t="s">
        <v>341</v>
      </c>
    </row>
    <row r="14" spans="1:12" x14ac:dyDescent="0.25">
      <c r="A14">
        <v>308</v>
      </c>
      <c r="B14" t="s">
        <v>49</v>
      </c>
      <c r="C14" t="s">
        <v>50</v>
      </c>
      <c r="D14">
        <v>308</v>
      </c>
      <c r="G14" t="s">
        <v>343</v>
      </c>
      <c r="H14" t="s">
        <v>344</v>
      </c>
      <c r="I14" t="s">
        <v>345</v>
      </c>
      <c r="J14" t="s">
        <v>346</v>
      </c>
      <c r="K14">
        <v>19920401</v>
      </c>
      <c r="L14" t="s">
        <v>343</v>
      </c>
    </row>
    <row r="15" spans="1:12" x14ac:dyDescent="0.25">
      <c r="A15">
        <v>103</v>
      </c>
      <c r="B15" t="s">
        <v>51</v>
      </c>
      <c r="C15" t="s">
        <v>52</v>
      </c>
      <c r="D15">
        <v>103</v>
      </c>
      <c r="G15" t="s">
        <v>347</v>
      </c>
      <c r="H15" t="s">
        <v>348</v>
      </c>
      <c r="I15" t="s">
        <v>345</v>
      </c>
      <c r="J15" t="s">
        <v>349</v>
      </c>
      <c r="K15">
        <v>19920401</v>
      </c>
      <c r="L15" t="s">
        <v>347</v>
      </c>
    </row>
    <row r="16" spans="1:12" x14ac:dyDescent="0.25">
      <c r="A16">
        <v>161</v>
      </c>
      <c r="B16" t="s">
        <v>53</v>
      </c>
      <c r="C16" t="s">
        <v>54</v>
      </c>
      <c r="D16">
        <v>161</v>
      </c>
      <c r="G16" t="s">
        <v>350</v>
      </c>
      <c r="H16" t="s">
        <v>351</v>
      </c>
      <c r="I16" t="s">
        <v>317</v>
      </c>
      <c r="J16" t="s">
        <v>318</v>
      </c>
      <c r="K16">
        <v>20010401</v>
      </c>
      <c r="L16" t="s">
        <v>350</v>
      </c>
    </row>
    <row r="17" spans="1:12" x14ac:dyDescent="0.25">
      <c r="A17">
        <v>327</v>
      </c>
      <c r="B17" t="s">
        <v>55</v>
      </c>
      <c r="C17" t="s">
        <v>56</v>
      </c>
      <c r="D17">
        <v>327</v>
      </c>
      <c r="G17" t="s">
        <v>352</v>
      </c>
      <c r="H17" t="s">
        <v>353</v>
      </c>
      <c r="I17" t="s">
        <v>345</v>
      </c>
      <c r="J17" t="s">
        <v>354</v>
      </c>
      <c r="K17">
        <v>20030401</v>
      </c>
      <c r="L17" t="s">
        <v>352</v>
      </c>
    </row>
    <row r="18" spans="1:12" x14ac:dyDescent="0.25">
      <c r="A18">
        <v>172</v>
      </c>
      <c r="B18" t="s">
        <v>57</v>
      </c>
      <c r="C18" t="s">
        <v>58</v>
      </c>
      <c r="D18">
        <v>172</v>
      </c>
      <c r="G18" t="s">
        <v>355</v>
      </c>
      <c r="H18" t="s">
        <v>356</v>
      </c>
      <c r="I18" t="s">
        <v>345</v>
      </c>
      <c r="J18" t="s">
        <v>354</v>
      </c>
      <c r="K18">
        <v>20101101</v>
      </c>
      <c r="L18" t="s">
        <v>355</v>
      </c>
    </row>
    <row r="19" spans="1:12" x14ac:dyDescent="0.25">
      <c r="A19">
        <v>320</v>
      </c>
      <c r="B19" t="s">
        <v>59</v>
      </c>
      <c r="C19" t="s">
        <v>60</v>
      </c>
      <c r="D19">
        <v>320</v>
      </c>
      <c r="G19" t="s">
        <v>357</v>
      </c>
      <c r="H19" t="s">
        <v>358</v>
      </c>
      <c r="I19" t="s">
        <v>345</v>
      </c>
      <c r="J19" t="s">
        <v>354</v>
      </c>
      <c r="K19">
        <v>19950401</v>
      </c>
      <c r="L19" t="s">
        <v>357</v>
      </c>
    </row>
    <row r="20" spans="1:12" x14ac:dyDescent="0.25">
      <c r="A20">
        <v>170</v>
      </c>
      <c r="B20" t="s">
        <v>61</v>
      </c>
      <c r="C20" t="s">
        <v>62</v>
      </c>
      <c r="D20">
        <v>170</v>
      </c>
      <c r="G20" t="s">
        <v>359</v>
      </c>
      <c r="H20" t="s">
        <v>360</v>
      </c>
      <c r="I20" t="s">
        <v>345</v>
      </c>
      <c r="J20" t="s">
        <v>354</v>
      </c>
      <c r="K20">
        <v>20030401</v>
      </c>
      <c r="L20" t="s">
        <v>359</v>
      </c>
    </row>
    <row r="21" spans="1:12" x14ac:dyDescent="0.25">
      <c r="A21">
        <v>174</v>
      </c>
      <c r="B21" t="s">
        <v>63</v>
      </c>
      <c r="C21" t="s">
        <v>64</v>
      </c>
      <c r="D21">
        <v>174</v>
      </c>
      <c r="G21" t="s">
        <v>361</v>
      </c>
      <c r="H21" t="s">
        <v>362</v>
      </c>
      <c r="I21" t="s">
        <v>321</v>
      </c>
      <c r="J21" t="s">
        <v>363</v>
      </c>
      <c r="K21">
        <v>20020401</v>
      </c>
      <c r="L21" t="s">
        <v>361</v>
      </c>
    </row>
    <row r="22" spans="1:12" x14ac:dyDescent="0.25">
      <c r="A22">
        <v>822</v>
      </c>
      <c r="B22" t="s">
        <v>65</v>
      </c>
      <c r="C22" t="s">
        <v>66</v>
      </c>
      <c r="D22">
        <v>822</v>
      </c>
      <c r="G22" t="s">
        <v>364</v>
      </c>
      <c r="H22" t="s">
        <v>365</v>
      </c>
      <c r="I22" t="s">
        <v>321</v>
      </c>
      <c r="J22" t="s">
        <v>366</v>
      </c>
      <c r="K22">
        <v>19940401</v>
      </c>
      <c r="L22" t="s">
        <v>364</v>
      </c>
    </row>
    <row r="23" spans="1:12" x14ac:dyDescent="0.25">
      <c r="A23">
        <v>711</v>
      </c>
      <c r="B23" t="s">
        <v>67</v>
      </c>
      <c r="C23" t="s">
        <v>68</v>
      </c>
      <c r="D23">
        <v>711</v>
      </c>
      <c r="G23" t="s">
        <v>367</v>
      </c>
      <c r="H23" t="s">
        <v>368</v>
      </c>
      <c r="I23" t="s">
        <v>321</v>
      </c>
      <c r="J23" t="s">
        <v>325</v>
      </c>
      <c r="K23">
        <v>20020401</v>
      </c>
      <c r="L23" t="s">
        <v>367</v>
      </c>
    </row>
    <row r="24" spans="1:12" x14ac:dyDescent="0.25">
      <c r="A24">
        <v>311</v>
      </c>
      <c r="B24" t="s">
        <v>69</v>
      </c>
      <c r="C24" t="s">
        <v>70</v>
      </c>
      <c r="D24">
        <v>311</v>
      </c>
      <c r="G24" t="s">
        <v>369</v>
      </c>
      <c r="H24" t="s">
        <v>370</v>
      </c>
      <c r="I24" t="s">
        <v>321</v>
      </c>
      <c r="J24" t="s">
        <v>325</v>
      </c>
      <c r="K24">
        <v>19910401</v>
      </c>
      <c r="L24" t="s">
        <v>369</v>
      </c>
    </row>
    <row r="25" spans="1:12" x14ac:dyDescent="0.25">
      <c r="A25">
        <v>303</v>
      </c>
      <c r="B25" t="s">
        <v>71</v>
      </c>
      <c r="C25" t="s">
        <v>72</v>
      </c>
      <c r="D25">
        <v>303</v>
      </c>
      <c r="G25" t="s">
        <v>371</v>
      </c>
      <c r="H25" t="s">
        <v>372</v>
      </c>
      <c r="I25" t="s">
        <v>321</v>
      </c>
      <c r="J25" t="s">
        <v>366</v>
      </c>
      <c r="K25">
        <v>20101101</v>
      </c>
      <c r="L25" t="s">
        <v>371</v>
      </c>
    </row>
    <row r="26" spans="1:12" x14ac:dyDescent="0.25">
      <c r="A26">
        <v>316</v>
      </c>
      <c r="B26" t="s">
        <v>73</v>
      </c>
      <c r="C26" t="s">
        <v>74</v>
      </c>
      <c r="D26">
        <v>316</v>
      </c>
      <c r="G26" t="s">
        <v>373</v>
      </c>
      <c r="H26" t="s">
        <v>374</v>
      </c>
      <c r="I26" t="s">
        <v>317</v>
      </c>
      <c r="J26" t="s">
        <v>330</v>
      </c>
      <c r="K26">
        <v>20020401</v>
      </c>
      <c r="L26" t="s">
        <v>373</v>
      </c>
    </row>
    <row r="27" spans="1:12" x14ac:dyDescent="0.25">
      <c r="A27">
        <v>313</v>
      </c>
      <c r="B27" t="s">
        <v>75</v>
      </c>
      <c r="C27" t="s">
        <v>76</v>
      </c>
      <c r="D27">
        <v>313</v>
      </c>
      <c r="G27" t="s">
        <v>375</v>
      </c>
      <c r="H27" t="s">
        <v>376</v>
      </c>
      <c r="I27" t="s">
        <v>317</v>
      </c>
      <c r="J27" t="s">
        <v>318</v>
      </c>
      <c r="K27">
        <v>20030401</v>
      </c>
      <c r="L27" t="s">
        <v>375</v>
      </c>
    </row>
    <row r="28" spans="1:12" x14ac:dyDescent="0.25">
      <c r="A28">
        <v>322</v>
      </c>
      <c r="B28" t="s">
        <v>77</v>
      </c>
      <c r="C28" t="s">
        <v>78</v>
      </c>
      <c r="D28">
        <v>322</v>
      </c>
      <c r="G28" t="s">
        <v>377</v>
      </c>
      <c r="H28" t="s">
        <v>378</v>
      </c>
      <c r="I28" t="s">
        <v>345</v>
      </c>
      <c r="J28" t="s">
        <v>379</v>
      </c>
      <c r="K28">
        <v>19930401</v>
      </c>
      <c r="L28" t="s">
        <v>377</v>
      </c>
    </row>
    <row r="29" spans="1:12" x14ac:dyDescent="0.25">
      <c r="A29">
        <v>401</v>
      </c>
      <c r="B29" t="s">
        <v>79</v>
      </c>
      <c r="C29" t="s">
        <v>80</v>
      </c>
      <c r="D29">
        <v>401</v>
      </c>
      <c r="G29" t="s">
        <v>380</v>
      </c>
      <c r="H29" t="s">
        <v>381</v>
      </c>
      <c r="I29" t="s">
        <v>321</v>
      </c>
      <c r="J29" t="s">
        <v>325</v>
      </c>
      <c r="K29">
        <v>20010401</v>
      </c>
      <c r="L29" t="s">
        <v>380</v>
      </c>
    </row>
    <row r="30" spans="1:12" x14ac:dyDescent="0.25">
      <c r="A30">
        <v>800</v>
      </c>
      <c r="B30" t="s">
        <v>81</v>
      </c>
      <c r="C30" t="s">
        <v>82</v>
      </c>
      <c r="D30">
        <v>800</v>
      </c>
      <c r="G30" t="s">
        <v>382</v>
      </c>
      <c r="H30" t="s">
        <v>383</v>
      </c>
      <c r="I30" t="s">
        <v>345</v>
      </c>
      <c r="J30" t="s">
        <v>346</v>
      </c>
      <c r="K30">
        <v>19930401</v>
      </c>
      <c r="L30" t="s">
        <v>382</v>
      </c>
    </row>
    <row r="31" spans="1:12" x14ac:dyDescent="0.25">
      <c r="A31">
        <v>305</v>
      </c>
      <c r="B31" t="s">
        <v>83</v>
      </c>
      <c r="C31" t="s">
        <v>84</v>
      </c>
      <c r="D31">
        <v>305</v>
      </c>
      <c r="G31" t="s">
        <v>384</v>
      </c>
      <c r="H31" t="s">
        <v>385</v>
      </c>
      <c r="I31" t="s">
        <v>345</v>
      </c>
      <c r="J31" t="s">
        <v>346</v>
      </c>
      <c r="K31">
        <v>20020401</v>
      </c>
      <c r="L31" t="s">
        <v>384</v>
      </c>
    </row>
    <row r="32" spans="1:12" x14ac:dyDescent="0.25">
      <c r="A32">
        <v>304</v>
      </c>
      <c r="B32" t="s">
        <v>85</v>
      </c>
      <c r="C32" t="s">
        <v>86</v>
      </c>
      <c r="D32">
        <v>304</v>
      </c>
      <c r="G32" t="s">
        <v>386</v>
      </c>
      <c r="H32" t="s">
        <v>387</v>
      </c>
      <c r="I32" t="s">
        <v>345</v>
      </c>
      <c r="J32" t="s">
        <v>346</v>
      </c>
      <c r="K32">
        <v>20100401</v>
      </c>
      <c r="L32" t="s">
        <v>386</v>
      </c>
    </row>
    <row r="33" spans="1:12" x14ac:dyDescent="0.25">
      <c r="A33">
        <v>656</v>
      </c>
      <c r="B33" t="s">
        <v>87</v>
      </c>
      <c r="C33" t="s">
        <v>88</v>
      </c>
      <c r="D33">
        <v>656</v>
      </c>
      <c r="G33" t="s">
        <v>388</v>
      </c>
      <c r="H33" t="s">
        <v>389</v>
      </c>
      <c r="I33" t="s">
        <v>335</v>
      </c>
      <c r="J33" t="s">
        <v>336</v>
      </c>
      <c r="K33">
        <v>20020401</v>
      </c>
      <c r="L33" t="s">
        <v>388</v>
      </c>
    </row>
    <row r="34" spans="1:12" x14ac:dyDescent="0.25">
      <c r="A34">
        <v>104</v>
      </c>
      <c r="B34" t="s">
        <v>89</v>
      </c>
      <c r="C34" t="s">
        <v>90</v>
      </c>
      <c r="D34">
        <v>104</v>
      </c>
      <c r="G34" t="s">
        <v>390</v>
      </c>
      <c r="H34" t="s">
        <v>391</v>
      </c>
      <c r="I34" t="s">
        <v>335</v>
      </c>
      <c r="J34" t="s">
        <v>336</v>
      </c>
      <c r="K34">
        <v>19990401</v>
      </c>
      <c r="L34" t="s">
        <v>390</v>
      </c>
    </row>
    <row r="35" spans="1:12" x14ac:dyDescent="0.25">
      <c r="A35">
        <v>290</v>
      </c>
      <c r="B35" t="s">
        <v>91</v>
      </c>
      <c r="C35" t="s">
        <v>92</v>
      </c>
      <c r="D35">
        <v>290</v>
      </c>
      <c r="G35" t="s">
        <v>392</v>
      </c>
      <c r="H35" t="s">
        <v>393</v>
      </c>
      <c r="I35" t="s">
        <v>335</v>
      </c>
      <c r="J35" t="s">
        <v>336</v>
      </c>
      <c r="K35">
        <v>20101101</v>
      </c>
      <c r="L35" t="s">
        <v>392</v>
      </c>
    </row>
    <row r="36" spans="1:12" x14ac:dyDescent="0.25">
      <c r="A36">
        <v>344</v>
      </c>
      <c r="B36" t="s">
        <v>93</v>
      </c>
      <c r="C36" t="s">
        <v>94</v>
      </c>
      <c r="D36">
        <v>344</v>
      </c>
      <c r="G36" t="s">
        <v>394</v>
      </c>
      <c r="H36" t="s">
        <v>395</v>
      </c>
      <c r="I36" t="s">
        <v>321</v>
      </c>
      <c r="J36" t="s">
        <v>366</v>
      </c>
      <c r="K36">
        <v>20010401</v>
      </c>
      <c r="L36" t="s">
        <v>394</v>
      </c>
    </row>
    <row r="37" spans="1:12" x14ac:dyDescent="0.25">
      <c r="A37">
        <v>331</v>
      </c>
      <c r="B37" t="s">
        <v>95</v>
      </c>
      <c r="C37" t="s">
        <v>96</v>
      </c>
      <c r="D37">
        <v>331</v>
      </c>
      <c r="G37" t="s">
        <v>396</v>
      </c>
      <c r="H37" t="s">
        <v>397</v>
      </c>
      <c r="I37" t="s">
        <v>335</v>
      </c>
      <c r="J37" t="s">
        <v>336</v>
      </c>
      <c r="K37">
        <v>19940401</v>
      </c>
      <c r="L37" t="s">
        <v>396</v>
      </c>
    </row>
    <row r="38" spans="1:12" x14ac:dyDescent="0.25">
      <c r="A38">
        <v>192</v>
      </c>
      <c r="B38" t="s">
        <v>97</v>
      </c>
      <c r="C38" t="s">
        <v>98</v>
      </c>
      <c r="D38">
        <v>192</v>
      </c>
      <c r="G38" t="s">
        <v>398</v>
      </c>
      <c r="H38" t="s">
        <v>399</v>
      </c>
      <c r="I38" t="s">
        <v>321</v>
      </c>
      <c r="J38" t="s">
        <v>322</v>
      </c>
      <c r="K38">
        <v>20020401</v>
      </c>
      <c r="L38" t="s">
        <v>398</v>
      </c>
    </row>
    <row r="39" spans="1:12" x14ac:dyDescent="0.25">
      <c r="A39">
        <v>727</v>
      </c>
      <c r="B39" t="s">
        <v>99</v>
      </c>
      <c r="C39" t="s">
        <v>100</v>
      </c>
      <c r="D39">
        <v>727</v>
      </c>
      <c r="G39" t="s">
        <v>400</v>
      </c>
      <c r="H39" t="s">
        <v>401</v>
      </c>
      <c r="I39" t="s">
        <v>345</v>
      </c>
      <c r="J39" t="s">
        <v>379</v>
      </c>
      <c r="K39">
        <v>19930401</v>
      </c>
      <c r="L39" t="s">
        <v>400</v>
      </c>
    </row>
    <row r="40" spans="1:12" x14ac:dyDescent="0.25">
      <c r="A40">
        <v>450</v>
      </c>
      <c r="B40" t="s">
        <v>101</v>
      </c>
      <c r="C40" t="s">
        <v>102</v>
      </c>
      <c r="D40">
        <v>450</v>
      </c>
      <c r="G40" t="s">
        <v>402</v>
      </c>
      <c r="H40" t="s">
        <v>403</v>
      </c>
      <c r="I40" t="s">
        <v>321</v>
      </c>
      <c r="J40" t="s">
        <v>404</v>
      </c>
      <c r="K40">
        <v>19940401</v>
      </c>
      <c r="L40" t="s">
        <v>402</v>
      </c>
    </row>
    <row r="41" spans="1:12" x14ac:dyDescent="0.25">
      <c r="A41">
        <v>330</v>
      </c>
      <c r="B41" t="s">
        <v>103</v>
      </c>
      <c r="C41" t="s">
        <v>104</v>
      </c>
      <c r="D41">
        <v>330</v>
      </c>
      <c r="G41" t="s">
        <v>405</v>
      </c>
      <c r="H41" t="s">
        <v>406</v>
      </c>
      <c r="I41" t="s">
        <v>345</v>
      </c>
      <c r="J41" t="s">
        <v>346</v>
      </c>
      <c r="K41">
        <v>19920401</v>
      </c>
      <c r="L41" t="s">
        <v>405</v>
      </c>
    </row>
    <row r="42" spans="1:12" x14ac:dyDescent="0.25">
      <c r="A42">
        <v>920</v>
      </c>
      <c r="B42" t="s">
        <v>105</v>
      </c>
      <c r="C42" t="s">
        <v>106</v>
      </c>
      <c r="D42">
        <v>920</v>
      </c>
      <c r="G42" t="s">
        <v>407</v>
      </c>
      <c r="H42" t="s">
        <v>408</v>
      </c>
      <c r="I42" t="s">
        <v>317</v>
      </c>
      <c r="J42" t="s">
        <v>409</v>
      </c>
      <c r="K42">
        <v>19930401</v>
      </c>
      <c r="L42" t="s">
        <v>407</v>
      </c>
    </row>
    <row r="43" spans="1:12" x14ac:dyDescent="0.25">
      <c r="A43">
        <v>307</v>
      </c>
      <c r="B43" t="s">
        <v>107</v>
      </c>
      <c r="C43" t="s">
        <v>108</v>
      </c>
      <c r="D43">
        <v>307</v>
      </c>
      <c r="G43" t="s">
        <v>410</v>
      </c>
      <c r="H43" t="s">
        <v>411</v>
      </c>
      <c r="I43" t="s">
        <v>321</v>
      </c>
      <c r="J43" t="s">
        <v>322</v>
      </c>
      <c r="K43">
        <v>19930401</v>
      </c>
      <c r="L43" t="s">
        <v>410</v>
      </c>
    </row>
    <row r="44" spans="1:12" x14ac:dyDescent="0.25">
      <c r="A44">
        <v>812</v>
      </c>
      <c r="B44" t="s">
        <v>109</v>
      </c>
      <c r="C44" t="s">
        <v>110</v>
      </c>
      <c r="D44">
        <v>812</v>
      </c>
      <c r="G44" t="s">
        <v>412</v>
      </c>
      <c r="H44" t="s">
        <v>413</v>
      </c>
      <c r="I44" t="s">
        <v>321</v>
      </c>
      <c r="J44" t="s">
        <v>404</v>
      </c>
      <c r="K44">
        <v>20021001</v>
      </c>
      <c r="L44" t="s">
        <v>412</v>
      </c>
    </row>
    <row r="45" spans="1:12" x14ac:dyDescent="0.25">
      <c r="A45">
        <v>654</v>
      </c>
      <c r="B45" t="s">
        <v>111</v>
      </c>
      <c r="C45" t="s">
        <v>112</v>
      </c>
      <c r="D45">
        <v>654</v>
      </c>
      <c r="G45" t="s">
        <v>414</v>
      </c>
      <c r="H45" t="s">
        <v>415</v>
      </c>
      <c r="I45" t="s">
        <v>345</v>
      </c>
      <c r="J45" t="s">
        <v>354</v>
      </c>
      <c r="K45">
        <v>20061001</v>
      </c>
      <c r="L45" t="s">
        <v>414</v>
      </c>
    </row>
    <row r="46" spans="1:12" x14ac:dyDescent="0.25">
      <c r="A46">
        <v>659</v>
      </c>
      <c r="B46" t="s">
        <v>113</v>
      </c>
      <c r="C46" t="s">
        <v>114</v>
      </c>
      <c r="D46">
        <v>659</v>
      </c>
      <c r="G46" t="s">
        <v>416</v>
      </c>
      <c r="H46" t="s">
        <v>417</v>
      </c>
      <c r="I46" t="s">
        <v>335</v>
      </c>
      <c r="J46" t="s">
        <v>336</v>
      </c>
      <c r="K46">
        <v>19930401</v>
      </c>
      <c r="L46" t="s">
        <v>416</v>
      </c>
    </row>
    <row r="47" spans="1:12" x14ac:dyDescent="0.25">
      <c r="A47">
        <v>720</v>
      </c>
      <c r="B47" t="s">
        <v>115</v>
      </c>
      <c r="C47" t="s">
        <v>116</v>
      </c>
      <c r="D47">
        <v>720</v>
      </c>
      <c r="G47" t="s">
        <v>418</v>
      </c>
      <c r="H47" t="s">
        <v>419</v>
      </c>
      <c r="I47" t="s">
        <v>321</v>
      </c>
      <c r="J47" t="s">
        <v>404</v>
      </c>
      <c r="K47">
        <v>20010401</v>
      </c>
      <c r="L47" t="s">
        <v>418</v>
      </c>
    </row>
    <row r="48" spans="1:12" x14ac:dyDescent="0.25">
      <c r="A48">
        <v>302</v>
      </c>
      <c r="B48" t="s">
        <v>117</v>
      </c>
      <c r="C48" t="s">
        <v>118</v>
      </c>
      <c r="D48">
        <v>302</v>
      </c>
      <c r="G48" t="s">
        <v>420</v>
      </c>
      <c r="H48" t="s">
        <v>421</v>
      </c>
      <c r="I48" t="s">
        <v>317</v>
      </c>
      <c r="J48" t="s">
        <v>330</v>
      </c>
      <c r="K48">
        <v>19940401</v>
      </c>
      <c r="L48" t="s">
        <v>420</v>
      </c>
    </row>
    <row r="49" spans="1:12" x14ac:dyDescent="0.25">
      <c r="A49">
        <v>120</v>
      </c>
      <c r="B49" t="s">
        <v>119</v>
      </c>
      <c r="C49" t="s">
        <v>120</v>
      </c>
      <c r="D49">
        <v>120</v>
      </c>
      <c r="G49" t="s">
        <v>422</v>
      </c>
      <c r="H49" t="s">
        <v>423</v>
      </c>
      <c r="I49" t="s">
        <v>345</v>
      </c>
      <c r="J49" t="s">
        <v>379</v>
      </c>
      <c r="K49">
        <v>19980401</v>
      </c>
      <c r="L49" t="s">
        <v>422</v>
      </c>
    </row>
    <row r="50" spans="1:12" x14ac:dyDescent="0.25">
      <c r="A50">
        <v>712</v>
      </c>
      <c r="B50" t="s">
        <v>121</v>
      </c>
      <c r="C50" t="s">
        <v>122</v>
      </c>
      <c r="D50">
        <v>712</v>
      </c>
      <c r="G50" t="s">
        <v>424</v>
      </c>
      <c r="H50" t="s">
        <v>425</v>
      </c>
      <c r="I50" t="s">
        <v>345</v>
      </c>
      <c r="J50" t="s">
        <v>379</v>
      </c>
      <c r="K50">
        <v>20110401</v>
      </c>
      <c r="L50" t="s">
        <v>424</v>
      </c>
    </row>
    <row r="51" spans="1:12" x14ac:dyDescent="0.25">
      <c r="A51">
        <v>301</v>
      </c>
      <c r="B51" t="s">
        <v>14</v>
      </c>
      <c r="C51" t="s">
        <v>123</v>
      </c>
      <c r="D51">
        <v>301</v>
      </c>
      <c r="G51" t="s">
        <v>426</v>
      </c>
      <c r="H51" t="s">
        <v>427</v>
      </c>
      <c r="I51" t="s">
        <v>345</v>
      </c>
      <c r="J51" t="s">
        <v>379</v>
      </c>
      <c r="K51">
        <v>20020401</v>
      </c>
      <c r="L51" t="s">
        <v>426</v>
      </c>
    </row>
    <row r="52" spans="1:12" x14ac:dyDescent="0.25">
      <c r="A52">
        <v>300</v>
      </c>
      <c r="B52" t="s">
        <v>124</v>
      </c>
      <c r="C52" t="s">
        <v>125</v>
      </c>
      <c r="D52">
        <v>300</v>
      </c>
      <c r="G52" t="s">
        <v>428</v>
      </c>
      <c r="H52" t="s">
        <v>429</v>
      </c>
      <c r="I52" t="s">
        <v>317</v>
      </c>
      <c r="J52" t="s">
        <v>409</v>
      </c>
      <c r="K52">
        <v>20010401</v>
      </c>
      <c r="L52" t="s">
        <v>428</v>
      </c>
    </row>
    <row r="53" spans="1:12" x14ac:dyDescent="0.25">
      <c r="A53">
        <v>100</v>
      </c>
      <c r="B53" t="s">
        <v>126</v>
      </c>
      <c r="C53" t="s">
        <v>127</v>
      </c>
      <c r="D53">
        <v>100</v>
      </c>
      <c r="G53" t="s">
        <v>430</v>
      </c>
      <c r="H53" t="s">
        <v>431</v>
      </c>
      <c r="I53" t="s">
        <v>321</v>
      </c>
      <c r="J53" t="s">
        <v>325</v>
      </c>
      <c r="K53">
        <v>20010401</v>
      </c>
      <c r="L53" t="s">
        <v>430</v>
      </c>
    </row>
    <row r="54" spans="1:12" x14ac:dyDescent="0.25">
      <c r="A54">
        <v>360</v>
      </c>
      <c r="B54" t="s">
        <v>128</v>
      </c>
      <c r="C54" t="s">
        <v>129</v>
      </c>
      <c r="D54">
        <v>360</v>
      </c>
      <c r="G54" t="s">
        <v>432</v>
      </c>
      <c r="H54" t="s">
        <v>433</v>
      </c>
      <c r="I54" t="s">
        <v>317</v>
      </c>
      <c r="J54" t="s">
        <v>434</v>
      </c>
      <c r="K54">
        <v>19910401</v>
      </c>
      <c r="L54" t="s">
        <v>432</v>
      </c>
    </row>
    <row r="55" spans="1:12" x14ac:dyDescent="0.25">
      <c r="A55">
        <v>430</v>
      </c>
      <c r="B55" t="s">
        <v>130</v>
      </c>
      <c r="C55" t="s">
        <v>131</v>
      </c>
      <c r="D55">
        <v>430</v>
      </c>
      <c r="G55" t="s">
        <v>435</v>
      </c>
      <c r="H55" t="s">
        <v>436</v>
      </c>
      <c r="I55" t="s">
        <v>317</v>
      </c>
      <c r="J55" t="s">
        <v>434</v>
      </c>
      <c r="K55">
        <v>19920401</v>
      </c>
      <c r="L55" t="s">
        <v>435</v>
      </c>
    </row>
    <row r="56" spans="1:12" x14ac:dyDescent="0.25">
      <c r="A56">
        <v>503</v>
      </c>
      <c r="B56" t="s">
        <v>132</v>
      </c>
      <c r="C56" t="s">
        <v>133</v>
      </c>
      <c r="D56">
        <v>503</v>
      </c>
      <c r="G56" t="s">
        <v>437</v>
      </c>
      <c r="H56" t="s">
        <v>438</v>
      </c>
      <c r="I56" t="s">
        <v>345</v>
      </c>
      <c r="J56" t="s">
        <v>354</v>
      </c>
      <c r="K56">
        <v>20081001</v>
      </c>
      <c r="L56" t="s">
        <v>437</v>
      </c>
    </row>
    <row r="57" spans="1:12" x14ac:dyDescent="0.25">
      <c r="A57">
        <v>502</v>
      </c>
      <c r="B57" t="s">
        <v>134</v>
      </c>
      <c r="C57" t="s">
        <v>135</v>
      </c>
      <c r="D57">
        <v>502</v>
      </c>
      <c r="G57" t="s">
        <v>439</v>
      </c>
      <c r="H57" t="s">
        <v>440</v>
      </c>
      <c r="I57" t="s">
        <v>345</v>
      </c>
      <c r="J57" t="s">
        <v>349</v>
      </c>
      <c r="K57">
        <v>20000401</v>
      </c>
      <c r="L57" t="s">
        <v>439</v>
      </c>
    </row>
    <row r="58" spans="1:12" x14ac:dyDescent="0.25">
      <c r="A58">
        <v>309</v>
      </c>
      <c r="B58" t="s">
        <v>136</v>
      </c>
      <c r="C58" t="s">
        <v>137</v>
      </c>
      <c r="D58">
        <v>309</v>
      </c>
      <c r="G58" t="s">
        <v>441</v>
      </c>
      <c r="H58" t="s">
        <v>442</v>
      </c>
      <c r="I58" t="s">
        <v>321</v>
      </c>
      <c r="J58" t="s">
        <v>322</v>
      </c>
      <c r="K58">
        <v>19930401</v>
      </c>
      <c r="L58" t="s">
        <v>441</v>
      </c>
    </row>
    <row r="59" spans="1:12" x14ac:dyDescent="0.25">
      <c r="A59">
        <v>105</v>
      </c>
      <c r="B59" t="s">
        <v>138</v>
      </c>
      <c r="C59" t="s">
        <v>139</v>
      </c>
      <c r="D59">
        <v>105</v>
      </c>
      <c r="G59" t="s">
        <v>443</v>
      </c>
      <c r="H59" t="s">
        <v>444</v>
      </c>
      <c r="I59" t="s">
        <v>317</v>
      </c>
      <c r="J59" t="s">
        <v>330</v>
      </c>
      <c r="K59">
        <v>19990401</v>
      </c>
      <c r="L59" t="s">
        <v>443</v>
      </c>
    </row>
    <row r="60" spans="1:12" x14ac:dyDescent="0.25">
      <c r="A60">
        <v>306</v>
      </c>
      <c r="B60" t="s">
        <v>140</v>
      </c>
      <c r="C60" t="s">
        <v>141</v>
      </c>
      <c r="D60">
        <v>306</v>
      </c>
      <c r="G60" t="s">
        <v>445</v>
      </c>
      <c r="H60" t="s">
        <v>446</v>
      </c>
      <c r="I60" t="s">
        <v>321</v>
      </c>
      <c r="J60" t="s">
        <v>363</v>
      </c>
      <c r="K60">
        <v>20030401</v>
      </c>
      <c r="L60" t="s">
        <v>445</v>
      </c>
    </row>
    <row r="61" spans="1:12" x14ac:dyDescent="0.25">
      <c r="A61">
        <v>350</v>
      </c>
      <c r="B61" t="s">
        <v>142</v>
      </c>
      <c r="C61" t="s">
        <v>143</v>
      </c>
      <c r="D61">
        <v>350</v>
      </c>
      <c r="G61" t="s">
        <v>447</v>
      </c>
      <c r="H61" t="s">
        <v>448</v>
      </c>
      <c r="I61" t="s">
        <v>335</v>
      </c>
      <c r="J61" t="s">
        <v>336</v>
      </c>
      <c r="K61">
        <v>20000401</v>
      </c>
      <c r="L61" t="s">
        <v>447</v>
      </c>
    </row>
    <row r="62" spans="1:12" x14ac:dyDescent="0.25">
      <c r="A62">
        <v>318</v>
      </c>
      <c r="B62" t="s">
        <v>144</v>
      </c>
      <c r="C62" t="s">
        <v>145</v>
      </c>
      <c r="D62">
        <v>318</v>
      </c>
      <c r="G62" t="s">
        <v>449</v>
      </c>
      <c r="H62" t="s">
        <v>450</v>
      </c>
      <c r="I62" t="s">
        <v>345</v>
      </c>
      <c r="J62" t="s">
        <v>379</v>
      </c>
      <c r="K62">
        <v>20060701</v>
      </c>
      <c r="L62" t="s">
        <v>449</v>
      </c>
    </row>
    <row r="63" spans="1:12" x14ac:dyDescent="0.25">
      <c r="A63">
        <v>811</v>
      </c>
      <c r="B63" t="s">
        <v>146</v>
      </c>
      <c r="C63" t="s">
        <v>147</v>
      </c>
      <c r="D63">
        <v>811</v>
      </c>
      <c r="G63" t="s">
        <v>451</v>
      </c>
      <c r="H63" t="s">
        <v>452</v>
      </c>
      <c r="I63" t="s">
        <v>345</v>
      </c>
      <c r="J63" t="s">
        <v>346</v>
      </c>
      <c r="K63">
        <v>20060701</v>
      </c>
      <c r="L63" t="s">
        <v>451</v>
      </c>
    </row>
    <row r="64" spans="1:12" x14ac:dyDescent="0.25">
      <c r="A64">
        <v>700</v>
      </c>
      <c r="B64" t="s">
        <v>148</v>
      </c>
      <c r="C64" t="s">
        <v>149</v>
      </c>
      <c r="D64">
        <v>700</v>
      </c>
      <c r="G64" t="s">
        <v>453</v>
      </c>
      <c r="H64" t="s">
        <v>454</v>
      </c>
      <c r="I64" t="s">
        <v>317</v>
      </c>
      <c r="J64" t="s">
        <v>330</v>
      </c>
      <c r="K64">
        <v>20020401</v>
      </c>
      <c r="L64" t="s">
        <v>453</v>
      </c>
    </row>
    <row r="65" spans="1:12" x14ac:dyDescent="0.25">
      <c r="A65">
        <v>722</v>
      </c>
      <c r="B65" t="s">
        <v>150</v>
      </c>
      <c r="C65" t="s">
        <v>151</v>
      </c>
      <c r="D65">
        <v>722</v>
      </c>
      <c r="G65" t="s">
        <v>455</v>
      </c>
      <c r="H65" t="s">
        <v>456</v>
      </c>
      <c r="I65" t="s">
        <v>335</v>
      </c>
      <c r="J65" t="s">
        <v>336</v>
      </c>
      <c r="K65">
        <v>19990401</v>
      </c>
      <c r="L65" t="s">
        <v>455</v>
      </c>
    </row>
    <row r="66" spans="1:12" x14ac:dyDescent="0.25">
      <c r="A66">
        <v>346</v>
      </c>
      <c r="B66" t="s">
        <v>152</v>
      </c>
      <c r="C66" t="s">
        <v>153</v>
      </c>
      <c r="D66">
        <v>346</v>
      </c>
      <c r="G66" t="s">
        <v>457</v>
      </c>
      <c r="H66" t="s">
        <v>458</v>
      </c>
      <c r="I66" t="s">
        <v>345</v>
      </c>
      <c r="J66" t="s">
        <v>346</v>
      </c>
      <c r="K66">
        <v>20170401</v>
      </c>
      <c r="L66" t="s">
        <v>457</v>
      </c>
    </row>
    <row r="67" spans="1:12" x14ac:dyDescent="0.25">
      <c r="A67">
        <v>144</v>
      </c>
      <c r="B67" t="s">
        <v>154</v>
      </c>
      <c r="C67" t="s">
        <v>155</v>
      </c>
      <c r="D67">
        <v>144</v>
      </c>
      <c r="G67" t="s">
        <v>459</v>
      </c>
      <c r="H67" t="s">
        <v>460</v>
      </c>
      <c r="I67" t="s">
        <v>317</v>
      </c>
      <c r="J67" t="s">
        <v>330</v>
      </c>
      <c r="K67">
        <v>19920401</v>
      </c>
      <c r="L67" t="s">
        <v>459</v>
      </c>
    </row>
    <row r="68" spans="1:12" x14ac:dyDescent="0.25">
      <c r="A68">
        <v>370</v>
      </c>
      <c r="B68" t="s">
        <v>156</v>
      </c>
      <c r="C68" t="s">
        <v>157</v>
      </c>
      <c r="D68">
        <v>370</v>
      </c>
      <c r="G68" t="s">
        <v>461</v>
      </c>
      <c r="H68" t="s">
        <v>462</v>
      </c>
      <c r="I68" t="s">
        <v>321</v>
      </c>
      <c r="J68" t="s">
        <v>404</v>
      </c>
      <c r="K68">
        <v>19980401</v>
      </c>
      <c r="L68" t="s">
        <v>461</v>
      </c>
    </row>
    <row r="69" spans="1:12" x14ac:dyDescent="0.25">
      <c r="A69">
        <v>460</v>
      </c>
      <c r="B69" t="s">
        <v>158</v>
      </c>
      <c r="C69" t="s">
        <v>159</v>
      </c>
      <c r="D69">
        <v>460</v>
      </c>
      <c r="G69" t="s">
        <v>463</v>
      </c>
      <c r="H69" t="s">
        <v>464</v>
      </c>
      <c r="I69" t="s">
        <v>345</v>
      </c>
      <c r="J69" t="s">
        <v>354</v>
      </c>
      <c r="K69">
        <v>19940401</v>
      </c>
      <c r="L69" t="s">
        <v>463</v>
      </c>
    </row>
    <row r="70" spans="1:12" x14ac:dyDescent="0.25">
      <c r="A70">
        <v>834</v>
      </c>
      <c r="B70" t="s">
        <v>160</v>
      </c>
      <c r="C70" t="s">
        <v>161</v>
      </c>
      <c r="D70">
        <v>834</v>
      </c>
      <c r="G70" t="s">
        <v>465</v>
      </c>
      <c r="H70" t="s">
        <v>466</v>
      </c>
      <c r="I70" t="s">
        <v>317</v>
      </c>
      <c r="J70" t="s">
        <v>318</v>
      </c>
      <c r="K70">
        <v>20130322</v>
      </c>
      <c r="L70" t="s">
        <v>465</v>
      </c>
    </row>
    <row r="71" spans="1:12" x14ac:dyDescent="0.25">
      <c r="A71">
        <v>726</v>
      </c>
      <c r="B71" t="s">
        <v>162</v>
      </c>
      <c r="C71" t="s">
        <v>163</v>
      </c>
      <c r="D71">
        <v>726</v>
      </c>
      <c r="G71" t="s">
        <v>467</v>
      </c>
      <c r="H71" t="s">
        <v>468</v>
      </c>
      <c r="I71" t="s">
        <v>317</v>
      </c>
      <c r="J71" t="s">
        <v>318</v>
      </c>
      <c r="K71">
        <v>20020401</v>
      </c>
      <c r="L71" t="s">
        <v>467</v>
      </c>
    </row>
    <row r="72" spans="1:12" x14ac:dyDescent="0.25">
      <c r="A72">
        <v>725</v>
      </c>
      <c r="B72" t="s">
        <v>164</v>
      </c>
      <c r="C72" t="s">
        <v>165</v>
      </c>
      <c r="D72">
        <v>725</v>
      </c>
      <c r="G72" t="s">
        <v>469</v>
      </c>
      <c r="H72" t="s">
        <v>470</v>
      </c>
      <c r="I72" t="s">
        <v>335</v>
      </c>
      <c r="J72" t="s">
        <v>336</v>
      </c>
      <c r="K72">
        <v>19940401</v>
      </c>
      <c r="L72" t="s">
        <v>469</v>
      </c>
    </row>
    <row r="73" spans="1:12" x14ac:dyDescent="0.25">
      <c r="A73">
        <v>560</v>
      </c>
      <c r="B73" t="s">
        <v>166</v>
      </c>
      <c r="C73" t="s">
        <v>167</v>
      </c>
      <c r="D73">
        <v>560</v>
      </c>
      <c r="G73" t="s">
        <v>471</v>
      </c>
      <c r="H73" t="s">
        <v>472</v>
      </c>
      <c r="I73" t="s">
        <v>317</v>
      </c>
      <c r="J73" t="s">
        <v>318</v>
      </c>
      <c r="K73">
        <v>19940401</v>
      </c>
      <c r="L73" t="s">
        <v>471</v>
      </c>
    </row>
    <row r="74" spans="1:12" x14ac:dyDescent="0.25">
      <c r="A74">
        <v>661</v>
      </c>
      <c r="B74" t="s">
        <v>168</v>
      </c>
      <c r="C74" t="s">
        <v>169</v>
      </c>
      <c r="D74">
        <v>661</v>
      </c>
      <c r="G74" t="s">
        <v>473</v>
      </c>
      <c r="H74" t="s">
        <v>474</v>
      </c>
      <c r="I74" t="s">
        <v>321</v>
      </c>
      <c r="J74" t="s">
        <v>366</v>
      </c>
      <c r="K74">
        <v>20030401</v>
      </c>
      <c r="L74" t="s">
        <v>473</v>
      </c>
    </row>
    <row r="75" spans="1:12" x14ac:dyDescent="0.25">
      <c r="A75">
        <v>422</v>
      </c>
      <c r="B75" t="s">
        <v>170</v>
      </c>
      <c r="C75" t="s">
        <v>171</v>
      </c>
      <c r="D75">
        <v>422</v>
      </c>
      <c r="G75" t="s">
        <v>475</v>
      </c>
      <c r="H75" t="s">
        <v>476</v>
      </c>
      <c r="I75" t="s">
        <v>335</v>
      </c>
      <c r="J75" t="s">
        <v>336</v>
      </c>
      <c r="K75">
        <v>19930401</v>
      </c>
      <c r="L75" t="s">
        <v>475</v>
      </c>
    </row>
    <row r="76" spans="1:12" x14ac:dyDescent="0.25">
      <c r="A76">
        <v>361</v>
      </c>
      <c r="B76" t="s">
        <v>172</v>
      </c>
      <c r="C76" t="s">
        <v>173</v>
      </c>
      <c r="D76">
        <v>361</v>
      </c>
      <c r="G76" t="s">
        <v>477</v>
      </c>
      <c r="H76" t="s">
        <v>478</v>
      </c>
      <c r="I76" t="s">
        <v>317</v>
      </c>
      <c r="J76" t="s">
        <v>434</v>
      </c>
      <c r="K76">
        <v>19940401</v>
      </c>
      <c r="L76" t="s">
        <v>477</v>
      </c>
    </row>
    <row r="77" spans="1:12" x14ac:dyDescent="0.25">
      <c r="A77">
        <v>400</v>
      </c>
      <c r="B77" t="s">
        <v>174</v>
      </c>
      <c r="C77" t="s">
        <v>175</v>
      </c>
      <c r="D77">
        <v>400</v>
      </c>
      <c r="G77" t="s">
        <v>479</v>
      </c>
      <c r="H77" t="s">
        <v>480</v>
      </c>
      <c r="I77" t="s">
        <v>321</v>
      </c>
      <c r="J77" t="s">
        <v>325</v>
      </c>
      <c r="K77">
        <v>19920401</v>
      </c>
      <c r="L77" t="s">
        <v>479</v>
      </c>
    </row>
    <row r="78" spans="1:12" x14ac:dyDescent="0.25">
      <c r="A78">
        <v>150</v>
      </c>
      <c r="B78" t="s">
        <v>176</v>
      </c>
      <c r="C78" t="s">
        <v>177</v>
      </c>
      <c r="D78">
        <v>150</v>
      </c>
      <c r="G78" t="s">
        <v>481</v>
      </c>
      <c r="H78" t="s">
        <v>482</v>
      </c>
      <c r="I78" t="s">
        <v>345</v>
      </c>
      <c r="J78" t="s">
        <v>354</v>
      </c>
      <c r="K78">
        <v>19960401</v>
      </c>
      <c r="L78" t="s">
        <v>481</v>
      </c>
    </row>
    <row r="79" spans="1:12" x14ac:dyDescent="0.25">
      <c r="A79">
        <v>371</v>
      </c>
      <c r="B79" t="s">
        <v>178</v>
      </c>
      <c r="C79" t="s">
        <v>179</v>
      </c>
      <c r="D79">
        <v>371</v>
      </c>
      <c r="G79" t="s">
        <v>483</v>
      </c>
      <c r="H79" t="s">
        <v>484</v>
      </c>
      <c r="I79" t="s">
        <v>345</v>
      </c>
      <c r="J79" t="s">
        <v>349</v>
      </c>
      <c r="K79">
        <v>20101101</v>
      </c>
      <c r="L79" t="s">
        <v>483</v>
      </c>
    </row>
    <row r="80" spans="1:12" x14ac:dyDescent="0.25">
      <c r="A80">
        <v>501</v>
      </c>
      <c r="B80" t="s">
        <v>180</v>
      </c>
      <c r="C80" t="s">
        <v>181</v>
      </c>
      <c r="D80">
        <v>501</v>
      </c>
      <c r="G80" t="s">
        <v>485</v>
      </c>
      <c r="H80" t="s">
        <v>486</v>
      </c>
      <c r="I80" t="s">
        <v>345</v>
      </c>
      <c r="J80" t="s">
        <v>349</v>
      </c>
      <c r="K80">
        <v>20010401</v>
      </c>
      <c r="L80" t="s">
        <v>485</v>
      </c>
    </row>
    <row r="81" spans="1:12" x14ac:dyDescent="0.25">
      <c r="A81">
        <v>651</v>
      </c>
      <c r="B81" t="s">
        <v>182</v>
      </c>
      <c r="C81" t="s">
        <v>183</v>
      </c>
      <c r="D81">
        <v>651</v>
      </c>
      <c r="G81" t="s">
        <v>487</v>
      </c>
      <c r="H81" t="s">
        <v>488</v>
      </c>
      <c r="I81" t="s">
        <v>335</v>
      </c>
      <c r="J81" t="s">
        <v>336</v>
      </c>
      <c r="K81">
        <v>19950401</v>
      </c>
      <c r="L81" t="s">
        <v>487</v>
      </c>
    </row>
    <row r="82" spans="1:12" x14ac:dyDescent="0.25">
      <c r="A82">
        <v>715</v>
      </c>
      <c r="B82" t="s">
        <v>184</v>
      </c>
      <c r="C82" t="s">
        <v>185</v>
      </c>
      <c r="D82">
        <v>715</v>
      </c>
      <c r="G82" t="s">
        <v>489</v>
      </c>
      <c r="H82" t="s">
        <v>490</v>
      </c>
      <c r="I82" t="s">
        <v>335</v>
      </c>
      <c r="J82" t="s">
        <v>336</v>
      </c>
      <c r="K82">
        <v>20110401</v>
      </c>
      <c r="L82" t="s">
        <v>489</v>
      </c>
    </row>
    <row r="83" spans="1:12" x14ac:dyDescent="0.25">
      <c r="A83">
        <v>130</v>
      </c>
      <c r="B83" t="s">
        <v>186</v>
      </c>
      <c r="C83" t="s">
        <v>187</v>
      </c>
      <c r="D83">
        <v>130</v>
      </c>
      <c r="G83" t="s">
        <v>491</v>
      </c>
      <c r="H83" t="s">
        <v>492</v>
      </c>
      <c r="I83" t="s">
        <v>321</v>
      </c>
      <c r="J83" t="s">
        <v>325</v>
      </c>
      <c r="K83">
        <v>19991001</v>
      </c>
      <c r="L83" t="s">
        <v>491</v>
      </c>
    </row>
    <row r="84" spans="1:12" x14ac:dyDescent="0.25">
      <c r="A84">
        <v>662</v>
      </c>
      <c r="B84" t="s">
        <v>188</v>
      </c>
      <c r="C84" t="s">
        <v>189</v>
      </c>
      <c r="D84">
        <v>662</v>
      </c>
      <c r="G84" t="s">
        <v>493</v>
      </c>
      <c r="H84" t="s">
        <v>494</v>
      </c>
      <c r="I84" t="s">
        <v>321</v>
      </c>
      <c r="J84" t="s">
        <v>325</v>
      </c>
      <c r="K84">
        <v>19991001</v>
      </c>
      <c r="L84" t="s">
        <v>493</v>
      </c>
    </row>
    <row r="85" spans="1:12" x14ac:dyDescent="0.25">
      <c r="A85">
        <v>140</v>
      </c>
      <c r="B85" t="s">
        <v>190</v>
      </c>
      <c r="C85" t="s">
        <v>191</v>
      </c>
      <c r="D85">
        <v>140</v>
      </c>
      <c r="G85" t="s">
        <v>495</v>
      </c>
      <c r="H85" t="s">
        <v>496</v>
      </c>
      <c r="I85" t="s">
        <v>335</v>
      </c>
      <c r="J85" t="s">
        <v>336</v>
      </c>
      <c r="K85">
        <v>20071001</v>
      </c>
      <c r="L85" t="s">
        <v>495</v>
      </c>
    </row>
    <row r="86" spans="1:12" x14ac:dyDescent="0.25">
      <c r="A86">
        <v>143</v>
      </c>
      <c r="B86" t="s">
        <v>192</v>
      </c>
      <c r="C86" t="s">
        <v>193</v>
      </c>
      <c r="D86">
        <v>143</v>
      </c>
      <c r="G86" t="s">
        <v>497</v>
      </c>
      <c r="H86" t="s">
        <v>498</v>
      </c>
      <c r="I86" t="s">
        <v>345</v>
      </c>
      <c r="J86" t="s">
        <v>346</v>
      </c>
      <c r="K86">
        <v>19930401</v>
      </c>
      <c r="L86" t="s">
        <v>497</v>
      </c>
    </row>
    <row r="87" spans="1:12" x14ac:dyDescent="0.25">
      <c r="A87">
        <v>655</v>
      </c>
      <c r="B87" t="s">
        <v>194</v>
      </c>
      <c r="C87" t="s">
        <v>195</v>
      </c>
      <c r="D87">
        <v>655</v>
      </c>
      <c r="G87" t="s">
        <v>499</v>
      </c>
      <c r="H87" t="s">
        <v>500</v>
      </c>
      <c r="I87" t="s">
        <v>317</v>
      </c>
      <c r="J87" t="s">
        <v>434</v>
      </c>
      <c r="K87">
        <v>20120401</v>
      </c>
      <c r="L87" t="s">
        <v>499</v>
      </c>
    </row>
    <row r="88" spans="1:12" x14ac:dyDescent="0.25">
      <c r="A88">
        <v>658</v>
      </c>
      <c r="B88" t="s">
        <v>196</v>
      </c>
      <c r="C88" t="s">
        <v>197</v>
      </c>
      <c r="D88">
        <v>658</v>
      </c>
      <c r="G88" t="s">
        <v>501</v>
      </c>
      <c r="H88" t="s">
        <v>502</v>
      </c>
      <c r="I88" t="s">
        <v>345</v>
      </c>
      <c r="J88" t="s">
        <v>346</v>
      </c>
      <c r="K88">
        <v>19930401</v>
      </c>
      <c r="L88" t="s">
        <v>501</v>
      </c>
    </row>
    <row r="89" spans="1:12" x14ac:dyDescent="0.25">
      <c r="A89">
        <v>254</v>
      </c>
      <c r="B89" t="s">
        <v>198</v>
      </c>
      <c r="C89" t="s">
        <v>46</v>
      </c>
      <c r="D89">
        <v>254</v>
      </c>
      <c r="G89" t="s">
        <v>503</v>
      </c>
      <c r="H89" t="s">
        <v>504</v>
      </c>
      <c r="I89" t="s">
        <v>317</v>
      </c>
      <c r="J89" t="s">
        <v>330</v>
      </c>
      <c r="K89">
        <v>20060401</v>
      </c>
      <c r="L89" t="s">
        <v>503</v>
      </c>
    </row>
    <row r="90" spans="1:12" x14ac:dyDescent="0.25">
      <c r="A90">
        <v>220</v>
      </c>
      <c r="B90" t="s">
        <v>199</v>
      </c>
      <c r="C90" t="s">
        <v>54</v>
      </c>
      <c r="D90">
        <v>220</v>
      </c>
      <c r="G90" t="s">
        <v>505</v>
      </c>
      <c r="H90" t="s">
        <v>506</v>
      </c>
      <c r="I90" t="s">
        <v>317</v>
      </c>
      <c r="J90" t="s">
        <v>330</v>
      </c>
      <c r="K90">
        <v>20101101</v>
      </c>
      <c r="L90" t="s">
        <v>505</v>
      </c>
    </row>
    <row r="91" spans="1:12" x14ac:dyDescent="0.25">
      <c r="A91">
        <v>221</v>
      </c>
      <c r="B91" t="s">
        <v>200</v>
      </c>
      <c r="C91" t="s">
        <v>58</v>
      </c>
      <c r="D91">
        <v>221</v>
      </c>
      <c r="G91" t="s">
        <v>507</v>
      </c>
      <c r="H91" t="s">
        <v>508</v>
      </c>
      <c r="I91" t="s">
        <v>345</v>
      </c>
      <c r="J91" t="s">
        <v>349</v>
      </c>
      <c r="K91">
        <v>19940401</v>
      </c>
      <c r="L91" t="s">
        <v>507</v>
      </c>
    </row>
    <row r="92" spans="1:12" x14ac:dyDescent="0.25">
      <c r="A92">
        <v>321</v>
      </c>
      <c r="B92" t="s">
        <v>201</v>
      </c>
      <c r="C92" t="s">
        <v>202</v>
      </c>
      <c r="D92">
        <v>321</v>
      </c>
      <c r="G92" t="s">
        <v>509</v>
      </c>
      <c r="H92" t="s">
        <v>510</v>
      </c>
      <c r="I92" t="s">
        <v>335</v>
      </c>
      <c r="J92" t="s">
        <v>336</v>
      </c>
      <c r="K92">
        <v>19930401</v>
      </c>
      <c r="L92" t="s">
        <v>509</v>
      </c>
    </row>
    <row r="93" spans="1:12" x14ac:dyDescent="0.25">
      <c r="A93">
        <v>253</v>
      </c>
      <c r="B93" t="s">
        <v>203</v>
      </c>
      <c r="C93" t="s">
        <v>72</v>
      </c>
      <c r="D93">
        <v>253</v>
      </c>
      <c r="G93" t="s">
        <v>511</v>
      </c>
      <c r="H93" t="s">
        <v>512</v>
      </c>
      <c r="I93" t="s">
        <v>335</v>
      </c>
      <c r="J93" t="s">
        <v>336</v>
      </c>
      <c r="K93">
        <v>19910401</v>
      </c>
      <c r="L93" t="s">
        <v>511</v>
      </c>
    </row>
    <row r="94" spans="1:12" x14ac:dyDescent="0.25">
      <c r="A94">
        <v>255</v>
      </c>
      <c r="B94" t="s">
        <v>204</v>
      </c>
      <c r="C94" t="s">
        <v>205</v>
      </c>
      <c r="D94">
        <v>255</v>
      </c>
      <c r="G94" t="s">
        <v>513</v>
      </c>
      <c r="H94" t="s">
        <v>514</v>
      </c>
      <c r="I94" t="s">
        <v>321</v>
      </c>
      <c r="J94" t="s">
        <v>363</v>
      </c>
      <c r="K94">
        <v>20020401</v>
      </c>
      <c r="L94" t="s">
        <v>513</v>
      </c>
    </row>
    <row r="95" spans="1:12" x14ac:dyDescent="0.25">
      <c r="A95">
        <v>264</v>
      </c>
      <c r="B95" t="s">
        <v>206</v>
      </c>
      <c r="C95" t="s">
        <v>34</v>
      </c>
      <c r="D95">
        <v>264</v>
      </c>
      <c r="G95" t="s">
        <v>515</v>
      </c>
      <c r="H95" t="s">
        <v>516</v>
      </c>
      <c r="I95" t="s">
        <v>321</v>
      </c>
      <c r="J95" t="s">
        <v>363</v>
      </c>
      <c r="K95">
        <v>20020801</v>
      </c>
      <c r="L95" t="s">
        <v>515</v>
      </c>
    </row>
    <row r="96" spans="1:12" x14ac:dyDescent="0.25">
      <c r="A96">
        <v>142</v>
      </c>
      <c r="B96" t="s">
        <v>207</v>
      </c>
      <c r="C96" t="s">
        <v>208</v>
      </c>
      <c r="D96">
        <v>142</v>
      </c>
      <c r="G96" t="s">
        <v>517</v>
      </c>
      <c r="H96" t="s">
        <v>518</v>
      </c>
      <c r="I96" t="s">
        <v>321</v>
      </c>
      <c r="J96" t="s">
        <v>325</v>
      </c>
      <c r="K96">
        <v>19930401</v>
      </c>
      <c r="L96" t="s">
        <v>517</v>
      </c>
    </row>
    <row r="97" spans="1:12" x14ac:dyDescent="0.25">
      <c r="A97">
        <v>257</v>
      </c>
      <c r="B97" t="s">
        <v>209</v>
      </c>
      <c r="C97" t="s">
        <v>104</v>
      </c>
      <c r="D97">
        <v>257</v>
      </c>
      <c r="G97" t="s">
        <v>519</v>
      </c>
      <c r="H97" t="s">
        <v>520</v>
      </c>
      <c r="I97" t="s">
        <v>321</v>
      </c>
      <c r="J97" t="s">
        <v>325</v>
      </c>
      <c r="K97">
        <v>20110401</v>
      </c>
      <c r="L97" t="s">
        <v>519</v>
      </c>
    </row>
    <row r="98" spans="1:12" x14ac:dyDescent="0.25">
      <c r="A98">
        <v>263</v>
      </c>
      <c r="B98" t="s">
        <v>210</v>
      </c>
      <c r="C98" t="s">
        <v>108</v>
      </c>
      <c r="D98">
        <v>263</v>
      </c>
      <c r="G98" t="s">
        <v>521</v>
      </c>
      <c r="H98" t="s">
        <v>522</v>
      </c>
      <c r="I98" t="s">
        <v>321</v>
      </c>
      <c r="J98" t="s">
        <v>325</v>
      </c>
      <c r="K98">
        <v>19980401</v>
      </c>
      <c r="L98" t="s">
        <v>521</v>
      </c>
    </row>
    <row r="99" spans="1:12" x14ac:dyDescent="0.25">
      <c r="A99">
        <v>215</v>
      </c>
      <c r="B99" t="s">
        <v>211</v>
      </c>
      <c r="C99" t="s">
        <v>120</v>
      </c>
      <c r="D99">
        <v>215</v>
      </c>
      <c r="G99" t="s">
        <v>523</v>
      </c>
      <c r="H99" t="s">
        <v>524</v>
      </c>
      <c r="I99" t="s">
        <v>345</v>
      </c>
      <c r="J99" t="s">
        <v>349</v>
      </c>
      <c r="K99">
        <v>19990401</v>
      </c>
      <c r="L99" t="s">
        <v>523</v>
      </c>
    </row>
    <row r="100" spans="1:12" x14ac:dyDescent="0.25">
      <c r="A100">
        <v>252</v>
      </c>
      <c r="B100" t="s">
        <v>212</v>
      </c>
      <c r="C100" t="s">
        <v>118</v>
      </c>
      <c r="D100">
        <v>252</v>
      </c>
      <c r="G100" t="s">
        <v>525</v>
      </c>
      <c r="H100" t="s">
        <v>526</v>
      </c>
      <c r="I100" t="s">
        <v>335</v>
      </c>
      <c r="J100" t="s">
        <v>336</v>
      </c>
      <c r="K100">
        <v>19930401</v>
      </c>
      <c r="L100" t="s">
        <v>525</v>
      </c>
    </row>
    <row r="101" spans="1:12" x14ac:dyDescent="0.25">
      <c r="A101">
        <v>223</v>
      </c>
      <c r="B101" t="s">
        <v>213</v>
      </c>
      <c r="C101" t="s">
        <v>214</v>
      </c>
      <c r="D101">
        <v>223</v>
      </c>
      <c r="G101" t="s">
        <v>527</v>
      </c>
      <c r="H101" t="s">
        <v>528</v>
      </c>
      <c r="I101" t="s">
        <v>345</v>
      </c>
      <c r="J101" t="s">
        <v>349</v>
      </c>
      <c r="K101">
        <v>20110401</v>
      </c>
      <c r="L101" t="s">
        <v>527</v>
      </c>
    </row>
    <row r="102" spans="1:12" x14ac:dyDescent="0.25">
      <c r="A102">
        <v>251</v>
      </c>
      <c r="B102" t="s">
        <v>215</v>
      </c>
      <c r="C102" t="s">
        <v>123</v>
      </c>
      <c r="D102">
        <v>251</v>
      </c>
      <c r="G102" t="s">
        <v>529</v>
      </c>
      <c r="H102" t="s">
        <v>530</v>
      </c>
      <c r="I102" t="s">
        <v>345</v>
      </c>
      <c r="J102" t="s">
        <v>349</v>
      </c>
      <c r="K102">
        <v>20010401</v>
      </c>
      <c r="L102" t="s">
        <v>529</v>
      </c>
    </row>
    <row r="103" spans="1:12" x14ac:dyDescent="0.25">
      <c r="A103">
        <v>213</v>
      </c>
      <c r="B103" t="s">
        <v>216</v>
      </c>
      <c r="C103" t="s">
        <v>217</v>
      </c>
      <c r="D103">
        <v>213</v>
      </c>
      <c r="G103" t="s">
        <v>531</v>
      </c>
      <c r="H103" t="s">
        <v>532</v>
      </c>
      <c r="I103" t="s">
        <v>321</v>
      </c>
      <c r="J103" t="s">
        <v>322</v>
      </c>
      <c r="K103">
        <v>20101101</v>
      </c>
      <c r="L103" t="s">
        <v>531</v>
      </c>
    </row>
    <row r="104" spans="1:12" x14ac:dyDescent="0.25">
      <c r="A104">
        <v>256</v>
      </c>
      <c r="B104" t="s">
        <v>218</v>
      </c>
      <c r="C104" t="s">
        <v>143</v>
      </c>
      <c r="D104">
        <v>256</v>
      </c>
      <c r="G104" t="s">
        <v>533</v>
      </c>
      <c r="H104" t="s">
        <v>534</v>
      </c>
      <c r="I104" t="s">
        <v>321</v>
      </c>
      <c r="J104" t="s">
        <v>322</v>
      </c>
      <c r="K104">
        <v>19910401</v>
      </c>
      <c r="L104" t="s">
        <v>533</v>
      </c>
    </row>
    <row r="105" spans="1:12" x14ac:dyDescent="0.25">
      <c r="A105">
        <v>242</v>
      </c>
      <c r="B105" t="s">
        <v>219</v>
      </c>
      <c r="C105" t="s">
        <v>220</v>
      </c>
      <c r="D105">
        <v>242</v>
      </c>
      <c r="G105" t="s">
        <v>535</v>
      </c>
      <c r="H105" t="s">
        <v>536</v>
      </c>
      <c r="I105" t="s">
        <v>321</v>
      </c>
      <c r="J105" t="s">
        <v>322</v>
      </c>
      <c r="K105">
        <v>19920401</v>
      </c>
      <c r="L105" t="s">
        <v>535</v>
      </c>
    </row>
    <row r="106" spans="1:12" x14ac:dyDescent="0.25">
      <c r="A106">
        <v>280</v>
      </c>
      <c r="B106" t="s">
        <v>221</v>
      </c>
      <c r="C106" t="s">
        <v>147</v>
      </c>
      <c r="D106">
        <v>280</v>
      </c>
      <c r="G106" t="s">
        <v>537</v>
      </c>
      <c r="H106" t="s">
        <v>538</v>
      </c>
      <c r="I106" t="s">
        <v>335</v>
      </c>
      <c r="J106" t="s">
        <v>336</v>
      </c>
      <c r="K106">
        <v>19960401</v>
      </c>
      <c r="L106" t="s">
        <v>537</v>
      </c>
    </row>
    <row r="107" spans="1:12" x14ac:dyDescent="0.25">
      <c r="A107">
        <v>217</v>
      </c>
      <c r="B107" t="s">
        <v>222</v>
      </c>
      <c r="C107" t="s">
        <v>155</v>
      </c>
      <c r="D107">
        <v>217</v>
      </c>
      <c r="G107" t="s">
        <v>539</v>
      </c>
      <c r="H107" t="s">
        <v>540</v>
      </c>
      <c r="I107" t="s">
        <v>335</v>
      </c>
      <c r="J107" t="s">
        <v>336</v>
      </c>
      <c r="K107">
        <v>20141001</v>
      </c>
      <c r="L107" t="s">
        <v>539</v>
      </c>
    </row>
    <row r="108" spans="1:12" x14ac:dyDescent="0.25">
      <c r="A108">
        <v>260</v>
      </c>
      <c r="B108" t="s">
        <v>223</v>
      </c>
      <c r="C108" t="s">
        <v>224</v>
      </c>
      <c r="D108">
        <v>260</v>
      </c>
      <c r="G108" t="s">
        <v>541</v>
      </c>
      <c r="H108" t="s">
        <v>542</v>
      </c>
      <c r="I108" t="s">
        <v>345</v>
      </c>
      <c r="J108" t="s">
        <v>349</v>
      </c>
      <c r="K108">
        <v>19920401</v>
      </c>
      <c r="L108" t="s">
        <v>541</v>
      </c>
    </row>
    <row r="109" spans="1:12" x14ac:dyDescent="0.25">
      <c r="A109">
        <v>261</v>
      </c>
      <c r="B109" t="s">
        <v>225</v>
      </c>
      <c r="C109" t="s">
        <v>226</v>
      </c>
      <c r="D109">
        <v>261</v>
      </c>
      <c r="G109" t="s">
        <v>543</v>
      </c>
      <c r="H109" t="s">
        <v>544</v>
      </c>
      <c r="I109" t="s">
        <v>317</v>
      </c>
      <c r="J109" t="s">
        <v>330</v>
      </c>
      <c r="K109">
        <v>20000401</v>
      </c>
      <c r="L109" t="s">
        <v>543</v>
      </c>
    </row>
    <row r="110" spans="1:12" x14ac:dyDescent="0.25">
      <c r="A110">
        <v>259</v>
      </c>
      <c r="B110" t="s">
        <v>227</v>
      </c>
      <c r="C110" t="s">
        <v>173</v>
      </c>
      <c r="D110">
        <v>259</v>
      </c>
      <c r="G110" t="s">
        <v>545</v>
      </c>
      <c r="H110" t="s">
        <v>546</v>
      </c>
      <c r="I110" t="s">
        <v>317</v>
      </c>
      <c r="J110" t="s">
        <v>330</v>
      </c>
      <c r="K110">
        <v>19940401</v>
      </c>
      <c r="L110" t="s">
        <v>545</v>
      </c>
    </row>
    <row r="111" spans="1:12" x14ac:dyDescent="0.25">
      <c r="A111">
        <v>291</v>
      </c>
      <c r="B111" t="s">
        <v>228</v>
      </c>
      <c r="C111" t="s">
        <v>229</v>
      </c>
      <c r="D111">
        <v>291</v>
      </c>
      <c r="G111" t="s">
        <v>547</v>
      </c>
      <c r="H111" t="s">
        <v>548</v>
      </c>
      <c r="I111" t="s">
        <v>321</v>
      </c>
      <c r="J111" t="s">
        <v>322</v>
      </c>
      <c r="K111">
        <v>20010401</v>
      </c>
      <c r="L111" t="s">
        <v>547</v>
      </c>
    </row>
    <row r="112" spans="1:12" x14ac:dyDescent="0.25">
      <c r="A112">
        <v>421</v>
      </c>
      <c r="B112" t="s">
        <v>230</v>
      </c>
      <c r="C112" t="s">
        <v>231</v>
      </c>
      <c r="D112">
        <v>421</v>
      </c>
      <c r="G112" t="s">
        <v>549</v>
      </c>
      <c r="H112" t="s">
        <v>550</v>
      </c>
      <c r="I112" t="s">
        <v>321</v>
      </c>
      <c r="J112" t="s">
        <v>322</v>
      </c>
      <c r="K112">
        <v>19910401</v>
      </c>
      <c r="L112" t="s">
        <v>549</v>
      </c>
    </row>
    <row r="113" spans="1:12" x14ac:dyDescent="0.25">
      <c r="A113">
        <v>218</v>
      </c>
      <c r="B113" t="s">
        <v>232</v>
      </c>
      <c r="C113" t="s">
        <v>177</v>
      </c>
      <c r="D113">
        <v>218</v>
      </c>
      <c r="G113" t="s">
        <v>551</v>
      </c>
      <c r="H113" t="s">
        <v>552</v>
      </c>
      <c r="I113" t="s">
        <v>345</v>
      </c>
      <c r="J113" t="s">
        <v>346</v>
      </c>
      <c r="K113">
        <v>19950401</v>
      </c>
      <c r="L113" t="s">
        <v>551</v>
      </c>
    </row>
    <row r="114" spans="1:12" x14ac:dyDescent="0.25">
      <c r="A114">
        <v>216</v>
      </c>
      <c r="B114" t="s">
        <v>233</v>
      </c>
      <c r="C114" t="s">
        <v>234</v>
      </c>
      <c r="D114">
        <v>216</v>
      </c>
      <c r="G114" t="s">
        <v>553</v>
      </c>
      <c r="H114" t="s">
        <v>554</v>
      </c>
      <c r="I114" t="s">
        <v>345</v>
      </c>
      <c r="J114" t="s">
        <v>379</v>
      </c>
      <c r="K114">
        <v>19930401</v>
      </c>
      <c r="L114" t="s">
        <v>553</v>
      </c>
    </row>
    <row r="115" spans="1:12" x14ac:dyDescent="0.25">
      <c r="A115">
        <v>241</v>
      </c>
      <c r="B115" t="s">
        <v>235</v>
      </c>
      <c r="C115" t="s">
        <v>236</v>
      </c>
      <c r="D115">
        <v>241</v>
      </c>
      <c r="G115" t="s">
        <v>555</v>
      </c>
      <c r="H115" t="s">
        <v>556</v>
      </c>
      <c r="I115" t="s">
        <v>321</v>
      </c>
      <c r="J115" t="s">
        <v>325</v>
      </c>
      <c r="K115">
        <v>20020401</v>
      </c>
      <c r="L115" t="s">
        <v>555</v>
      </c>
    </row>
    <row r="116" spans="1:12" x14ac:dyDescent="0.25">
      <c r="A116">
        <v>219</v>
      </c>
      <c r="B116" t="s">
        <v>237</v>
      </c>
      <c r="C116" t="s">
        <v>238</v>
      </c>
      <c r="D116">
        <v>219</v>
      </c>
      <c r="G116" t="s">
        <v>557</v>
      </c>
      <c r="H116" t="s">
        <v>558</v>
      </c>
      <c r="I116" t="s">
        <v>345</v>
      </c>
      <c r="J116" t="s">
        <v>349</v>
      </c>
      <c r="K116">
        <v>19920401</v>
      </c>
      <c r="L116" t="s">
        <v>557</v>
      </c>
    </row>
    <row r="117" spans="1:12" x14ac:dyDescent="0.25">
      <c r="A117">
        <v>258</v>
      </c>
      <c r="B117" t="s">
        <v>239</v>
      </c>
      <c r="C117" t="s">
        <v>240</v>
      </c>
      <c r="D117">
        <v>258</v>
      </c>
      <c r="G117" t="s">
        <v>559</v>
      </c>
      <c r="H117" t="s">
        <v>560</v>
      </c>
      <c r="I117" t="s">
        <v>335</v>
      </c>
      <c r="J117" t="s">
        <v>336</v>
      </c>
      <c r="K117">
        <v>19940401</v>
      </c>
      <c r="L117" t="s">
        <v>559</v>
      </c>
    </row>
    <row r="118" spans="1:12" x14ac:dyDescent="0.25">
      <c r="A118">
        <v>262</v>
      </c>
      <c r="B118" t="s">
        <v>241</v>
      </c>
      <c r="C118" t="s">
        <v>242</v>
      </c>
      <c r="D118">
        <v>262</v>
      </c>
      <c r="G118" t="s">
        <v>561</v>
      </c>
      <c r="H118" t="s">
        <v>562</v>
      </c>
      <c r="I118" t="s">
        <v>345</v>
      </c>
      <c r="J118" t="s">
        <v>346</v>
      </c>
      <c r="K118">
        <v>19940401</v>
      </c>
      <c r="L118" t="s">
        <v>561</v>
      </c>
    </row>
    <row r="119" spans="1:12" x14ac:dyDescent="0.25">
      <c r="A119">
        <v>171</v>
      </c>
      <c r="B119" t="s">
        <v>243</v>
      </c>
      <c r="C119" t="s">
        <v>244</v>
      </c>
      <c r="D119">
        <v>171</v>
      </c>
      <c r="G119" t="s">
        <v>563</v>
      </c>
      <c r="H119" t="s">
        <v>564</v>
      </c>
      <c r="I119" t="s">
        <v>345</v>
      </c>
      <c r="J119" t="s">
        <v>346</v>
      </c>
      <c r="K119">
        <v>19940401</v>
      </c>
      <c r="L119" t="s">
        <v>563</v>
      </c>
    </row>
    <row r="120" spans="1:12" x14ac:dyDescent="0.25">
      <c r="A120">
        <v>222</v>
      </c>
      <c r="B120" t="s">
        <v>245</v>
      </c>
      <c r="C120" t="s">
        <v>246</v>
      </c>
      <c r="D120">
        <v>222</v>
      </c>
      <c r="G120" t="s">
        <v>565</v>
      </c>
      <c r="H120" t="s">
        <v>566</v>
      </c>
      <c r="I120" t="s">
        <v>345</v>
      </c>
      <c r="J120" t="s">
        <v>346</v>
      </c>
      <c r="K120">
        <v>20101101</v>
      </c>
      <c r="L120" t="s">
        <v>565</v>
      </c>
    </row>
    <row r="121" spans="1:12" x14ac:dyDescent="0.25">
      <c r="A121">
        <v>212</v>
      </c>
      <c r="B121" t="s">
        <v>247</v>
      </c>
      <c r="C121" t="s">
        <v>248</v>
      </c>
      <c r="D121">
        <v>212</v>
      </c>
      <c r="G121" t="s">
        <v>567</v>
      </c>
      <c r="H121" t="s">
        <v>568</v>
      </c>
      <c r="I121" t="s">
        <v>317</v>
      </c>
      <c r="J121" t="s">
        <v>409</v>
      </c>
      <c r="K121">
        <v>19990401</v>
      </c>
      <c r="L121" t="s">
        <v>567</v>
      </c>
    </row>
    <row r="122" spans="1:12" x14ac:dyDescent="0.25">
      <c r="A122">
        <v>214</v>
      </c>
      <c r="B122" t="s">
        <v>249</v>
      </c>
      <c r="C122" t="s">
        <v>250</v>
      </c>
      <c r="D122">
        <v>214</v>
      </c>
      <c r="G122" t="s">
        <v>569</v>
      </c>
      <c r="H122" t="s">
        <v>570</v>
      </c>
      <c r="I122" t="s">
        <v>321</v>
      </c>
      <c r="J122" t="s">
        <v>404</v>
      </c>
      <c r="K122">
        <v>20010401</v>
      </c>
      <c r="L122" t="s">
        <v>569</v>
      </c>
    </row>
    <row r="123" spans="1:12" x14ac:dyDescent="0.25">
      <c r="A123">
        <v>211</v>
      </c>
      <c r="B123" t="s">
        <v>251</v>
      </c>
      <c r="C123" t="s">
        <v>252</v>
      </c>
      <c r="D123">
        <v>211</v>
      </c>
      <c r="G123" t="s">
        <v>571</v>
      </c>
      <c r="H123" t="s">
        <v>572</v>
      </c>
      <c r="I123" t="s">
        <v>321</v>
      </c>
      <c r="J123" t="s">
        <v>404</v>
      </c>
      <c r="K123">
        <v>20060701</v>
      </c>
      <c r="L123" t="s">
        <v>571</v>
      </c>
    </row>
    <row r="124" spans="1:12" x14ac:dyDescent="0.25">
      <c r="A124">
        <v>420</v>
      </c>
      <c r="B124" t="s">
        <v>253</v>
      </c>
      <c r="C124" t="s">
        <v>254</v>
      </c>
      <c r="D124">
        <v>420</v>
      </c>
      <c r="G124" t="s">
        <v>573</v>
      </c>
      <c r="H124" t="s">
        <v>574</v>
      </c>
      <c r="I124" t="s">
        <v>335</v>
      </c>
      <c r="J124" t="s">
        <v>336</v>
      </c>
      <c r="K124">
        <v>20010401</v>
      </c>
      <c r="L124" t="s">
        <v>573</v>
      </c>
    </row>
    <row r="125" spans="1:12" x14ac:dyDescent="0.25">
      <c r="A125">
        <v>191</v>
      </c>
      <c r="B125" t="s">
        <v>255</v>
      </c>
      <c r="C125" t="s">
        <v>236</v>
      </c>
      <c r="D125">
        <v>191</v>
      </c>
      <c r="G125" t="s">
        <v>575</v>
      </c>
      <c r="H125" t="s">
        <v>576</v>
      </c>
      <c r="I125" t="s">
        <v>335</v>
      </c>
      <c r="J125" t="s">
        <v>336</v>
      </c>
      <c r="K125">
        <v>19910401</v>
      </c>
      <c r="L125" t="s">
        <v>575</v>
      </c>
    </row>
    <row r="126" spans="1:12" x14ac:dyDescent="0.25">
      <c r="A126">
        <v>315</v>
      </c>
      <c r="B126" t="s">
        <v>256</v>
      </c>
      <c r="C126" t="s">
        <v>257</v>
      </c>
      <c r="D126">
        <v>315</v>
      </c>
      <c r="G126" t="s">
        <v>577</v>
      </c>
      <c r="H126" t="s">
        <v>578</v>
      </c>
      <c r="I126" t="s">
        <v>345</v>
      </c>
      <c r="J126" t="s">
        <v>379</v>
      </c>
      <c r="K126">
        <v>19940401</v>
      </c>
      <c r="L126" t="s">
        <v>577</v>
      </c>
    </row>
    <row r="127" spans="1:12" x14ac:dyDescent="0.25">
      <c r="A127">
        <v>724</v>
      </c>
      <c r="B127" t="s">
        <v>258</v>
      </c>
      <c r="C127" t="s">
        <v>259</v>
      </c>
      <c r="D127">
        <v>724</v>
      </c>
      <c r="G127" t="s">
        <v>579</v>
      </c>
      <c r="H127" t="s">
        <v>580</v>
      </c>
      <c r="I127" t="s">
        <v>321</v>
      </c>
      <c r="J127" t="s">
        <v>404</v>
      </c>
      <c r="K127">
        <v>19990401</v>
      </c>
      <c r="L127" t="s">
        <v>579</v>
      </c>
    </row>
    <row r="128" spans="1:12" x14ac:dyDescent="0.25">
      <c r="A128">
        <v>650</v>
      </c>
      <c r="B128" t="s">
        <v>260</v>
      </c>
      <c r="C128" t="s">
        <v>261</v>
      </c>
      <c r="D128">
        <v>650</v>
      </c>
      <c r="G128" t="s">
        <v>581</v>
      </c>
      <c r="H128" t="s">
        <v>582</v>
      </c>
      <c r="I128" t="s">
        <v>321</v>
      </c>
      <c r="J128" t="s">
        <v>366</v>
      </c>
      <c r="K128">
        <v>20060701</v>
      </c>
      <c r="L128" t="s">
        <v>581</v>
      </c>
    </row>
    <row r="129" spans="1:12" x14ac:dyDescent="0.25">
      <c r="A129">
        <v>160</v>
      </c>
      <c r="B129" t="s">
        <v>262</v>
      </c>
      <c r="C129" t="s">
        <v>238</v>
      </c>
      <c r="D129">
        <v>160</v>
      </c>
      <c r="G129" t="s">
        <v>583</v>
      </c>
      <c r="H129" t="s">
        <v>584</v>
      </c>
      <c r="I129" t="s">
        <v>345</v>
      </c>
      <c r="J129" t="s">
        <v>346</v>
      </c>
      <c r="K129">
        <v>19930401</v>
      </c>
      <c r="L129" t="s">
        <v>583</v>
      </c>
    </row>
    <row r="130" spans="1:12" x14ac:dyDescent="0.25">
      <c r="A130">
        <v>663</v>
      </c>
      <c r="B130" t="s">
        <v>263</v>
      </c>
      <c r="C130" t="s">
        <v>264</v>
      </c>
      <c r="D130">
        <v>663</v>
      </c>
      <c r="G130" t="s">
        <v>585</v>
      </c>
      <c r="H130" t="s">
        <v>586</v>
      </c>
      <c r="I130" t="s">
        <v>321</v>
      </c>
      <c r="J130" t="s">
        <v>322</v>
      </c>
      <c r="K130">
        <v>20020401</v>
      </c>
      <c r="L130" t="s">
        <v>585</v>
      </c>
    </row>
    <row r="131" spans="1:12" x14ac:dyDescent="0.25">
      <c r="A131">
        <v>653</v>
      </c>
      <c r="B131" t="s">
        <v>265</v>
      </c>
      <c r="C131" t="s">
        <v>266</v>
      </c>
      <c r="D131">
        <v>653</v>
      </c>
      <c r="G131" t="s">
        <v>587</v>
      </c>
      <c r="H131" t="s">
        <v>588</v>
      </c>
      <c r="I131" t="s">
        <v>345</v>
      </c>
      <c r="J131" t="s">
        <v>349</v>
      </c>
      <c r="K131">
        <v>19940401</v>
      </c>
      <c r="L131" t="s">
        <v>587</v>
      </c>
    </row>
    <row r="132" spans="1:12" x14ac:dyDescent="0.25">
      <c r="A132">
        <v>342</v>
      </c>
      <c r="B132" t="s">
        <v>267</v>
      </c>
      <c r="C132" t="s">
        <v>268</v>
      </c>
      <c r="D132">
        <v>342</v>
      </c>
      <c r="G132" t="s">
        <v>589</v>
      </c>
      <c r="H132" t="s">
        <v>590</v>
      </c>
      <c r="I132" t="s">
        <v>345</v>
      </c>
      <c r="J132" t="s">
        <v>349</v>
      </c>
      <c r="K132">
        <v>20010401</v>
      </c>
      <c r="L132" t="s">
        <v>589</v>
      </c>
    </row>
    <row r="133" spans="1:12" x14ac:dyDescent="0.25">
      <c r="A133">
        <v>657</v>
      </c>
      <c r="B133" t="s">
        <v>269</v>
      </c>
      <c r="C133" t="s">
        <v>270</v>
      </c>
      <c r="D133">
        <v>657</v>
      </c>
      <c r="G133" t="s">
        <v>591</v>
      </c>
      <c r="H133" t="s">
        <v>592</v>
      </c>
      <c r="I133" t="s">
        <v>317</v>
      </c>
      <c r="J133" t="s">
        <v>409</v>
      </c>
      <c r="K133">
        <v>19910401</v>
      </c>
      <c r="L133" t="s">
        <v>591</v>
      </c>
    </row>
    <row r="134" spans="1:12" x14ac:dyDescent="0.25">
      <c r="A134">
        <v>723</v>
      </c>
      <c r="B134" t="s">
        <v>271</v>
      </c>
      <c r="C134" t="s">
        <v>272</v>
      </c>
      <c r="D134">
        <v>723</v>
      </c>
      <c r="G134" t="s">
        <v>593</v>
      </c>
      <c r="H134" t="s">
        <v>594</v>
      </c>
      <c r="I134" t="s">
        <v>321</v>
      </c>
      <c r="J134" t="s">
        <v>325</v>
      </c>
      <c r="K134">
        <v>20010401</v>
      </c>
      <c r="L134" t="s">
        <v>593</v>
      </c>
    </row>
    <row r="135" spans="1:12" x14ac:dyDescent="0.25">
      <c r="A135">
        <v>713</v>
      </c>
      <c r="B135" t="s">
        <v>273</v>
      </c>
      <c r="C135" t="s">
        <v>274</v>
      </c>
      <c r="D135">
        <v>713</v>
      </c>
      <c r="G135" t="s">
        <v>595</v>
      </c>
      <c r="H135" t="s">
        <v>596</v>
      </c>
      <c r="I135" t="s">
        <v>321</v>
      </c>
      <c r="J135" t="s">
        <v>404</v>
      </c>
      <c r="K135">
        <v>20060401</v>
      </c>
      <c r="L135" t="s">
        <v>595</v>
      </c>
    </row>
    <row r="136" spans="1:12" x14ac:dyDescent="0.25">
      <c r="A136">
        <v>314</v>
      </c>
      <c r="B136" t="s">
        <v>275</v>
      </c>
      <c r="C136" t="s">
        <v>276</v>
      </c>
      <c r="D136">
        <v>314</v>
      </c>
      <c r="G136" t="s">
        <v>597</v>
      </c>
      <c r="H136" t="s">
        <v>598</v>
      </c>
      <c r="I136" t="s">
        <v>321</v>
      </c>
      <c r="J136" t="s">
        <v>404</v>
      </c>
      <c r="K136">
        <v>19980401</v>
      </c>
      <c r="L136" t="s">
        <v>597</v>
      </c>
    </row>
    <row r="137" spans="1:12" x14ac:dyDescent="0.25">
      <c r="A137">
        <v>340</v>
      </c>
      <c r="B137" t="s">
        <v>277</v>
      </c>
      <c r="C137" t="s">
        <v>240</v>
      </c>
      <c r="D137">
        <v>340</v>
      </c>
      <c r="G137" t="s">
        <v>599</v>
      </c>
      <c r="H137" t="s">
        <v>600</v>
      </c>
      <c r="I137" t="s">
        <v>345</v>
      </c>
      <c r="J137" t="s">
        <v>379</v>
      </c>
      <c r="K137">
        <v>20060401</v>
      </c>
      <c r="L137" t="s">
        <v>599</v>
      </c>
    </row>
    <row r="138" spans="1:12" x14ac:dyDescent="0.25">
      <c r="A138">
        <v>341</v>
      </c>
      <c r="B138" t="s">
        <v>278</v>
      </c>
      <c r="C138" t="s">
        <v>279</v>
      </c>
      <c r="D138">
        <v>341</v>
      </c>
      <c r="G138" t="s">
        <v>601</v>
      </c>
      <c r="H138" t="s">
        <v>602</v>
      </c>
      <c r="I138" t="s">
        <v>345</v>
      </c>
      <c r="J138" t="s">
        <v>379</v>
      </c>
      <c r="K138">
        <v>20010401</v>
      </c>
      <c r="L138" t="s">
        <v>601</v>
      </c>
    </row>
    <row r="139" spans="1:12" x14ac:dyDescent="0.25">
      <c r="A139">
        <v>319</v>
      </c>
      <c r="B139" t="s">
        <v>280</v>
      </c>
      <c r="C139" t="s">
        <v>281</v>
      </c>
      <c r="D139">
        <v>319</v>
      </c>
      <c r="G139" t="s">
        <v>603</v>
      </c>
      <c r="H139" t="s">
        <v>604</v>
      </c>
      <c r="I139" t="s">
        <v>317</v>
      </c>
      <c r="J139" t="s">
        <v>318</v>
      </c>
      <c r="K139">
        <v>19940401</v>
      </c>
      <c r="L139" t="s">
        <v>603</v>
      </c>
    </row>
    <row r="140" spans="1:12" x14ac:dyDescent="0.25">
      <c r="A140">
        <v>141</v>
      </c>
      <c r="B140" t="s">
        <v>282</v>
      </c>
      <c r="C140" t="s">
        <v>283</v>
      </c>
      <c r="D140">
        <v>141</v>
      </c>
      <c r="G140" t="s">
        <v>605</v>
      </c>
      <c r="H140" t="s">
        <v>606</v>
      </c>
      <c r="I140" t="s">
        <v>317</v>
      </c>
      <c r="J140" t="s">
        <v>318</v>
      </c>
      <c r="K140">
        <v>19980401</v>
      </c>
      <c r="L140" t="s">
        <v>605</v>
      </c>
    </row>
    <row r="141" spans="1:12" x14ac:dyDescent="0.25">
      <c r="A141">
        <v>410</v>
      </c>
      <c r="B141" t="s">
        <v>284</v>
      </c>
      <c r="C141" t="s">
        <v>242</v>
      </c>
      <c r="D141">
        <v>410</v>
      </c>
      <c r="G141" t="s">
        <v>607</v>
      </c>
      <c r="H141" t="s">
        <v>608</v>
      </c>
      <c r="I141" t="s">
        <v>335</v>
      </c>
      <c r="J141" t="s">
        <v>336</v>
      </c>
      <c r="K141">
        <v>19940401</v>
      </c>
      <c r="L141" t="s">
        <v>607</v>
      </c>
    </row>
    <row r="142" spans="1:12" x14ac:dyDescent="0.25">
      <c r="A142">
        <v>345</v>
      </c>
      <c r="B142" t="s">
        <v>285</v>
      </c>
      <c r="C142" t="s">
        <v>286</v>
      </c>
      <c r="D142">
        <v>345</v>
      </c>
      <c r="G142" t="s">
        <v>609</v>
      </c>
      <c r="H142" t="s">
        <v>610</v>
      </c>
      <c r="I142" t="s">
        <v>345</v>
      </c>
      <c r="J142" t="s">
        <v>346</v>
      </c>
      <c r="K142">
        <v>19930401</v>
      </c>
      <c r="L142" t="s">
        <v>609</v>
      </c>
    </row>
    <row r="143" spans="1:12" x14ac:dyDescent="0.25">
      <c r="A143">
        <v>652</v>
      </c>
      <c r="B143" t="s">
        <v>287</v>
      </c>
      <c r="C143" t="s">
        <v>288</v>
      </c>
      <c r="D143">
        <v>652</v>
      </c>
      <c r="G143" t="s">
        <v>611</v>
      </c>
      <c r="H143" t="s">
        <v>612</v>
      </c>
      <c r="I143" t="s">
        <v>321</v>
      </c>
      <c r="J143" t="s">
        <v>366</v>
      </c>
      <c r="K143">
        <v>20020401</v>
      </c>
      <c r="L143" t="s">
        <v>611</v>
      </c>
    </row>
    <row r="144" spans="1:12" x14ac:dyDescent="0.25">
      <c r="A144">
        <v>323</v>
      </c>
      <c r="B144" t="s">
        <v>289</v>
      </c>
      <c r="C144" t="s">
        <v>290</v>
      </c>
      <c r="D144">
        <v>323</v>
      </c>
      <c r="G144" t="s">
        <v>613</v>
      </c>
      <c r="H144" t="s">
        <v>614</v>
      </c>
      <c r="I144" t="s">
        <v>321</v>
      </c>
      <c r="J144" t="s">
        <v>366</v>
      </c>
      <c r="K144">
        <v>20020401</v>
      </c>
      <c r="L144" t="s">
        <v>613</v>
      </c>
    </row>
    <row r="145" spans="1:12" x14ac:dyDescent="0.25">
      <c r="A145">
        <v>108</v>
      </c>
      <c r="B145" t="s">
        <v>291</v>
      </c>
      <c r="C145" t="s">
        <v>292</v>
      </c>
      <c r="D145">
        <v>108</v>
      </c>
      <c r="G145" t="s">
        <v>615</v>
      </c>
      <c r="H145" t="s">
        <v>616</v>
      </c>
      <c r="I145" t="s">
        <v>317</v>
      </c>
      <c r="J145" t="s">
        <v>409</v>
      </c>
      <c r="K145">
        <v>19940401</v>
      </c>
      <c r="L145" t="s">
        <v>615</v>
      </c>
    </row>
    <row r="146" spans="1:12" x14ac:dyDescent="0.25">
      <c r="A146">
        <v>325</v>
      </c>
      <c r="B146" t="s">
        <v>293</v>
      </c>
      <c r="C146" t="s">
        <v>294</v>
      </c>
      <c r="D146">
        <v>325</v>
      </c>
      <c r="G146" t="s">
        <v>617</v>
      </c>
      <c r="H146" t="s">
        <v>618</v>
      </c>
      <c r="I146" t="s">
        <v>317</v>
      </c>
      <c r="J146" t="s">
        <v>434</v>
      </c>
      <c r="K146">
        <v>19920401</v>
      </c>
      <c r="L146" t="s">
        <v>617</v>
      </c>
    </row>
    <row r="147" spans="1:12" x14ac:dyDescent="0.25">
      <c r="A147">
        <v>328</v>
      </c>
      <c r="B147" t="s">
        <v>295</v>
      </c>
      <c r="C147" t="s">
        <v>296</v>
      </c>
      <c r="D147">
        <v>328</v>
      </c>
      <c r="G147" t="s">
        <v>619</v>
      </c>
      <c r="H147" t="s">
        <v>620</v>
      </c>
      <c r="I147" t="s">
        <v>317</v>
      </c>
      <c r="J147" t="s">
        <v>434</v>
      </c>
      <c r="K147">
        <v>19930401</v>
      </c>
      <c r="L147" t="s">
        <v>619</v>
      </c>
    </row>
    <row r="148" spans="1:12" x14ac:dyDescent="0.25">
      <c r="A148">
        <v>173</v>
      </c>
      <c r="B148" t="s">
        <v>297</v>
      </c>
      <c r="C148" t="s">
        <v>246</v>
      </c>
      <c r="D148">
        <v>173</v>
      </c>
      <c r="G148" t="s">
        <v>621</v>
      </c>
      <c r="H148" t="s">
        <v>622</v>
      </c>
      <c r="I148" t="s">
        <v>623</v>
      </c>
      <c r="J148" t="s">
        <v>624</v>
      </c>
      <c r="K148">
        <v>20091001</v>
      </c>
      <c r="L148" t="s">
        <v>621</v>
      </c>
    </row>
    <row r="149" spans="1:12" x14ac:dyDescent="0.25">
      <c r="A149">
        <v>329</v>
      </c>
      <c r="B149" t="s">
        <v>298</v>
      </c>
      <c r="C149" t="s">
        <v>299</v>
      </c>
      <c r="D149">
        <v>329</v>
      </c>
      <c r="G149" t="s">
        <v>625</v>
      </c>
      <c r="H149" t="s">
        <v>626</v>
      </c>
      <c r="I149" t="s">
        <v>317</v>
      </c>
      <c r="J149" t="s">
        <v>330</v>
      </c>
      <c r="K149">
        <v>19940401</v>
      </c>
      <c r="L149" t="s">
        <v>625</v>
      </c>
    </row>
    <row r="150" spans="1:12" x14ac:dyDescent="0.25">
      <c r="A150">
        <v>102</v>
      </c>
      <c r="B150" t="s">
        <v>300</v>
      </c>
      <c r="C150" t="s">
        <v>248</v>
      </c>
      <c r="D150">
        <v>102</v>
      </c>
      <c r="G150" t="s">
        <v>627</v>
      </c>
      <c r="H150" t="s">
        <v>628</v>
      </c>
      <c r="I150" t="s">
        <v>321</v>
      </c>
      <c r="J150" t="s">
        <v>325</v>
      </c>
      <c r="K150">
        <v>20040401</v>
      </c>
      <c r="L150" t="s">
        <v>627</v>
      </c>
    </row>
    <row r="151" spans="1:12" x14ac:dyDescent="0.25">
      <c r="A151">
        <v>110</v>
      </c>
      <c r="B151" t="s">
        <v>301</v>
      </c>
      <c r="C151" t="s">
        <v>250</v>
      </c>
      <c r="D151">
        <v>110</v>
      </c>
      <c r="G151" t="s">
        <v>629</v>
      </c>
      <c r="H151" t="s">
        <v>630</v>
      </c>
      <c r="I151" t="s">
        <v>317</v>
      </c>
      <c r="J151" t="s">
        <v>318</v>
      </c>
      <c r="K151">
        <v>19930401</v>
      </c>
      <c r="L151" t="s">
        <v>629</v>
      </c>
    </row>
    <row r="152" spans="1:12" x14ac:dyDescent="0.25">
      <c r="A152">
        <v>352</v>
      </c>
      <c r="B152" t="s">
        <v>302</v>
      </c>
      <c r="C152" t="s">
        <v>303</v>
      </c>
      <c r="D152">
        <v>352</v>
      </c>
      <c r="G152" t="s">
        <v>631</v>
      </c>
      <c r="H152" t="s">
        <v>632</v>
      </c>
      <c r="I152" t="s">
        <v>335</v>
      </c>
      <c r="J152" t="s">
        <v>336</v>
      </c>
      <c r="K152">
        <v>19980401</v>
      </c>
      <c r="L152" t="s">
        <v>631</v>
      </c>
    </row>
    <row r="153" spans="1:12" x14ac:dyDescent="0.25">
      <c r="A153">
        <v>106</v>
      </c>
      <c r="B153" t="s">
        <v>304</v>
      </c>
      <c r="C153" t="s">
        <v>305</v>
      </c>
      <c r="D153">
        <v>106</v>
      </c>
      <c r="G153" t="s">
        <v>633</v>
      </c>
      <c r="H153" t="s">
        <v>634</v>
      </c>
      <c r="I153" t="s">
        <v>317</v>
      </c>
      <c r="J153" t="s">
        <v>409</v>
      </c>
      <c r="K153">
        <v>19920401</v>
      </c>
      <c r="L153" t="s">
        <v>633</v>
      </c>
    </row>
    <row r="154" spans="1:12" x14ac:dyDescent="0.25">
      <c r="A154">
        <v>101</v>
      </c>
      <c r="B154" t="s">
        <v>306</v>
      </c>
      <c r="C154" t="s">
        <v>252</v>
      </c>
      <c r="D154">
        <v>101</v>
      </c>
      <c r="G154" t="s">
        <v>635</v>
      </c>
      <c r="H154" t="s">
        <v>636</v>
      </c>
      <c r="I154" t="s">
        <v>317</v>
      </c>
      <c r="J154" t="s">
        <v>409</v>
      </c>
      <c r="K154">
        <v>19930401</v>
      </c>
      <c r="L154" t="s">
        <v>635</v>
      </c>
    </row>
    <row r="155" spans="1:12" x14ac:dyDescent="0.25">
      <c r="A155">
        <v>107</v>
      </c>
      <c r="B155" t="s">
        <v>307</v>
      </c>
      <c r="C155" t="s">
        <v>308</v>
      </c>
      <c r="D155">
        <v>107</v>
      </c>
      <c r="G155" t="s">
        <v>637</v>
      </c>
      <c r="H155" t="s">
        <v>638</v>
      </c>
      <c r="I155" t="s">
        <v>335</v>
      </c>
      <c r="J155" t="s">
        <v>336</v>
      </c>
      <c r="K155">
        <v>19910401</v>
      </c>
      <c r="L155" t="s">
        <v>637</v>
      </c>
    </row>
    <row r="156" spans="1:12" x14ac:dyDescent="0.25">
      <c r="A156">
        <v>424</v>
      </c>
      <c r="B156" t="s">
        <v>309</v>
      </c>
      <c r="C156" t="s">
        <v>310</v>
      </c>
      <c r="D156">
        <v>424</v>
      </c>
      <c r="G156" t="s">
        <v>639</v>
      </c>
      <c r="H156" t="s">
        <v>640</v>
      </c>
      <c r="I156" t="s">
        <v>321</v>
      </c>
      <c r="J156" t="s">
        <v>322</v>
      </c>
      <c r="K156">
        <v>19950401</v>
      </c>
      <c r="L156" t="s">
        <v>639</v>
      </c>
    </row>
    <row r="157" spans="1:12" x14ac:dyDescent="0.25">
      <c r="G157" t="s">
        <v>641</v>
      </c>
      <c r="H157" t="s">
        <v>642</v>
      </c>
      <c r="I157" t="s">
        <v>335</v>
      </c>
      <c r="J157" t="s">
        <v>336</v>
      </c>
      <c r="K157">
        <v>19910401</v>
      </c>
      <c r="L157" t="s">
        <v>641</v>
      </c>
    </row>
    <row r="158" spans="1:12" x14ac:dyDescent="0.25">
      <c r="G158" t="s">
        <v>643</v>
      </c>
      <c r="H158" t="s">
        <v>644</v>
      </c>
      <c r="I158" t="s">
        <v>317</v>
      </c>
      <c r="J158" t="s">
        <v>330</v>
      </c>
      <c r="K158">
        <v>19910401</v>
      </c>
      <c r="L158" t="s">
        <v>643</v>
      </c>
    </row>
    <row r="159" spans="1:12" x14ac:dyDescent="0.25">
      <c r="G159" t="s">
        <v>645</v>
      </c>
      <c r="H159" t="s">
        <v>646</v>
      </c>
      <c r="I159" t="s">
        <v>317</v>
      </c>
      <c r="J159" t="s">
        <v>318</v>
      </c>
      <c r="K159">
        <v>19920401</v>
      </c>
      <c r="L159" t="s">
        <v>645</v>
      </c>
    </row>
    <row r="160" spans="1:12" x14ac:dyDescent="0.25">
      <c r="G160" t="s">
        <v>647</v>
      </c>
      <c r="H160" t="s">
        <v>648</v>
      </c>
      <c r="I160" t="s">
        <v>321</v>
      </c>
      <c r="J160" t="s">
        <v>366</v>
      </c>
      <c r="K160">
        <v>19940401</v>
      </c>
      <c r="L160" t="s">
        <v>647</v>
      </c>
    </row>
    <row r="161" spans="7:12" x14ac:dyDescent="0.25">
      <c r="G161" t="s">
        <v>649</v>
      </c>
      <c r="H161" t="s">
        <v>650</v>
      </c>
      <c r="I161" t="s">
        <v>317</v>
      </c>
      <c r="J161" t="s">
        <v>318</v>
      </c>
      <c r="K161">
        <v>19940401</v>
      </c>
      <c r="L161" t="s">
        <v>649</v>
      </c>
    </row>
    <row r="162" spans="7:12" x14ac:dyDescent="0.25">
      <c r="G162" t="s">
        <v>651</v>
      </c>
      <c r="H162" t="s">
        <v>652</v>
      </c>
      <c r="I162" t="s">
        <v>345</v>
      </c>
      <c r="J162" t="s">
        <v>354</v>
      </c>
      <c r="K162">
        <v>20020401</v>
      </c>
      <c r="L162" t="s">
        <v>651</v>
      </c>
    </row>
    <row r="163" spans="7:12" x14ac:dyDescent="0.25">
      <c r="G163" t="s">
        <v>653</v>
      </c>
      <c r="H163" t="s">
        <v>654</v>
      </c>
      <c r="I163" t="s">
        <v>321</v>
      </c>
      <c r="J163" t="s">
        <v>325</v>
      </c>
      <c r="K163">
        <v>19920401</v>
      </c>
      <c r="L163" t="s">
        <v>653</v>
      </c>
    </row>
    <row r="164" spans="7:12" x14ac:dyDescent="0.25">
      <c r="G164" t="s">
        <v>655</v>
      </c>
      <c r="H164" t="s">
        <v>656</v>
      </c>
      <c r="I164" t="s">
        <v>321</v>
      </c>
      <c r="J164" t="s">
        <v>325</v>
      </c>
      <c r="K164">
        <v>20030401</v>
      </c>
      <c r="L164" t="s">
        <v>655</v>
      </c>
    </row>
    <row r="165" spans="7:12" x14ac:dyDescent="0.25">
      <c r="G165" t="s">
        <v>657</v>
      </c>
      <c r="H165" t="s">
        <v>658</v>
      </c>
      <c r="I165" t="s">
        <v>321</v>
      </c>
      <c r="J165" t="s">
        <v>325</v>
      </c>
      <c r="K165">
        <v>20010401</v>
      </c>
      <c r="L165" t="s">
        <v>657</v>
      </c>
    </row>
    <row r="166" spans="7:12" x14ac:dyDescent="0.25">
      <c r="G166" t="s">
        <v>659</v>
      </c>
      <c r="H166" t="s">
        <v>660</v>
      </c>
      <c r="I166" t="s">
        <v>345</v>
      </c>
      <c r="J166" t="s">
        <v>379</v>
      </c>
      <c r="K166">
        <v>19940401</v>
      </c>
      <c r="L166" t="s">
        <v>659</v>
      </c>
    </row>
    <row r="167" spans="7:12" x14ac:dyDescent="0.25">
      <c r="G167" t="s">
        <v>661</v>
      </c>
      <c r="H167" t="s">
        <v>662</v>
      </c>
      <c r="I167" t="s">
        <v>345</v>
      </c>
      <c r="J167" t="s">
        <v>379</v>
      </c>
      <c r="K167">
        <v>20031001</v>
      </c>
      <c r="L167" t="s">
        <v>661</v>
      </c>
    </row>
    <row r="168" spans="7:12" x14ac:dyDescent="0.25">
      <c r="G168" t="s">
        <v>663</v>
      </c>
      <c r="H168" t="s">
        <v>664</v>
      </c>
      <c r="I168" t="s">
        <v>345</v>
      </c>
      <c r="J168" t="s">
        <v>379</v>
      </c>
      <c r="K168">
        <v>20110701</v>
      </c>
      <c r="L168" t="s">
        <v>663</v>
      </c>
    </row>
    <row r="169" spans="7:12" x14ac:dyDescent="0.25">
      <c r="G169" t="s">
        <v>665</v>
      </c>
      <c r="H169" t="s">
        <v>666</v>
      </c>
      <c r="I169" t="s">
        <v>317</v>
      </c>
      <c r="J169" t="s">
        <v>434</v>
      </c>
      <c r="K169">
        <v>20110401</v>
      </c>
      <c r="L169" t="s">
        <v>665</v>
      </c>
    </row>
    <row r="170" spans="7:12" x14ac:dyDescent="0.25">
      <c r="G170" t="s">
        <v>667</v>
      </c>
      <c r="H170" t="s">
        <v>668</v>
      </c>
      <c r="I170" t="s">
        <v>317</v>
      </c>
      <c r="J170" t="s">
        <v>409</v>
      </c>
      <c r="K170">
        <v>19930401</v>
      </c>
      <c r="L170" t="s">
        <v>667</v>
      </c>
    </row>
    <row r="171" spans="7:12" x14ac:dyDescent="0.25">
      <c r="G171" t="s">
        <v>669</v>
      </c>
      <c r="H171" t="s">
        <v>670</v>
      </c>
      <c r="I171" t="s">
        <v>317</v>
      </c>
      <c r="J171" t="s">
        <v>318</v>
      </c>
      <c r="K171">
        <v>20060701</v>
      </c>
      <c r="L171" t="s">
        <v>669</v>
      </c>
    </row>
    <row r="172" spans="7:12" x14ac:dyDescent="0.25">
      <c r="G172" t="s">
        <v>671</v>
      </c>
      <c r="H172" t="s">
        <v>672</v>
      </c>
      <c r="I172" t="s">
        <v>317</v>
      </c>
      <c r="J172" t="s">
        <v>330</v>
      </c>
      <c r="K172">
        <v>20060701</v>
      </c>
      <c r="L172" t="s">
        <v>671</v>
      </c>
    </row>
    <row r="173" spans="7:12" x14ac:dyDescent="0.25">
      <c r="G173" t="s">
        <v>673</v>
      </c>
      <c r="H173" t="s">
        <v>674</v>
      </c>
      <c r="I173" t="s">
        <v>335</v>
      </c>
      <c r="J173" t="s">
        <v>336</v>
      </c>
      <c r="K173">
        <v>19990401</v>
      </c>
      <c r="L173" t="s">
        <v>673</v>
      </c>
    </row>
    <row r="174" spans="7:12" x14ac:dyDescent="0.25">
      <c r="G174" t="s">
        <v>675</v>
      </c>
      <c r="H174" t="s">
        <v>676</v>
      </c>
      <c r="I174" t="s">
        <v>345</v>
      </c>
      <c r="J174" t="s">
        <v>379</v>
      </c>
      <c r="K174">
        <v>20010401</v>
      </c>
      <c r="L174" t="s">
        <v>675</v>
      </c>
    </row>
    <row r="175" spans="7:12" x14ac:dyDescent="0.25">
      <c r="G175" t="s">
        <v>677</v>
      </c>
      <c r="H175" t="s">
        <v>678</v>
      </c>
      <c r="I175" t="s">
        <v>321</v>
      </c>
      <c r="J175" t="s">
        <v>404</v>
      </c>
      <c r="K175">
        <v>20020401</v>
      </c>
      <c r="L175" t="s">
        <v>677</v>
      </c>
    </row>
    <row r="176" spans="7:12" x14ac:dyDescent="0.25">
      <c r="G176" t="s">
        <v>679</v>
      </c>
      <c r="H176" t="s">
        <v>680</v>
      </c>
      <c r="I176" t="s">
        <v>321</v>
      </c>
      <c r="J176" t="s">
        <v>404</v>
      </c>
      <c r="K176">
        <v>19930401</v>
      </c>
      <c r="L176" t="s">
        <v>679</v>
      </c>
    </row>
    <row r="177" spans="7:12" x14ac:dyDescent="0.25">
      <c r="G177" t="s">
        <v>681</v>
      </c>
      <c r="H177" t="s">
        <v>682</v>
      </c>
      <c r="I177" t="s">
        <v>345</v>
      </c>
      <c r="J177" t="s">
        <v>354</v>
      </c>
      <c r="K177">
        <v>19930401</v>
      </c>
      <c r="L177" t="s">
        <v>681</v>
      </c>
    </row>
    <row r="178" spans="7:12" x14ac:dyDescent="0.25">
      <c r="G178" t="s">
        <v>683</v>
      </c>
      <c r="H178" t="s">
        <v>684</v>
      </c>
      <c r="I178" t="s">
        <v>335</v>
      </c>
      <c r="J178" t="s">
        <v>336</v>
      </c>
      <c r="K178">
        <v>19950401</v>
      </c>
      <c r="L178" t="s">
        <v>683</v>
      </c>
    </row>
    <row r="179" spans="7:12" x14ac:dyDescent="0.25">
      <c r="G179" t="s">
        <v>685</v>
      </c>
      <c r="H179" t="s">
        <v>686</v>
      </c>
      <c r="I179" t="s">
        <v>321</v>
      </c>
      <c r="J179" t="s">
        <v>325</v>
      </c>
      <c r="K179">
        <v>20020401</v>
      </c>
      <c r="L179" t="s">
        <v>685</v>
      </c>
    </row>
    <row r="180" spans="7:12" x14ac:dyDescent="0.25">
      <c r="G180" t="s">
        <v>687</v>
      </c>
      <c r="H180" t="s">
        <v>688</v>
      </c>
      <c r="I180" t="s">
        <v>317</v>
      </c>
      <c r="J180" t="s">
        <v>409</v>
      </c>
      <c r="K180">
        <v>20060701</v>
      </c>
      <c r="L180" t="s">
        <v>687</v>
      </c>
    </row>
    <row r="181" spans="7:12" x14ac:dyDescent="0.25">
      <c r="G181" t="s">
        <v>689</v>
      </c>
      <c r="H181" t="s">
        <v>690</v>
      </c>
      <c r="I181" t="s">
        <v>345</v>
      </c>
      <c r="J181" t="s">
        <v>346</v>
      </c>
      <c r="K181">
        <v>19910401</v>
      </c>
      <c r="L181" t="s">
        <v>689</v>
      </c>
    </row>
    <row r="182" spans="7:12" x14ac:dyDescent="0.25">
      <c r="G182" t="s">
        <v>691</v>
      </c>
      <c r="H182" t="s">
        <v>692</v>
      </c>
      <c r="I182" t="s">
        <v>317</v>
      </c>
      <c r="J182" t="s">
        <v>434</v>
      </c>
      <c r="K182">
        <v>20010401</v>
      </c>
      <c r="L182" t="s">
        <v>691</v>
      </c>
    </row>
    <row r="183" spans="7:12" x14ac:dyDescent="0.25">
      <c r="G183" t="s">
        <v>693</v>
      </c>
      <c r="H183" t="s">
        <v>694</v>
      </c>
      <c r="I183" t="s">
        <v>321</v>
      </c>
      <c r="J183" t="s">
        <v>322</v>
      </c>
      <c r="K183">
        <v>19990401</v>
      </c>
      <c r="L183" t="s">
        <v>693</v>
      </c>
    </row>
    <row r="184" spans="7:12" x14ac:dyDescent="0.25">
      <c r="G184" t="s">
        <v>695</v>
      </c>
      <c r="H184" t="s">
        <v>696</v>
      </c>
      <c r="I184" t="s">
        <v>335</v>
      </c>
      <c r="J184" t="s">
        <v>336</v>
      </c>
      <c r="K184">
        <v>19930401</v>
      </c>
      <c r="L184" t="s">
        <v>695</v>
      </c>
    </row>
    <row r="185" spans="7:12" x14ac:dyDescent="0.25">
      <c r="G185" t="s">
        <v>697</v>
      </c>
      <c r="H185" t="s">
        <v>698</v>
      </c>
      <c r="I185" t="s">
        <v>321</v>
      </c>
      <c r="J185" t="s">
        <v>322</v>
      </c>
      <c r="K185">
        <v>19910401</v>
      </c>
      <c r="L185" t="s">
        <v>697</v>
      </c>
    </row>
    <row r="186" spans="7:12" x14ac:dyDescent="0.25">
      <c r="G186" t="s">
        <v>699</v>
      </c>
      <c r="H186" t="s">
        <v>700</v>
      </c>
      <c r="I186" t="s">
        <v>345</v>
      </c>
      <c r="J186" t="s">
        <v>379</v>
      </c>
      <c r="K186">
        <v>20110901</v>
      </c>
      <c r="L186" t="s">
        <v>699</v>
      </c>
    </row>
    <row r="187" spans="7:12" x14ac:dyDescent="0.25">
      <c r="G187" t="s">
        <v>701</v>
      </c>
      <c r="H187" t="s">
        <v>702</v>
      </c>
      <c r="I187" t="s">
        <v>321</v>
      </c>
      <c r="J187" t="s">
        <v>366</v>
      </c>
      <c r="K187">
        <v>20000401</v>
      </c>
      <c r="L187" t="s">
        <v>701</v>
      </c>
    </row>
    <row r="188" spans="7:12" x14ac:dyDescent="0.25">
      <c r="G188" t="s">
        <v>703</v>
      </c>
      <c r="H188" t="s">
        <v>704</v>
      </c>
      <c r="I188" t="s">
        <v>317</v>
      </c>
      <c r="J188" t="s">
        <v>330</v>
      </c>
      <c r="K188">
        <v>20050401</v>
      </c>
      <c r="L188" t="s">
        <v>703</v>
      </c>
    </row>
    <row r="189" spans="7:12" x14ac:dyDescent="0.25">
      <c r="G189" t="s">
        <v>705</v>
      </c>
      <c r="H189" t="s">
        <v>706</v>
      </c>
      <c r="I189" t="s">
        <v>317</v>
      </c>
      <c r="J189" t="s">
        <v>330</v>
      </c>
      <c r="K189">
        <v>19980401</v>
      </c>
      <c r="L189" t="s">
        <v>705</v>
      </c>
    </row>
    <row r="190" spans="7:12" x14ac:dyDescent="0.25">
      <c r="G190" t="s">
        <v>707</v>
      </c>
      <c r="H190" t="s">
        <v>708</v>
      </c>
      <c r="I190" t="s">
        <v>317</v>
      </c>
      <c r="J190" t="s">
        <v>330</v>
      </c>
      <c r="K190">
        <v>19920401</v>
      </c>
      <c r="L190" t="s">
        <v>707</v>
      </c>
    </row>
    <row r="191" spans="7:12" x14ac:dyDescent="0.25">
      <c r="G191" t="s">
        <v>709</v>
      </c>
      <c r="H191" t="s">
        <v>710</v>
      </c>
      <c r="I191" t="s">
        <v>317</v>
      </c>
      <c r="J191" t="s">
        <v>330</v>
      </c>
      <c r="K191">
        <v>20060401</v>
      </c>
      <c r="L191" t="s">
        <v>709</v>
      </c>
    </row>
    <row r="192" spans="7:12" x14ac:dyDescent="0.25">
      <c r="G192" t="s">
        <v>711</v>
      </c>
      <c r="H192" t="s">
        <v>712</v>
      </c>
      <c r="I192" t="s">
        <v>321</v>
      </c>
      <c r="J192" t="s">
        <v>366</v>
      </c>
      <c r="K192">
        <v>19940401</v>
      </c>
      <c r="L192" t="s">
        <v>711</v>
      </c>
    </row>
    <row r="193" spans="7:12" x14ac:dyDescent="0.25">
      <c r="G193" t="s">
        <v>713</v>
      </c>
      <c r="H193" t="s">
        <v>714</v>
      </c>
      <c r="I193" t="s">
        <v>317</v>
      </c>
      <c r="J193" t="s">
        <v>409</v>
      </c>
      <c r="K193">
        <v>19910401</v>
      </c>
      <c r="L193" t="s">
        <v>713</v>
      </c>
    </row>
    <row r="194" spans="7:12" x14ac:dyDescent="0.25">
      <c r="G194" t="s">
        <v>715</v>
      </c>
      <c r="H194" t="s">
        <v>716</v>
      </c>
      <c r="I194" t="s">
        <v>335</v>
      </c>
      <c r="J194" t="s">
        <v>336</v>
      </c>
      <c r="K194">
        <v>19940401</v>
      </c>
      <c r="L194" t="s">
        <v>715</v>
      </c>
    </row>
    <row r="195" spans="7:12" x14ac:dyDescent="0.25">
      <c r="G195" t="s">
        <v>717</v>
      </c>
      <c r="H195" t="s">
        <v>718</v>
      </c>
      <c r="I195" t="s">
        <v>321</v>
      </c>
      <c r="J195" t="s">
        <v>404</v>
      </c>
      <c r="K195">
        <v>20060401</v>
      </c>
      <c r="L195" t="s">
        <v>717</v>
      </c>
    </row>
    <row r="196" spans="7:12" x14ac:dyDescent="0.25">
      <c r="G196" t="s">
        <v>719</v>
      </c>
      <c r="H196" t="s">
        <v>720</v>
      </c>
      <c r="I196" t="s">
        <v>321</v>
      </c>
      <c r="J196" t="s">
        <v>366</v>
      </c>
      <c r="K196">
        <v>19910401</v>
      </c>
      <c r="L196" t="s">
        <v>719</v>
      </c>
    </row>
    <row r="197" spans="7:12" x14ac:dyDescent="0.25">
      <c r="G197" t="s">
        <v>721</v>
      </c>
      <c r="H197" t="s">
        <v>722</v>
      </c>
      <c r="I197" t="s">
        <v>321</v>
      </c>
      <c r="J197" t="s">
        <v>322</v>
      </c>
      <c r="K197">
        <v>19920401</v>
      </c>
      <c r="L197" t="s">
        <v>721</v>
      </c>
    </row>
    <row r="198" spans="7:12" x14ac:dyDescent="0.25">
      <c r="G198" t="s">
        <v>723</v>
      </c>
      <c r="H198" t="s">
        <v>724</v>
      </c>
      <c r="I198" t="s">
        <v>345</v>
      </c>
      <c r="J198" t="s">
        <v>354</v>
      </c>
      <c r="K198">
        <v>19940401</v>
      </c>
      <c r="L198" t="s">
        <v>723</v>
      </c>
    </row>
    <row r="199" spans="7:12" x14ac:dyDescent="0.25">
      <c r="G199" t="s">
        <v>725</v>
      </c>
      <c r="H199" t="s">
        <v>726</v>
      </c>
      <c r="I199" t="s">
        <v>335</v>
      </c>
      <c r="J199" t="s">
        <v>336</v>
      </c>
      <c r="K199">
        <v>19910401</v>
      </c>
      <c r="L199" t="s">
        <v>725</v>
      </c>
    </row>
    <row r="200" spans="7:12" x14ac:dyDescent="0.25">
      <c r="G200" t="s">
        <v>727</v>
      </c>
      <c r="H200" t="s">
        <v>728</v>
      </c>
      <c r="I200" t="s">
        <v>321</v>
      </c>
      <c r="J200" t="s">
        <v>404</v>
      </c>
      <c r="K200">
        <v>19980401</v>
      </c>
      <c r="L200" t="s">
        <v>727</v>
      </c>
    </row>
    <row r="201" spans="7:12" x14ac:dyDescent="0.25">
      <c r="G201" t="s">
        <v>729</v>
      </c>
      <c r="H201" t="s">
        <v>730</v>
      </c>
      <c r="I201" t="s">
        <v>345</v>
      </c>
      <c r="J201" t="s">
        <v>346</v>
      </c>
      <c r="K201">
        <v>19950401</v>
      </c>
      <c r="L201" t="s">
        <v>729</v>
      </c>
    </row>
    <row r="202" spans="7:12" x14ac:dyDescent="0.25">
      <c r="G202" t="s">
        <v>731</v>
      </c>
      <c r="H202" t="s">
        <v>732</v>
      </c>
      <c r="I202" t="s">
        <v>345</v>
      </c>
      <c r="J202" t="s">
        <v>346</v>
      </c>
      <c r="K202">
        <v>19920401</v>
      </c>
      <c r="L202" t="s">
        <v>731</v>
      </c>
    </row>
    <row r="203" spans="7:12" x14ac:dyDescent="0.25">
      <c r="G203" t="s">
        <v>733</v>
      </c>
      <c r="H203" t="s">
        <v>734</v>
      </c>
      <c r="I203" t="s">
        <v>345</v>
      </c>
      <c r="J203" t="s">
        <v>379</v>
      </c>
      <c r="K203">
        <v>19940401</v>
      </c>
      <c r="L203" t="s">
        <v>733</v>
      </c>
    </row>
    <row r="204" spans="7:12" x14ac:dyDescent="0.25">
      <c r="G204" t="s">
        <v>735</v>
      </c>
      <c r="H204" t="s">
        <v>736</v>
      </c>
      <c r="I204" t="s">
        <v>321</v>
      </c>
      <c r="J204" t="s">
        <v>325</v>
      </c>
      <c r="K204">
        <v>19930401</v>
      </c>
      <c r="L204" t="s">
        <v>735</v>
      </c>
    </row>
    <row r="205" spans="7:12" x14ac:dyDescent="0.25">
      <c r="G205" t="s">
        <v>737</v>
      </c>
      <c r="H205" t="s">
        <v>738</v>
      </c>
      <c r="I205" t="s">
        <v>317</v>
      </c>
      <c r="J205" t="s">
        <v>434</v>
      </c>
      <c r="K205">
        <v>19920401</v>
      </c>
      <c r="L205" t="s">
        <v>737</v>
      </c>
    </row>
    <row r="206" spans="7:12" x14ac:dyDescent="0.25">
      <c r="G206" t="s">
        <v>739</v>
      </c>
      <c r="H206" t="s">
        <v>740</v>
      </c>
      <c r="I206" t="s">
        <v>335</v>
      </c>
      <c r="J206" t="s">
        <v>336</v>
      </c>
      <c r="K206">
        <v>19940401</v>
      </c>
      <c r="L206" t="s">
        <v>739</v>
      </c>
    </row>
    <row r="207" spans="7:12" x14ac:dyDescent="0.25">
      <c r="G207" t="s">
        <v>741</v>
      </c>
      <c r="H207" t="s">
        <v>742</v>
      </c>
      <c r="I207" t="s">
        <v>345</v>
      </c>
      <c r="J207" t="s">
        <v>354</v>
      </c>
      <c r="K207">
        <v>19950401</v>
      </c>
      <c r="L207" t="s">
        <v>741</v>
      </c>
    </row>
    <row r="208" spans="7:12" x14ac:dyDescent="0.25">
      <c r="G208" t="s">
        <v>743</v>
      </c>
      <c r="H208" t="s">
        <v>744</v>
      </c>
      <c r="I208" t="s">
        <v>345</v>
      </c>
      <c r="J208" t="s">
        <v>354</v>
      </c>
      <c r="K208">
        <v>19940401</v>
      </c>
      <c r="L208" t="s">
        <v>743</v>
      </c>
    </row>
    <row r="209" spans="7:12" x14ac:dyDescent="0.25">
      <c r="G209" t="s">
        <v>745</v>
      </c>
      <c r="H209" t="s">
        <v>746</v>
      </c>
      <c r="I209" t="s">
        <v>321</v>
      </c>
      <c r="J209" t="s">
        <v>322</v>
      </c>
      <c r="K209">
        <v>19920401</v>
      </c>
      <c r="L209" t="s">
        <v>745</v>
      </c>
    </row>
    <row r="210" spans="7:12" x14ac:dyDescent="0.25">
      <c r="G210" t="s">
        <v>747</v>
      </c>
      <c r="H210" t="s">
        <v>748</v>
      </c>
      <c r="I210" t="s">
        <v>335</v>
      </c>
      <c r="J210" t="s">
        <v>336</v>
      </c>
      <c r="K210">
        <v>19930401</v>
      </c>
      <c r="L210" t="s">
        <v>747</v>
      </c>
    </row>
    <row r="211" spans="7:12" x14ac:dyDescent="0.25">
      <c r="G211" t="s">
        <v>749</v>
      </c>
      <c r="H211" t="s">
        <v>750</v>
      </c>
      <c r="I211" t="s">
        <v>317</v>
      </c>
      <c r="J211" t="s">
        <v>409</v>
      </c>
      <c r="K211">
        <v>19910401</v>
      </c>
      <c r="L211" t="s">
        <v>749</v>
      </c>
    </row>
    <row r="212" spans="7:12" x14ac:dyDescent="0.25">
      <c r="G212" t="s">
        <v>751</v>
      </c>
      <c r="H212" t="s">
        <v>752</v>
      </c>
      <c r="I212" t="s">
        <v>345</v>
      </c>
      <c r="J212" t="s">
        <v>349</v>
      </c>
      <c r="K212">
        <v>20000401</v>
      </c>
      <c r="L212" t="s">
        <v>751</v>
      </c>
    </row>
    <row r="213" spans="7:12" x14ac:dyDescent="0.25">
      <c r="G213" t="s">
        <v>753</v>
      </c>
      <c r="H213" t="s">
        <v>754</v>
      </c>
      <c r="I213" t="s">
        <v>335</v>
      </c>
      <c r="J213" t="s">
        <v>336</v>
      </c>
      <c r="K213">
        <v>19960401</v>
      </c>
      <c r="L213" t="s">
        <v>753</v>
      </c>
    </row>
    <row r="214" spans="7:12" x14ac:dyDescent="0.25">
      <c r="G214" t="s">
        <v>755</v>
      </c>
      <c r="H214" t="s">
        <v>756</v>
      </c>
      <c r="I214" t="s">
        <v>321</v>
      </c>
      <c r="J214" t="s">
        <v>366</v>
      </c>
      <c r="K214">
        <v>19940401</v>
      </c>
      <c r="L214" t="s">
        <v>755</v>
      </c>
    </row>
    <row r="215" spans="7:12" x14ac:dyDescent="0.25">
      <c r="G215" t="s">
        <v>757</v>
      </c>
      <c r="H215" t="s">
        <v>758</v>
      </c>
      <c r="I215" t="s">
        <v>317</v>
      </c>
      <c r="J215" t="s">
        <v>434</v>
      </c>
      <c r="K215">
        <v>19930401</v>
      </c>
      <c r="L215" t="s">
        <v>757</v>
      </c>
    </row>
    <row r="216" spans="7:12" x14ac:dyDescent="0.25">
      <c r="G216" t="s">
        <v>759</v>
      </c>
      <c r="H216" t="s">
        <v>760</v>
      </c>
      <c r="I216" t="s">
        <v>345</v>
      </c>
      <c r="J216" t="s">
        <v>354</v>
      </c>
      <c r="K216">
        <v>19950401</v>
      </c>
      <c r="L216" t="s">
        <v>759</v>
      </c>
    </row>
    <row r="217" spans="7:12" x14ac:dyDescent="0.25">
      <c r="G217" t="s">
        <v>761</v>
      </c>
      <c r="H217" t="s">
        <v>762</v>
      </c>
      <c r="I217" t="s">
        <v>317</v>
      </c>
      <c r="J217" t="s">
        <v>409</v>
      </c>
      <c r="K217">
        <v>19910401</v>
      </c>
      <c r="L217" t="s">
        <v>761</v>
      </c>
    </row>
    <row r="218" spans="7:12" x14ac:dyDescent="0.25">
      <c r="G218" t="s">
        <v>763</v>
      </c>
      <c r="H218" t="s">
        <v>764</v>
      </c>
      <c r="I218" t="s">
        <v>345</v>
      </c>
      <c r="J218" t="s">
        <v>354</v>
      </c>
      <c r="K218">
        <v>19930401</v>
      </c>
      <c r="L218" t="s">
        <v>763</v>
      </c>
    </row>
    <row r="219" spans="7:12" x14ac:dyDescent="0.25">
      <c r="G219" t="s">
        <v>765</v>
      </c>
      <c r="H219" t="s">
        <v>766</v>
      </c>
      <c r="I219" t="s">
        <v>345</v>
      </c>
      <c r="J219" t="s">
        <v>349</v>
      </c>
      <c r="K219">
        <v>20000401</v>
      </c>
      <c r="L219" t="s">
        <v>765</v>
      </c>
    </row>
    <row r="220" spans="7:12" x14ac:dyDescent="0.25">
      <c r="G220" t="s">
        <v>767</v>
      </c>
      <c r="H220" t="s">
        <v>768</v>
      </c>
      <c r="I220" t="s">
        <v>321</v>
      </c>
      <c r="J220" t="s">
        <v>404</v>
      </c>
      <c r="K220">
        <v>19980401</v>
      </c>
      <c r="L220" t="s">
        <v>767</v>
      </c>
    </row>
    <row r="221" spans="7:12" x14ac:dyDescent="0.25">
      <c r="G221" t="s">
        <v>769</v>
      </c>
      <c r="H221" t="s">
        <v>770</v>
      </c>
      <c r="I221" t="s">
        <v>345</v>
      </c>
      <c r="J221" t="s">
        <v>379</v>
      </c>
      <c r="K221">
        <v>19930401</v>
      </c>
      <c r="L221" t="s">
        <v>769</v>
      </c>
    </row>
    <row r="222" spans="7:12" x14ac:dyDescent="0.25">
      <c r="G222" t="s">
        <v>771</v>
      </c>
      <c r="H222" t="s">
        <v>772</v>
      </c>
      <c r="I222" t="s">
        <v>623</v>
      </c>
      <c r="J222" t="s">
        <v>624</v>
      </c>
      <c r="K222">
        <v>19940401</v>
      </c>
      <c r="L222" t="s">
        <v>771</v>
      </c>
    </row>
    <row r="223" spans="7:12" x14ac:dyDescent="0.25">
      <c r="G223" t="s">
        <v>773</v>
      </c>
      <c r="H223" t="s">
        <v>774</v>
      </c>
      <c r="I223" t="s">
        <v>345</v>
      </c>
      <c r="J223" t="s">
        <v>354</v>
      </c>
      <c r="K223">
        <v>19910401</v>
      </c>
      <c r="L223" t="s">
        <v>773</v>
      </c>
    </row>
    <row r="224" spans="7:12" x14ac:dyDescent="0.25">
      <c r="G224" t="s">
        <v>775</v>
      </c>
      <c r="H224" t="s">
        <v>776</v>
      </c>
      <c r="I224" t="s">
        <v>321</v>
      </c>
      <c r="J224" t="s">
        <v>322</v>
      </c>
      <c r="K224">
        <v>20010401</v>
      </c>
      <c r="L224" t="s">
        <v>775</v>
      </c>
    </row>
    <row r="225" spans="7:12" x14ac:dyDescent="0.25">
      <c r="G225" t="s">
        <v>777</v>
      </c>
      <c r="H225" t="s">
        <v>778</v>
      </c>
      <c r="I225" t="s">
        <v>623</v>
      </c>
      <c r="J225" t="s">
        <v>624</v>
      </c>
      <c r="K225">
        <v>19980401</v>
      </c>
      <c r="L225" t="s">
        <v>777</v>
      </c>
    </row>
    <row r="226" spans="7:12" x14ac:dyDescent="0.25">
      <c r="G226" t="s">
        <v>779</v>
      </c>
      <c r="H226" t="s">
        <v>780</v>
      </c>
      <c r="I226" t="s">
        <v>345</v>
      </c>
      <c r="J226" t="s">
        <v>349</v>
      </c>
      <c r="K226">
        <v>20000401</v>
      </c>
      <c r="L226" t="s">
        <v>779</v>
      </c>
    </row>
    <row r="227" spans="7:12" x14ac:dyDescent="0.25">
      <c r="G227" t="s">
        <v>781</v>
      </c>
      <c r="H227" t="s">
        <v>782</v>
      </c>
      <c r="I227" t="s">
        <v>335</v>
      </c>
      <c r="J227" t="s">
        <v>336</v>
      </c>
      <c r="K227">
        <v>20010401</v>
      </c>
      <c r="L227" t="s">
        <v>781</v>
      </c>
    </row>
    <row r="228" spans="7:12" x14ac:dyDescent="0.25">
      <c r="G228" t="s">
        <v>783</v>
      </c>
      <c r="H228" t="s">
        <v>784</v>
      </c>
      <c r="I228" t="s">
        <v>345</v>
      </c>
      <c r="J228" t="s">
        <v>354</v>
      </c>
      <c r="K228">
        <v>20060701</v>
      </c>
      <c r="L228" t="s">
        <v>783</v>
      </c>
    </row>
    <row r="229" spans="7:12" x14ac:dyDescent="0.25">
      <c r="G229" t="s">
        <v>785</v>
      </c>
      <c r="H229" t="s">
        <v>786</v>
      </c>
      <c r="I229" t="s">
        <v>345</v>
      </c>
      <c r="J229" t="s">
        <v>346</v>
      </c>
      <c r="K229">
        <v>19930401</v>
      </c>
      <c r="L229" t="s">
        <v>785</v>
      </c>
    </row>
    <row r="230" spans="7:12" x14ac:dyDescent="0.25">
      <c r="G230" t="s">
        <v>787</v>
      </c>
      <c r="H230" t="s">
        <v>788</v>
      </c>
      <c r="I230" t="s">
        <v>317</v>
      </c>
      <c r="J230" t="s">
        <v>330</v>
      </c>
      <c r="K230">
        <v>20090401</v>
      </c>
      <c r="L230" t="s">
        <v>787</v>
      </c>
    </row>
    <row r="231" spans="7:12" x14ac:dyDescent="0.25">
      <c r="G231" t="s">
        <v>789</v>
      </c>
      <c r="H231" t="s">
        <v>790</v>
      </c>
      <c r="I231" t="s">
        <v>317</v>
      </c>
      <c r="J231" t="s">
        <v>409</v>
      </c>
      <c r="K231">
        <v>19910401</v>
      </c>
      <c r="L231" t="s">
        <v>789</v>
      </c>
    </row>
    <row r="232" spans="7:12" x14ac:dyDescent="0.25">
      <c r="G232" t="s">
        <v>791</v>
      </c>
      <c r="H232" t="s">
        <v>792</v>
      </c>
      <c r="I232" t="s">
        <v>321</v>
      </c>
      <c r="J232" t="s">
        <v>322</v>
      </c>
      <c r="K232">
        <v>20110401</v>
      </c>
      <c r="L232" t="s">
        <v>791</v>
      </c>
    </row>
    <row r="233" spans="7:12" x14ac:dyDescent="0.25">
      <c r="G233" t="s">
        <v>793</v>
      </c>
      <c r="H233" t="s">
        <v>794</v>
      </c>
      <c r="I233" t="s">
        <v>321</v>
      </c>
      <c r="J233" t="s">
        <v>322</v>
      </c>
      <c r="K233">
        <v>19910401</v>
      </c>
      <c r="L233" t="s">
        <v>793</v>
      </c>
    </row>
    <row r="234" spans="7:12" x14ac:dyDescent="0.25">
      <c r="G234" t="s">
        <v>795</v>
      </c>
      <c r="H234" t="s">
        <v>796</v>
      </c>
      <c r="I234" t="s">
        <v>345</v>
      </c>
      <c r="J234" t="s">
        <v>354</v>
      </c>
      <c r="K234">
        <v>20000401</v>
      </c>
      <c r="L234" t="s">
        <v>795</v>
      </c>
    </row>
    <row r="235" spans="7:12" x14ac:dyDescent="0.25">
      <c r="G235" t="s">
        <v>797</v>
      </c>
      <c r="H235" t="s">
        <v>798</v>
      </c>
      <c r="I235" t="s">
        <v>345</v>
      </c>
      <c r="J235" t="s">
        <v>354</v>
      </c>
      <c r="K235">
        <v>20110701</v>
      </c>
      <c r="L235" t="s">
        <v>797</v>
      </c>
    </row>
    <row r="236" spans="7:12" x14ac:dyDescent="0.25">
      <c r="G236" t="s">
        <v>799</v>
      </c>
      <c r="H236" t="s">
        <v>800</v>
      </c>
      <c r="I236" t="s">
        <v>321</v>
      </c>
      <c r="J236" t="s">
        <v>366</v>
      </c>
      <c r="K236">
        <v>20010401</v>
      </c>
      <c r="L236" t="s">
        <v>799</v>
      </c>
    </row>
    <row r="237" spans="7:12" x14ac:dyDescent="0.25">
      <c r="G237" t="s">
        <v>801</v>
      </c>
      <c r="H237" t="s">
        <v>802</v>
      </c>
      <c r="I237" t="s">
        <v>345</v>
      </c>
      <c r="J237" t="s">
        <v>354</v>
      </c>
      <c r="K237">
        <v>19940401</v>
      </c>
      <c r="L237" t="s">
        <v>801</v>
      </c>
    </row>
    <row r="238" spans="7:12" x14ac:dyDescent="0.25">
      <c r="G238" t="s">
        <v>803</v>
      </c>
      <c r="H238" t="s">
        <v>804</v>
      </c>
      <c r="I238" t="s">
        <v>317</v>
      </c>
      <c r="J238" t="s">
        <v>409</v>
      </c>
      <c r="K238">
        <v>19910401</v>
      </c>
      <c r="L238" t="s">
        <v>803</v>
      </c>
    </row>
    <row r="239" spans="7:12" x14ac:dyDescent="0.25">
      <c r="G239" t="s">
        <v>805</v>
      </c>
      <c r="H239" t="s">
        <v>806</v>
      </c>
      <c r="I239" t="s">
        <v>321</v>
      </c>
      <c r="J239" t="s">
        <v>325</v>
      </c>
      <c r="K239">
        <v>19920401</v>
      </c>
      <c r="L239" t="s">
        <v>805</v>
      </c>
    </row>
    <row r="240" spans="7:12" x14ac:dyDescent="0.25">
      <c r="G240" t="s">
        <v>807</v>
      </c>
      <c r="H240" t="s">
        <v>808</v>
      </c>
      <c r="I240" t="s">
        <v>321</v>
      </c>
      <c r="J240" t="s">
        <v>325</v>
      </c>
      <c r="K240">
        <v>20060701</v>
      </c>
      <c r="L240" t="s">
        <v>807</v>
      </c>
    </row>
  </sheetData>
  <dataConsolidate link="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5"/>
  <dimension ref="A2:E11"/>
  <sheetViews>
    <sheetView workbookViewId="0">
      <selection activeCell="D12" sqref="D12"/>
    </sheetView>
  </sheetViews>
  <sheetFormatPr defaultRowHeight="13.8" x14ac:dyDescent="0.25"/>
  <cols>
    <col min="2" max="2" width="11.69921875" customWidth="1"/>
    <col min="3" max="3" width="16.09765625" customWidth="1"/>
    <col min="4" max="5" width="45.09765625" customWidth="1"/>
  </cols>
  <sheetData>
    <row r="2" spans="1:5" x14ac:dyDescent="0.25">
      <c r="A2" s="87" t="s">
        <v>850</v>
      </c>
      <c r="B2" s="1" t="s">
        <v>1106</v>
      </c>
      <c r="C2" s="1" t="s">
        <v>1107</v>
      </c>
      <c r="D2" s="88" t="s">
        <v>1108</v>
      </c>
      <c r="E2" s="88" t="s">
        <v>1045</v>
      </c>
    </row>
    <row r="3" spans="1:5" ht="69" x14ac:dyDescent="0.25">
      <c r="A3" s="89" t="s">
        <v>1112</v>
      </c>
      <c r="B3" s="85">
        <v>43243</v>
      </c>
      <c r="C3" t="s">
        <v>1109</v>
      </c>
      <c r="D3" s="2" t="s">
        <v>1110</v>
      </c>
      <c r="E3" s="2"/>
    </row>
    <row r="4" spans="1:5" ht="220.8" x14ac:dyDescent="0.25">
      <c r="A4" s="89" t="s">
        <v>1124</v>
      </c>
      <c r="B4" s="85">
        <v>43439</v>
      </c>
      <c r="C4" t="s">
        <v>1109</v>
      </c>
      <c r="D4" s="2" t="s">
        <v>1125</v>
      </c>
      <c r="E4" s="2" t="s">
        <v>1113</v>
      </c>
    </row>
    <row r="5" spans="1:5" ht="124.2" x14ac:dyDescent="0.25">
      <c r="A5" t="s">
        <v>1224</v>
      </c>
      <c r="B5" s="85">
        <v>43599</v>
      </c>
      <c r="C5" t="s">
        <v>1109</v>
      </c>
      <c r="D5" s="2" t="s">
        <v>1225</v>
      </c>
    </row>
    <row r="6" spans="1:5" ht="55.2" x14ac:dyDescent="0.25">
      <c r="A6" t="s">
        <v>1314</v>
      </c>
      <c r="B6" s="85">
        <v>43760</v>
      </c>
      <c r="C6" t="s">
        <v>1109</v>
      </c>
      <c r="D6" s="2" t="s">
        <v>1315</v>
      </c>
    </row>
    <row r="7" spans="1:5" ht="82.8" x14ac:dyDescent="0.25">
      <c r="A7" t="s">
        <v>1327</v>
      </c>
      <c r="B7" s="85">
        <v>43770</v>
      </c>
      <c r="C7" t="s">
        <v>1109</v>
      </c>
      <c r="D7" s="2" t="s">
        <v>1328</v>
      </c>
    </row>
    <row r="8" spans="1:5" ht="69" x14ac:dyDescent="0.25">
      <c r="A8" t="s">
        <v>1393</v>
      </c>
      <c r="B8" s="85">
        <v>43854</v>
      </c>
      <c r="C8" t="s">
        <v>1109</v>
      </c>
      <c r="D8" s="2" t="s">
        <v>1394</v>
      </c>
    </row>
    <row r="9" spans="1:5" ht="110.4" x14ac:dyDescent="0.25">
      <c r="A9" t="s">
        <v>1437</v>
      </c>
      <c r="B9" s="85">
        <v>44095</v>
      </c>
      <c r="C9" t="s">
        <v>1109</v>
      </c>
      <c r="D9" s="2" t="s">
        <v>1438</v>
      </c>
    </row>
    <row r="10" spans="1:5" ht="82.8" x14ac:dyDescent="0.25">
      <c r="A10" t="s">
        <v>1463</v>
      </c>
      <c r="B10" s="85">
        <v>44140</v>
      </c>
      <c r="C10" t="s">
        <v>1109</v>
      </c>
      <c r="D10" s="2" t="s">
        <v>1464</v>
      </c>
    </row>
    <row r="11" spans="1:5" x14ac:dyDescent="0.25">
      <c r="A11" t="s">
        <v>1472</v>
      </c>
      <c r="B11" s="85">
        <v>44182</v>
      </c>
      <c r="C11" t="s">
        <v>1109</v>
      </c>
      <c r="D11" s="2" t="s">
        <v>1473</v>
      </c>
    </row>
  </sheetData>
  <dataConsolidate/>
  <pageMargins left="0.7" right="0.7" top="0.75" bottom="0.75" header="0.3" footer="0.3"/>
  <pageSetup paperSize="9" orientation="portrait" horizontalDpi="90" verticalDpi="9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60EA7-16A8-43F2-93A7-0F7D1832D294}">
  <sheetPr codeName="Sheet32"/>
  <dimension ref="A2:P70"/>
  <sheetViews>
    <sheetView showGridLines="0" workbookViewId="0">
      <selection activeCell="M10" sqref="M10"/>
    </sheetView>
  </sheetViews>
  <sheetFormatPr defaultRowHeight="13.8" x14ac:dyDescent="0.25"/>
  <cols>
    <col min="1" max="1" width="24.19921875" customWidth="1"/>
  </cols>
  <sheetData>
    <row r="2" spans="1:2" x14ac:dyDescent="0.25">
      <c r="A2" s="1" t="s">
        <v>1419</v>
      </c>
    </row>
    <row r="4" spans="1:2" x14ac:dyDescent="0.25">
      <c r="A4" t="s">
        <v>1420</v>
      </c>
    </row>
    <row r="6" spans="1:2" x14ac:dyDescent="0.25">
      <c r="B6" t="s">
        <v>1422</v>
      </c>
    </row>
    <row r="8" spans="1:2" x14ac:dyDescent="0.25">
      <c r="B8" t="s">
        <v>1421</v>
      </c>
    </row>
    <row r="10" spans="1:2" x14ac:dyDescent="0.25">
      <c r="B10" t="s">
        <v>1423</v>
      </c>
    </row>
    <row r="13" spans="1:2" x14ac:dyDescent="0.25">
      <c r="A13" s="1" t="s">
        <v>1427</v>
      </c>
    </row>
    <row r="17" spans="1:16" x14ac:dyDescent="0.25">
      <c r="A17" s="1" t="s">
        <v>1445</v>
      </c>
    </row>
    <row r="18" spans="1:16" x14ac:dyDescent="0.25">
      <c r="A18" s="1"/>
    </row>
    <row r="19" spans="1:16" x14ac:dyDescent="0.25">
      <c r="A19" s="1"/>
    </row>
    <row r="20" spans="1:16" x14ac:dyDescent="0.25">
      <c r="A20" s="1"/>
    </row>
    <row r="22" spans="1:16" x14ac:dyDescent="0.25">
      <c r="A22" s="1" t="s">
        <v>1468</v>
      </c>
    </row>
    <row r="23" spans="1:16" x14ac:dyDescent="0.25">
      <c r="A23" s="1"/>
    </row>
    <row r="25" spans="1:16" x14ac:dyDescent="0.25">
      <c r="A25" s="211"/>
      <c r="B25" s="212"/>
      <c r="C25" s="212"/>
      <c r="D25" s="212"/>
      <c r="E25" s="212"/>
      <c r="F25" s="212"/>
      <c r="G25" s="212"/>
      <c r="H25" s="212"/>
      <c r="I25" s="212"/>
      <c r="J25" s="212"/>
      <c r="K25" s="212"/>
      <c r="L25" s="212"/>
      <c r="M25" s="212"/>
      <c r="N25" s="212"/>
      <c r="O25" s="212"/>
      <c r="P25" s="213"/>
    </row>
    <row r="26" spans="1:16" x14ac:dyDescent="0.25">
      <c r="A26" s="214" t="s">
        <v>1428</v>
      </c>
      <c r="B26" s="126"/>
      <c r="C26" s="126"/>
      <c r="D26" s="126" t="s">
        <v>1429</v>
      </c>
      <c r="E26" s="126"/>
      <c r="F26" s="126"/>
      <c r="G26" s="126"/>
      <c r="H26" s="126"/>
      <c r="I26" s="126"/>
      <c r="J26" s="126"/>
      <c r="K26" s="126"/>
      <c r="L26" s="126"/>
      <c r="M26" s="126"/>
      <c r="N26" s="126"/>
      <c r="O26" s="126"/>
      <c r="P26" s="215"/>
    </row>
    <row r="27" spans="1:16" x14ac:dyDescent="0.25">
      <c r="A27" s="210"/>
      <c r="B27" s="126"/>
      <c r="C27" s="126"/>
      <c r="D27" s="126"/>
      <c r="E27" s="126"/>
      <c r="F27" s="126"/>
      <c r="G27" s="126"/>
      <c r="H27" s="126"/>
      <c r="I27" s="126"/>
      <c r="J27" s="126"/>
      <c r="K27" s="126"/>
      <c r="L27" s="126"/>
      <c r="M27" s="126"/>
      <c r="N27" s="126"/>
      <c r="O27" s="126"/>
      <c r="P27" s="215"/>
    </row>
    <row r="28" spans="1:16" x14ac:dyDescent="0.25">
      <c r="A28" s="214" t="s">
        <v>1430</v>
      </c>
      <c r="B28" s="126"/>
      <c r="C28" s="126"/>
      <c r="D28" s="126" t="s">
        <v>1431</v>
      </c>
      <c r="E28" s="126"/>
      <c r="F28" s="126"/>
      <c r="G28" s="126"/>
      <c r="H28" s="126"/>
      <c r="I28" s="126"/>
      <c r="J28" s="126"/>
      <c r="K28" s="126"/>
      <c r="L28" s="126"/>
      <c r="M28" s="126"/>
      <c r="N28" s="126"/>
      <c r="O28" s="126"/>
      <c r="P28" s="215"/>
    </row>
    <row r="29" spans="1:16" x14ac:dyDescent="0.25">
      <c r="A29" s="210"/>
      <c r="B29" s="126"/>
      <c r="C29" s="126"/>
      <c r="D29" s="126"/>
      <c r="E29" s="126"/>
      <c r="F29" s="126"/>
      <c r="G29" s="126"/>
      <c r="H29" s="126"/>
      <c r="I29" s="126"/>
      <c r="J29" s="126"/>
      <c r="K29" s="126"/>
      <c r="L29" s="126"/>
      <c r="M29" s="126"/>
      <c r="N29" s="126"/>
      <c r="O29" s="126"/>
      <c r="P29" s="215"/>
    </row>
    <row r="30" spans="1:16" x14ac:dyDescent="0.25">
      <c r="A30" s="210"/>
      <c r="B30" s="126"/>
      <c r="C30" s="126"/>
      <c r="D30" s="126"/>
      <c r="E30" s="126"/>
      <c r="F30" s="126"/>
      <c r="G30" s="126"/>
      <c r="H30" s="126"/>
      <c r="I30" s="126"/>
      <c r="J30" s="126"/>
      <c r="K30" s="126"/>
      <c r="L30" s="126"/>
      <c r="M30" s="126"/>
      <c r="N30" s="126"/>
      <c r="O30" s="126"/>
      <c r="P30" s="215"/>
    </row>
    <row r="31" spans="1:16" x14ac:dyDescent="0.25">
      <c r="A31" s="210"/>
      <c r="B31" s="126"/>
      <c r="C31" s="126"/>
      <c r="D31" s="126"/>
      <c r="E31" s="126"/>
      <c r="F31" s="126"/>
      <c r="G31" s="126"/>
      <c r="H31" s="126"/>
      <c r="I31" s="126"/>
      <c r="J31" s="126"/>
      <c r="K31" s="126"/>
      <c r="L31" s="126"/>
      <c r="M31" s="126"/>
      <c r="N31" s="126"/>
      <c r="O31" s="126"/>
      <c r="P31" s="215"/>
    </row>
    <row r="32" spans="1:16" x14ac:dyDescent="0.25">
      <c r="A32" s="210" t="s">
        <v>1444</v>
      </c>
      <c r="B32" s="126"/>
      <c r="C32" s="126"/>
      <c r="D32" s="126"/>
      <c r="E32" s="126"/>
      <c r="F32" s="126"/>
      <c r="G32" s="126"/>
      <c r="H32" s="126"/>
      <c r="I32" s="126"/>
      <c r="J32" s="126"/>
      <c r="K32" s="126"/>
      <c r="L32" s="126"/>
      <c r="M32" s="126"/>
      <c r="N32" s="126"/>
      <c r="O32" s="126"/>
      <c r="P32" s="215"/>
    </row>
    <row r="33" spans="1:16" x14ac:dyDescent="0.25">
      <c r="A33" s="210"/>
      <c r="B33" s="126"/>
      <c r="C33" s="126"/>
      <c r="D33" s="126"/>
      <c r="E33" s="126"/>
      <c r="F33" s="126"/>
      <c r="G33" s="126"/>
      <c r="H33" s="126"/>
      <c r="I33" s="126"/>
      <c r="J33" s="126"/>
      <c r="K33" s="126"/>
      <c r="L33" s="126"/>
      <c r="M33" s="126"/>
      <c r="N33" s="126"/>
      <c r="O33" s="126"/>
      <c r="P33" s="215"/>
    </row>
    <row r="34" spans="1:16" x14ac:dyDescent="0.25">
      <c r="A34" s="210"/>
      <c r="B34" s="126"/>
      <c r="C34" s="126"/>
      <c r="D34" s="126"/>
      <c r="E34" s="126"/>
      <c r="F34" s="126"/>
      <c r="G34" s="126"/>
      <c r="H34" s="126"/>
      <c r="I34" s="126"/>
      <c r="J34" s="126"/>
      <c r="K34" s="126"/>
      <c r="L34" s="126"/>
      <c r="M34" s="126"/>
      <c r="N34" s="126"/>
      <c r="O34" s="126"/>
      <c r="P34" s="215"/>
    </row>
    <row r="35" spans="1:16" x14ac:dyDescent="0.25">
      <c r="A35" s="214" t="s">
        <v>1426</v>
      </c>
      <c r="B35" s="126"/>
      <c r="C35" s="126"/>
      <c r="D35" s="126" t="s">
        <v>1432</v>
      </c>
      <c r="E35" s="126"/>
      <c r="F35" s="126"/>
      <c r="G35" s="126"/>
      <c r="H35" s="126"/>
      <c r="I35" s="126"/>
      <c r="J35" s="126"/>
      <c r="K35" s="126"/>
      <c r="L35" s="126"/>
      <c r="M35" s="126"/>
      <c r="N35" s="126"/>
      <c r="O35" s="126"/>
      <c r="P35" s="215"/>
    </row>
    <row r="36" spans="1:16" x14ac:dyDescent="0.25">
      <c r="A36" s="214"/>
      <c r="B36" s="126"/>
      <c r="C36" s="126"/>
      <c r="D36" s="126"/>
      <c r="E36" s="126"/>
      <c r="F36" s="126"/>
      <c r="G36" s="126"/>
      <c r="H36" s="126"/>
      <c r="I36" s="126"/>
      <c r="J36" s="126"/>
      <c r="K36" s="126"/>
      <c r="L36" s="126"/>
      <c r="M36" s="126"/>
      <c r="N36" s="126"/>
      <c r="O36" s="126"/>
      <c r="P36" s="215"/>
    </row>
    <row r="37" spans="1:16" x14ac:dyDescent="0.25">
      <c r="A37" s="214" t="s">
        <v>1435</v>
      </c>
      <c r="B37" s="126"/>
      <c r="C37" s="126"/>
      <c r="D37" s="126" t="s">
        <v>1436</v>
      </c>
      <c r="E37" s="126"/>
      <c r="F37" s="126"/>
      <c r="G37" s="126"/>
      <c r="H37" s="126"/>
      <c r="I37" s="126"/>
      <c r="J37" s="126"/>
      <c r="K37" s="126"/>
      <c r="L37" s="126"/>
      <c r="M37" s="126"/>
      <c r="N37" s="126"/>
      <c r="O37" s="126"/>
      <c r="P37" s="215"/>
    </row>
    <row r="38" spans="1:16" x14ac:dyDescent="0.25">
      <c r="A38" s="210"/>
      <c r="B38" s="126"/>
      <c r="C38" s="126"/>
      <c r="D38" s="126"/>
      <c r="E38" s="126"/>
      <c r="F38" s="126"/>
      <c r="G38" s="126"/>
      <c r="H38" s="126"/>
      <c r="I38" s="126"/>
      <c r="J38" s="126"/>
      <c r="K38" s="126"/>
      <c r="L38" s="126"/>
      <c r="M38" s="126"/>
      <c r="N38" s="126"/>
      <c r="O38" s="126"/>
      <c r="P38" s="215"/>
    </row>
    <row r="39" spans="1:16" x14ac:dyDescent="0.25">
      <c r="A39" s="214" t="s">
        <v>1434</v>
      </c>
      <c r="B39" s="126"/>
      <c r="C39" s="126"/>
      <c r="D39" s="126" t="s">
        <v>1433</v>
      </c>
      <c r="E39" s="126"/>
      <c r="F39" s="126"/>
      <c r="G39" s="126"/>
      <c r="H39" s="126"/>
      <c r="I39" s="126"/>
      <c r="J39" s="126"/>
      <c r="K39" s="126"/>
      <c r="L39" s="126"/>
      <c r="M39" s="126"/>
      <c r="N39" s="126"/>
      <c r="O39" s="126"/>
      <c r="P39" s="215"/>
    </row>
    <row r="40" spans="1:16" x14ac:dyDescent="0.25">
      <c r="A40" s="210"/>
      <c r="B40" s="126"/>
      <c r="C40" s="126"/>
      <c r="D40" s="126"/>
      <c r="E40" s="126"/>
      <c r="F40" s="126"/>
      <c r="G40" s="126"/>
      <c r="H40" s="126"/>
      <c r="I40" s="126"/>
      <c r="J40" s="126"/>
      <c r="K40" s="126"/>
      <c r="L40" s="126"/>
      <c r="M40" s="126"/>
      <c r="N40" s="126"/>
      <c r="O40" s="126"/>
      <c r="P40" s="215"/>
    </row>
    <row r="41" spans="1:16" x14ac:dyDescent="0.25">
      <c r="A41" s="210"/>
      <c r="B41" s="126"/>
      <c r="C41" s="126"/>
      <c r="D41" s="126"/>
      <c r="E41" s="126" t="s">
        <v>862</v>
      </c>
      <c r="F41" s="126"/>
      <c r="G41" s="126"/>
      <c r="H41" s="126"/>
      <c r="I41" s="126"/>
      <c r="J41" s="126"/>
      <c r="K41" s="126"/>
      <c r="L41" s="126"/>
      <c r="M41" s="126"/>
      <c r="N41" s="126"/>
      <c r="O41" s="126"/>
      <c r="P41" s="215"/>
    </row>
    <row r="42" spans="1:16" x14ac:dyDescent="0.25">
      <c r="A42" s="210"/>
      <c r="B42" s="126"/>
      <c r="C42" s="126"/>
      <c r="D42" s="126"/>
      <c r="E42" s="126" t="s">
        <v>1424</v>
      </c>
      <c r="F42" s="126"/>
      <c r="G42" s="126"/>
      <c r="H42" s="126"/>
      <c r="I42" s="126"/>
      <c r="J42" s="126"/>
      <c r="K42" s="126"/>
      <c r="L42" s="126"/>
      <c r="M42" s="126"/>
      <c r="N42" s="126"/>
      <c r="O42" s="126"/>
      <c r="P42" s="215"/>
    </row>
    <row r="43" spans="1:16" x14ac:dyDescent="0.25">
      <c r="A43" s="210"/>
      <c r="B43" s="126"/>
      <c r="C43" s="126"/>
      <c r="D43" s="126"/>
      <c r="E43" s="126" t="s">
        <v>855</v>
      </c>
      <c r="F43" s="126"/>
      <c r="G43" s="126"/>
      <c r="H43" s="126"/>
      <c r="I43" s="126"/>
      <c r="J43" s="126"/>
      <c r="K43" s="126"/>
      <c r="L43" s="126"/>
      <c r="M43" s="126"/>
      <c r="N43" s="126"/>
      <c r="O43" s="126"/>
      <c r="P43" s="215"/>
    </row>
    <row r="44" spans="1:16" x14ac:dyDescent="0.25">
      <c r="A44" s="210"/>
      <c r="B44" s="126"/>
      <c r="C44" s="126"/>
      <c r="D44" s="126"/>
      <c r="E44" s="126" t="s">
        <v>1425</v>
      </c>
      <c r="F44" s="126"/>
      <c r="G44" s="126"/>
      <c r="H44" s="126"/>
      <c r="I44" s="126"/>
      <c r="J44" s="126"/>
      <c r="K44" s="126"/>
      <c r="L44" s="126"/>
      <c r="M44" s="126"/>
      <c r="N44" s="126"/>
      <c r="O44" s="126"/>
      <c r="P44" s="215"/>
    </row>
    <row r="45" spans="1:16" x14ac:dyDescent="0.25">
      <c r="A45" s="210"/>
      <c r="B45" s="126"/>
      <c r="C45" s="126"/>
      <c r="D45" s="126"/>
      <c r="E45" s="126"/>
      <c r="F45" s="126"/>
      <c r="G45" s="126"/>
      <c r="H45" s="126"/>
      <c r="I45" s="126"/>
      <c r="J45" s="126"/>
      <c r="K45" s="126"/>
      <c r="L45" s="126"/>
      <c r="M45" s="126"/>
      <c r="N45" s="126"/>
      <c r="O45" s="126"/>
      <c r="P45" s="215"/>
    </row>
    <row r="46" spans="1:16" x14ac:dyDescent="0.25">
      <c r="A46" s="214" t="s">
        <v>1082</v>
      </c>
      <c r="B46" s="126"/>
      <c r="C46" s="126"/>
      <c r="D46" s="126" t="s">
        <v>1447</v>
      </c>
      <c r="E46" s="126"/>
      <c r="F46" s="126"/>
      <c r="G46" s="126"/>
      <c r="H46" s="126"/>
      <c r="I46" s="126"/>
      <c r="J46" s="126"/>
      <c r="K46" s="126"/>
      <c r="L46" s="126"/>
      <c r="M46" s="126"/>
      <c r="N46" s="126"/>
      <c r="O46" s="126"/>
      <c r="P46" s="215"/>
    </row>
    <row r="47" spans="1:16" x14ac:dyDescent="0.25">
      <c r="A47" s="210"/>
      <c r="B47" s="126"/>
      <c r="C47" s="126"/>
      <c r="D47" s="126"/>
      <c r="E47" s="126"/>
      <c r="F47" s="126"/>
      <c r="G47" s="126"/>
      <c r="H47" s="126"/>
      <c r="I47" s="126"/>
      <c r="J47" s="126"/>
      <c r="K47" s="126"/>
      <c r="L47" s="126"/>
      <c r="M47" s="126"/>
      <c r="N47" s="126"/>
      <c r="O47" s="126"/>
      <c r="P47" s="215"/>
    </row>
    <row r="48" spans="1:16" x14ac:dyDescent="0.25">
      <c r="A48" s="214" t="s">
        <v>1155</v>
      </c>
      <c r="B48" s="126"/>
      <c r="C48" s="126"/>
      <c r="D48" s="126" t="s">
        <v>1450</v>
      </c>
      <c r="E48" s="126"/>
      <c r="F48" s="126"/>
      <c r="G48" s="126"/>
      <c r="H48" s="126"/>
      <c r="I48" s="126"/>
      <c r="J48" s="126"/>
      <c r="K48" s="126"/>
      <c r="L48" s="126"/>
      <c r="M48" s="126"/>
      <c r="N48" s="126"/>
      <c r="O48" s="126"/>
      <c r="P48" s="215"/>
    </row>
    <row r="49" spans="1:16" x14ac:dyDescent="0.25">
      <c r="A49" s="216"/>
      <c r="B49" s="217"/>
      <c r="C49" s="217"/>
      <c r="D49" s="217"/>
      <c r="E49" s="217"/>
      <c r="F49" s="217"/>
      <c r="G49" s="217"/>
      <c r="H49" s="217"/>
      <c r="I49" s="217"/>
      <c r="J49" s="217"/>
      <c r="K49" s="217"/>
      <c r="L49" s="217"/>
      <c r="M49" s="217"/>
      <c r="N49" s="217"/>
      <c r="O49" s="217"/>
      <c r="P49" s="218"/>
    </row>
    <row r="51" spans="1:16" x14ac:dyDescent="0.25">
      <c r="A51" s="1" t="s">
        <v>1456</v>
      </c>
    </row>
    <row r="53" spans="1:16" x14ac:dyDescent="0.25">
      <c r="A53" s="57" t="s">
        <v>1446</v>
      </c>
    </row>
    <row r="54" spans="1:16" x14ac:dyDescent="0.25">
      <c r="A54" s="1"/>
    </row>
    <row r="55" spans="1:16" x14ac:dyDescent="0.25">
      <c r="A55" s="1" t="s">
        <v>1455</v>
      </c>
      <c r="B55" s="1" t="s">
        <v>1454</v>
      </c>
      <c r="C55" s="1" t="s">
        <v>1045</v>
      </c>
    </row>
    <row r="56" spans="1:16" ht="25.2" customHeight="1" x14ac:dyDescent="0.25">
      <c r="A56" s="209" t="s">
        <v>1412</v>
      </c>
      <c r="B56" s="208" t="s">
        <v>18</v>
      </c>
      <c r="C56" s="226"/>
      <c r="D56" s="227"/>
      <c r="E56" s="227"/>
      <c r="F56" s="227"/>
      <c r="G56" s="227"/>
      <c r="H56" s="227"/>
      <c r="I56" s="227"/>
      <c r="J56" s="227"/>
      <c r="K56" s="227"/>
      <c r="L56" s="227"/>
      <c r="M56" s="227"/>
      <c r="N56" s="227"/>
      <c r="O56" s="227"/>
      <c r="P56" s="228"/>
    </row>
    <row r="57" spans="1:16" ht="25.2" customHeight="1" x14ac:dyDescent="0.25">
      <c r="A57" s="209" t="s">
        <v>1413</v>
      </c>
      <c r="B57" s="208" t="s">
        <v>18</v>
      </c>
      <c r="C57" s="226"/>
      <c r="D57" s="227"/>
      <c r="E57" s="227"/>
      <c r="F57" s="227"/>
      <c r="G57" s="227"/>
      <c r="H57" s="227"/>
      <c r="I57" s="227"/>
      <c r="J57" s="227"/>
      <c r="K57" s="227"/>
      <c r="L57" s="227"/>
      <c r="M57" s="227"/>
      <c r="N57" s="227"/>
      <c r="O57" s="227"/>
      <c r="P57" s="228"/>
    </row>
    <row r="58" spans="1:16" ht="25.2" customHeight="1" x14ac:dyDescent="0.25">
      <c r="A58" s="209" t="s">
        <v>1414</v>
      </c>
      <c r="B58" s="208" t="s">
        <v>18</v>
      </c>
      <c r="C58" s="226"/>
      <c r="D58" s="227"/>
      <c r="E58" s="227"/>
      <c r="F58" s="227"/>
      <c r="G58" s="227"/>
      <c r="H58" s="227"/>
      <c r="I58" s="227"/>
      <c r="J58" s="227"/>
      <c r="K58" s="227"/>
      <c r="L58" s="227"/>
      <c r="M58" s="227"/>
      <c r="N58" s="227"/>
      <c r="O58" s="227"/>
      <c r="P58" s="228"/>
    </row>
    <row r="59" spans="1:16" ht="25.2" customHeight="1" x14ac:dyDescent="0.25">
      <c r="A59" s="209" t="s">
        <v>1415</v>
      </c>
      <c r="B59" s="208" t="s">
        <v>18</v>
      </c>
      <c r="C59" s="226"/>
      <c r="D59" s="227"/>
      <c r="E59" s="227"/>
      <c r="F59" s="227"/>
      <c r="G59" s="227"/>
      <c r="H59" s="227"/>
      <c r="I59" s="227"/>
      <c r="J59" s="227"/>
      <c r="K59" s="227"/>
      <c r="L59" s="227"/>
      <c r="M59" s="227"/>
      <c r="N59" s="227"/>
      <c r="O59" s="227"/>
      <c r="P59" s="228"/>
    </row>
    <row r="60" spans="1:16" ht="25.2" customHeight="1" x14ac:dyDescent="0.25">
      <c r="A60" s="209" t="s">
        <v>1416</v>
      </c>
      <c r="B60" s="208" t="s">
        <v>18</v>
      </c>
      <c r="C60" s="226"/>
      <c r="D60" s="227"/>
      <c r="E60" s="227"/>
      <c r="F60" s="227"/>
      <c r="G60" s="227"/>
      <c r="H60" s="227"/>
      <c r="I60" s="227"/>
      <c r="J60" s="227"/>
      <c r="K60" s="227"/>
      <c r="L60" s="227"/>
      <c r="M60" s="227"/>
      <c r="N60" s="227"/>
      <c r="O60" s="227"/>
      <c r="P60" s="228"/>
    </row>
    <row r="61" spans="1:16" ht="25.2" customHeight="1" x14ac:dyDescent="0.25">
      <c r="A61" s="209" t="s">
        <v>1453</v>
      </c>
      <c r="B61" s="208" t="s">
        <v>18</v>
      </c>
      <c r="C61" s="226"/>
      <c r="D61" s="227"/>
      <c r="E61" s="227"/>
      <c r="F61" s="227"/>
      <c r="G61" s="227"/>
      <c r="H61" s="227"/>
      <c r="I61" s="227"/>
      <c r="J61" s="227"/>
      <c r="K61" s="227"/>
      <c r="L61" s="227"/>
      <c r="M61" s="227"/>
      <c r="N61" s="227"/>
      <c r="O61" s="227"/>
      <c r="P61" s="228"/>
    </row>
    <row r="62" spans="1:16" ht="25.2" customHeight="1" x14ac:dyDescent="0.25">
      <c r="A62" s="209" t="s">
        <v>1417</v>
      </c>
      <c r="B62" s="208" t="s">
        <v>18</v>
      </c>
      <c r="C62" s="226"/>
      <c r="D62" s="227"/>
      <c r="E62" s="227"/>
      <c r="F62" s="227"/>
      <c r="G62" s="227"/>
      <c r="H62" s="227"/>
      <c r="I62" s="227"/>
      <c r="J62" s="227"/>
      <c r="K62" s="227"/>
      <c r="L62" s="227"/>
      <c r="M62" s="227"/>
      <c r="N62" s="227"/>
      <c r="O62" s="227"/>
      <c r="P62" s="228"/>
    </row>
    <row r="64" spans="1:16" x14ac:dyDescent="0.25">
      <c r="A64" s="211"/>
      <c r="B64" s="212"/>
      <c r="C64" s="212"/>
      <c r="D64" s="212"/>
      <c r="E64" s="212"/>
      <c r="F64" s="212"/>
      <c r="G64" s="212"/>
      <c r="H64" s="212"/>
      <c r="I64" s="212"/>
      <c r="J64" s="212"/>
      <c r="K64" s="212"/>
      <c r="L64" s="212"/>
      <c r="M64" s="212"/>
      <c r="N64" s="212"/>
      <c r="O64" s="212"/>
      <c r="P64" s="213"/>
    </row>
    <row r="65" spans="1:16" x14ac:dyDescent="0.25">
      <c r="A65" s="219" t="s">
        <v>1418</v>
      </c>
      <c r="B65" s="126"/>
      <c r="C65" s="126"/>
      <c r="D65" s="126"/>
      <c r="E65" s="126"/>
      <c r="F65" s="126"/>
      <c r="G65" s="126"/>
      <c r="H65" s="126"/>
      <c r="I65" s="126"/>
      <c r="J65" s="126"/>
      <c r="K65" s="126"/>
      <c r="L65" s="126"/>
      <c r="M65" s="126"/>
      <c r="N65" s="126"/>
      <c r="O65" s="126"/>
      <c r="P65" s="215"/>
    </row>
    <row r="66" spans="1:16" x14ac:dyDescent="0.25">
      <c r="A66" s="210"/>
      <c r="B66" s="126"/>
      <c r="C66" s="126"/>
      <c r="D66" s="126"/>
      <c r="E66" s="126"/>
      <c r="F66" s="126"/>
      <c r="G66" s="126"/>
      <c r="H66" s="126"/>
      <c r="I66" s="126"/>
      <c r="J66" s="126"/>
      <c r="K66" s="126"/>
      <c r="L66" s="126"/>
      <c r="M66" s="126"/>
      <c r="N66" s="126"/>
      <c r="O66" s="126"/>
      <c r="P66" s="215"/>
    </row>
    <row r="67" spans="1:16" x14ac:dyDescent="0.25">
      <c r="A67" s="214" t="s">
        <v>1448</v>
      </c>
      <c r="B67" s="126"/>
      <c r="C67" s="126"/>
      <c r="D67" s="126" t="s">
        <v>1451</v>
      </c>
      <c r="E67" s="126"/>
      <c r="F67" s="126"/>
      <c r="G67" s="126"/>
      <c r="H67" s="126"/>
      <c r="I67" s="126"/>
      <c r="J67" s="126"/>
      <c r="K67" s="126"/>
      <c r="L67" s="126"/>
      <c r="M67" s="126"/>
      <c r="N67" s="126"/>
      <c r="O67" s="126"/>
      <c r="P67" s="215"/>
    </row>
    <row r="68" spans="1:16" x14ac:dyDescent="0.25">
      <c r="A68" s="210"/>
      <c r="B68" s="126"/>
      <c r="C68" s="126"/>
      <c r="D68" s="126"/>
      <c r="E68" s="126"/>
      <c r="F68" s="126"/>
      <c r="G68" s="126"/>
      <c r="H68" s="126"/>
      <c r="I68" s="126"/>
      <c r="J68" s="126"/>
      <c r="K68" s="126"/>
      <c r="L68" s="126"/>
      <c r="M68" s="126"/>
      <c r="N68" s="126"/>
      <c r="O68" s="126"/>
      <c r="P68" s="215"/>
    </row>
    <row r="69" spans="1:16" x14ac:dyDescent="0.25">
      <c r="A69" s="214" t="s">
        <v>1449</v>
      </c>
      <c r="B69" s="126"/>
      <c r="C69" s="126"/>
      <c r="D69" s="126" t="s">
        <v>1452</v>
      </c>
      <c r="E69" s="126"/>
      <c r="F69" s="126"/>
      <c r="G69" s="126"/>
      <c r="H69" s="126"/>
      <c r="I69" s="126"/>
      <c r="J69" s="126"/>
      <c r="K69" s="126"/>
      <c r="L69" s="126"/>
      <c r="M69" s="126"/>
      <c r="N69" s="126"/>
      <c r="O69" s="126"/>
      <c r="P69" s="215"/>
    </row>
    <row r="70" spans="1:16" x14ac:dyDescent="0.25">
      <c r="A70" s="216"/>
      <c r="B70" s="217"/>
      <c r="C70" s="217"/>
      <c r="D70" s="217"/>
      <c r="E70" s="217"/>
      <c r="F70" s="217"/>
      <c r="G70" s="217"/>
      <c r="H70" s="217"/>
      <c r="I70" s="217"/>
      <c r="J70" s="217"/>
      <c r="K70" s="217"/>
      <c r="L70" s="217"/>
      <c r="M70" s="217"/>
      <c r="N70" s="217"/>
      <c r="O70" s="217"/>
      <c r="P70" s="218"/>
    </row>
  </sheetData>
  <dataConsolidate/>
  <mergeCells count="7">
    <mergeCell ref="C62:P62"/>
    <mergeCell ref="C56:P56"/>
    <mergeCell ref="C57:P57"/>
    <mergeCell ref="C58:P58"/>
    <mergeCell ref="C59:P59"/>
    <mergeCell ref="C60:P60"/>
    <mergeCell ref="C61:P61"/>
  </mergeCells>
  <conditionalFormatting sqref="A56:B62">
    <cfRule type="expression" dxfId="53" priority="1">
      <formula>IF($B56="Yes",1,0)</formula>
    </cfRule>
  </conditionalFormatting>
  <dataValidations count="1">
    <dataValidation type="list" allowBlank="1" showInputMessage="1" showErrorMessage="1" sqref="B56:B62" xr:uid="{FE8837EE-E982-4636-B298-F8B783E81B42}">
      <formula1>"Yes, No"</formula1>
    </dataValidation>
  </dataValidations>
  <hyperlinks>
    <hyperlink ref="A35" location="'DC Balance'!A1" display="DC Balance" xr:uid="{3B4EDFCE-376B-40E0-A629-646D7BBA1D1E}"/>
    <hyperlink ref="A39" location="'Parameter check'!A1" display="Parameter check" xr:uid="{1A4A5D74-D283-426C-BE05-A9394BBEE2CF}"/>
    <hyperlink ref="A26" location="'Data files'!A1" display="Data files" xr:uid="{049F9513-480A-4C06-B8F3-091C969259E7}"/>
    <hyperlink ref="A28" location="'Dependency setup'!A1" display="Dependency setup" xr:uid="{69835245-2C90-4739-A3D7-50DB19997315}"/>
    <hyperlink ref="A37" location="'WL Balance'!A1" display="WL Balance" xr:uid="{7FCD39C3-92C6-4581-A65F-C47C92CA0705}"/>
    <hyperlink ref="A46" location="'Sense check'!A1" display="Sense check" xr:uid="{E9B324E0-FF43-4322-899C-A264E9A4C79E}"/>
    <hyperlink ref="A48" location="'WL Clearance'!A1" display="WL Clearance" xr:uid="{D937FE6F-2BE9-4D85-8A35-862FC2A30559}"/>
    <hyperlink ref="A67" location="'Aggregate activity'!A1" display="Aggregate activity" xr:uid="{405DB697-9A06-405A-96FC-15AA0E345AAB}"/>
    <hyperlink ref="A69" location="'Aggregate summary'!A1" display="Aggregate summary" xr:uid="{D61149A1-A123-4427-A3C4-C25EB6AF25B6}"/>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Button_Show_Operation_Click">
                <anchor moveWithCells="1" sizeWithCells="1">
                  <from>
                    <xdr:col>5</xdr:col>
                    <xdr:colOff>662940</xdr:colOff>
                    <xdr:row>11</xdr:row>
                    <xdr:rowOff>167640</xdr:rowOff>
                  </from>
                  <to>
                    <xdr:col>10</xdr:col>
                    <xdr:colOff>0</xdr:colOff>
                    <xdr:row>13</xdr:row>
                    <xdr:rowOff>167640</xdr:rowOff>
                  </to>
                </anchor>
              </controlPr>
            </control>
          </mc:Choice>
        </mc:AlternateContent>
        <mc:AlternateContent xmlns:mc="http://schemas.openxmlformats.org/markup-compatibility/2006">
          <mc:Choice Requires="x14">
            <control shapeId="222210" r:id="rId5" name="Button 2">
              <controlPr defaultSize="0" print="0" autoFill="0" autoPict="0" macro="[0]!Button_Show_All_Click">
                <anchor moveWithCells="1" sizeWithCells="1">
                  <from>
                    <xdr:col>5</xdr:col>
                    <xdr:colOff>662940</xdr:colOff>
                    <xdr:row>19</xdr:row>
                    <xdr:rowOff>45720</xdr:rowOff>
                  </from>
                  <to>
                    <xdr:col>10</xdr:col>
                    <xdr:colOff>0</xdr:colOff>
                    <xdr:row>23</xdr:row>
                    <xdr:rowOff>83820</xdr:rowOff>
                  </to>
                </anchor>
              </controlPr>
            </control>
          </mc:Choice>
        </mc:AlternateContent>
        <mc:AlternateContent xmlns:mc="http://schemas.openxmlformats.org/markup-compatibility/2006">
          <mc:Choice Requires="x14">
            <control shapeId="222211" r:id="rId6" name="Button 3">
              <controlPr defaultSize="0" print="0" autoFill="0" autoPict="0" macro="[0]!Button_Show_Activity_Click">
                <anchor moveWithCells="1" sizeWithCells="1">
                  <from>
                    <xdr:col>6</xdr:col>
                    <xdr:colOff>0</xdr:colOff>
                    <xdr:row>16</xdr:row>
                    <xdr:rowOff>0</xdr:rowOff>
                  </from>
                  <to>
                    <xdr:col>9</xdr:col>
                    <xdr:colOff>662940</xdr:colOff>
                    <xdr:row>17</xdr:row>
                    <xdr:rowOff>160020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2:L37"/>
  <sheetViews>
    <sheetView showGridLines="0" tabSelected="1" topLeftCell="B1" workbookViewId="0">
      <selection activeCell="C36" sqref="C36"/>
    </sheetView>
  </sheetViews>
  <sheetFormatPr defaultColWidth="9" defaultRowHeight="13.8" x14ac:dyDescent="0.25"/>
  <cols>
    <col min="1" max="1" width="80.5" style="18" hidden="1" customWidth="1"/>
    <col min="2" max="2" width="8.3984375" style="18" customWidth="1"/>
    <col min="3" max="3" width="15.09765625" style="18" customWidth="1"/>
    <col min="4" max="4" width="34.59765625" style="18" customWidth="1"/>
    <col min="5" max="5" width="34.09765625" style="18" customWidth="1"/>
    <col min="6" max="6" width="9.8984375" style="18" bestFit="1" customWidth="1"/>
    <col min="7" max="7" width="20.09765625" style="18" bestFit="1" customWidth="1"/>
    <col min="8" max="8" width="13.3984375" style="18" customWidth="1"/>
    <col min="9" max="10" width="11.5" style="18" customWidth="1"/>
    <col min="11" max="11" width="9" style="18" customWidth="1"/>
    <col min="12" max="16384" width="9" style="18"/>
  </cols>
  <sheetData>
    <row r="2" spans="1:12" x14ac:dyDescent="0.25">
      <c r="B2" s="17" t="s">
        <v>1030</v>
      </c>
      <c r="C2" s="34"/>
      <c r="D2" s="34"/>
      <c r="E2" s="34"/>
      <c r="F2" s="34"/>
      <c r="G2" s="232" t="s">
        <v>1111</v>
      </c>
      <c r="H2" s="232"/>
      <c r="I2" s="232"/>
      <c r="J2" s="232"/>
      <c r="K2" s="232"/>
    </row>
    <row r="3" spans="1:12" x14ac:dyDescent="0.25">
      <c r="A3" s="18" t="s">
        <v>0</v>
      </c>
      <c r="D3" s="37" t="s">
        <v>10</v>
      </c>
    </row>
    <row r="4" spans="1:12" x14ac:dyDescent="0.25">
      <c r="B4" s="233" t="s">
        <v>11</v>
      </c>
      <c r="C4" s="234"/>
      <c r="D4" s="173" t="s">
        <v>1477</v>
      </c>
    </row>
    <row r="5" spans="1:12" x14ac:dyDescent="0.25">
      <c r="A5" s="18" t="s">
        <v>1</v>
      </c>
    </row>
    <row r="6" spans="1:12" x14ac:dyDescent="0.25">
      <c r="A6" s="18" t="s">
        <v>2</v>
      </c>
      <c r="D6" s="19" t="s">
        <v>10</v>
      </c>
      <c r="E6" s="19" t="s">
        <v>12</v>
      </c>
    </row>
    <row r="7" spans="1:12" x14ac:dyDescent="0.25">
      <c r="A7" s="18" t="s">
        <v>3</v>
      </c>
      <c r="B7" s="233" t="s">
        <v>13</v>
      </c>
      <c r="C7" s="234"/>
      <c r="D7" s="184" t="s">
        <v>1476</v>
      </c>
      <c r="E7" s="187" t="str">
        <f>IFERROR(VLOOKUP(D7,'Org and TFC lookup'!$B$4:$D$156,2,0),"")</f>
        <v/>
      </c>
      <c r="G7" s="19" t="s">
        <v>1408</v>
      </c>
    </row>
    <row r="8" spans="1:12" x14ac:dyDescent="0.25">
      <c r="A8" s="19" t="s">
        <v>5</v>
      </c>
      <c r="G8" s="183" t="s">
        <v>1175</v>
      </c>
      <c r="H8" s="183" t="s">
        <v>1176</v>
      </c>
    </row>
    <row r="9" spans="1:12" x14ac:dyDescent="0.25">
      <c r="A9" s="19" t="s">
        <v>4</v>
      </c>
      <c r="B9" s="235" t="s">
        <v>15</v>
      </c>
      <c r="C9" s="236"/>
      <c r="D9" s="237"/>
      <c r="E9" s="13">
        <v>1</v>
      </c>
      <c r="G9" s="102" t="s">
        <v>1466</v>
      </c>
      <c r="H9" s="102">
        <v>2020</v>
      </c>
    </row>
    <row r="10" spans="1:12" x14ac:dyDescent="0.25">
      <c r="A10" s="19" t="s">
        <v>6</v>
      </c>
    </row>
    <row r="11" spans="1:12" x14ac:dyDescent="0.25">
      <c r="A11" s="19" t="s">
        <v>7</v>
      </c>
      <c r="B11" s="235" t="s">
        <v>1411</v>
      </c>
      <c r="C11" s="236"/>
      <c r="D11" s="237"/>
      <c r="E11" s="14" t="s">
        <v>16</v>
      </c>
      <c r="G11" s="18" t="s">
        <v>1410</v>
      </c>
    </row>
    <row r="12" spans="1:12" x14ac:dyDescent="0.25">
      <c r="A12" s="19" t="s">
        <v>8</v>
      </c>
      <c r="E12" s="39"/>
      <c r="G12" s="238" t="str">
        <f>IF(G9="Financial year","Apr "&amp;TEXT(H9,"#")&amp;" - Mar "&amp;TEXT(H9+1,"#"),"Jan - Dec "&amp;TEXT(H9,"#"))</f>
        <v>Jan - Dec 2020</v>
      </c>
      <c r="H12" s="238"/>
    </row>
    <row r="13" spans="1:12" x14ac:dyDescent="0.25">
      <c r="A13" s="19" t="s">
        <v>9</v>
      </c>
      <c r="B13" s="229" t="s">
        <v>17</v>
      </c>
      <c r="C13" s="230"/>
      <c r="D13" s="231"/>
      <c r="E13" s="14" t="s">
        <v>18</v>
      </c>
    </row>
    <row r="14" spans="1:12" x14ac:dyDescent="0.25">
      <c r="A14" s="18" t="s">
        <v>1102</v>
      </c>
    </row>
    <row r="15" spans="1:12" x14ac:dyDescent="0.25">
      <c r="A15" s="18" t="s">
        <v>982</v>
      </c>
      <c r="B15" s="40" t="s">
        <v>809</v>
      </c>
      <c r="C15" s="40" t="s">
        <v>12</v>
      </c>
      <c r="D15" s="40" t="s">
        <v>810</v>
      </c>
      <c r="E15" s="40" t="s">
        <v>811</v>
      </c>
      <c r="F15" s="41" t="s">
        <v>812</v>
      </c>
      <c r="G15" s="40" t="s">
        <v>813</v>
      </c>
      <c r="H15" s="40" t="s">
        <v>971</v>
      </c>
      <c r="I15" s="40" t="s">
        <v>972</v>
      </c>
      <c r="J15" s="40" t="s">
        <v>973</v>
      </c>
      <c r="L15" s="115"/>
    </row>
    <row r="16" spans="1:12" ht="19.95" customHeight="1" x14ac:dyDescent="0.25">
      <c r="A16" s="18" t="str">
        <f t="shared" ref="A16:A35" si="0">ROW(A1)&amp;". "&amp;C16</f>
        <v>1. test service</v>
      </c>
      <c r="B16" s="188" t="s">
        <v>814</v>
      </c>
      <c r="C16" s="3" t="s">
        <v>1474</v>
      </c>
      <c r="D16" s="3" t="s">
        <v>1479</v>
      </c>
      <c r="E16" s="3" t="s">
        <v>1478</v>
      </c>
      <c r="F16" s="189" t="s">
        <v>1281</v>
      </c>
      <c r="G16" s="3" t="s">
        <v>25</v>
      </c>
      <c r="H16" s="3" t="s">
        <v>815</v>
      </c>
      <c r="I16" s="190"/>
      <c r="J16" s="191"/>
    </row>
    <row r="17" spans="1:10" ht="19.95" hidden="1" customHeight="1" x14ac:dyDescent="0.25">
      <c r="A17" s="18" t="str">
        <f t="shared" si="0"/>
        <v xml:space="preserve">2. </v>
      </c>
      <c r="B17" s="188" t="s">
        <v>816</v>
      </c>
      <c r="C17" s="3"/>
      <c r="D17" s="3"/>
      <c r="E17" s="3"/>
      <c r="F17" s="189"/>
      <c r="G17" s="3"/>
      <c r="H17" s="3"/>
      <c r="I17" s="190"/>
      <c r="J17" s="191"/>
    </row>
    <row r="18" spans="1:10" ht="19.95" hidden="1" customHeight="1" x14ac:dyDescent="0.25">
      <c r="A18" s="18" t="str">
        <f t="shared" si="0"/>
        <v xml:space="preserve">3. </v>
      </c>
      <c r="B18" s="188" t="s">
        <v>819</v>
      </c>
      <c r="C18" s="3"/>
      <c r="D18" s="3"/>
      <c r="E18" s="3"/>
      <c r="F18" s="189"/>
      <c r="G18" s="3"/>
      <c r="H18" s="3"/>
      <c r="I18" s="190"/>
      <c r="J18" s="191"/>
    </row>
    <row r="19" spans="1:10" ht="19.95" hidden="1" customHeight="1" x14ac:dyDescent="0.25">
      <c r="A19" s="18" t="str">
        <f t="shared" si="0"/>
        <v xml:space="preserve">4. </v>
      </c>
      <c r="B19" s="188" t="s">
        <v>820</v>
      </c>
      <c r="C19" s="3"/>
      <c r="D19" s="3"/>
      <c r="E19" s="3"/>
      <c r="F19" s="189"/>
      <c r="G19" s="3"/>
      <c r="H19" s="3"/>
      <c r="I19" s="190"/>
      <c r="J19" s="191"/>
    </row>
    <row r="20" spans="1:10" hidden="1" x14ac:dyDescent="0.25">
      <c r="A20" s="18" t="str">
        <f t="shared" si="0"/>
        <v xml:space="preserve">5. </v>
      </c>
      <c r="B20" s="188" t="s">
        <v>822</v>
      </c>
      <c r="C20" s="3"/>
      <c r="D20" s="3"/>
      <c r="E20" s="3"/>
      <c r="F20" s="189"/>
      <c r="G20" s="3"/>
      <c r="H20" s="3"/>
      <c r="I20" s="190"/>
      <c r="J20" s="191"/>
    </row>
    <row r="21" spans="1:10" hidden="1" x14ac:dyDescent="0.25">
      <c r="A21" s="18" t="str">
        <f t="shared" si="0"/>
        <v xml:space="preserve">6. </v>
      </c>
      <c r="B21" s="188" t="s">
        <v>823</v>
      </c>
      <c r="C21" s="3"/>
      <c r="D21" s="3"/>
      <c r="E21" s="3"/>
      <c r="F21" s="189"/>
      <c r="G21" s="3"/>
      <c r="H21" s="3"/>
      <c r="I21" s="190"/>
      <c r="J21" s="191"/>
    </row>
    <row r="22" spans="1:10" hidden="1" x14ac:dyDescent="0.25">
      <c r="A22" s="18" t="str">
        <f t="shared" si="0"/>
        <v xml:space="preserve">7. </v>
      </c>
      <c r="B22" s="188" t="s">
        <v>824</v>
      </c>
      <c r="C22" s="3"/>
      <c r="D22" s="3"/>
      <c r="E22" s="3"/>
      <c r="F22" s="189"/>
      <c r="G22" s="3"/>
      <c r="H22" s="3"/>
      <c r="I22" s="190"/>
      <c r="J22" s="191"/>
    </row>
    <row r="23" spans="1:10" hidden="1" x14ac:dyDescent="0.25">
      <c r="A23" s="18" t="str">
        <f t="shared" si="0"/>
        <v xml:space="preserve">8. </v>
      </c>
      <c r="B23" s="188" t="s">
        <v>825</v>
      </c>
      <c r="C23" s="3"/>
      <c r="D23" s="3"/>
      <c r="E23" s="3"/>
      <c r="F23" s="189"/>
      <c r="G23" s="3"/>
      <c r="H23" s="3"/>
      <c r="I23" s="190"/>
      <c r="J23" s="191"/>
    </row>
    <row r="24" spans="1:10" hidden="1" x14ac:dyDescent="0.25">
      <c r="A24" s="18" t="str">
        <f t="shared" si="0"/>
        <v xml:space="preserve">9. </v>
      </c>
      <c r="B24" s="188" t="s">
        <v>826</v>
      </c>
      <c r="C24" s="3"/>
      <c r="D24" s="3"/>
      <c r="E24" s="3"/>
      <c r="F24" s="189"/>
      <c r="G24" s="3"/>
      <c r="H24" s="3"/>
      <c r="I24" s="190"/>
      <c r="J24" s="191"/>
    </row>
    <row r="25" spans="1:10" hidden="1" x14ac:dyDescent="0.25">
      <c r="A25" s="18" t="str">
        <f t="shared" si="0"/>
        <v xml:space="preserve">10. </v>
      </c>
      <c r="B25" s="188" t="s">
        <v>827</v>
      </c>
      <c r="C25" s="3"/>
      <c r="D25" s="3"/>
      <c r="E25" s="3"/>
      <c r="F25" s="189"/>
      <c r="G25" s="3"/>
      <c r="H25" s="3"/>
      <c r="I25" s="190"/>
      <c r="J25" s="191"/>
    </row>
    <row r="26" spans="1:10" hidden="1" x14ac:dyDescent="0.25">
      <c r="A26" s="18" t="str">
        <f t="shared" si="0"/>
        <v xml:space="preserve">11. </v>
      </c>
      <c r="B26" s="188" t="s">
        <v>828</v>
      </c>
      <c r="C26" s="3"/>
      <c r="D26" s="3"/>
      <c r="E26" s="3"/>
      <c r="F26" s="189"/>
      <c r="G26" s="3"/>
      <c r="H26" s="3"/>
      <c r="I26" s="190"/>
      <c r="J26" s="191"/>
    </row>
    <row r="27" spans="1:10" hidden="1" x14ac:dyDescent="0.25">
      <c r="A27" s="18" t="str">
        <f t="shared" si="0"/>
        <v xml:space="preserve">12. </v>
      </c>
      <c r="B27" s="188" t="s">
        <v>829</v>
      </c>
      <c r="C27" s="3"/>
      <c r="D27" s="3"/>
      <c r="E27" s="3"/>
      <c r="F27" s="189"/>
      <c r="G27" s="3"/>
      <c r="H27" s="3"/>
      <c r="I27" s="190"/>
      <c r="J27" s="191"/>
    </row>
    <row r="28" spans="1:10" hidden="1" x14ac:dyDescent="0.25">
      <c r="A28" s="18" t="str">
        <f t="shared" si="0"/>
        <v xml:space="preserve">13. </v>
      </c>
      <c r="B28" s="188" t="s">
        <v>830</v>
      </c>
      <c r="C28" s="3"/>
      <c r="D28" s="3"/>
      <c r="E28" s="3"/>
      <c r="F28" s="189"/>
      <c r="G28" s="3"/>
      <c r="H28" s="3"/>
      <c r="I28" s="190"/>
      <c r="J28" s="191"/>
    </row>
    <row r="29" spans="1:10" hidden="1" x14ac:dyDescent="0.25">
      <c r="A29" s="18" t="str">
        <f t="shared" si="0"/>
        <v xml:space="preserve">14. </v>
      </c>
      <c r="B29" s="188" t="s">
        <v>831</v>
      </c>
      <c r="C29" s="3"/>
      <c r="D29" s="3"/>
      <c r="E29" s="3"/>
      <c r="F29" s="189"/>
      <c r="G29" s="3"/>
      <c r="H29" s="3"/>
      <c r="I29" s="190"/>
      <c r="J29" s="191"/>
    </row>
    <row r="30" spans="1:10" hidden="1" x14ac:dyDescent="0.25">
      <c r="A30" s="18" t="str">
        <f t="shared" si="0"/>
        <v xml:space="preserve">15. </v>
      </c>
      <c r="B30" s="188" t="s">
        <v>832</v>
      </c>
      <c r="C30" s="3"/>
      <c r="D30" s="3"/>
      <c r="E30" s="3"/>
      <c r="F30" s="189"/>
      <c r="G30" s="3"/>
      <c r="H30" s="3"/>
      <c r="I30" s="190"/>
      <c r="J30" s="191"/>
    </row>
    <row r="31" spans="1:10" hidden="1" x14ac:dyDescent="0.25">
      <c r="A31" s="18" t="str">
        <f t="shared" si="0"/>
        <v xml:space="preserve">16. </v>
      </c>
      <c r="B31" s="188" t="s">
        <v>833</v>
      </c>
      <c r="C31" s="3"/>
      <c r="D31" s="3"/>
      <c r="E31" s="3"/>
      <c r="F31" s="189"/>
      <c r="G31" s="3"/>
      <c r="H31" s="3"/>
      <c r="I31" s="190"/>
      <c r="J31" s="191"/>
    </row>
    <row r="32" spans="1:10" hidden="1" x14ac:dyDescent="0.25">
      <c r="A32" s="18" t="str">
        <f t="shared" si="0"/>
        <v xml:space="preserve">17. </v>
      </c>
      <c r="B32" s="188" t="s">
        <v>834</v>
      </c>
      <c r="C32" s="3"/>
      <c r="D32" s="3"/>
      <c r="E32" s="3"/>
      <c r="F32" s="189"/>
      <c r="G32" s="3"/>
      <c r="H32" s="3"/>
      <c r="I32" s="190"/>
      <c r="J32" s="191"/>
    </row>
    <row r="33" spans="1:10" hidden="1" x14ac:dyDescent="0.25">
      <c r="A33" s="18" t="str">
        <f t="shared" si="0"/>
        <v xml:space="preserve">18. </v>
      </c>
      <c r="B33" s="188" t="s">
        <v>835</v>
      </c>
      <c r="C33" s="3"/>
      <c r="D33" s="3"/>
      <c r="E33" s="3"/>
      <c r="F33" s="189"/>
      <c r="G33" s="3"/>
      <c r="H33" s="3"/>
      <c r="I33" s="190"/>
      <c r="J33" s="191"/>
    </row>
    <row r="34" spans="1:10" hidden="1" x14ac:dyDescent="0.25">
      <c r="A34" s="18" t="str">
        <f t="shared" si="0"/>
        <v xml:space="preserve">19. </v>
      </c>
      <c r="B34" s="188" t="s">
        <v>836</v>
      </c>
      <c r="C34" s="3"/>
      <c r="D34" s="3"/>
      <c r="E34" s="3"/>
      <c r="F34" s="189"/>
      <c r="G34" s="3"/>
      <c r="H34" s="3"/>
      <c r="I34" s="190"/>
      <c r="J34" s="191"/>
    </row>
    <row r="35" spans="1:10" hidden="1" x14ac:dyDescent="0.25">
      <c r="A35" s="18" t="str">
        <f t="shared" si="0"/>
        <v xml:space="preserve">20. </v>
      </c>
      <c r="B35" s="188" t="s">
        <v>837</v>
      </c>
      <c r="C35" s="3"/>
      <c r="D35" s="3"/>
      <c r="E35" s="3"/>
      <c r="F35" s="189"/>
      <c r="G35" s="3"/>
      <c r="H35" s="3"/>
      <c r="I35" s="190"/>
      <c r="J35" s="191"/>
    </row>
    <row r="36" spans="1:10" x14ac:dyDescent="0.25">
      <c r="B36" s="186"/>
    </row>
    <row r="37" spans="1:10" x14ac:dyDescent="0.25">
      <c r="B37" s="186"/>
    </row>
  </sheetData>
  <dataConsolidate/>
  <mergeCells count="7">
    <mergeCell ref="B13:D13"/>
    <mergeCell ref="G2:K2"/>
    <mergeCell ref="B4:C4"/>
    <mergeCell ref="B7:C7"/>
    <mergeCell ref="B9:D9"/>
    <mergeCell ref="B11:D11"/>
    <mergeCell ref="G12:H12"/>
  </mergeCells>
  <conditionalFormatting sqref="I16:J35">
    <cfRule type="expression" dxfId="52" priority="1">
      <formula>IF(LEFT($G16,4)="Flow",1,0)</formula>
    </cfRule>
  </conditionalFormatting>
  <dataValidations count="1">
    <dataValidation type="list" allowBlank="1" showInputMessage="1" showErrorMessage="1" sqref="G9" xr:uid="{7BCD78BE-9EBD-465A-BEFC-DE5E2CA95E27}">
      <formula1>"Calendar year, Financial year"</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57" r:id="rId4" name="Button 33">
              <controlPr defaultSize="0" print="0" autoFill="0" autoPict="0" macro="[0]!Reload_All">
                <anchor moveWithCells="1" sizeWithCells="1">
                  <from>
                    <xdr:col>8</xdr:col>
                    <xdr:colOff>30480</xdr:colOff>
                    <xdr:row>11</xdr:row>
                    <xdr:rowOff>114300</xdr:rowOff>
                  </from>
                  <to>
                    <xdr:col>8</xdr:col>
                    <xdr:colOff>868680</xdr:colOff>
                    <xdr:row>13</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200-000001000000}">
          <x14:formula1>
            <xm:f>'Control Sheet'!$C$2:$C$9</xm:f>
          </x14:formula1>
          <xm:sqref>G16:G35</xm:sqref>
        </x14:dataValidation>
        <x14:dataValidation type="list" allowBlank="1" showInputMessage="1" showErrorMessage="1" xr:uid="{00000000-0002-0000-0200-000002000000}">
          <x14:formula1>
            <xm:f>OFFSET('Control Sheet'!$H$2,IF($E$11="Yes",5,0),0,IF($E$11="Yes",5,3),1)</xm:f>
          </x14:formula1>
          <xm:sqref>H16:H35</xm:sqref>
        </x14:dataValidation>
        <x14:dataValidation type="list" allowBlank="1" showInputMessage="1" showErrorMessage="1" xr:uid="{00000000-0002-0000-0200-000003000000}">
          <x14:formula1>
            <xm:f>IF(OR(IFERROR(FIND("Flow",$G16),0)&gt;0, IFERROR(FIND("Core",$G16),0)&gt;0),OFFSET('Control Sheet'!$H$2,IF($E$11="Yes",5,0),0,IF($E$11="Yes",5,3),1),$B$3)</xm:f>
          </x14:formula1>
          <xm:sqref>I16:J35</xm:sqref>
        </x14:dataValidation>
        <x14:dataValidation type="list" allowBlank="1" showInputMessage="1" showErrorMessage="1" xr:uid="{00000000-0002-0000-0200-000004000000}">
          <x14:formula1>
            <xm:f>'Control Sheet'!$A$2:$A$21</xm:f>
          </x14:formula1>
          <xm:sqref>E9</xm:sqref>
        </x14:dataValidation>
        <x14:dataValidation type="list" allowBlank="1" showInputMessage="1" xr:uid="{00000000-0002-0000-0200-000005000000}">
          <x14:formula1>
            <xm:f>'Org and TFC lookup'!$H$4:$H$240</xm:f>
          </x14:formula1>
          <xm:sqref>D4</xm:sqref>
        </x14:dataValidation>
        <x14:dataValidation type="list" allowBlank="1" showInputMessage="1" xr:uid="{00000000-0002-0000-0200-000006000000}">
          <x14:formula1>
            <xm:f>'Org and TFC lookup'!$B$4:$B$156</xm:f>
          </x14:formula1>
          <xm:sqref>D7</xm:sqref>
        </x14:dataValidation>
        <x14:dataValidation type="list" allowBlank="1" showInputMessage="1" showErrorMessage="1" xr:uid="{00000000-0002-0000-0200-000007000000}">
          <x14:formula1>
            <xm:f>'Control Sheet'!$B$11:$B$12</xm:f>
          </x14:formula1>
          <xm:sqref>E11 E13</xm:sqref>
        </x14:dataValidation>
        <x14:dataValidation type="list" allowBlank="1" showInputMessage="1" showErrorMessage="1" xr:uid="{406EB008-8BB5-4590-B9FF-9371BC7A61B6}">
          <x14:formula1>
            <xm:f>'Reference dates (hide)'!$A$8:$A$32</xm:f>
          </x14:formula1>
          <xm:sqref>H9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BP71"/>
  <sheetViews>
    <sheetView topLeftCell="A40" workbookViewId="0">
      <selection activeCell="N45" sqref="N45"/>
    </sheetView>
  </sheetViews>
  <sheetFormatPr defaultRowHeight="13.8" x14ac:dyDescent="0.25"/>
  <cols>
    <col min="2" max="3" width="13.69921875" customWidth="1"/>
    <col min="4" max="4" width="13" customWidth="1"/>
    <col min="8" max="8" width="15.5" customWidth="1"/>
    <col min="14" max="14" width="9.8984375" bestFit="1" customWidth="1"/>
  </cols>
  <sheetData>
    <row r="1" spans="1:15" x14ac:dyDescent="0.25">
      <c r="A1" s="133" t="s">
        <v>1227</v>
      </c>
      <c r="B1" t="s">
        <v>1026</v>
      </c>
      <c r="C1" t="s">
        <v>24</v>
      </c>
      <c r="D1" t="s">
        <v>843</v>
      </c>
      <c r="E1" t="s">
        <v>844</v>
      </c>
      <c r="H1" t="s">
        <v>838</v>
      </c>
      <c r="N1" t="s">
        <v>1145</v>
      </c>
    </row>
    <row r="2" spans="1:15" x14ac:dyDescent="0.25">
      <c r="A2">
        <v>1</v>
      </c>
      <c r="C2" s="4" t="s">
        <v>19</v>
      </c>
      <c r="D2">
        <v>5</v>
      </c>
      <c r="E2">
        <v>3</v>
      </c>
      <c r="H2" t="s">
        <v>815</v>
      </c>
      <c r="K2" t="s">
        <v>815</v>
      </c>
      <c r="L2">
        <v>1</v>
      </c>
    </row>
    <row r="3" spans="1:15" x14ac:dyDescent="0.25">
      <c r="A3">
        <v>2</v>
      </c>
      <c r="C3" s="4" t="s">
        <v>20</v>
      </c>
      <c r="D3">
        <v>5</v>
      </c>
      <c r="E3">
        <v>3</v>
      </c>
      <c r="H3" t="s">
        <v>818</v>
      </c>
      <c r="K3" t="s">
        <v>818</v>
      </c>
      <c r="L3">
        <v>3</v>
      </c>
      <c r="N3" t="s">
        <v>1020</v>
      </c>
      <c r="O3" t="s">
        <v>1021</v>
      </c>
    </row>
    <row r="4" spans="1:15" x14ac:dyDescent="0.25">
      <c r="A4">
        <v>3</v>
      </c>
      <c r="C4" s="4" t="s">
        <v>21</v>
      </c>
      <c r="D4">
        <v>5</v>
      </c>
      <c r="E4">
        <v>3</v>
      </c>
      <c r="H4" t="s">
        <v>839</v>
      </c>
      <c r="K4" t="s">
        <v>821</v>
      </c>
      <c r="L4">
        <v>5</v>
      </c>
      <c r="N4">
        <v>1</v>
      </c>
      <c r="O4" t="s">
        <v>1017</v>
      </c>
    </row>
    <row r="5" spans="1:15" x14ac:dyDescent="0.25">
      <c r="A5">
        <v>4</v>
      </c>
      <c r="C5" s="4" t="s">
        <v>22</v>
      </c>
      <c r="D5">
        <v>5</v>
      </c>
      <c r="E5">
        <v>3</v>
      </c>
      <c r="K5" t="s">
        <v>966</v>
      </c>
      <c r="L5">
        <v>6</v>
      </c>
      <c r="N5">
        <v>2</v>
      </c>
      <c r="O5" t="s">
        <v>1018</v>
      </c>
    </row>
    <row r="6" spans="1:15" x14ac:dyDescent="0.25">
      <c r="A6">
        <v>5</v>
      </c>
      <c r="C6" s="4" t="s">
        <v>23</v>
      </c>
      <c r="D6">
        <v>5</v>
      </c>
      <c r="E6">
        <v>3</v>
      </c>
      <c r="H6" t="s">
        <v>840</v>
      </c>
      <c r="K6" t="s">
        <v>967</v>
      </c>
      <c r="L6">
        <v>7</v>
      </c>
      <c r="N6">
        <v>3</v>
      </c>
      <c r="O6" t="s">
        <v>1019</v>
      </c>
    </row>
    <row r="7" spans="1:15" x14ac:dyDescent="0.25">
      <c r="A7">
        <v>6</v>
      </c>
      <c r="C7" s="4" t="s">
        <v>845</v>
      </c>
      <c r="D7">
        <v>0</v>
      </c>
      <c r="E7">
        <v>0</v>
      </c>
      <c r="H7" t="s">
        <v>815</v>
      </c>
      <c r="I7">
        <v>1</v>
      </c>
      <c r="K7" t="s">
        <v>968</v>
      </c>
      <c r="L7">
        <v>8</v>
      </c>
    </row>
    <row r="8" spans="1:15" x14ac:dyDescent="0.25">
      <c r="A8">
        <v>7</v>
      </c>
      <c r="C8" s="4" t="s">
        <v>25</v>
      </c>
      <c r="D8">
        <v>5</v>
      </c>
      <c r="E8">
        <v>3</v>
      </c>
      <c r="H8" t="s">
        <v>841</v>
      </c>
      <c r="I8">
        <v>2</v>
      </c>
      <c r="K8" t="s">
        <v>969</v>
      </c>
      <c r="L8">
        <v>9</v>
      </c>
    </row>
    <row r="9" spans="1:15" x14ac:dyDescent="0.25">
      <c r="A9">
        <v>8</v>
      </c>
      <c r="C9" s="4" t="s">
        <v>1043</v>
      </c>
      <c r="D9">
        <v>5</v>
      </c>
      <c r="E9">
        <v>3</v>
      </c>
      <c r="H9" t="s">
        <v>818</v>
      </c>
      <c r="I9">
        <v>3</v>
      </c>
    </row>
    <row r="10" spans="1:15" x14ac:dyDescent="0.25">
      <c r="A10">
        <v>9</v>
      </c>
      <c r="H10" t="s">
        <v>842</v>
      </c>
      <c r="I10">
        <v>4</v>
      </c>
    </row>
    <row r="11" spans="1:15" x14ac:dyDescent="0.25">
      <c r="A11">
        <v>10</v>
      </c>
      <c r="B11" t="s">
        <v>16</v>
      </c>
      <c r="C11">
        <v>1</v>
      </c>
      <c r="H11" t="s">
        <v>839</v>
      </c>
      <c r="I11">
        <v>5</v>
      </c>
    </row>
    <row r="12" spans="1:15" x14ac:dyDescent="0.25">
      <c r="A12">
        <v>11</v>
      </c>
      <c r="B12" t="s">
        <v>18</v>
      </c>
      <c r="C12">
        <v>2</v>
      </c>
      <c r="L12" t="s">
        <v>862</v>
      </c>
    </row>
    <row r="13" spans="1:15" x14ac:dyDescent="0.25">
      <c r="A13">
        <v>12</v>
      </c>
      <c r="L13" t="s">
        <v>1290</v>
      </c>
    </row>
    <row r="14" spans="1:15" x14ac:dyDescent="0.25">
      <c r="A14">
        <v>13</v>
      </c>
      <c r="H14" t="s">
        <v>1386</v>
      </c>
      <c r="L14" t="s">
        <v>855</v>
      </c>
    </row>
    <row r="15" spans="1:15" x14ac:dyDescent="0.25">
      <c r="A15">
        <v>14</v>
      </c>
      <c r="B15" t="s">
        <v>1012</v>
      </c>
      <c r="L15" t="s">
        <v>1296</v>
      </c>
    </row>
    <row r="16" spans="1:15" x14ac:dyDescent="0.25">
      <c r="A16">
        <v>15</v>
      </c>
      <c r="B16" t="s">
        <v>1013</v>
      </c>
      <c r="H16" t="s">
        <v>1144</v>
      </c>
      <c r="I16" t="s">
        <v>1370</v>
      </c>
    </row>
    <row r="17" spans="1:40" x14ac:dyDescent="0.25">
      <c r="A17">
        <v>16</v>
      </c>
      <c r="H17" t="s">
        <v>1159</v>
      </c>
      <c r="I17" t="s">
        <v>1329</v>
      </c>
    </row>
    <row r="18" spans="1:40" x14ac:dyDescent="0.25">
      <c r="A18">
        <v>17</v>
      </c>
    </row>
    <row r="19" spans="1:40" x14ac:dyDescent="0.25">
      <c r="A19">
        <v>18</v>
      </c>
      <c r="H19" t="s">
        <v>1144</v>
      </c>
      <c r="I19" t="s">
        <v>1370</v>
      </c>
      <c r="J19" t="s">
        <v>1381</v>
      </c>
    </row>
    <row r="20" spans="1:40" x14ac:dyDescent="0.25">
      <c r="A20">
        <v>19</v>
      </c>
      <c r="B20" t="s">
        <v>1027</v>
      </c>
      <c r="C20">
        <v>1</v>
      </c>
      <c r="H20" t="s">
        <v>1187</v>
      </c>
      <c r="I20" t="s">
        <v>1371</v>
      </c>
      <c r="J20" t="s">
        <v>1379</v>
      </c>
    </row>
    <row r="21" spans="1:40" x14ac:dyDescent="0.25">
      <c r="A21">
        <v>20</v>
      </c>
      <c r="B21" t="s">
        <v>1028</v>
      </c>
      <c r="C21">
        <v>2</v>
      </c>
      <c r="H21" t="s">
        <v>1159</v>
      </c>
      <c r="I21" t="s">
        <v>1329</v>
      </c>
      <c r="J21" t="s">
        <v>1380</v>
      </c>
    </row>
    <row r="22" spans="1:40" x14ac:dyDescent="0.25">
      <c r="B22" t="s">
        <v>1033</v>
      </c>
      <c r="C22">
        <v>1</v>
      </c>
    </row>
    <row r="23" spans="1:40" x14ac:dyDescent="0.25">
      <c r="B23" t="s">
        <v>1034</v>
      </c>
      <c r="C23">
        <v>2</v>
      </c>
    </row>
    <row r="24" spans="1:40" x14ac:dyDescent="0.25">
      <c r="H24" t="s">
        <v>1385</v>
      </c>
    </row>
    <row r="25" spans="1:40" x14ac:dyDescent="0.25">
      <c r="H25" t="s">
        <v>1387</v>
      </c>
    </row>
    <row r="26" spans="1:40" x14ac:dyDescent="0.25">
      <c r="B26" t="s">
        <v>986</v>
      </c>
      <c r="H26" t="s">
        <v>1388</v>
      </c>
    </row>
    <row r="27" spans="1:40" x14ac:dyDescent="0.25">
      <c r="B27" t="s">
        <v>1105</v>
      </c>
      <c r="H27" t="s">
        <v>1389</v>
      </c>
    </row>
    <row r="30" spans="1:40" x14ac:dyDescent="0.25">
      <c r="A30" t="s">
        <v>846</v>
      </c>
    </row>
    <row r="32" spans="1:40" x14ac:dyDescent="0.25">
      <c r="E32" t="s">
        <v>847</v>
      </c>
      <c r="V32" t="s">
        <v>848</v>
      </c>
      <c r="AN32" t="s">
        <v>849</v>
      </c>
    </row>
    <row r="33" spans="1:68" x14ac:dyDescent="0.25">
      <c r="A33" t="s">
        <v>850</v>
      </c>
      <c r="B33" t="s">
        <v>10</v>
      </c>
      <c r="C33" t="s">
        <v>851</v>
      </c>
      <c r="E33" t="s">
        <v>852</v>
      </c>
      <c r="F33" t="s">
        <v>853</v>
      </c>
      <c r="G33" t="s">
        <v>854</v>
      </c>
      <c r="H33" t="s">
        <v>855</v>
      </c>
      <c r="I33" t="s">
        <v>856</v>
      </c>
      <c r="J33" t="s">
        <v>857</v>
      </c>
      <c r="K33" t="s">
        <v>858</v>
      </c>
      <c r="L33" t="s">
        <v>859</v>
      </c>
      <c r="M33" t="s">
        <v>860</v>
      </c>
      <c r="N33" t="s">
        <v>1277</v>
      </c>
      <c r="O33" t="s">
        <v>1274</v>
      </c>
      <c r="P33" t="s">
        <v>861</v>
      </c>
      <c r="Q33" t="s">
        <v>7</v>
      </c>
      <c r="R33" t="s">
        <v>862</v>
      </c>
      <c r="S33" t="s">
        <v>863</v>
      </c>
      <c r="T33" t="s">
        <v>864</v>
      </c>
      <c r="U33" t="s">
        <v>865</v>
      </c>
      <c r="V33" t="s">
        <v>852</v>
      </c>
      <c r="W33" t="s">
        <v>853</v>
      </c>
      <c r="X33" t="s">
        <v>854</v>
      </c>
      <c r="Y33" t="s">
        <v>855</v>
      </c>
      <c r="Z33" t="s">
        <v>856</v>
      </c>
      <c r="AA33" t="s">
        <v>857</v>
      </c>
      <c r="AB33" t="s">
        <v>858</v>
      </c>
      <c r="AC33" t="s">
        <v>859</v>
      </c>
      <c r="AD33" t="s">
        <v>860</v>
      </c>
      <c r="AE33" t="s">
        <v>1277</v>
      </c>
      <c r="AF33" t="s">
        <v>1274</v>
      </c>
      <c r="AG33" t="s">
        <v>861</v>
      </c>
      <c r="AH33" t="s">
        <v>7</v>
      </c>
      <c r="AI33" t="s">
        <v>862</v>
      </c>
      <c r="AJ33" t="s">
        <v>863</v>
      </c>
      <c r="AK33" t="s">
        <v>864</v>
      </c>
      <c r="AL33" t="s">
        <v>865</v>
      </c>
      <c r="AM33" t="s">
        <v>1401</v>
      </c>
      <c r="AN33" t="s">
        <v>852</v>
      </c>
      <c r="AO33" t="s">
        <v>853</v>
      </c>
      <c r="AP33" t="s">
        <v>854</v>
      </c>
      <c r="AQ33" t="s">
        <v>855</v>
      </c>
      <c r="AR33" t="s">
        <v>856</v>
      </c>
      <c r="AS33" t="s">
        <v>857</v>
      </c>
      <c r="AT33" t="s">
        <v>858</v>
      </c>
      <c r="AU33" t="s">
        <v>859</v>
      </c>
      <c r="AV33" t="s">
        <v>860</v>
      </c>
      <c r="AW33" t="s">
        <v>1277</v>
      </c>
      <c r="AX33" t="s">
        <v>1274</v>
      </c>
      <c r="AY33" t="s">
        <v>861</v>
      </c>
      <c r="AZ33" t="s">
        <v>7</v>
      </c>
      <c r="BA33" t="s">
        <v>862</v>
      </c>
      <c r="BB33" t="s">
        <v>863</v>
      </c>
      <c r="BC33" t="s">
        <v>864</v>
      </c>
      <c r="BD33" t="s">
        <v>865</v>
      </c>
      <c r="BE33" t="s">
        <v>1402</v>
      </c>
    </row>
    <row r="34" spans="1:68" ht="55.2" x14ac:dyDescent="0.25">
      <c r="A34" t="s">
        <v>866</v>
      </c>
      <c r="B34" t="str">
        <f t="shared" ref="B34:B39" si="0">C34&amp;" v"&amp;A34</f>
        <v>2WW v2.02di</v>
      </c>
      <c r="C34" s="2" t="s">
        <v>867</v>
      </c>
      <c r="E34" s="2" t="s">
        <v>868</v>
      </c>
      <c r="F34" t="s">
        <v>869</v>
      </c>
      <c r="G34" t="s">
        <v>870</v>
      </c>
      <c r="H34" t="s">
        <v>871</v>
      </c>
      <c r="I34" s="2" t="s">
        <v>872</v>
      </c>
      <c r="J34">
        <v>0</v>
      </c>
      <c r="K34">
        <v>0</v>
      </c>
      <c r="L34" s="2" t="s">
        <v>873</v>
      </c>
      <c r="M34" s="2" t="s">
        <v>874</v>
      </c>
      <c r="N34" s="2"/>
      <c r="O34" s="133" t="s">
        <v>1267</v>
      </c>
      <c r="P34" s="2" t="s">
        <v>875</v>
      </c>
      <c r="Q34" s="5" t="s">
        <v>876</v>
      </c>
      <c r="R34" s="2">
        <v>0</v>
      </c>
      <c r="S34" s="2">
        <v>1</v>
      </c>
      <c r="T34" s="2">
        <v>0</v>
      </c>
      <c r="U34" s="2">
        <v>1</v>
      </c>
      <c r="V34" s="2">
        <v>0</v>
      </c>
      <c r="W34" s="2">
        <v>0</v>
      </c>
      <c r="X34" s="2">
        <v>0</v>
      </c>
      <c r="Y34" s="2">
        <v>0</v>
      </c>
      <c r="Z34" s="2">
        <v>0</v>
      </c>
      <c r="AA34" s="2">
        <v>0</v>
      </c>
      <c r="AB34" s="2">
        <v>0</v>
      </c>
      <c r="AC34" s="2">
        <v>0</v>
      </c>
      <c r="AD34" s="2">
        <v>0</v>
      </c>
      <c r="AG34" s="2">
        <v>0</v>
      </c>
      <c r="AH34" s="2">
        <v>0</v>
      </c>
      <c r="AI34" s="2">
        <v>0</v>
      </c>
      <c r="AJ34" s="2">
        <v>0</v>
      </c>
      <c r="AK34" s="2">
        <v>0</v>
      </c>
      <c r="AL34" s="2">
        <v>0</v>
      </c>
      <c r="AN34" s="2">
        <v>0</v>
      </c>
      <c r="AO34" s="2">
        <v>0</v>
      </c>
      <c r="AP34" s="2">
        <v>0</v>
      </c>
      <c r="AQ34" s="2">
        <v>0</v>
      </c>
      <c r="AR34" s="2">
        <v>0</v>
      </c>
      <c r="AS34" s="2">
        <v>0</v>
      </c>
      <c r="AT34" s="2">
        <v>0</v>
      </c>
      <c r="AU34" s="2">
        <v>0</v>
      </c>
      <c r="AV34" s="2">
        <v>0</v>
      </c>
      <c r="AY34" s="2">
        <v>0</v>
      </c>
      <c r="AZ34" s="2">
        <v>0</v>
      </c>
      <c r="BA34" s="2">
        <v>0</v>
      </c>
      <c r="BB34">
        <v>0</v>
      </c>
      <c r="BC34">
        <v>0</v>
      </c>
      <c r="BD34">
        <v>0</v>
      </c>
    </row>
    <row r="35" spans="1:68" ht="55.2" x14ac:dyDescent="0.25">
      <c r="A35" t="s">
        <v>877</v>
      </c>
      <c r="B35" t="str">
        <f t="shared" si="0"/>
        <v>Diagnostic v2.02dii</v>
      </c>
      <c r="C35" s="2" t="s">
        <v>878</v>
      </c>
      <c r="E35" s="2" t="s">
        <v>879</v>
      </c>
      <c r="F35" t="s">
        <v>880</v>
      </c>
      <c r="G35" t="s">
        <v>881</v>
      </c>
      <c r="H35" t="s">
        <v>873</v>
      </c>
      <c r="I35" t="s">
        <v>872</v>
      </c>
      <c r="J35">
        <v>0</v>
      </c>
      <c r="K35">
        <v>0</v>
      </c>
      <c r="L35" s="2" t="s">
        <v>882</v>
      </c>
      <c r="M35" s="2" t="s">
        <v>883</v>
      </c>
      <c r="N35" s="133" t="s">
        <v>1269</v>
      </c>
      <c r="O35" s="133" t="s">
        <v>1268</v>
      </c>
      <c r="P35" s="2" t="s">
        <v>884</v>
      </c>
      <c r="Q35" s="5" t="s">
        <v>885</v>
      </c>
      <c r="R35" s="2" t="s">
        <v>886</v>
      </c>
      <c r="S35" s="2" t="s">
        <v>887</v>
      </c>
      <c r="T35" s="2" t="s">
        <v>888</v>
      </c>
      <c r="U35" s="2" t="s">
        <v>1282</v>
      </c>
      <c r="V35" s="2">
        <v>0</v>
      </c>
      <c r="W35">
        <v>0</v>
      </c>
      <c r="X35">
        <v>0</v>
      </c>
      <c r="Y35" s="2">
        <v>0</v>
      </c>
      <c r="Z35" s="2">
        <v>0</v>
      </c>
      <c r="AA35" s="2">
        <v>0</v>
      </c>
      <c r="AB35" s="2">
        <v>0</v>
      </c>
      <c r="AC35" s="2">
        <v>0</v>
      </c>
      <c r="AD35" s="2">
        <v>0</v>
      </c>
      <c r="AG35" s="2">
        <v>0</v>
      </c>
      <c r="AH35" s="2">
        <v>0</v>
      </c>
      <c r="AI35" s="2">
        <v>0</v>
      </c>
      <c r="AJ35" s="2">
        <v>0</v>
      </c>
      <c r="AK35" s="2">
        <v>0</v>
      </c>
      <c r="AL35" s="2">
        <v>0</v>
      </c>
      <c r="AN35" s="2">
        <v>0</v>
      </c>
      <c r="AO35" s="2">
        <v>0</v>
      </c>
      <c r="AP35" s="2">
        <v>0</v>
      </c>
      <c r="AQ35" s="2">
        <v>0</v>
      </c>
      <c r="AR35" s="2">
        <v>0</v>
      </c>
      <c r="AS35" s="2">
        <v>0</v>
      </c>
      <c r="AT35" s="2">
        <v>0</v>
      </c>
      <c r="AU35" s="2">
        <v>0</v>
      </c>
      <c r="AV35" s="2">
        <v>0</v>
      </c>
      <c r="AY35" s="2">
        <v>0</v>
      </c>
      <c r="AZ35" s="2">
        <v>0</v>
      </c>
      <c r="BA35" s="2">
        <v>0</v>
      </c>
      <c r="BB35">
        <v>0</v>
      </c>
      <c r="BC35">
        <v>0</v>
      </c>
      <c r="BD35">
        <v>0</v>
      </c>
    </row>
    <row r="36" spans="1:68" ht="55.2" x14ac:dyDescent="0.25">
      <c r="A36" t="s">
        <v>889</v>
      </c>
      <c r="B36" t="str">
        <f t="shared" si="0"/>
        <v>Endoscopy v2.02hi</v>
      </c>
      <c r="C36" s="2" t="s">
        <v>817</v>
      </c>
      <c r="E36" s="2" t="s">
        <v>879</v>
      </c>
      <c r="F36" t="s">
        <v>880</v>
      </c>
      <c r="G36" t="s">
        <v>881</v>
      </c>
      <c r="H36" t="s">
        <v>873</v>
      </c>
      <c r="I36" t="s">
        <v>872</v>
      </c>
      <c r="J36">
        <v>0</v>
      </c>
      <c r="K36">
        <v>0</v>
      </c>
      <c r="L36" s="2" t="s">
        <v>882</v>
      </c>
      <c r="M36" s="2" t="s">
        <v>883</v>
      </c>
      <c r="N36" s="133" t="s">
        <v>1269</v>
      </c>
      <c r="O36" s="133" t="s">
        <v>1268</v>
      </c>
      <c r="P36" s="2" t="s">
        <v>884</v>
      </c>
      <c r="Q36" s="5" t="s">
        <v>890</v>
      </c>
      <c r="R36" s="2" t="s">
        <v>886</v>
      </c>
      <c r="S36" s="2" t="s">
        <v>887</v>
      </c>
      <c r="T36" s="2" t="s">
        <v>888</v>
      </c>
      <c r="U36" s="2" t="s">
        <v>1282</v>
      </c>
      <c r="V36" s="2">
        <v>0</v>
      </c>
      <c r="W36">
        <v>0</v>
      </c>
      <c r="X36">
        <v>0</v>
      </c>
      <c r="Y36" s="2">
        <v>0</v>
      </c>
      <c r="Z36" s="2">
        <v>0</v>
      </c>
      <c r="AA36" s="2">
        <v>0</v>
      </c>
      <c r="AB36" s="2">
        <v>0</v>
      </c>
      <c r="AC36" s="2">
        <v>0</v>
      </c>
      <c r="AD36" s="2">
        <v>0</v>
      </c>
      <c r="AG36" s="2">
        <v>0</v>
      </c>
      <c r="AH36" s="2">
        <v>0</v>
      </c>
      <c r="AI36" s="2">
        <v>0</v>
      </c>
      <c r="AJ36" s="2">
        <v>0</v>
      </c>
      <c r="AK36" s="2">
        <v>0</v>
      </c>
      <c r="AL36" s="2">
        <v>0</v>
      </c>
      <c r="AN36" s="2">
        <v>0</v>
      </c>
      <c r="AO36" s="2">
        <v>0</v>
      </c>
      <c r="AP36" s="2">
        <v>0</v>
      </c>
      <c r="AQ36" s="2">
        <v>0</v>
      </c>
      <c r="AR36" s="2">
        <v>0</v>
      </c>
      <c r="AS36" s="2">
        <v>0</v>
      </c>
      <c r="AT36" s="2">
        <v>0</v>
      </c>
      <c r="AU36" s="2">
        <v>0</v>
      </c>
      <c r="AV36" s="2">
        <v>0</v>
      </c>
      <c r="AY36" s="2">
        <v>0</v>
      </c>
      <c r="AZ36" s="2">
        <v>0</v>
      </c>
      <c r="BA36" s="2">
        <v>0</v>
      </c>
      <c r="BB36">
        <v>0</v>
      </c>
      <c r="BC36">
        <v>0</v>
      </c>
      <c r="BD36">
        <v>0</v>
      </c>
    </row>
    <row r="37" spans="1:68" ht="55.2" x14ac:dyDescent="0.25">
      <c r="A37" t="s">
        <v>891</v>
      </c>
      <c r="B37" t="str">
        <f t="shared" si="0"/>
        <v>Inpatient v2.02biii</v>
      </c>
      <c r="C37" s="2" t="s">
        <v>821</v>
      </c>
      <c r="E37" s="2" t="s">
        <v>892</v>
      </c>
      <c r="F37" t="s">
        <v>893</v>
      </c>
      <c r="G37" t="s">
        <v>879</v>
      </c>
      <c r="H37">
        <v>0</v>
      </c>
      <c r="I37">
        <v>0</v>
      </c>
      <c r="J37">
        <v>0</v>
      </c>
      <c r="K37">
        <v>0</v>
      </c>
      <c r="L37" s="2">
        <v>0</v>
      </c>
      <c r="M37" s="2" t="s">
        <v>894</v>
      </c>
      <c r="O37" s="133" t="s">
        <v>1270</v>
      </c>
      <c r="P37" s="2" t="s">
        <v>895</v>
      </c>
      <c r="Q37" s="2" t="s">
        <v>876</v>
      </c>
      <c r="R37" s="2" t="s">
        <v>886</v>
      </c>
      <c r="S37" s="2" t="s">
        <v>887</v>
      </c>
      <c r="T37" s="2">
        <v>0</v>
      </c>
      <c r="U37" s="2">
        <v>1</v>
      </c>
      <c r="V37" s="2">
        <v>0</v>
      </c>
      <c r="W37" s="2">
        <v>0</v>
      </c>
      <c r="X37" s="2">
        <v>0</v>
      </c>
      <c r="Y37" s="2">
        <v>0</v>
      </c>
      <c r="Z37" s="2">
        <v>0</v>
      </c>
      <c r="AA37" s="2">
        <v>0</v>
      </c>
      <c r="AB37" s="2">
        <v>0</v>
      </c>
      <c r="AC37" s="2">
        <v>0</v>
      </c>
      <c r="AD37" s="2">
        <v>0</v>
      </c>
      <c r="AG37" s="2">
        <v>0</v>
      </c>
      <c r="AH37" s="2">
        <v>0</v>
      </c>
      <c r="AI37" s="2">
        <v>0</v>
      </c>
      <c r="AJ37" s="2">
        <v>0</v>
      </c>
      <c r="AK37" s="2">
        <v>0</v>
      </c>
      <c r="AL37" s="2">
        <v>0</v>
      </c>
      <c r="AN37" s="2">
        <v>0</v>
      </c>
      <c r="AO37" s="2">
        <v>0</v>
      </c>
      <c r="AP37" s="2">
        <v>0</v>
      </c>
      <c r="AQ37" s="2">
        <v>0</v>
      </c>
      <c r="AR37" s="2">
        <v>0</v>
      </c>
      <c r="AS37" s="2">
        <v>0</v>
      </c>
      <c r="AT37" s="2">
        <v>0</v>
      </c>
      <c r="AU37" s="2">
        <v>0</v>
      </c>
      <c r="AV37" s="2">
        <v>0</v>
      </c>
      <c r="AY37" s="2">
        <v>0</v>
      </c>
      <c r="AZ37" s="2">
        <v>0</v>
      </c>
      <c r="BA37" s="2">
        <v>0</v>
      </c>
      <c r="BB37">
        <v>0</v>
      </c>
      <c r="BC37">
        <v>0</v>
      </c>
      <c r="BD37">
        <v>0</v>
      </c>
    </row>
    <row r="38" spans="1:68" ht="55.2" x14ac:dyDescent="0.25">
      <c r="A38" t="s">
        <v>896</v>
      </c>
      <c r="B38" t="str">
        <f t="shared" si="0"/>
        <v>Outpatient v2.02fii</v>
      </c>
      <c r="C38" s="2" t="s">
        <v>897</v>
      </c>
      <c r="E38" s="2" t="s">
        <v>868</v>
      </c>
      <c r="F38" t="s">
        <v>880</v>
      </c>
      <c r="G38" t="s">
        <v>881</v>
      </c>
      <c r="H38" t="s">
        <v>873</v>
      </c>
      <c r="I38" s="2" t="s">
        <v>872</v>
      </c>
      <c r="J38">
        <v>0</v>
      </c>
      <c r="K38">
        <v>0</v>
      </c>
      <c r="L38" s="2" t="s">
        <v>898</v>
      </c>
      <c r="M38" s="2" t="s">
        <v>899</v>
      </c>
      <c r="O38" s="133" t="s">
        <v>1271</v>
      </c>
      <c r="P38" s="2" t="s">
        <v>900</v>
      </c>
      <c r="Q38" s="5" t="s">
        <v>876</v>
      </c>
      <c r="R38" s="2">
        <v>0</v>
      </c>
      <c r="S38" s="2">
        <v>0</v>
      </c>
      <c r="T38" s="2">
        <v>0</v>
      </c>
      <c r="U38" s="2">
        <v>1</v>
      </c>
      <c r="V38" s="2">
        <v>0</v>
      </c>
      <c r="W38" s="2">
        <v>0</v>
      </c>
      <c r="X38" s="2">
        <v>0</v>
      </c>
      <c r="Y38" s="2">
        <v>0</v>
      </c>
      <c r="Z38" s="2">
        <v>0</v>
      </c>
      <c r="AA38" s="2">
        <v>0</v>
      </c>
      <c r="AB38" s="2">
        <v>0</v>
      </c>
      <c r="AC38" s="2">
        <v>0</v>
      </c>
      <c r="AD38" s="2">
        <v>0</v>
      </c>
      <c r="AG38" s="2">
        <v>0</v>
      </c>
      <c r="AH38" s="2">
        <v>0</v>
      </c>
      <c r="AI38" s="2">
        <v>0</v>
      </c>
      <c r="AJ38" s="2">
        <v>0</v>
      </c>
      <c r="AK38" s="2">
        <v>0</v>
      </c>
      <c r="AL38" s="2">
        <v>0</v>
      </c>
      <c r="AN38" s="2">
        <v>0</v>
      </c>
      <c r="AO38" s="2">
        <v>0</v>
      </c>
      <c r="AP38" s="2">
        <v>0</v>
      </c>
      <c r="AQ38" s="2">
        <v>0</v>
      </c>
      <c r="AR38" s="2">
        <v>0</v>
      </c>
      <c r="AS38" s="2">
        <v>0</v>
      </c>
      <c r="AT38" s="2">
        <v>0</v>
      </c>
      <c r="AU38" s="2">
        <v>0</v>
      </c>
      <c r="AV38" s="2">
        <v>0</v>
      </c>
      <c r="AY38" s="2">
        <v>0</v>
      </c>
      <c r="AZ38" s="2">
        <v>0</v>
      </c>
      <c r="BA38" s="2">
        <v>0</v>
      </c>
      <c r="BB38">
        <v>0</v>
      </c>
      <c r="BC38">
        <v>0</v>
      </c>
      <c r="BD38">
        <v>0</v>
      </c>
    </row>
    <row r="39" spans="1:68" ht="69" x14ac:dyDescent="0.25">
      <c r="A39" t="s">
        <v>970</v>
      </c>
      <c r="B39" t="str">
        <f t="shared" si="0"/>
        <v>Flow v2.02dii + variants</v>
      </c>
      <c r="C39" s="2" t="s">
        <v>901</v>
      </c>
      <c r="E39" s="2" t="s">
        <v>902</v>
      </c>
      <c r="F39" t="s">
        <v>903</v>
      </c>
      <c r="G39" t="s">
        <v>904</v>
      </c>
      <c r="H39" t="s">
        <v>905</v>
      </c>
      <c r="I39" t="s">
        <v>906</v>
      </c>
      <c r="J39" t="s">
        <v>907</v>
      </c>
      <c r="K39" t="s">
        <v>908</v>
      </c>
      <c r="L39" s="2">
        <v>0</v>
      </c>
      <c r="M39" s="2" t="s">
        <v>909</v>
      </c>
      <c r="O39" s="133" t="s">
        <v>1272</v>
      </c>
      <c r="P39" s="2" t="s">
        <v>910</v>
      </c>
      <c r="Q39" s="2" t="s">
        <v>911</v>
      </c>
      <c r="R39" s="2" t="s">
        <v>912</v>
      </c>
      <c r="S39" s="2" t="s">
        <v>913</v>
      </c>
      <c r="T39" s="2">
        <v>0</v>
      </c>
      <c r="U39" s="2">
        <v>1</v>
      </c>
      <c r="V39" t="s">
        <v>914</v>
      </c>
      <c r="W39" t="s">
        <v>915</v>
      </c>
      <c r="X39" t="s">
        <v>915</v>
      </c>
      <c r="Y39" t="s">
        <v>916</v>
      </c>
      <c r="Z39" t="s">
        <v>917</v>
      </c>
      <c r="AA39" t="s">
        <v>918</v>
      </c>
      <c r="AB39" t="s">
        <v>919</v>
      </c>
      <c r="AC39" s="2">
        <v>0</v>
      </c>
      <c r="AD39" t="s">
        <v>920</v>
      </c>
      <c r="AF39" s="133" t="s">
        <v>1273</v>
      </c>
      <c r="AG39" s="2"/>
      <c r="AH39" s="2">
        <v>0</v>
      </c>
      <c r="AI39" t="s">
        <v>921</v>
      </c>
      <c r="AJ39" s="2">
        <v>0</v>
      </c>
      <c r="AK39" s="2">
        <v>0</v>
      </c>
      <c r="AL39" s="2">
        <v>0</v>
      </c>
      <c r="AM39" t="s">
        <v>914</v>
      </c>
      <c r="AN39" t="s">
        <v>922</v>
      </c>
      <c r="AO39" t="s">
        <v>923</v>
      </c>
      <c r="AP39" t="s">
        <v>923</v>
      </c>
      <c r="AQ39" t="s">
        <v>924</v>
      </c>
      <c r="AR39" t="s">
        <v>925</v>
      </c>
      <c r="AS39" s="2">
        <v>0</v>
      </c>
      <c r="AT39" s="2">
        <v>0</v>
      </c>
      <c r="AU39" s="2">
        <v>0</v>
      </c>
      <c r="AV39" t="s">
        <v>926</v>
      </c>
      <c r="AX39" s="133" t="s">
        <v>1283</v>
      </c>
      <c r="AY39" t="s">
        <v>927</v>
      </c>
      <c r="AZ39" t="s">
        <v>928</v>
      </c>
      <c r="BA39" t="s">
        <v>929</v>
      </c>
      <c r="BB39">
        <v>0</v>
      </c>
      <c r="BC39">
        <v>0</v>
      </c>
      <c r="BD39">
        <v>0</v>
      </c>
      <c r="BE39" t="s">
        <v>922</v>
      </c>
    </row>
    <row r="40" spans="1:68" ht="82.8" x14ac:dyDescent="0.25">
      <c r="A40">
        <v>3</v>
      </c>
      <c r="B40" t="s">
        <v>25</v>
      </c>
      <c r="C40" t="s">
        <v>25</v>
      </c>
      <c r="E40" s="5" t="s">
        <v>1114</v>
      </c>
      <c r="F40" s="5" t="s">
        <v>1115</v>
      </c>
      <c r="G40" s="5" t="s">
        <v>1116</v>
      </c>
      <c r="H40" s="5" t="s">
        <v>1117</v>
      </c>
      <c r="I40" s="5" t="s">
        <v>1118</v>
      </c>
      <c r="J40" s="5">
        <v>1</v>
      </c>
      <c r="K40" s="5" t="s">
        <v>1226</v>
      </c>
      <c r="L40" s="5" t="s">
        <v>1119</v>
      </c>
      <c r="M40" s="5" t="s">
        <v>1120</v>
      </c>
      <c r="N40" s="5"/>
      <c r="O40" s="5" t="s">
        <v>1304</v>
      </c>
      <c r="P40" s="5" t="s">
        <v>1279</v>
      </c>
      <c r="Q40" s="5" t="s">
        <v>1280</v>
      </c>
      <c r="R40" s="5" t="s">
        <v>1223</v>
      </c>
      <c r="S40" s="5" t="s">
        <v>1121</v>
      </c>
      <c r="T40" s="5" t="s">
        <v>1122</v>
      </c>
      <c r="U40" s="5" t="s">
        <v>1123</v>
      </c>
      <c r="V40" s="2">
        <v>0</v>
      </c>
      <c r="W40">
        <v>0</v>
      </c>
      <c r="X40">
        <v>0</v>
      </c>
      <c r="Y40" s="2">
        <v>0</v>
      </c>
      <c r="Z40" s="2">
        <v>0</v>
      </c>
      <c r="AA40" s="2">
        <v>0</v>
      </c>
      <c r="AB40" s="2">
        <v>0</v>
      </c>
      <c r="AC40" s="2">
        <v>0</v>
      </c>
      <c r="AD40" s="2">
        <v>0</v>
      </c>
      <c r="AF40" s="2"/>
      <c r="AG40" s="2">
        <v>0</v>
      </c>
      <c r="AH40" s="2">
        <v>0</v>
      </c>
      <c r="AI40" s="2">
        <v>0</v>
      </c>
      <c r="AJ40" s="2">
        <v>0</v>
      </c>
      <c r="AK40" s="2">
        <v>0</v>
      </c>
      <c r="AL40" s="2">
        <v>0</v>
      </c>
      <c r="AN40" s="2">
        <v>0</v>
      </c>
      <c r="AO40" s="2">
        <v>0</v>
      </c>
      <c r="AP40" s="2">
        <v>0</v>
      </c>
      <c r="AQ40" s="2">
        <v>0</v>
      </c>
      <c r="AR40" s="2">
        <v>0</v>
      </c>
      <c r="AS40" s="2">
        <v>0</v>
      </c>
      <c r="AT40" s="2">
        <v>0</v>
      </c>
      <c r="AU40" s="2">
        <v>0</v>
      </c>
      <c r="AV40" s="2">
        <v>0</v>
      </c>
      <c r="AY40" s="2">
        <v>0</v>
      </c>
      <c r="AZ40" s="2">
        <v>0</v>
      </c>
      <c r="BA40" s="2">
        <v>0</v>
      </c>
      <c r="BB40" s="2">
        <v>0</v>
      </c>
      <c r="BC40" s="2">
        <v>0</v>
      </c>
      <c r="BD40" s="2">
        <v>0</v>
      </c>
    </row>
    <row r="41" spans="1:68" ht="69" x14ac:dyDescent="0.25">
      <c r="A41">
        <v>3</v>
      </c>
      <c r="B41" t="s">
        <v>1043</v>
      </c>
      <c r="C41" s="2" t="s">
        <v>1043</v>
      </c>
      <c r="E41" s="5" t="s">
        <v>1126</v>
      </c>
      <c r="F41" s="2" t="s">
        <v>1127</v>
      </c>
      <c r="G41" s="2" t="s">
        <v>1128</v>
      </c>
      <c r="H41" s="2" t="s">
        <v>1129</v>
      </c>
      <c r="I41" s="2" t="s">
        <v>1130</v>
      </c>
      <c r="J41" s="2" t="s">
        <v>1131</v>
      </c>
      <c r="K41" s="2" t="s">
        <v>1132</v>
      </c>
      <c r="L41" s="2" t="s">
        <v>1133</v>
      </c>
      <c r="M41" s="2" t="s">
        <v>1134</v>
      </c>
      <c r="N41" s="2"/>
      <c r="O41" s="2"/>
      <c r="P41" s="2" t="s">
        <v>1135</v>
      </c>
      <c r="Q41" s="2" t="s">
        <v>1136</v>
      </c>
      <c r="R41" s="2" t="s">
        <v>1137</v>
      </c>
      <c r="S41" s="2" t="s">
        <v>1138</v>
      </c>
      <c r="T41" s="2" t="s">
        <v>1139</v>
      </c>
      <c r="U41" s="2" t="s">
        <v>1140</v>
      </c>
      <c r="V41" s="2">
        <v>0</v>
      </c>
      <c r="W41">
        <v>0</v>
      </c>
      <c r="X41">
        <v>0</v>
      </c>
      <c r="Y41" s="2">
        <v>0</v>
      </c>
      <c r="Z41" s="2">
        <v>0</v>
      </c>
      <c r="AA41" s="2">
        <v>0</v>
      </c>
      <c r="AB41" s="2">
        <v>0</v>
      </c>
      <c r="AC41" s="2">
        <v>0</v>
      </c>
      <c r="AD41" s="2">
        <v>0</v>
      </c>
      <c r="AF41" s="2"/>
      <c r="AG41" s="2">
        <v>0</v>
      </c>
      <c r="AH41" s="2">
        <v>0</v>
      </c>
      <c r="AI41" s="2">
        <v>0</v>
      </c>
      <c r="AJ41" s="2">
        <v>0</v>
      </c>
      <c r="AK41" s="2">
        <v>0</v>
      </c>
      <c r="AL41" s="2">
        <v>0</v>
      </c>
      <c r="AN41" s="2">
        <v>0</v>
      </c>
      <c r="AO41" s="2">
        <v>0</v>
      </c>
      <c r="AP41" s="2">
        <v>0</v>
      </c>
      <c r="AQ41" s="2">
        <v>0</v>
      </c>
      <c r="AR41" s="2">
        <v>0</v>
      </c>
      <c r="AS41" s="2">
        <v>0</v>
      </c>
      <c r="AT41" s="2">
        <v>0</v>
      </c>
      <c r="AU41" s="2">
        <v>0</v>
      </c>
      <c r="AV41" s="2">
        <v>0</v>
      </c>
      <c r="AY41" s="2">
        <v>0</v>
      </c>
      <c r="AZ41" s="2">
        <v>0</v>
      </c>
      <c r="BA41" s="2">
        <v>0</v>
      </c>
      <c r="BB41" s="2">
        <v>0</v>
      </c>
      <c r="BC41" s="2">
        <v>0</v>
      </c>
      <c r="BD41" s="2">
        <v>0</v>
      </c>
    </row>
    <row r="43" spans="1:68" x14ac:dyDescent="0.25">
      <c r="A43" t="s">
        <v>983</v>
      </c>
      <c r="I43" t="s">
        <v>1080</v>
      </c>
    </row>
    <row r="44" spans="1:68" x14ac:dyDescent="0.25">
      <c r="I44" t="s">
        <v>980</v>
      </c>
    </row>
    <row r="45" spans="1:68" x14ac:dyDescent="0.25">
      <c r="A45" t="s">
        <v>958</v>
      </c>
      <c r="B45" t="s">
        <v>12</v>
      </c>
      <c r="C45" t="s">
        <v>959</v>
      </c>
      <c r="D45" t="s">
        <v>851</v>
      </c>
      <c r="E45" t="s">
        <v>974</v>
      </c>
      <c r="F45" t="s">
        <v>975</v>
      </c>
      <c r="G45" t="s">
        <v>976</v>
      </c>
      <c r="H45" t="s">
        <v>981</v>
      </c>
      <c r="I45" t="s">
        <v>977</v>
      </c>
      <c r="J45" t="s">
        <v>978</v>
      </c>
      <c r="K45" t="s">
        <v>979</v>
      </c>
      <c r="M45" t="s">
        <v>1234</v>
      </c>
      <c r="N45" t="s">
        <v>1439</v>
      </c>
    </row>
    <row r="46" spans="1:68" x14ac:dyDescent="0.25">
      <c r="A46">
        <v>1</v>
      </c>
      <c r="B46" t="str">
        <f>IF('Data files'!$E$9&gt;='Control Sheet'!$A46,'Data files'!C16,0)</f>
        <v>test service</v>
      </c>
      <c r="C46" t="str">
        <f>IF('Data files'!$E$9&gt;='Control Sheet'!$A46,'Data files'!D16,0)</f>
        <v>Test file.xlsm</v>
      </c>
      <c r="D46">
        <f>IFERROR(MATCH('Data files'!G16,$C$2:$C$9,0),0)</f>
        <v>7</v>
      </c>
      <c r="E46" t="str">
        <f>'Data files'!H16</f>
        <v>New</v>
      </c>
      <c r="F46">
        <f>'Data files'!I16</f>
        <v>0</v>
      </c>
      <c r="G46">
        <f>'Data files'!J16</f>
        <v>0</v>
      </c>
      <c r="H46">
        <f>IF(COUNTIF(E46:G46,"&lt;&gt;0")&gt;1,3,COUNTIF(E46:G46,"&lt;&gt;0"))</f>
        <v>1</v>
      </c>
      <c r="I46" t="str">
        <f>IF(H46&gt;1,"1. ","")&amp;E46</f>
        <v>New</v>
      </c>
      <c r="J46">
        <f>IF(H46&lt;2,0,"2. "&amp;F46)</f>
        <v>0</v>
      </c>
      <c r="K46">
        <f>IF(J46&lt;3,0,"3. "&amp;G46)</f>
        <v>0</v>
      </c>
      <c r="M46">
        <f ca="1">'File 1'!$M$111</f>
        <v>31.727032920414125</v>
      </c>
      <c r="N46" s="85">
        <f>IF('File 1'!$A$58&lt;&gt;"",'File 1'!$A$58,"")</f>
        <v>43969</v>
      </c>
      <c r="AV46" s="8"/>
      <c r="AW46" s="8"/>
      <c r="AX46" s="8"/>
      <c r="AY46" s="8"/>
      <c r="AZ46" s="8"/>
      <c r="BA46" s="8"/>
      <c r="BB46" s="8"/>
      <c r="BC46" s="8"/>
      <c r="BD46" s="8"/>
      <c r="BE46" s="8"/>
      <c r="BF46" s="8"/>
      <c r="BG46" s="8"/>
      <c r="BH46" s="8"/>
      <c r="BI46" s="8"/>
      <c r="BJ46" s="8"/>
      <c r="BK46" s="8"/>
      <c r="BL46" s="8"/>
      <c r="BM46" s="8"/>
      <c r="BN46" s="76"/>
      <c r="BO46" s="8"/>
      <c r="BP46" s="8"/>
    </row>
    <row r="47" spans="1:68" x14ac:dyDescent="0.25">
      <c r="A47">
        <v>2</v>
      </c>
      <c r="B47">
        <f>IF('Data files'!$E$9&gt;='Control Sheet'!$A47,'Data files'!C17,0)</f>
        <v>0</v>
      </c>
      <c r="C47">
        <f>IF('Data files'!$E$9&gt;='Control Sheet'!$A47,'Data files'!D17,0)</f>
        <v>0</v>
      </c>
      <c r="D47">
        <f>IFERROR(MATCH('Data files'!G17,$C$2:$C$9,0),0)</f>
        <v>0</v>
      </c>
      <c r="E47">
        <f>'Data files'!H17</f>
        <v>0</v>
      </c>
      <c r="F47">
        <f>'Data files'!I17</f>
        <v>0</v>
      </c>
      <c r="G47">
        <f>'Data files'!J17</f>
        <v>0</v>
      </c>
      <c r="H47">
        <f t="shared" ref="H47:H65" si="1">IF(COUNTIF(E47:G47,"&lt;&gt;0")&gt;1,3,COUNTIF(E47:G47,"&lt;&gt;0"))</f>
        <v>0</v>
      </c>
      <c r="I47" t="str">
        <f>IF(H47&gt;1,"1. ","")&amp;E47</f>
        <v>0</v>
      </c>
      <c r="J47">
        <f t="shared" ref="J47:J65" si="2">IF(H47&lt;2,0,"2. "&amp;F47)</f>
        <v>0</v>
      </c>
      <c r="K47">
        <f t="shared" ref="K47:K65" si="3">IF(J47&lt;3,0,"3. "&amp;G47)</f>
        <v>0</v>
      </c>
      <c r="M47">
        <f>'File 2'!$M$111</f>
        <v>0</v>
      </c>
      <c r="N47" s="85" t="str">
        <f>IF('File 2'!$A$58&lt;&gt;"",'File 2'!$A$58,"")</f>
        <v/>
      </c>
      <c r="AV47" s="8"/>
      <c r="AW47" s="8"/>
      <c r="AX47" s="8"/>
      <c r="AY47" s="8"/>
      <c r="AZ47" s="8"/>
      <c r="BA47" s="8"/>
      <c r="BB47" s="8"/>
      <c r="BC47" s="8"/>
      <c r="BD47" s="8"/>
      <c r="BE47" s="8"/>
      <c r="BF47" s="8"/>
      <c r="BG47" s="8"/>
      <c r="BH47" s="8"/>
      <c r="BI47" s="8"/>
      <c r="BJ47" s="8"/>
      <c r="BK47" s="8"/>
      <c r="BL47" s="8"/>
      <c r="BM47" s="8"/>
      <c r="BN47" s="76"/>
      <c r="BO47" s="8"/>
      <c r="BP47" s="8"/>
    </row>
    <row r="48" spans="1:68" x14ac:dyDescent="0.25">
      <c r="A48">
        <v>3</v>
      </c>
      <c r="B48">
        <f>IF('Data files'!$E$9&gt;='Control Sheet'!$A48,'Data files'!C18,0)</f>
        <v>0</v>
      </c>
      <c r="C48">
        <f>IF('Data files'!$E$9&gt;='Control Sheet'!$A48,'Data files'!D18,0)</f>
        <v>0</v>
      </c>
      <c r="D48">
        <f>IFERROR(MATCH('Data files'!G18,$C$2:$C$9,0),0)</f>
        <v>0</v>
      </c>
      <c r="E48">
        <f>'Data files'!H18</f>
        <v>0</v>
      </c>
      <c r="F48">
        <f>'Data files'!I18</f>
        <v>0</v>
      </c>
      <c r="G48">
        <f>'Data files'!J18</f>
        <v>0</v>
      </c>
      <c r="H48">
        <f t="shared" si="1"/>
        <v>0</v>
      </c>
      <c r="I48" t="str">
        <f>IF(H48&gt;1,"1. ","")&amp;E48</f>
        <v>0</v>
      </c>
      <c r="J48">
        <f t="shared" si="2"/>
        <v>0</v>
      </c>
      <c r="K48">
        <f t="shared" si="3"/>
        <v>0</v>
      </c>
      <c r="M48">
        <f>'File 3'!$M$111</f>
        <v>0</v>
      </c>
      <c r="N48" s="85" t="str">
        <f>IF('File 3'!$A$58&lt;&gt;"",'File 3'!$A$58,"")</f>
        <v/>
      </c>
      <c r="AV48" s="8"/>
      <c r="AW48" s="8"/>
      <c r="AX48" s="8"/>
      <c r="AY48" s="8"/>
      <c r="AZ48" s="8"/>
      <c r="BA48" s="8"/>
      <c r="BB48" s="8"/>
      <c r="BC48" s="8"/>
      <c r="BD48" s="8"/>
      <c r="BE48" s="8"/>
      <c r="BF48" s="8"/>
      <c r="BG48" s="8"/>
      <c r="BH48" s="8"/>
      <c r="BI48" s="8"/>
      <c r="BJ48" s="8"/>
      <c r="BK48" s="8"/>
      <c r="BL48" s="8"/>
      <c r="BM48" s="8"/>
      <c r="BN48" s="76"/>
      <c r="BO48" s="8"/>
      <c r="BP48" s="8"/>
    </row>
    <row r="49" spans="1:68" x14ac:dyDescent="0.25">
      <c r="A49">
        <v>4</v>
      </c>
      <c r="B49">
        <f>IF('Data files'!$E$9&gt;='Control Sheet'!$A49,'Data files'!C19,0)</f>
        <v>0</v>
      </c>
      <c r="C49">
        <f>IF('Data files'!$E$9&gt;='Control Sheet'!$A49,'Data files'!D19,0)</f>
        <v>0</v>
      </c>
      <c r="D49">
        <f>IFERROR(MATCH('Data files'!G19,$C$2:$C$9,0),0)</f>
        <v>0</v>
      </c>
      <c r="E49">
        <f>'Data files'!H19</f>
        <v>0</v>
      </c>
      <c r="F49">
        <f>'Data files'!I19</f>
        <v>0</v>
      </c>
      <c r="G49">
        <f>'Data files'!J19</f>
        <v>0</v>
      </c>
      <c r="H49">
        <f t="shared" si="1"/>
        <v>0</v>
      </c>
      <c r="I49" t="str">
        <f>IF(H49&gt;1,"1. ","")&amp;E49</f>
        <v>0</v>
      </c>
      <c r="J49">
        <f t="shared" si="2"/>
        <v>0</v>
      </c>
      <c r="K49">
        <f t="shared" si="3"/>
        <v>0</v>
      </c>
      <c r="M49">
        <f>'File 4'!$M$111</f>
        <v>0</v>
      </c>
      <c r="N49" s="85" t="str">
        <f>IF('File 4'!$A$58&lt;&gt;"",'File 4'!$A$58,"")</f>
        <v/>
      </c>
      <c r="AV49" s="8"/>
      <c r="AW49" s="8"/>
      <c r="AX49" s="8"/>
      <c r="AY49" s="8"/>
      <c r="AZ49" s="8"/>
      <c r="BA49" s="8"/>
      <c r="BB49" s="8"/>
      <c r="BC49" s="8"/>
      <c r="BD49" s="8"/>
      <c r="BE49" s="8"/>
      <c r="BF49" s="8"/>
      <c r="BG49" s="8"/>
      <c r="BH49" s="8"/>
      <c r="BI49" s="8"/>
      <c r="BJ49" s="8"/>
      <c r="BK49" s="8"/>
      <c r="BL49" s="8"/>
      <c r="BM49" s="8"/>
      <c r="BN49" s="76"/>
      <c r="BO49" s="8"/>
      <c r="BP49" s="8"/>
    </row>
    <row r="50" spans="1:68" x14ac:dyDescent="0.25">
      <c r="A50">
        <v>5</v>
      </c>
      <c r="B50">
        <f>IF('Data files'!$E$9&gt;='Control Sheet'!$A50,'Data files'!C20,0)</f>
        <v>0</v>
      </c>
      <c r="C50">
        <f>IF('Data files'!$E$9&gt;='Control Sheet'!$A50,'Data files'!D20,0)</f>
        <v>0</v>
      </c>
      <c r="D50">
        <f>IFERROR(MATCH('Data files'!G20,$C$2:$C$9,0),0)</f>
        <v>0</v>
      </c>
      <c r="E50">
        <f>'Data files'!H20</f>
        <v>0</v>
      </c>
      <c r="F50">
        <f>'Data files'!I20</f>
        <v>0</v>
      </c>
      <c r="G50">
        <f>'Data files'!J20</f>
        <v>0</v>
      </c>
      <c r="H50">
        <f t="shared" si="1"/>
        <v>0</v>
      </c>
      <c r="I50" t="str">
        <f>IF(H50&gt;1,"1. ","")&amp;E50</f>
        <v>0</v>
      </c>
      <c r="J50">
        <f t="shared" si="2"/>
        <v>0</v>
      </c>
      <c r="K50">
        <f t="shared" si="3"/>
        <v>0</v>
      </c>
      <c r="M50">
        <f>'File 5'!$M$111</f>
        <v>0</v>
      </c>
      <c r="N50" s="85" t="str">
        <f>IF('File 5'!$A$58&lt;&gt;"",'File 5'!$A$58,"")</f>
        <v/>
      </c>
      <c r="AV50" s="8"/>
      <c r="AW50" s="8"/>
      <c r="AX50" s="8"/>
      <c r="AY50" s="8"/>
      <c r="AZ50" s="8"/>
      <c r="BA50" s="8"/>
      <c r="BB50" s="8"/>
      <c r="BC50" s="8"/>
      <c r="BD50" s="8"/>
      <c r="BE50" s="8"/>
      <c r="BF50" s="8"/>
      <c r="BG50" s="8"/>
      <c r="BH50" s="8"/>
      <c r="BI50" s="8"/>
      <c r="BJ50" s="8"/>
      <c r="BK50" s="8"/>
      <c r="BL50" s="8"/>
      <c r="BM50" s="8"/>
      <c r="BN50" s="76"/>
      <c r="BO50" s="8"/>
      <c r="BP50" s="8"/>
    </row>
    <row r="51" spans="1:68" x14ac:dyDescent="0.25">
      <c r="A51">
        <v>6</v>
      </c>
      <c r="B51">
        <f>IF('Data files'!$E$9&gt;='Control Sheet'!$A51,'Data files'!C21,0)</f>
        <v>0</v>
      </c>
      <c r="C51">
        <f>IF('Data files'!$E$9&gt;='Control Sheet'!$A51,'Data files'!D21,0)</f>
        <v>0</v>
      </c>
      <c r="D51">
        <f>IFERROR(MATCH('Data files'!G21,$C$2:$C$9,0),0)</f>
        <v>0</v>
      </c>
      <c r="E51">
        <f>'Data files'!H21</f>
        <v>0</v>
      </c>
      <c r="F51">
        <f>'Data files'!I21</f>
        <v>0</v>
      </c>
      <c r="G51">
        <f>'Data files'!J21</f>
        <v>0</v>
      </c>
      <c r="H51">
        <f t="shared" si="1"/>
        <v>0</v>
      </c>
      <c r="I51" t="str">
        <f t="shared" ref="I51:I65" si="4">IF(H51&gt;1,"1. ","")&amp;E51</f>
        <v>0</v>
      </c>
      <c r="J51">
        <f t="shared" si="2"/>
        <v>0</v>
      </c>
      <c r="K51">
        <f t="shared" si="3"/>
        <v>0</v>
      </c>
      <c r="M51">
        <f>'File 6'!$M$111</f>
        <v>0</v>
      </c>
      <c r="N51" s="85" t="str">
        <f>IF('File 6'!$A$58&lt;&gt;"",'File 6'!$A$58,"")</f>
        <v/>
      </c>
      <c r="AV51" s="8"/>
      <c r="AW51" s="8"/>
      <c r="AX51" s="8"/>
      <c r="AY51" s="8"/>
      <c r="AZ51" s="8"/>
      <c r="BA51" s="8"/>
      <c r="BB51" s="8"/>
      <c r="BC51" s="8"/>
      <c r="BD51" s="8"/>
      <c r="BE51" s="8"/>
      <c r="BF51" s="8"/>
      <c r="BG51" s="8"/>
      <c r="BH51" s="8"/>
      <c r="BI51" s="8"/>
      <c r="BJ51" s="8"/>
      <c r="BK51" s="8"/>
      <c r="BL51" s="8"/>
      <c r="BM51" s="8"/>
      <c r="BN51" s="76"/>
      <c r="BO51" s="8"/>
      <c r="BP51" s="8"/>
    </row>
    <row r="52" spans="1:68" x14ac:dyDescent="0.25">
      <c r="A52">
        <v>7</v>
      </c>
      <c r="B52">
        <f>IF('Data files'!$E$9&gt;='Control Sheet'!$A52,'Data files'!C22,0)</f>
        <v>0</v>
      </c>
      <c r="C52">
        <f>IF('Data files'!$E$9&gt;='Control Sheet'!$A52,'Data files'!D22,0)</f>
        <v>0</v>
      </c>
      <c r="D52">
        <f>IFERROR(MATCH('Data files'!G22,$C$2:$C$9,0),0)</f>
        <v>0</v>
      </c>
      <c r="E52">
        <f>'Data files'!H22</f>
        <v>0</v>
      </c>
      <c r="F52">
        <f>'Data files'!I22</f>
        <v>0</v>
      </c>
      <c r="G52">
        <f>'Data files'!J22</f>
        <v>0</v>
      </c>
      <c r="H52">
        <f t="shared" si="1"/>
        <v>0</v>
      </c>
      <c r="I52" t="str">
        <f t="shared" si="4"/>
        <v>0</v>
      </c>
      <c r="J52">
        <f t="shared" si="2"/>
        <v>0</v>
      </c>
      <c r="K52">
        <f t="shared" si="3"/>
        <v>0</v>
      </c>
      <c r="M52">
        <f>'File 7'!$M$111</f>
        <v>0</v>
      </c>
      <c r="N52" s="85" t="str">
        <f>IF('File 7'!$A$58&lt;&gt;"",'File 7'!$A$58,"")</f>
        <v/>
      </c>
      <c r="AV52" s="8"/>
      <c r="AW52" s="8"/>
      <c r="AX52" s="8"/>
      <c r="AY52" s="8"/>
      <c r="AZ52" s="8"/>
      <c r="BA52" s="8"/>
      <c r="BB52" s="8"/>
      <c r="BC52" s="8"/>
      <c r="BD52" s="8"/>
      <c r="BE52" s="8"/>
      <c r="BF52" s="8"/>
      <c r="BG52" s="8"/>
      <c r="BH52" s="8"/>
      <c r="BI52" s="8"/>
      <c r="BJ52" s="8"/>
      <c r="BK52" s="8"/>
      <c r="BL52" s="8"/>
      <c r="BM52" s="8"/>
      <c r="BN52" s="76"/>
      <c r="BO52" s="8"/>
      <c r="BP52" s="8"/>
    </row>
    <row r="53" spans="1:68" x14ac:dyDescent="0.25">
      <c r="A53">
        <v>8</v>
      </c>
      <c r="B53">
        <f>IF('Data files'!$E$9&gt;='Control Sheet'!$A53,'Data files'!C23,0)</f>
        <v>0</v>
      </c>
      <c r="C53">
        <f>IF('Data files'!$E$9&gt;='Control Sheet'!$A53,'Data files'!D23,0)</f>
        <v>0</v>
      </c>
      <c r="D53">
        <f>IFERROR(MATCH('Data files'!G23,$C$2:$C$9,0),0)</f>
        <v>0</v>
      </c>
      <c r="E53">
        <f>'Data files'!H23</f>
        <v>0</v>
      </c>
      <c r="F53">
        <f>'Data files'!I23</f>
        <v>0</v>
      </c>
      <c r="G53">
        <f>'Data files'!J23</f>
        <v>0</v>
      </c>
      <c r="H53">
        <f t="shared" si="1"/>
        <v>0</v>
      </c>
      <c r="I53" t="str">
        <f t="shared" si="4"/>
        <v>0</v>
      </c>
      <c r="J53">
        <f t="shared" si="2"/>
        <v>0</v>
      </c>
      <c r="K53">
        <f t="shared" si="3"/>
        <v>0</v>
      </c>
      <c r="M53">
        <f>'File 8'!$M$111</f>
        <v>0</v>
      </c>
      <c r="N53" s="85" t="str">
        <f>IF('File 8'!$A$58&lt;&gt;"",'File 8'!$A$58,"")</f>
        <v/>
      </c>
      <c r="AV53" s="8"/>
      <c r="AW53" s="8"/>
      <c r="AX53" s="8"/>
      <c r="AY53" s="8"/>
      <c r="AZ53" s="8"/>
      <c r="BA53" s="8"/>
      <c r="BB53" s="8"/>
      <c r="BC53" s="8"/>
      <c r="BD53" s="8"/>
      <c r="BE53" s="8"/>
      <c r="BF53" s="8"/>
      <c r="BG53" s="8"/>
      <c r="BH53" s="8"/>
      <c r="BI53" s="8"/>
      <c r="BJ53" s="8"/>
      <c r="BK53" s="8"/>
      <c r="BL53" s="8"/>
      <c r="BM53" s="8"/>
      <c r="BN53" s="76"/>
      <c r="BO53" s="8"/>
      <c r="BP53" s="8"/>
    </row>
    <row r="54" spans="1:68" x14ac:dyDescent="0.25">
      <c r="A54">
        <v>9</v>
      </c>
      <c r="B54">
        <f>IF('Data files'!$E$9&gt;='Control Sheet'!$A54,'Data files'!C24,0)</f>
        <v>0</v>
      </c>
      <c r="C54">
        <f>IF('Data files'!$E$9&gt;='Control Sheet'!$A54,'Data files'!D24,0)</f>
        <v>0</v>
      </c>
      <c r="D54">
        <f>IFERROR(MATCH('Data files'!G24,$C$2:$C$9,0),0)</f>
        <v>0</v>
      </c>
      <c r="E54">
        <f>'Data files'!H24</f>
        <v>0</v>
      </c>
      <c r="F54">
        <f>'Data files'!I24</f>
        <v>0</v>
      </c>
      <c r="G54">
        <f>'Data files'!J24</f>
        <v>0</v>
      </c>
      <c r="H54">
        <f t="shared" si="1"/>
        <v>0</v>
      </c>
      <c r="I54" t="str">
        <f t="shared" si="4"/>
        <v>0</v>
      </c>
      <c r="J54">
        <f t="shared" si="2"/>
        <v>0</v>
      </c>
      <c r="K54">
        <f t="shared" si="3"/>
        <v>0</v>
      </c>
      <c r="M54">
        <f>'File 9'!$M$111</f>
        <v>0</v>
      </c>
      <c r="N54" s="85" t="str">
        <f>IF('File 9'!$A$58&lt;&gt;"",'File 9'!$A$58,"")</f>
        <v/>
      </c>
      <c r="AV54" s="8"/>
      <c r="AW54" s="8"/>
      <c r="AX54" s="8"/>
      <c r="AY54" s="8"/>
      <c r="AZ54" s="8"/>
      <c r="BA54" s="8"/>
      <c r="BB54" s="8"/>
      <c r="BC54" s="8"/>
      <c r="BD54" s="8"/>
      <c r="BE54" s="8"/>
      <c r="BF54" s="8"/>
      <c r="BG54" s="8"/>
      <c r="BH54" s="8"/>
      <c r="BI54" s="8"/>
      <c r="BJ54" s="8"/>
      <c r="BK54" s="8"/>
      <c r="BL54" s="8"/>
      <c r="BM54" s="8"/>
      <c r="BN54" s="76"/>
      <c r="BO54" s="8"/>
      <c r="BP54" s="8"/>
    </row>
    <row r="55" spans="1:68" x14ac:dyDescent="0.25">
      <c r="A55">
        <v>10</v>
      </c>
      <c r="B55">
        <f>IF('Data files'!$E$9&gt;='Control Sheet'!$A55,'Data files'!C25,0)</f>
        <v>0</v>
      </c>
      <c r="C55">
        <f>IF('Data files'!$E$9&gt;='Control Sheet'!$A55,'Data files'!D25,0)</f>
        <v>0</v>
      </c>
      <c r="D55">
        <f>IFERROR(MATCH('Data files'!G25,$C$2:$C$9,0),0)</f>
        <v>0</v>
      </c>
      <c r="E55">
        <f>'Data files'!H25</f>
        <v>0</v>
      </c>
      <c r="F55">
        <f>'Data files'!I25</f>
        <v>0</v>
      </c>
      <c r="G55">
        <f>'Data files'!J25</f>
        <v>0</v>
      </c>
      <c r="H55">
        <f t="shared" si="1"/>
        <v>0</v>
      </c>
      <c r="I55" t="str">
        <f t="shared" si="4"/>
        <v>0</v>
      </c>
      <c r="J55">
        <f t="shared" si="2"/>
        <v>0</v>
      </c>
      <c r="K55">
        <f t="shared" si="3"/>
        <v>0</v>
      </c>
      <c r="M55">
        <f>'File 10'!$M$111</f>
        <v>0</v>
      </c>
      <c r="N55" s="85" t="str">
        <f>IF('File 10'!$A$58&lt;&gt;"",'File 10'!$A$58,"")</f>
        <v/>
      </c>
      <c r="AV55" s="8"/>
      <c r="AW55" s="8"/>
      <c r="AX55" s="8"/>
      <c r="AY55" s="8"/>
      <c r="AZ55" s="8"/>
      <c r="BA55" s="8"/>
      <c r="BB55" s="8"/>
      <c r="BC55" s="8"/>
      <c r="BD55" s="8"/>
      <c r="BE55" s="8"/>
      <c r="BF55" s="8"/>
      <c r="BG55" s="8"/>
      <c r="BH55" s="8"/>
      <c r="BI55" s="8"/>
      <c r="BJ55" s="8"/>
      <c r="BK55" s="8"/>
      <c r="BL55" s="8"/>
      <c r="BM55" s="8"/>
      <c r="BN55" s="76"/>
      <c r="BO55" s="8"/>
      <c r="BP55" s="8"/>
    </row>
    <row r="56" spans="1:68" x14ac:dyDescent="0.25">
      <c r="A56">
        <v>11</v>
      </c>
      <c r="B56">
        <f>IF('Data files'!$E$9&gt;='Control Sheet'!$A56,'Data files'!C26,0)</f>
        <v>0</v>
      </c>
      <c r="C56">
        <f>IF('Data files'!$E$9&gt;='Control Sheet'!$A56,'Data files'!D26,0)</f>
        <v>0</v>
      </c>
      <c r="D56">
        <f>IFERROR(MATCH('Data files'!G26,$C$2:$C$9,0),0)</f>
        <v>0</v>
      </c>
      <c r="E56">
        <f>'Data files'!H26</f>
        <v>0</v>
      </c>
      <c r="F56">
        <f>'Data files'!I26</f>
        <v>0</v>
      </c>
      <c r="G56">
        <f>'Data files'!J26</f>
        <v>0</v>
      </c>
      <c r="H56">
        <f t="shared" si="1"/>
        <v>0</v>
      </c>
      <c r="I56" t="str">
        <f t="shared" si="4"/>
        <v>0</v>
      </c>
      <c r="J56">
        <f t="shared" si="2"/>
        <v>0</v>
      </c>
      <c r="K56">
        <f t="shared" si="3"/>
        <v>0</v>
      </c>
      <c r="M56">
        <f>'File 11'!$M$111</f>
        <v>0</v>
      </c>
      <c r="N56" s="85" t="str">
        <f>IF('File 11'!$A$58&lt;&gt;"",'File 11'!$A$58,"")</f>
        <v/>
      </c>
      <c r="AV56" s="8"/>
      <c r="AW56" s="8"/>
      <c r="AX56" s="8"/>
      <c r="AY56" s="8"/>
      <c r="AZ56" s="8"/>
      <c r="BA56" s="8"/>
      <c r="BB56" s="8"/>
      <c r="BC56" s="8"/>
      <c r="BD56" s="8"/>
      <c r="BE56" s="8"/>
      <c r="BF56" s="8"/>
      <c r="BG56" s="8"/>
      <c r="BH56" s="8"/>
      <c r="BI56" s="8"/>
      <c r="BJ56" s="8"/>
      <c r="BK56" s="8"/>
      <c r="BL56" s="8"/>
      <c r="BM56" s="8"/>
      <c r="BN56" s="76"/>
      <c r="BO56" s="8"/>
      <c r="BP56" s="8"/>
    </row>
    <row r="57" spans="1:68" x14ac:dyDescent="0.25">
      <c r="A57">
        <v>12</v>
      </c>
      <c r="B57">
        <f>IF('Data files'!$E$9&gt;='Control Sheet'!$A57,'Data files'!C27,0)</f>
        <v>0</v>
      </c>
      <c r="C57">
        <f>IF('Data files'!$E$9&gt;='Control Sheet'!$A57,'Data files'!D27,0)</f>
        <v>0</v>
      </c>
      <c r="D57">
        <f>IFERROR(MATCH('Data files'!G27,$C$2:$C$9,0),0)</f>
        <v>0</v>
      </c>
      <c r="E57">
        <f>'Data files'!H27</f>
        <v>0</v>
      </c>
      <c r="F57">
        <f>'Data files'!I27</f>
        <v>0</v>
      </c>
      <c r="G57">
        <f>'Data files'!J27</f>
        <v>0</v>
      </c>
      <c r="H57">
        <f t="shared" si="1"/>
        <v>0</v>
      </c>
      <c r="I57" t="str">
        <f t="shared" si="4"/>
        <v>0</v>
      </c>
      <c r="J57">
        <f t="shared" si="2"/>
        <v>0</v>
      </c>
      <c r="K57">
        <f t="shared" si="3"/>
        <v>0</v>
      </c>
      <c r="M57">
        <f>'File 12'!$M$111</f>
        <v>0</v>
      </c>
      <c r="N57" s="85" t="str">
        <f>IF('File 12'!$A$58&lt;&gt;"",'File 12'!$A$58,"")</f>
        <v/>
      </c>
      <c r="AV57" s="8"/>
      <c r="AW57" s="8"/>
      <c r="AX57" s="8"/>
      <c r="AY57" s="8"/>
      <c r="AZ57" s="8"/>
      <c r="BA57" s="8"/>
      <c r="BB57" s="8"/>
      <c r="BC57" s="8"/>
      <c r="BD57" s="8"/>
      <c r="BE57" s="8"/>
      <c r="BF57" s="8"/>
      <c r="BG57" s="8"/>
      <c r="BH57" s="8"/>
      <c r="BI57" s="8"/>
      <c r="BJ57" s="8"/>
      <c r="BK57" s="8"/>
      <c r="BL57" s="8"/>
      <c r="BM57" s="8"/>
      <c r="BN57" s="76"/>
      <c r="BO57" s="8"/>
      <c r="BP57" s="8"/>
    </row>
    <row r="58" spans="1:68" x14ac:dyDescent="0.25">
      <c r="A58">
        <v>13</v>
      </c>
      <c r="B58">
        <f>IF('Data files'!$E$9&gt;='Control Sheet'!$A58,'Data files'!C28,0)</f>
        <v>0</v>
      </c>
      <c r="C58">
        <f>IF('Data files'!$E$9&gt;='Control Sheet'!$A58,'Data files'!D28,0)</f>
        <v>0</v>
      </c>
      <c r="D58">
        <f>IFERROR(MATCH('Data files'!G28,$C$2:$C$9,0),0)</f>
        <v>0</v>
      </c>
      <c r="E58">
        <f>'Data files'!H28</f>
        <v>0</v>
      </c>
      <c r="F58">
        <f>'Data files'!I28</f>
        <v>0</v>
      </c>
      <c r="G58">
        <f>'Data files'!J28</f>
        <v>0</v>
      </c>
      <c r="H58">
        <f t="shared" si="1"/>
        <v>0</v>
      </c>
      <c r="I58" t="str">
        <f t="shared" si="4"/>
        <v>0</v>
      </c>
      <c r="J58">
        <f t="shared" si="2"/>
        <v>0</v>
      </c>
      <c r="K58">
        <f t="shared" si="3"/>
        <v>0</v>
      </c>
      <c r="M58">
        <f>'File 13'!$M$111</f>
        <v>0</v>
      </c>
      <c r="N58" s="85" t="str">
        <f>IF('File 13'!$A$58&lt;&gt;"",'File 13'!$A$58,"")</f>
        <v/>
      </c>
      <c r="AV58" s="8"/>
      <c r="AW58" s="8"/>
      <c r="AX58" s="8"/>
      <c r="AY58" s="8"/>
      <c r="AZ58" s="8"/>
      <c r="BA58" s="8"/>
      <c r="BB58" s="8"/>
      <c r="BC58" s="8"/>
      <c r="BD58" s="8"/>
      <c r="BE58" s="8"/>
      <c r="BF58" s="8"/>
      <c r="BG58" s="8"/>
      <c r="BH58" s="8"/>
      <c r="BI58" s="8"/>
      <c r="BJ58" s="8"/>
      <c r="BK58" s="8"/>
      <c r="BL58" s="8"/>
      <c r="BM58" s="8"/>
      <c r="BN58" s="76"/>
      <c r="BO58" s="8"/>
      <c r="BP58" s="8"/>
    </row>
    <row r="59" spans="1:68" x14ac:dyDescent="0.25">
      <c r="A59">
        <v>14</v>
      </c>
      <c r="B59">
        <f>IF('Data files'!$E$9&gt;='Control Sheet'!$A59,'Data files'!C29,0)</f>
        <v>0</v>
      </c>
      <c r="C59">
        <f>IF('Data files'!$E$9&gt;='Control Sheet'!$A59,'Data files'!D29,0)</f>
        <v>0</v>
      </c>
      <c r="D59">
        <f>IFERROR(MATCH('Data files'!G29,$C$2:$C$9,0),0)</f>
        <v>0</v>
      </c>
      <c r="E59">
        <f>'Data files'!H29</f>
        <v>0</v>
      </c>
      <c r="F59">
        <f>'Data files'!I29</f>
        <v>0</v>
      </c>
      <c r="G59">
        <f>'Data files'!J29</f>
        <v>0</v>
      </c>
      <c r="H59">
        <f t="shared" si="1"/>
        <v>0</v>
      </c>
      <c r="I59" t="str">
        <f t="shared" si="4"/>
        <v>0</v>
      </c>
      <c r="J59">
        <f t="shared" si="2"/>
        <v>0</v>
      </c>
      <c r="K59">
        <f t="shared" si="3"/>
        <v>0</v>
      </c>
      <c r="M59">
        <f>'File 14'!$M$111</f>
        <v>0</v>
      </c>
      <c r="N59" s="85" t="str">
        <f>IF('File 14'!$A$58&lt;&gt;"",'File 14'!$A$58,"")</f>
        <v/>
      </c>
      <c r="AV59" s="8"/>
      <c r="AW59" s="8"/>
      <c r="AX59" s="8"/>
      <c r="AY59" s="8"/>
      <c r="AZ59" s="8"/>
      <c r="BA59" s="8"/>
      <c r="BB59" s="8"/>
      <c r="BC59" s="8"/>
      <c r="BD59" s="8"/>
      <c r="BE59" s="8"/>
      <c r="BF59" s="8"/>
      <c r="BG59" s="8"/>
      <c r="BH59" s="8"/>
      <c r="BI59" s="8"/>
      <c r="BJ59" s="8"/>
      <c r="BK59" s="8"/>
      <c r="BL59" s="8"/>
      <c r="BM59" s="8"/>
      <c r="BN59" s="76"/>
      <c r="BO59" s="8"/>
      <c r="BP59" s="8"/>
    </row>
    <row r="60" spans="1:68" x14ac:dyDescent="0.25">
      <c r="A60">
        <v>15</v>
      </c>
      <c r="B60">
        <f>IF('Data files'!$E$9&gt;='Control Sheet'!$A60,'Data files'!C30,0)</f>
        <v>0</v>
      </c>
      <c r="C60">
        <f>IF('Data files'!$E$9&gt;='Control Sheet'!$A60,'Data files'!D30,0)</f>
        <v>0</v>
      </c>
      <c r="D60">
        <f>IFERROR(MATCH('Data files'!G30,$C$2:$C$9,0),0)</f>
        <v>0</v>
      </c>
      <c r="E60">
        <f>'Data files'!H30</f>
        <v>0</v>
      </c>
      <c r="F60">
        <f>'Data files'!I30</f>
        <v>0</v>
      </c>
      <c r="G60">
        <f>'Data files'!J30</f>
        <v>0</v>
      </c>
      <c r="H60">
        <f t="shared" si="1"/>
        <v>0</v>
      </c>
      <c r="I60" t="str">
        <f t="shared" si="4"/>
        <v>0</v>
      </c>
      <c r="J60">
        <f t="shared" si="2"/>
        <v>0</v>
      </c>
      <c r="K60">
        <f t="shared" si="3"/>
        <v>0</v>
      </c>
      <c r="M60">
        <f>'File 15'!$M$111</f>
        <v>0</v>
      </c>
      <c r="N60" s="85" t="str">
        <f>IF('File 15'!$A$58&lt;&gt;"",'File 15'!$A$58,"")</f>
        <v/>
      </c>
      <c r="AV60" s="8"/>
      <c r="AW60" s="8"/>
      <c r="AX60" s="8"/>
      <c r="AY60" s="8"/>
      <c r="AZ60" s="8"/>
      <c r="BA60" s="8"/>
      <c r="BB60" s="8"/>
      <c r="BC60" s="8"/>
      <c r="BD60" s="8"/>
      <c r="BE60" s="8"/>
      <c r="BF60" s="8"/>
      <c r="BG60" s="8"/>
      <c r="BH60" s="8"/>
      <c r="BI60" s="8"/>
      <c r="BJ60" s="8"/>
      <c r="BK60" s="8"/>
      <c r="BL60" s="8"/>
      <c r="BM60" s="8"/>
      <c r="BN60" s="76"/>
      <c r="BO60" s="8"/>
      <c r="BP60" s="8"/>
    </row>
    <row r="61" spans="1:68" x14ac:dyDescent="0.25">
      <c r="A61">
        <v>16</v>
      </c>
      <c r="B61">
        <f>IF('Data files'!$E$9&gt;='Control Sheet'!$A61,'Data files'!C31,0)</f>
        <v>0</v>
      </c>
      <c r="C61">
        <f>IF('Data files'!$E$9&gt;='Control Sheet'!$A61,'Data files'!D31,0)</f>
        <v>0</v>
      </c>
      <c r="D61">
        <f>IFERROR(MATCH('Data files'!G31,$C$2:$C$9,0),0)</f>
        <v>0</v>
      </c>
      <c r="E61">
        <f>'Data files'!H31</f>
        <v>0</v>
      </c>
      <c r="F61">
        <f>'Data files'!I31</f>
        <v>0</v>
      </c>
      <c r="G61">
        <f>'Data files'!J31</f>
        <v>0</v>
      </c>
      <c r="H61">
        <f t="shared" si="1"/>
        <v>0</v>
      </c>
      <c r="I61" t="str">
        <f t="shared" si="4"/>
        <v>0</v>
      </c>
      <c r="J61">
        <f t="shared" si="2"/>
        <v>0</v>
      </c>
      <c r="K61">
        <f t="shared" si="3"/>
        <v>0</v>
      </c>
      <c r="M61">
        <f>'File 16'!$M$111</f>
        <v>0</v>
      </c>
      <c r="N61" s="85" t="str">
        <f>IF('File 16'!$A$58&lt;&gt;"",'File 16'!$A$58,"")</f>
        <v/>
      </c>
      <c r="AV61" s="8"/>
      <c r="AW61" s="8"/>
      <c r="AX61" s="8"/>
      <c r="AY61" s="8"/>
      <c r="AZ61" s="8"/>
      <c r="BA61" s="8"/>
      <c r="BB61" s="8"/>
      <c r="BC61" s="8"/>
      <c r="BD61" s="8"/>
      <c r="BE61" s="8"/>
      <c r="BF61" s="8"/>
      <c r="BG61" s="8"/>
      <c r="BH61" s="8"/>
      <c r="BI61" s="8"/>
      <c r="BJ61" s="8"/>
      <c r="BK61" s="8"/>
      <c r="BL61" s="8"/>
      <c r="BM61" s="8"/>
      <c r="BN61" s="76"/>
      <c r="BO61" s="8"/>
      <c r="BP61" s="8"/>
    </row>
    <row r="62" spans="1:68" x14ac:dyDescent="0.25">
      <c r="A62">
        <v>17</v>
      </c>
      <c r="B62">
        <f>IF('Data files'!$E$9&gt;='Control Sheet'!$A62,'Data files'!C32,0)</f>
        <v>0</v>
      </c>
      <c r="C62">
        <f>IF('Data files'!$E$9&gt;='Control Sheet'!$A62,'Data files'!D32,0)</f>
        <v>0</v>
      </c>
      <c r="D62">
        <f>IFERROR(MATCH('Data files'!G32,$C$2:$C$9,0),0)</f>
        <v>0</v>
      </c>
      <c r="E62">
        <f>'Data files'!H32</f>
        <v>0</v>
      </c>
      <c r="F62">
        <f>'Data files'!I32</f>
        <v>0</v>
      </c>
      <c r="G62">
        <f>'Data files'!J32</f>
        <v>0</v>
      </c>
      <c r="H62">
        <f t="shared" si="1"/>
        <v>0</v>
      </c>
      <c r="I62" t="str">
        <f t="shared" si="4"/>
        <v>0</v>
      </c>
      <c r="J62">
        <f t="shared" si="2"/>
        <v>0</v>
      </c>
      <c r="K62">
        <f t="shared" si="3"/>
        <v>0</v>
      </c>
      <c r="M62">
        <f>'File 17'!$M$111</f>
        <v>0</v>
      </c>
      <c r="N62" s="85" t="str">
        <f>IF('File 17'!$A$58&lt;&gt;"",'File 17'!$A$58,"")</f>
        <v/>
      </c>
      <c r="AV62" s="8"/>
      <c r="AW62" s="8"/>
      <c r="AX62" s="8"/>
      <c r="AY62" s="8"/>
      <c r="AZ62" s="8"/>
      <c r="BA62" s="8"/>
      <c r="BB62" s="8"/>
      <c r="BC62" s="8"/>
      <c r="BD62" s="8"/>
      <c r="BE62" s="8"/>
      <c r="BF62" s="8"/>
      <c r="BG62" s="8"/>
      <c r="BH62" s="8"/>
      <c r="BI62" s="8"/>
      <c r="BJ62" s="8"/>
      <c r="BK62" s="8"/>
      <c r="BL62" s="8"/>
      <c r="BM62" s="8"/>
      <c r="BN62" s="76"/>
      <c r="BO62" s="8"/>
      <c r="BP62" s="8"/>
    </row>
    <row r="63" spans="1:68" x14ac:dyDescent="0.25">
      <c r="A63">
        <v>18</v>
      </c>
      <c r="B63">
        <f>IF('Data files'!$E$9&gt;='Control Sheet'!$A63,'Data files'!C33,0)</f>
        <v>0</v>
      </c>
      <c r="C63">
        <f>IF('Data files'!$E$9&gt;='Control Sheet'!$A63,'Data files'!D33,0)</f>
        <v>0</v>
      </c>
      <c r="D63">
        <f>IFERROR(MATCH('Data files'!G33,$C$2:$C$9,0),0)</f>
        <v>0</v>
      </c>
      <c r="E63">
        <f>'Data files'!H33</f>
        <v>0</v>
      </c>
      <c r="F63">
        <f>'Data files'!I33</f>
        <v>0</v>
      </c>
      <c r="G63">
        <f>'Data files'!J33</f>
        <v>0</v>
      </c>
      <c r="H63">
        <f t="shared" si="1"/>
        <v>0</v>
      </c>
      <c r="I63" t="str">
        <f t="shared" si="4"/>
        <v>0</v>
      </c>
      <c r="J63">
        <f t="shared" si="2"/>
        <v>0</v>
      </c>
      <c r="K63">
        <f t="shared" si="3"/>
        <v>0</v>
      </c>
      <c r="M63">
        <f>'File 18'!$M$111</f>
        <v>0</v>
      </c>
      <c r="N63" s="85" t="str">
        <f>IF('File 18'!$A$58&lt;&gt;"",'File 18'!$A$58,"")</f>
        <v/>
      </c>
      <c r="AV63" s="8"/>
      <c r="AW63" s="8"/>
      <c r="AX63" s="8"/>
      <c r="AY63" s="8"/>
      <c r="AZ63" s="8"/>
      <c r="BA63" s="8"/>
      <c r="BB63" s="8"/>
      <c r="BC63" s="8"/>
      <c r="BD63" s="8"/>
      <c r="BE63" s="8"/>
      <c r="BF63" s="8"/>
      <c r="BG63" s="8"/>
      <c r="BH63" s="8"/>
      <c r="BI63" s="8"/>
      <c r="BJ63" s="8"/>
      <c r="BK63" s="8"/>
      <c r="BL63" s="8"/>
      <c r="BM63" s="8"/>
      <c r="BN63" s="76"/>
      <c r="BO63" s="8"/>
      <c r="BP63" s="8"/>
    </row>
    <row r="64" spans="1:68" x14ac:dyDescent="0.25">
      <c r="A64">
        <v>19</v>
      </c>
      <c r="B64">
        <f>IF('Data files'!$E$9&gt;='Control Sheet'!$A64,'Data files'!C34,0)</f>
        <v>0</v>
      </c>
      <c r="C64">
        <f>IF('Data files'!$E$9&gt;='Control Sheet'!$A64,'Data files'!D34,0)</f>
        <v>0</v>
      </c>
      <c r="D64">
        <f>IFERROR(MATCH('Data files'!G34,$C$2:$C$9,0),0)</f>
        <v>0</v>
      </c>
      <c r="E64">
        <f>'Data files'!H34</f>
        <v>0</v>
      </c>
      <c r="F64">
        <f>'Data files'!I34</f>
        <v>0</v>
      </c>
      <c r="G64">
        <f>'Data files'!J34</f>
        <v>0</v>
      </c>
      <c r="H64">
        <f t="shared" si="1"/>
        <v>0</v>
      </c>
      <c r="I64" t="str">
        <f t="shared" si="4"/>
        <v>0</v>
      </c>
      <c r="J64">
        <f t="shared" si="2"/>
        <v>0</v>
      </c>
      <c r="K64">
        <f t="shared" si="3"/>
        <v>0</v>
      </c>
      <c r="M64">
        <f>'File 19'!$M$111</f>
        <v>0</v>
      </c>
      <c r="N64" s="85" t="str">
        <f>IF('File 19'!$A$58&lt;&gt;"",'File 19'!$A$58,"")</f>
        <v/>
      </c>
      <c r="AV64" s="8"/>
      <c r="AW64" s="8"/>
      <c r="AX64" s="8"/>
      <c r="AY64" s="8"/>
      <c r="AZ64" s="8"/>
      <c r="BA64" s="8"/>
      <c r="BB64" s="8"/>
      <c r="BC64" s="8"/>
      <c r="BD64" s="8"/>
      <c r="BE64" s="8"/>
      <c r="BF64" s="8"/>
      <c r="BG64" s="8"/>
      <c r="BH64" s="8"/>
      <c r="BI64" s="8"/>
      <c r="BJ64" s="8"/>
      <c r="BK64" s="8"/>
      <c r="BL64" s="8"/>
      <c r="BM64" s="8"/>
      <c r="BN64" s="76"/>
      <c r="BO64" s="8"/>
      <c r="BP64" s="8"/>
    </row>
    <row r="65" spans="1:68" x14ac:dyDescent="0.25">
      <c r="A65">
        <v>20</v>
      </c>
      <c r="B65">
        <f>IF('Data files'!$E$9&gt;='Control Sheet'!$A65,'Data files'!C35,0)</f>
        <v>0</v>
      </c>
      <c r="C65">
        <f>IF('Data files'!$E$9&gt;='Control Sheet'!$A65,'Data files'!D35,0)</f>
        <v>0</v>
      </c>
      <c r="D65">
        <f>IFERROR(MATCH('Data files'!G35,$C$2:$C$9,0),0)</f>
        <v>0</v>
      </c>
      <c r="E65">
        <f>'Data files'!H35</f>
        <v>0</v>
      </c>
      <c r="F65">
        <f>'Data files'!I35</f>
        <v>0</v>
      </c>
      <c r="G65">
        <f>'Data files'!J35</f>
        <v>0</v>
      </c>
      <c r="H65">
        <f t="shared" si="1"/>
        <v>0</v>
      </c>
      <c r="I65" t="str">
        <f t="shared" si="4"/>
        <v>0</v>
      </c>
      <c r="J65">
        <f t="shared" si="2"/>
        <v>0</v>
      </c>
      <c r="K65">
        <f t="shared" si="3"/>
        <v>0</v>
      </c>
      <c r="M65">
        <f>'File 20'!$M$111</f>
        <v>0</v>
      </c>
      <c r="N65" s="85" t="str">
        <f>IF('File 20'!$A$58&lt;&gt;"",'File 20'!$A$58,"")</f>
        <v/>
      </c>
      <c r="AV65" s="8"/>
      <c r="AW65" s="8"/>
      <c r="AX65" s="8"/>
      <c r="AY65" s="8"/>
      <c r="AZ65" s="8"/>
      <c r="BA65" s="8"/>
      <c r="BB65" s="8"/>
      <c r="BC65" s="8"/>
      <c r="BD65" s="8"/>
      <c r="BE65" s="8"/>
      <c r="BF65" s="8"/>
      <c r="BG65" s="8"/>
      <c r="BH65" s="8"/>
      <c r="BI65" s="8"/>
      <c r="BJ65" s="8"/>
      <c r="BK65" s="8"/>
      <c r="BL65" s="8"/>
      <c r="BM65" s="8"/>
      <c r="BN65" s="76"/>
      <c r="BO65" s="8"/>
      <c r="BP65" s="8"/>
    </row>
    <row r="66" spans="1:68" x14ac:dyDescent="0.25">
      <c r="A66" t="s">
        <v>982</v>
      </c>
    </row>
    <row r="67" spans="1:68" x14ac:dyDescent="0.25">
      <c r="M67">
        <f ca="1">IF('DC Balance (hide)'!W4=0,MAX(M46:M65),OFFSET(M45,'DC Balance (hide)'!W4,0,1,1))</f>
        <v>31.727032920414125</v>
      </c>
    </row>
    <row r="68" spans="1:68" x14ac:dyDescent="0.25">
      <c r="M68">
        <f ca="1">10^LEN(INT(M67))/20</f>
        <v>5</v>
      </c>
    </row>
    <row r="69" spans="1:68" x14ac:dyDescent="0.25">
      <c r="M69" s="8"/>
    </row>
    <row r="71" spans="1:68" x14ac:dyDescent="0.25">
      <c r="R71" s="7"/>
    </row>
  </sheetData>
  <dataConsolidate link="1"/>
  <conditionalFormatting sqref="C35:D39 C41">
    <cfRule type="expression" priority="1">
      <formula>IF(VLOOKUP($C$5,$B$20:$C$21,2,0)=1,TRUE,FALSE)</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4"/>
  <dimension ref="A2:M68"/>
  <sheetViews>
    <sheetView showGridLines="0" showRowColHeaders="0" topLeftCell="B1" workbookViewId="0">
      <selection activeCell="F15" sqref="F15"/>
    </sheetView>
  </sheetViews>
  <sheetFormatPr defaultColWidth="9" defaultRowHeight="13.8" x14ac:dyDescent="0.25"/>
  <cols>
    <col min="1" max="1" width="9" style="18" hidden="1" customWidth="1"/>
    <col min="2" max="2" width="24.296875" style="18" customWidth="1"/>
    <col min="3" max="3" width="15.3984375" style="18" bestFit="1" customWidth="1"/>
    <col min="4" max="4" width="10.09765625" style="18" customWidth="1"/>
    <col min="5" max="5" width="11.59765625" style="18" bestFit="1" customWidth="1"/>
    <col min="6" max="6" width="24.09765625" style="18" customWidth="1"/>
    <col min="7" max="7" width="15.3984375" style="18" bestFit="1" customWidth="1"/>
    <col min="8" max="9" width="10" style="18" customWidth="1"/>
    <col min="10" max="16384" width="9" style="18"/>
  </cols>
  <sheetData>
    <row r="2" spans="1:13" x14ac:dyDescent="0.25">
      <c r="B2" s="35" t="str">
        <f>'Data files'!D4&amp;IF('Data files'!D4&lt;&gt;"",", ","")&amp;'Data files'!D7&amp;IF(ISERROR(FIND("SERVICE",UPPER('Data files'!D7),1))=FALSE,""," Service")</f>
        <v>Test Trust, Test service</v>
      </c>
      <c r="C2" s="36"/>
      <c r="D2" s="36"/>
      <c r="E2" s="36"/>
      <c r="F2" s="36"/>
      <c r="G2" s="36"/>
      <c r="H2" s="36"/>
      <c r="I2" s="36"/>
      <c r="J2" s="36"/>
      <c r="K2" s="36"/>
      <c r="L2" s="36"/>
      <c r="M2" s="36"/>
    </row>
    <row r="6" spans="1:13" x14ac:dyDescent="0.25">
      <c r="B6" s="19" t="s">
        <v>961</v>
      </c>
      <c r="D6" s="19" t="s">
        <v>1409</v>
      </c>
      <c r="F6" s="19" t="s">
        <v>962</v>
      </c>
      <c r="H6" s="19" t="s">
        <v>1346</v>
      </c>
    </row>
    <row r="7" spans="1:13" x14ac:dyDescent="0.25">
      <c r="B7" s="53" t="s">
        <v>1105</v>
      </c>
      <c r="C7" s="53" t="s">
        <v>1345</v>
      </c>
      <c r="D7" s="181" t="s">
        <v>957</v>
      </c>
      <c r="E7" s="181" t="s">
        <v>1287</v>
      </c>
      <c r="F7" s="54" t="s">
        <v>1105</v>
      </c>
      <c r="G7" s="54" t="s">
        <v>1345</v>
      </c>
      <c r="H7" s="182" t="s">
        <v>1343</v>
      </c>
      <c r="I7" s="182" t="s">
        <v>1344</v>
      </c>
    </row>
    <row r="8" spans="1:13" x14ac:dyDescent="0.25">
      <c r="A8" s="18">
        <f t="shared" ref="A8:A39" si="0">IF(COUNTBLANK(B8:G8)+COUNTBLANK(H8:I8)=0,1,0)</f>
        <v>0</v>
      </c>
      <c r="B8" s="192"/>
      <c r="C8" s="192"/>
      <c r="D8" s="193"/>
      <c r="E8" s="192"/>
      <c r="F8" s="192"/>
      <c r="G8" s="192"/>
      <c r="H8" s="192"/>
      <c r="I8" s="192"/>
    </row>
    <row r="9" spans="1:13" x14ac:dyDescent="0.25">
      <c r="A9" s="18">
        <f t="shared" si="0"/>
        <v>0</v>
      </c>
      <c r="B9" s="192"/>
      <c r="C9" s="192"/>
      <c r="D9" s="193"/>
      <c r="E9" s="192"/>
      <c r="F9" s="192"/>
      <c r="G9" s="192"/>
      <c r="H9" s="192"/>
      <c r="I9" s="192"/>
    </row>
    <row r="10" spans="1:13" x14ac:dyDescent="0.25">
      <c r="A10" s="18">
        <f t="shared" si="0"/>
        <v>0</v>
      </c>
      <c r="B10" s="192"/>
      <c r="C10" s="192"/>
      <c r="D10" s="193"/>
      <c r="E10" s="192"/>
      <c r="F10" s="192"/>
      <c r="G10" s="192"/>
      <c r="H10" s="192"/>
      <c r="I10" s="192"/>
    </row>
    <row r="11" spans="1:13" x14ac:dyDescent="0.25">
      <c r="A11" s="18">
        <f t="shared" si="0"/>
        <v>0</v>
      </c>
      <c r="B11" s="192"/>
      <c r="C11" s="192"/>
      <c r="D11" s="193"/>
      <c r="E11" s="192"/>
      <c r="F11" s="192"/>
      <c r="G11" s="192"/>
      <c r="H11" s="192"/>
      <c r="I11" s="192"/>
    </row>
    <row r="12" spans="1:13" x14ac:dyDescent="0.25">
      <c r="A12" s="18">
        <f t="shared" si="0"/>
        <v>0</v>
      </c>
      <c r="B12" s="192"/>
      <c r="C12" s="192"/>
      <c r="D12" s="193"/>
      <c r="E12" s="192"/>
      <c r="F12" s="192"/>
      <c r="G12" s="192"/>
      <c r="H12" s="192"/>
      <c r="I12" s="192"/>
    </row>
    <row r="13" spans="1:13" x14ac:dyDescent="0.25">
      <c r="A13" s="18">
        <f t="shared" si="0"/>
        <v>0</v>
      </c>
      <c r="B13" s="192"/>
      <c r="C13" s="192"/>
      <c r="D13" s="193"/>
      <c r="E13" s="192"/>
      <c r="F13" s="192"/>
      <c r="G13" s="192"/>
      <c r="H13" s="192"/>
      <c r="I13" s="192"/>
    </row>
    <row r="14" spans="1:13" x14ac:dyDescent="0.25">
      <c r="A14" s="18">
        <f t="shared" si="0"/>
        <v>0</v>
      </c>
      <c r="B14" s="192"/>
      <c r="C14" s="192"/>
      <c r="D14" s="193"/>
      <c r="E14" s="192"/>
      <c r="F14" s="192"/>
      <c r="G14" s="192"/>
      <c r="H14" s="192"/>
      <c r="I14" s="192"/>
    </row>
    <row r="15" spans="1:13" x14ac:dyDescent="0.25">
      <c r="A15" s="18">
        <f t="shared" si="0"/>
        <v>0</v>
      </c>
      <c r="B15" s="192"/>
      <c r="C15" s="192"/>
      <c r="D15" s="193"/>
      <c r="E15" s="192"/>
      <c r="F15" s="192"/>
      <c r="G15" s="192"/>
      <c r="H15" s="192"/>
      <c r="I15" s="192"/>
    </row>
    <row r="16" spans="1:13" x14ac:dyDescent="0.25">
      <c r="A16" s="18">
        <f t="shared" si="0"/>
        <v>0</v>
      </c>
      <c r="B16" s="192"/>
      <c r="C16" s="192"/>
      <c r="D16" s="193"/>
      <c r="E16" s="192"/>
      <c r="F16" s="192"/>
      <c r="G16" s="192"/>
      <c r="H16" s="192"/>
      <c r="I16" s="192"/>
    </row>
    <row r="17" spans="1:9" x14ac:dyDescent="0.25">
      <c r="A17" s="18">
        <f t="shared" si="0"/>
        <v>0</v>
      </c>
      <c r="B17" s="192"/>
      <c r="C17" s="192"/>
      <c r="D17" s="193"/>
      <c r="E17" s="192"/>
      <c r="F17" s="192"/>
      <c r="G17" s="192"/>
      <c r="H17" s="192"/>
      <c r="I17" s="192"/>
    </row>
    <row r="18" spans="1:9" x14ac:dyDescent="0.25">
      <c r="A18" s="18">
        <f t="shared" si="0"/>
        <v>0</v>
      </c>
      <c r="B18" s="192"/>
      <c r="C18" s="192"/>
      <c r="D18" s="193"/>
      <c r="E18" s="192"/>
      <c r="F18" s="192"/>
      <c r="G18" s="192"/>
      <c r="H18" s="192"/>
      <c r="I18" s="192"/>
    </row>
    <row r="19" spans="1:9" x14ac:dyDescent="0.25">
      <c r="A19" s="18">
        <f t="shared" si="0"/>
        <v>0</v>
      </c>
      <c r="B19" s="192"/>
      <c r="C19" s="192"/>
      <c r="D19" s="193"/>
      <c r="E19" s="192"/>
      <c r="F19" s="192"/>
      <c r="G19" s="192"/>
      <c r="H19" s="192"/>
      <c r="I19" s="192"/>
    </row>
    <row r="20" spans="1:9" x14ac:dyDescent="0.25">
      <c r="A20" s="18">
        <f t="shared" si="0"/>
        <v>0</v>
      </c>
      <c r="B20" s="192"/>
      <c r="C20" s="192"/>
      <c r="D20" s="193"/>
      <c r="E20" s="192"/>
      <c r="F20" s="192"/>
      <c r="G20" s="192"/>
      <c r="H20" s="192"/>
      <c r="I20" s="192"/>
    </row>
    <row r="21" spans="1:9" x14ac:dyDescent="0.25">
      <c r="A21" s="18">
        <f t="shared" si="0"/>
        <v>0</v>
      </c>
      <c r="B21" s="192"/>
      <c r="C21" s="192"/>
      <c r="D21" s="193"/>
      <c r="E21" s="192"/>
      <c r="F21" s="192"/>
      <c r="G21" s="192"/>
      <c r="H21" s="192"/>
      <c r="I21" s="192"/>
    </row>
    <row r="22" spans="1:9" x14ac:dyDescent="0.25">
      <c r="A22" s="18">
        <f t="shared" si="0"/>
        <v>0</v>
      </c>
      <c r="B22" s="192"/>
      <c r="C22" s="192"/>
      <c r="D22" s="193"/>
      <c r="E22" s="192"/>
      <c r="F22" s="192"/>
      <c r="G22" s="192"/>
      <c r="H22" s="192"/>
      <c r="I22" s="192"/>
    </row>
    <row r="23" spans="1:9" x14ac:dyDescent="0.25">
      <c r="A23" s="18">
        <f t="shared" si="0"/>
        <v>0</v>
      </c>
      <c r="B23" s="192"/>
      <c r="C23" s="192"/>
      <c r="D23" s="193"/>
      <c r="E23" s="192"/>
      <c r="F23" s="192"/>
      <c r="G23" s="192"/>
      <c r="H23" s="192"/>
      <c r="I23" s="192"/>
    </row>
    <row r="24" spans="1:9" x14ac:dyDescent="0.25">
      <c r="A24" s="18">
        <f t="shared" si="0"/>
        <v>0</v>
      </c>
      <c r="B24" s="192"/>
      <c r="C24" s="192"/>
      <c r="D24" s="193"/>
      <c r="E24" s="192"/>
      <c r="F24" s="192"/>
      <c r="G24" s="192"/>
      <c r="H24" s="192"/>
      <c r="I24" s="192"/>
    </row>
    <row r="25" spans="1:9" x14ac:dyDescent="0.25">
      <c r="A25" s="18">
        <f t="shared" si="0"/>
        <v>0</v>
      </c>
      <c r="B25" s="192"/>
      <c r="C25" s="192"/>
      <c r="D25" s="193"/>
      <c r="E25" s="192"/>
      <c r="F25" s="192"/>
      <c r="G25" s="192"/>
      <c r="H25" s="192"/>
      <c r="I25" s="192"/>
    </row>
    <row r="26" spans="1:9" x14ac:dyDescent="0.25">
      <c r="A26" s="18">
        <f t="shared" si="0"/>
        <v>0</v>
      </c>
      <c r="B26" s="192"/>
      <c r="C26" s="192"/>
      <c r="D26" s="193"/>
      <c r="E26" s="192"/>
      <c r="F26" s="192"/>
      <c r="G26" s="192"/>
      <c r="H26" s="192"/>
      <c r="I26" s="192"/>
    </row>
    <row r="27" spans="1:9" x14ac:dyDescent="0.25">
      <c r="A27" s="18">
        <f t="shared" si="0"/>
        <v>0</v>
      </c>
      <c r="B27" s="192"/>
      <c r="C27" s="192"/>
      <c r="D27" s="193"/>
      <c r="E27" s="192"/>
      <c r="F27" s="192"/>
      <c r="G27" s="192"/>
      <c r="H27" s="192"/>
      <c r="I27" s="192"/>
    </row>
    <row r="28" spans="1:9" x14ac:dyDescent="0.25">
      <c r="A28" s="18">
        <f t="shared" si="0"/>
        <v>0</v>
      </c>
      <c r="B28" s="192"/>
      <c r="C28" s="192"/>
      <c r="D28" s="193"/>
      <c r="E28" s="192"/>
      <c r="F28" s="192"/>
      <c r="G28" s="192"/>
      <c r="H28" s="192"/>
      <c r="I28" s="192"/>
    </row>
    <row r="29" spans="1:9" x14ac:dyDescent="0.25">
      <c r="A29" s="18">
        <f t="shared" si="0"/>
        <v>0</v>
      </c>
      <c r="B29" s="192"/>
      <c r="C29" s="192"/>
      <c r="D29" s="193"/>
      <c r="E29" s="192"/>
      <c r="F29" s="192"/>
      <c r="G29" s="192"/>
      <c r="H29" s="192"/>
      <c r="I29" s="192"/>
    </row>
    <row r="30" spans="1:9" x14ac:dyDescent="0.25">
      <c r="A30" s="18">
        <f t="shared" si="0"/>
        <v>0</v>
      </c>
      <c r="B30" s="192"/>
      <c r="C30" s="192"/>
      <c r="D30" s="193"/>
      <c r="E30" s="192"/>
      <c r="F30" s="192"/>
      <c r="G30" s="192"/>
      <c r="H30" s="192"/>
      <c r="I30" s="192"/>
    </row>
    <row r="31" spans="1:9" x14ac:dyDescent="0.25">
      <c r="A31" s="18">
        <f t="shared" si="0"/>
        <v>0</v>
      </c>
      <c r="B31" s="192"/>
      <c r="C31" s="192"/>
      <c r="D31" s="193"/>
      <c r="E31" s="192"/>
      <c r="F31" s="192"/>
      <c r="G31" s="192"/>
      <c r="H31" s="192"/>
      <c r="I31" s="192"/>
    </row>
    <row r="32" spans="1:9" x14ac:dyDescent="0.25">
      <c r="A32" s="18">
        <f t="shared" si="0"/>
        <v>0</v>
      </c>
      <c r="B32" s="192"/>
      <c r="C32" s="192"/>
      <c r="D32" s="193"/>
      <c r="E32" s="192"/>
      <c r="F32" s="192"/>
      <c r="G32" s="192"/>
      <c r="H32" s="192"/>
      <c r="I32" s="192"/>
    </row>
    <row r="33" spans="1:9" x14ac:dyDescent="0.25">
      <c r="A33" s="18">
        <f t="shared" si="0"/>
        <v>0</v>
      </c>
      <c r="B33" s="192"/>
      <c r="C33" s="192"/>
      <c r="D33" s="193"/>
      <c r="E33" s="192"/>
      <c r="F33" s="192"/>
      <c r="G33" s="192"/>
      <c r="H33" s="192"/>
      <c r="I33" s="192"/>
    </row>
    <row r="34" spans="1:9" x14ac:dyDescent="0.25">
      <c r="A34" s="18">
        <f t="shared" si="0"/>
        <v>0</v>
      </c>
      <c r="B34" s="192"/>
      <c r="C34" s="192"/>
      <c r="D34" s="193"/>
      <c r="E34" s="192"/>
      <c r="F34" s="192"/>
      <c r="G34" s="192"/>
      <c r="H34" s="192"/>
      <c r="I34" s="192"/>
    </row>
    <row r="35" spans="1:9" x14ac:dyDescent="0.25">
      <c r="A35" s="18">
        <f t="shared" si="0"/>
        <v>0</v>
      </c>
      <c r="B35" s="192"/>
      <c r="C35" s="192"/>
      <c r="D35" s="193"/>
      <c r="E35" s="192"/>
      <c r="F35" s="192"/>
      <c r="G35" s="192"/>
      <c r="H35" s="192"/>
      <c r="I35" s="192"/>
    </row>
    <row r="36" spans="1:9" x14ac:dyDescent="0.25">
      <c r="A36" s="18">
        <f t="shared" si="0"/>
        <v>0</v>
      </c>
      <c r="B36" s="192"/>
      <c r="C36" s="192"/>
      <c r="D36" s="193"/>
      <c r="E36" s="192"/>
      <c r="F36" s="192"/>
      <c r="G36" s="192"/>
      <c r="H36" s="192"/>
      <c r="I36" s="192"/>
    </row>
    <row r="37" spans="1:9" x14ac:dyDescent="0.25">
      <c r="A37" s="18">
        <f t="shared" si="0"/>
        <v>0</v>
      </c>
      <c r="B37" s="192"/>
      <c r="C37" s="192"/>
      <c r="D37" s="193"/>
      <c r="E37" s="192"/>
      <c r="F37" s="192"/>
      <c r="G37" s="192"/>
      <c r="H37" s="192"/>
      <c r="I37" s="192"/>
    </row>
    <row r="38" spans="1:9" x14ac:dyDescent="0.25">
      <c r="A38" s="18">
        <f t="shared" si="0"/>
        <v>0</v>
      </c>
      <c r="B38" s="192"/>
      <c r="C38" s="192"/>
      <c r="D38" s="193"/>
      <c r="E38" s="192"/>
      <c r="F38" s="192"/>
      <c r="G38" s="192"/>
      <c r="H38" s="192"/>
      <c r="I38" s="192"/>
    </row>
    <row r="39" spans="1:9" x14ac:dyDescent="0.25">
      <c r="A39" s="18">
        <f t="shared" si="0"/>
        <v>0</v>
      </c>
      <c r="B39" s="192"/>
      <c r="C39" s="192"/>
      <c r="D39" s="193"/>
      <c r="E39" s="192"/>
      <c r="F39" s="192"/>
      <c r="G39" s="192"/>
      <c r="H39" s="192"/>
      <c r="I39" s="192"/>
    </row>
    <row r="40" spans="1:9" x14ac:dyDescent="0.25">
      <c r="A40" s="18">
        <f t="shared" ref="A40:A67" si="1">IF(COUNTBLANK(B40:G40)+COUNTBLANK(H40:I40)=0,1,0)</f>
        <v>0</v>
      </c>
      <c r="B40" s="192"/>
      <c r="C40" s="192"/>
      <c r="D40" s="193"/>
      <c r="E40" s="192"/>
      <c r="F40" s="192"/>
      <c r="G40" s="192"/>
      <c r="H40" s="192"/>
      <c r="I40" s="192"/>
    </row>
    <row r="41" spans="1:9" x14ac:dyDescent="0.25">
      <c r="A41" s="18">
        <f t="shared" si="1"/>
        <v>0</v>
      </c>
      <c r="B41" s="192"/>
      <c r="C41" s="192"/>
      <c r="D41" s="193"/>
      <c r="E41" s="192"/>
      <c r="F41" s="192"/>
      <c r="G41" s="192"/>
      <c r="H41" s="192"/>
      <c r="I41" s="192"/>
    </row>
    <row r="42" spans="1:9" x14ac:dyDescent="0.25">
      <c r="A42" s="18">
        <f t="shared" si="1"/>
        <v>0</v>
      </c>
      <c r="B42" s="192"/>
      <c r="C42" s="192"/>
      <c r="D42" s="193"/>
      <c r="E42" s="192"/>
      <c r="F42" s="192"/>
      <c r="G42" s="192"/>
      <c r="H42" s="192"/>
      <c r="I42" s="192"/>
    </row>
    <row r="43" spans="1:9" x14ac:dyDescent="0.25">
      <c r="A43" s="18">
        <f t="shared" si="1"/>
        <v>0</v>
      </c>
      <c r="B43" s="192"/>
      <c r="C43" s="192"/>
      <c r="D43" s="193"/>
      <c r="E43" s="192"/>
      <c r="F43" s="192"/>
      <c r="G43" s="192"/>
      <c r="H43" s="192"/>
      <c r="I43" s="192"/>
    </row>
    <row r="44" spans="1:9" x14ac:dyDescent="0.25">
      <c r="A44" s="18">
        <f t="shared" si="1"/>
        <v>0</v>
      </c>
      <c r="B44" s="192"/>
      <c r="C44" s="192"/>
      <c r="D44" s="193"/>
      <c r="E44" s="192"/>
      <c r="F44" s="192"/>
      <c r="G44" s="192"/>
      <c r="H44" s="192"/>
      <c r="I44" s="192"/>
    </row>
    <row r="45" spans="1:9" x14ac:dyDescent="0.25">
      <c r="A45" s="18">
        <f t="shared" si="1"/>
        <v>0</v>
      </c>
      <c r="B45" s="192"/>
      <c r="C45" s="192"/>
      <c r="D45" s="193"/>
      <c r="E45" s="192"/>
      <c r="F45" s="192"/>
      <c r="G45" s="192"/>
      <c r="H45" s="192"/>
      <c r="I45" s="192"/>
    </row>
    <row r="46" spans="1:9" x14ac:dyDescent="0.25">
      <c r="A46" s="18">
        <f t="shared" si="1"/>
        <v>0</v>
      </c>
      <c r="B46" s="192"/>
      <c r="C46" s="192"/>
      <c r="D46" s="193"/>
      <c r="E46" s="192"/>
      <c r="F46" s="192"/>
      <c r="G46" s="192"/>
      <c r="H46" s="192"/>
      <c r="I46" s="192"/>
    </row>
    <row r="47" spans="1:9" x14ac:dyDescent="0.25">
      <c r="A47" s="18">
        <f t="shared" si="1"/>
        <v>0</v>
      </c>
      <c r="B47" s="192"/>
      <c r="C47" s="192"/>
      <c r="D47" s="193"/>
      <c r="E47" s="192"/>
      <c r="F47" s="192"/>
      <c r="G47" s="192"/>
      <c r="H47" s="192"/>
      <c r="I47" s="192"/>
    </row>
    <row r="48" spans="1:9" x14ac:dyDescent="0.25">
      <c r="A48" s="18">
        <f t="shared" si="1"/>
        <v>0</v>
      </c>
      <c r="B48" s="192"/>
      <c r="C48" s="192"/>
      <c r="D48" s="193"/>
      <c r="E48" s="192"/>
      <c r="F48" s="192"/>
      <c r="G48" s="192"/>
      <c r="H48" s="192"/>
      <c r="I48" s="192"/>
    </row>
    <row r="49" spans="1:9" x14ac:dyDescent="0.25">
      <c r="A49" s="18">
        <f t="shared" si="1"/>
        <v>0</v>
      </c>
      <c r="B49" s="192"/>
      <c r="C49" s="192"/>
      <c r="D49" s="193"/>
      <c r="E49" s="192"/>
      <c r="F49" s="192"/>
      <c r="G49" s="192"/>
      <c r="H49" s="192"/>
      <c r="I49" s="192"/>
    </row>
    <row r="50" spans="1:9" x14ac:dyDescent="0.25">
      <c r="A50" s="18">
        <f t="shared" si="1"/>
        <v>0</v>
      </c>
      <c r="B50" s="192"/>
      <c r="C50" s="192"/>
      <c r="D50" s="193"/>
      <c r="E50" s="192"/>
      <c r="F50" s="192"/>
      <c r="G50" s="192"/>
      <c r="H50" s="192"/>
      <c r="I50" s="192"/>
    </row>
    <row r="51" spans="1:9" x14ac:dyDescent="0.25">
      <c r="A51" s="18">
        <f t="shared" si="1"/>
        <v>0</v>
      </c>
      <c r="B51" s="192"/>
      <c r="C51" s="192"/>
      <c r="D51" s="193"/>
      <c r="E51" s="192"/>
      <c r="F51" s="192"/>
      <c r="G51" s="192"/>
      <c r="H51" s="192"/>
      <c r="I51" s="192"/>
    </row>
    <row r="52" spans="1:9" x14ac:dyDescent="0.25">
      <c r="A52" s="18">
        <f t="shared" si="1"/>
        <v>0</v>
      </c>
      <c r="B52" s="192"/>
      <c r="C52" s="192"/>
      <c r="D52" s="193"/>
      <c r="E52" s="192"/>
      <c r="F52" s="192"/>
      <c r="G52" s="192"/>
      <c r="H52" s="192"/>
      <c r="I52" s="192"/>
    </row>
    <row r="53" spans="1:9" x14ac:dyDescent="0.25">
      <c r="A53" s="18">
        <f t="shared" si="1"/>
        <v>0</v>
      </c>
      <c r="B53" s="192"/>
      <c r="C53" s="192"/>
      <c r="D53" s="193"/>
      <c r="E53" s="192"/>
      <c r="F53" s="192"/>
      <c r="G53" s="192"/>
      <c r="H53" s="192"/>
      <c r="I53" s="192"/>
    </row>
    <row r="54" spans="1:9" x14ac:dyDescent="0.25">
      <c r="A54" s="18">
        <f t="shared" si="1"/>
        <v>0</v>
      </c>
      <c r="B54" s="192"/>
      <c r="C54" s="192"/>
      <c r="D54" s="193"/>
      <c r="E54" s="192"/>
      <c r="F54" s="192"/>
      <c r="G54" s="192"/>
      <c r="H54" s="192"/>
      <c r="I54" s="192"/>
    </row>
    <row r="55" spans="1:9" x14ac:dyDescent="0.25">
      <c r="A55" s="18">
        <f t="shared" si="1"/>
        <v>0</v>
      </c>
      <c r="B55" s="192"/>
      <c r="C55" s="192"/>
      <c r="D55" s="193"/>
      <c r="E55" s="192"/>
      <c r="F55" s="192"/>
      <c r="G55" s="192"/>
      <c r="H55" s="192"/>
      <c r="I55" s="192"/>
    </row>
    <row r="56" spans="1:9" x14ac:dyDescent="0.25">
      <c r="A56" s="18">
        <f t="shared" si="1"/>
        <v>0</v>
      </c>
      <c r="B56" s="192"/>
      <c r="C56" s="192"/>
      <c r="D56" s="193"/>
      <c r="E56" s="192"/>
      <c r="F56" s="192"/>
      <c r="G56" s="192"/>
      <c r="H56" s="192"/>
      <c r="I56" s="192"/>
    </row>
    <row r="57" spans="1:9" x14ac:dyDescent="0.25">
      <c r="A57" s="18">
        <f t="shared" si="1"/>
        <v>0</v>
      </c>
      <c r="B57" s="192"/>
      <c r="C57" s="192"/>
      <c r="D57" s="193"/>
      <c r="E57" s="192"/>
      <c r="F57" s="192"/>
      <c r="G57" s="192"/>
      <c r="H57" s="192"/>
      <c r="I57" s="192"/>
    </row>
    <row r="58" spans="1:9" x14ac:dyDescent="0.25">
      <c r="A58" s="18">
        <f t="shared" si="1"/>
        <v>0</v>
      </c>
      <c r="B58" s="192"/>
      <c r="C58" s="192"/>
      <c r="D58" s="193"/>
      <c r="E58" s="192"/>
      <c r="F58" s="192"/>
      <c r="G58" s="192"/>
      <c r="H58" s="192"/>
      <c r="I58" s="192"/>
    </row>
    <row r="59" spans="1:9" x14ac:dyDescent="0.25">
      <c r="A59" s="18">
        <f t="shared" si="1"/>
        <v>0</v>
      </c>
      <c r="B59" s="192"/>
      <c r="C59" s="192"/>
      <c r="D59" s="193"/>
      <c r="E59" s="192"/>
      <c r="F59" s="192"/>
      <c r="G59" s="192"/>
      <c r="H59" s="192"/>
      <c r="I59" s="192"/>
    </row>
    <row r="60" spans="1:9" x14ac:dyDescent="0.25">
      <c r="A60" s="18">
        <f t="shared" si="1"/>
        <v>0</v>
      </c>
      <c r="B60" s="192"/>
      <c r="C60" s="192"/>
      <c r="D60" s="193"/>
      <c r="E60" s="192"/>
      <c r="F60" s="192"/>
      <c r="G60" s="192"/>
      <c r="H60" s="192"/>
      <c r="I60" s="192"/>
    </row>
    <row r="61" spans="1:9" x14ac:dyDescent="0.25">
      <c r="A61" s="18">
        <f t="shared" si="1"/>
        <v>0</v>
      </c>
      <c r="B61" s="192"/>
      <c r="C61" s="192"/>
      <c r="D61" s="193"/>
      <c r="E61" s="192"/>
      <c r="F61" s="192"/>
      <c r="G61" s="192"/>
      <c r="H61" s="192"/>
      <c r="I61" s="192"/>
    </row>
    <row r="62" spans="1:9" x14ac:dyDescent="0.25">
      <c r="A62" s="18">
        <f t="shared" si="1"/>
        <v>0</v>
      </c>
      <c r="B62" s="192"/>
      <c r="C62" s="192"/>
      <c r="D62" s="193"/>
      <c r="E62" s="192"/>
      <c r="F62" s="192"/>
      <c r="G62" s="192"/>
      <c r="H62" s="192"/>
      <c r="I62" s="192"/>
    </row>
    <row r="63" spans="1:9" x14ac:dyDescent="0.25">
      <c r="A63" s="18">
        <f t="shared" si="1"/>
        <v>0</v>
      </c>
      <c r="B63" s="192"/>
      <c r="C63" s="192"/>
      <c r="D63" s="193"/>
      <c r="E63" s="192"/>
      <c r="F63" s="192"/>
      <c r="G63" s="192"/>
      <c r="H63" s="192"/>
      <c r="I63" s="192"/>
    </row>
    <row r="64" spans="1:9" x14ac:dyDescent="0.25">
      <c r="A64" s="18">
        <f t="shared" si="1"/>
        <v>0</v>
      </c>
      <c r="B64" s="192"/>
      <c r="C64" s="192"/>
      <c r="D64" s="193"/>
      <c r="E64" s="192"/>
      <c r="F64" s="192"/>
      <c r="G64" s="192"/>
      <c r="H64" s="192"/>
      <c r="I64" s="192"/>
    </row>
    <row r="65" spans="1:9" x14ac:dyDescent="0.25">
      <c r="A65" s="18">
        <f t="shared" si="1"/>
        <v>0</v>
      </c>
      <c r="B65" s="192"/>
      <c r="C65" s="192"/>
      <c r="D65" s="193"/>
      <c r="E65" s="192"/>
      <c r="F65" s="192"/>
      <c r="G65" s="192"/>
      <c r="H65" s="192"/>
      <c r="I65" s="192"/>
    </row>
    <row r="66" spans="1:9" x14ac:dyDescent="0.25">
      <c r="A66" s="18">
        <f t="shared" si="1"/>
        <v>0</v>
      </c>
      <c r="B66" s="192"/>
      <c r="C66" s="192"/>
      <c r="D66" s="193"/>
      <c r="E66" s="192"/>
      <c r="F66" s="192"/>
      <c r="G66" s="192"/>
      <c r="H66" s="192"/>
      <c r="I66" s="192"/>
    </row>
    <row r="67" spans="1:9" x14ac:dyDescent="0.25">
      <c r="A67" s="18">
        <f t="shared" si="1"/>
        <v>0</v>
      </c>
      <c r="B67" s="192"/>
      <c r="C67" s="192"/>
      <c r="D67" s="193"/>
      <c r="E67" s="192"/>
      <c r="F67" s="192"/>
      <c r="G67" s="192"/>
      <c r="H67" s="192"/>
      <c r="I67" s="192"/>
    </row>
    <row r="68" spans="1:9" x14ac:dyDescent="0.25">
      <c r="B68" s="185"/>
      <c r="C68" s="185"/>
      <c r="D68" s="185"/>
      <c r="E68" s="185"/>
      <c r="F68" s="185"/>
      <c r="G68" s="185"/>
      <c r="H68" s="185"/>
      <c r="I68" s="185"/>
    </row>
  </sheetData>
  <dataConsolidate link="1"/>
  <conditionalFormatting sqref="B8:C67">
    <cfRule type="expression" dxfId="51" priority="9">
      <formula>IF($B8&lt;&gt;"",TRUE,FALSE)</formula>
    </cfRule>
  </conditionalFormatting>
  <conditionalFormatting sqref="F8:G67">
    <cfRule type="expression" dxfId="50" priority="8">
      <formula>IF($F8&lt;&gt;"",TRUE,FALSE)</formula>
    </cfRule>
  </conditionalFormatting>
  <conditionalFormatting sqref="D8:E67">
    <cfRule type="expression" dxfId="49" priority="2">
      <formula>IF($D8&lt;&gt;"",1,0)</formula>
    </cfRule>
  </conditionalFormatting>
  <conditionalFormatting sqref="H8:I67">
    <cfRule type="expression" dxfId="48" priority="1">
      <formula>IF(AND($H8&lt;&gt;"",$I8&lt;&gt;""),1,0)</formula>
    </cfRule>
  </conditionalFormatting>
  <conditionalFormatting sqref="B8:I67">
    <cfRule type="expression" dxfId="47" priority="31">
      <formula>IF(AND($A1048525=0,COUNTBLANK($B8:$G8)+COUNTBLANK($H8:$I8)&lt;8),1,0)</formula>
    </cfRule>
  </conditionalFormatting>
  <dataValidations count="1">
    <dataValidation type="decimal" allowBlank="1" showInputMessage="1" showErrorMessage="1" sqref="D8:E67" xr:uid="{00000000-0002-0000-0400-000000000000}">
      <formula1>0</formula1>
      <formula2>9999</formula2>
    </dataValidation>
  </dataValidations>
  <pageMargins left="0.7" right="0.7" top="0.75" bottom="0.75" header="0.3" footer="0.3"/>
  <pageSetup paperSize="9" orientation="portrait" r:id="rId1"/>
  <legacyDrawing r:id="rId2"/>
  <extLst>
    <ext xmlns:x14="http://schemas.microsoft.com/office/spreadsheetml/2009/9/main" uri="{78C0D931-6437-407d-A8EE-F0AAD7539E65}">
      <x14:conditionalFormattings>
        <x14:conditionalFormatting xmlns:xm="http://schemas.microsoft.com/office/excel/2006/main">
          <x14:cfRule type="expression" priority="4" id="{43C31F6B-3108-458F-AC6E-8E0CADB5411A}">
            <xm:f>ISNA('Dependency (hide)'!$B113)</xm:f>
            <x14:dxf>
              <fill>
                <patternFill>
                  <bgColor theme="5"/>
                </patternFill>
              </fill>
            </x14:dxf>
          </x14:cfRule>
          <xm:sqref>C8:C67</xm:sqref>
        </x14:conditionalFormatting>
        <x14:conditionalFormatting xmlns:xm="http://schemas.microsoft.com/office/excel/2006/main">
          <x14:cfRule type="expression" priority="3" id="{96E9FC60-F7AC-4F63-B663-63A84182AB94}">
            <xm:f>IF(ISNA('Dependency (hide)'!$D113),1,0)</xm:f>
            <x14:dxf>
              <fill>
                <patternFill>
                  <bgColor theme="5"/>
                </patternFill>
              </fill>
            </x14:dxf>
          </x14:cfRule>
          <xm:sqref>G8:G67</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400-000001000000}">
          <x14:formula1>
            <xm:f>OFFSET('Data files'!$A$16:$A$35,0,0,'Data files'!$E$9,1)</xm:f>
          </x14:formula1>
          <xm:sqref>B8:B67</xm:sqref>
        </x14:dataValidation>
        <x14:dataValidation type="list" allowBlank="1" showInputMessage="1" showErrorMessage="1" xr:uid="{00000000-0002-0000-0400-000002000000}">
          <x14:formula1>
            <xm:f>OFFSET('Data files'!$A$16:$A$35,'Dependency (hide)'!N113,0,'Data files'!$E$9-('Dependency (hide)'!N113),1)</xm:f>
          </x14:formula1>
          <xm:sqref>F8:F67</xm:sqref>
        </x14:dataValidation>
        <x14:dataValidation type="list" allowBlank="1" showInputMessage="1" showErrorMessage="1" xr:uid="{00000000-0002-0000-0400-000004000000}">
          <x14:formula1>
            <xm:f>OFFSET('Control Sheet'!$I$45,'Dependency (hide)'!O113,0,1,OFFSET('Control Sheet'!$H$45,'Dependency (hide)'!O113,0,1,1))</xm:f>
          </x14:formula1>
          <xm:sqref>G8:G67</xm:sqref>
        </x14:dataValidation>
        <x14:dataValidation type="list" allowBlank="1" showInputMessage="1" showErrorMessage="1" xr:uid="{00000000-0002-0000-0400-000003000000}">
          <x14:formula1>
            <xm:f>IF(B8&lt;&gt;"",OFFSET('Control Sheet'!$I$45,'Dependency (hide)'!N113,0,1,OFFSET('Control Sheet'!$H$45,'Dependency (hide)'!N113,0,1,1)),$A$1)</xm:f>
          </x14:formula1>
          <xm:sqref>C8:C67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23489-6862-4781-AA2A-0345118FF040}">
  <sheetPr codeName="Sheet38"/>
  <dimension ref="A1:AH118"/>
  <sheetViews>
    <sheetView topLeftCell="H1" workbookViewId="0">
      <selection activeCell="M36" sqref="M36"/>
    </sheetView>
  </sheetViews>
  <sheetFormatPr defaultRowHeight="13.8" x14ac:dyDescent="0.25"/>
  <cols>
    <col min="5" max="5" width="10.8984375" bestFit="1" customWidth="1"/>
    <col min="7" max="7" width="10.8984375" bestFit="1" customWidth="1"/>
    <col min="11" max="11" width="9.8984375" bestFit="1" customWidth="1"/>
    <col min="18" max="18" width="13.796875" customWidth="1"/>
  </cols>
  <sheetData>
    <row r="1" spans="1:34" x14ac:dyDescent="0.25">
      <c r="A1" t="s">
        <v>1229</v>
      </c>
    </row>
    <row r="3" spans="1:34" x14ac:dyDescent="0.25">
      <c r="P3" t="str">
        <f ca="1">"Demand and capacity balance for "&amp;IF('DC Balance'!$H$4="Total","all processes",'DC Balance'!$H$4)&amp;", "&amp;IF(C5=0,"week commencing "&amp;D5,IF('DC Balance'!$S$5&lt;&gt;"Aggregate for year", "by week, for ","aggregated for year"))</f>
        <v>Demand and capacity balance for all processes, week commencing 30 Dec 2019</v>
      </c>
    </row>
    <row r="4" spans="1:34" x14ac:dyDescent="0.25">
      <c r="B4" t="s">
        <v>1230</v>
      </c>
      <c r="C4">
        <v>1</v>
      </c>
      <c r="T4" t="s">
        <v>1036</v>
      </c>
      <c r="W4">
        <f ca="1">MATCH('DC Balance'!$H$4,Range_Process_Select,0)-1</f>
        <v>0</v>
      </c>
    </row>
    <row r="5" spans="1:34" x14ac:dyDescent="0.25">
      <c r="B5" t="s">
        <v>1231</v>
      </c>
      <c r="C5">
        <f>IF(OR('DC Balance'!S5="Aggregate for year",'DC Balance'!S8="Year"),1,0)</f>
        <v>0</v>
      </c>
      <c r="D5" t="str">
        <f ca="1">TEXT(OFFSET($K$38,'DC Balance (hide)'!C4,0,1,1),"dd mmm yyyy")</f>
        <v>30 Dec 2019</v>
      </c>
      <c r="T5" t="s">
        <v>1037</v>
      </c>
      <c r="W5" t="str">
        <f ca="1">OFFSET('Control Sheet'!$H$45,$W$4,0,1,1)</f>
        <v>Max Number Types</v>
      </c>
    </row>
    <row r="6" spans="1:34" x14ac:dyDescent="0.25">
      <c r="B6" t="s">
        <v>1233</v>
      </c>
      <c r="C6">
        <f ca="1">MROUND('Control Sheet'!M67,'Control Sheet'!M68)+IF(MROUND('Control Sheet'!M67,'Control Sheet'!M68)&lt;'Control Sheet'!M67,'Control Sheet'!M68,0)</f>
        <v>35</v>
      </c>
      <c r="T6" t="s">
        <v>1237</v>
      </c>
      <c r="W6">
        <f ca="1">IF(LEFT(W5,1)="M",0,IF(W5=1,1,MATCH('DC Balance'!S11,'DC Balance (hide)'!T8:T10,0)))</f>
        <v>0</v>
      </c>
      <c r="Z6" t="s">
        <v>1285</v>
      </c>
      <c r="AD6" t="s">
        <v>1307</v>
      </c>
    </row>
    <row r="7" spans="1:34" x14ac:dyDescent="0.25">
      <c r="C7" t="s">
        <v>947</v>
      </c>
      <c r="F7" t="s">
        <v>987</v>
      </c>
      <c r="G7" t="s">
        <v>947</v>
      </c>
      <c r="J7" t="s">
        <v>988</v>
      </c>
      <c r="K7" t="s">
        <v>947</v>
      </c>
      <c r="N7" t="s">
        <v>992</v>
      </c>
      <c r="T7" t="s">
        <v>986</v>
      </c>
      <c r="U7" t="s">
        <v>984</v>
      </c>
      <c r="V7" t="s">
        <v>985</v>
      </c>
      <c r="W7" t="s">
        <v>951</v>
      </c>
      <c r="X7" t="s">
        <v>1311</v>
      </c>
      <c r="Z7" t="s">
        <v>1284</v>
      </c>
      <c r="AA7" t="str">
        <f>'Parameter check'!$H$3</f>
        <v>% NASL subsequently discharged</v>
      </c>
    </row>
    <row r="8" spans="1:34" x14ac:dyDescent="0.25">
      <c r="B8" t="s">
        <v>986</v>
      </c>
      <c r="C8" t="s">
        <v>984</v>
      </c>
      <c r="D8" t="s">
        <v>985</v>
      </c>
      <c r="E8" t="s">
        <v>951</v>
      </c>
      <c r="F8" t="s">
        <v>986</v>
      </c>
      <c r="G8" t="s">
        <v>984</v>
      </c>
      <c r="H8" t="s">
        <v>985</v>
      </c>
      <c r="I8" t="s">
        <v>951</v>
      </c>
      <c r="J8" t="s">
        <v>986</v>
      </c>
      <c r="K8" t="s">
        <v>984</v>
      </c>
      <c r="L8" t="s">
        <v>985</v>
      </c>
      <c r="M8" t="s">
        <v>951</v>
      </c>
      <c r="N8">
        <v>1</v>
      </c>
      <c r="O8">
        <v>2</v>
      </c>
      <c r="P8">
        <v>3</v>
      </c>
      <c r="R8" t="s">
        <v>996</v>
      </c>
      <c r="S8" t="str">
        <f ca="1">OFFSET('Control Sheet'!$B$45,$W$4,0,1,1)</f>
        <v>Description</v>
      </c>
      <c r="T8" t="str">
        <f ca="1">OFFSET($B$8,$W$4,0,1,1)</f>
        <v>POD</v>
      </c>
      <c r="U8" t="str">
        <f ca="1">OFFSET($C$8,$W$4,0,1,1)</f>
        <v>Lower</v>
      </c>
      <c r="V8" t="str">
        <f ca="1">OFFSET($D$8,$W$4,0,1,1)</f>
        <v>Upper</v>
      </c>
      <c r="W8" t="str">
        <f ca="1">OFFSET($E$8,$W$4,0,1,1)</f>
        <v>Capacity</v>
      </c>
      <c r="X8" t="str">
        <f ca="1">OFFSET($AD$8,$W$4,0,1,1)</f>
        <v>1st</v>
      </c>
      <c r="Z8" t="s">
        <v>1288</v>
      </c>
      <c r="AA8" t="s">
        <v>987</v>
      </c>
      <c r="AB8" t="s">
        <v>1289</v>
      </c>
      <c r="AD8" t="s">
        <v>1288</v>
      </c>
      <c r="AE8" t="s">
        <v>987</v>
      </c>
      <c r="AF8" t="s">
        <v>1289</v>
      </c>
      <c r="AH8" t="s">
        <v>1458</v>
      </c>
    </row>
    <row r="9" spans="1:34" x14ac:dyDescent="0.25">
      <c r="A9">
        <v>1</v>
      </c>
      <c r="B9" t="str">
        <f>IF($A9&lt;='Data files'!$E$9,'Control Sheet'!I46,0)</f>
        <v>New</v>
      </c>
      <c r="C9" s="8">
        <f>IF($A9&lt;=No_Components,IF($C$5=0,IF(AND(LEFT('DC Balance'!$S$22,1)="O",$AH9=1),INDEX('File 1'!$D$58:$D$110,$C$4),INDEX('File 1'!$T$58:$T$110,$C$4)),'File 1'!$D$6),0)</f>
        <v>23.375250655101734</v>
      </c>
      <c r="D9" s="8">
        <f>IF($A9&lt;=No_Components,IF($C$5=0,IF(AND(LEFT('DC Balance'!$S$22,1)="O",$AH9=1),INDEX('File 1'!$E$58:$E$110,$C$4),INDEX('File 1'!$W$58:$W$110,$C$4)),'File 1'!$D$7)-$C$9,0)</f>
        <v>1.1200640938902922</v>
      </c>
      <c r="E9" s="8">
        <f ca="1">IF($A9&lt;=No_Components,IF($C$5=0,IF(AND(LEFT('DC Balance'!$S$22,1)="O",$AH8=1),INDEX('File 1'!$F$58:$F$110,$C$4),INDEX('File 1'!$Z$58:$Z$110,$C$4)),'File 1'!$D$13)/'File 1'!$Z$54,0)</f>
        <v>10.028082154066407</v>
      </c>
      <c r="F9" s="8">
        <f>IF($A9&lt;='Data files'!$E$9,'Control Sheet'!J46,0)</f>
        <v>0</v>
      </c>
      <c r="G9" s="8">
        <f>IF($A9&lt;=No_Components,IF($C$5=0,INDEX('File 1'!U58:U110,$C$4),0.95*'File 1'!H6),0)</f>
        <v>0</v>
      </c>
      <c r="H9" s="8">
        <f>IF($A9&lt;=No_Components,IF($C$5=0,INDEX('File 1'!X58:X110,$C$4),1.05*'File 1'!H6),0)-G9</f>
        <v>0</v>
      </c>
      <c r="I9" s="8">
        <f>IF($A9&lt;=No_Components,IF($C$5=0,INDEX('File 1'!AA58:AA110,$C$4)/IF('File 1'!AA54=0,1,'File 1'!AA54),'File 1'!H13),0)</f>
        <v>0</v>
      </c>
      <c r="J9" s="8">
        <f>IF($A9&lt;='Data files'!$E$9,'Control Sheet'!K46,0)</f>
        <v>0</v>
      </c>
      <c r="K9" s="8">
        <f>IF($A9&lt;=No_Components,IF($C$5=0,INDEX('File 1'!V58:V110,$C$4),0.95*'File 1'!L6),0)</f>
        <v>0</v>
      </c>
      <c r="L9" s="8">
        <f>IF($A9&lt;=No_Components,IF($C$5=0,INDEX('File 1'!Y58:Y110,$C$4),1.05*'File 1'!L6),0)-K9</f>
        <v>0</v>
      </c>
      <c r="M9" s="8">
        <f>IF($A9&lt;=No_Components,IF($C$5=0,INDEX('File 1'!AB58:AB110,$C$4)/IF('File 1'!AB54=0,1,'File 1'!AB54),'File 1'!L13),0)</f>
        <v>0</v>
      </c>
      <c r="N9" s="8">
        <f ca="1">IF($A9&lt;='Data files'!$E$9,IF(E9&lt;C9,1,IF(E9&lt;D9,2,3)),0)</f>
        <v>1</v>
      </c>
      <c r="O9" s="8">
        <f>IF(AND($A9&lt;='Data files'!$E$9,'Control Sheet'!H46&gt;1),IF(I9&lt;0.95*G9,1,IF(I9&lt;1.05*G9,2,3)),0)</f>
        <v>0</v>
      </c>
      <c r="P9" s="8">
        <f>IF(AND($A9&lt;='Data files'!$E$9,'Control Sheet'!H46&gt;1),IF(M9&lt;0.95*K9,1,IF(M9&lt;1.05*K9,2,3)),0)</f>
        <v>0</v>
      </c>
      <c r="R9" t="s">
        <v>997</v>
      </c>
      <c r="T9" t="str">
        <f ca="1">OFFSET($F$8,$W$4,0,1,1)</f>
        <v>POD</v>
      </c>
      <c r="U9" t="str">
        <f ca="1">OFFSET($G$8,$W$4,0,1,1)</f>
        <v>Lower</v>
      </c>
      <c r="V9" t="str">
        <f ca="1">OFFSET($H$8,$W$4,0,1,1)</f>
        <v>Upper</v>
      </c>
      <c r="W9" t="str">
        <f ca="1">OFFSET($I$8,$W$4,0,1,1)</f>
        <v>Capacity</v>
      </c>
      <c r="X9" t="str">
        <f ca="1">OFFSET($AE$8,$W$4,0,1,1)</f>
        <v>2nd</v>
      </c>
      <c r="Z9">
        <f ca="1">INDIRECT("'File "&amp;$A9&amp;"'!"&amp;INDEX('Control Sheet'!$L$12:$L$15,'Dependency (hide)'!$O$21))</f>
        <v>0.20000000000000004</v>
      </c>
      <c r="AA9">
        <f ca="1">INDIRECT("'File "&amp;$A9&amp;"'!FU_"&amp;INDEX('Control Sheet'!$L$12:$L$15,'Dependency (hide)'!$O$21))</f>
        <v>0</v>
      </c>
      <c r="AB9">
        <f ca="1">INDIRECT("'File "&amp;$A9&amp;"'!IP_"&amp;INDEX('Control Sheet'!$L$12:$L$15,'Dependency (hide)'!$O$21))</f>
        <v>0</v>
      </c>
      <c r="AD9">
        <f ca="1">IF($A9&lt;=No_Components,IF($C$5=0,IF(LEFT('DC Balance'!$S$22,1)="P",INDEX('File 1'!$AF$58:$AF$110,$C$4),INDEX('File 1'!$I$58:$I$110,$C$4)),AVERAGE('File 1'!$AF$58:AF109)),0)</f>
        <v>8.5711359506635088</v>
      </c>
      <c r="AE9">
        <f t="shared" ref="AE9:AE28" ca="1" si="0">IF($A9&lt;=No_Components,IF($C$5=0,OFFSET(INDIRECT("'File "&amp;$A9&amp;"'!AG57"),$C$4,0,1,1),AVERAGE(INDIRECT("'File "&amp;$A9&amp;"'!AG58:AG109"))),0)</f>
        <v>0</v>
      </c>
      <c r="AF9">
        <f t="shared" ref="AF9:AF28" ca="1" si="1">IF($A9&lt;=No_Components,IF($C$5=0,OFFSET(INDIRECT("'File "&amp;$A9&amp;"'!AH57"),$C$4,0,1,1),AVERAGE(INDIRECT("'File "&amp;$A9&amp;"'!AH58:AH109"))),0)</f>
        <v>0</v>
      </c>
      <c r="AH9">
        <f>IF('Control Sheet'!D46&gt;=7,1,0)</f>
        <v>1</v>
      </c>
    </row>
    <row r="10" spans="1:34" x14ac:dyDescent="0.25">
      <c r="A10">
        <v>2</v>
      </c>
      <c r="B10">
        <f>IF($A10&lt;='Data files'!$E$9,'Control Sheet'!I47,0)</f>
        <v>0</v>
      </c>
      <c r="C10" s="8">
        <f>IF($A10&lt;=No_Components,IF($C$5=0,IF(AND(LEFT('DC Balance'!$S$22,1)="O",$AH10=1),INDEX('File 2'!$D$58:$D$110,$C$4),INDEX('File 2'!$T$58:$T$110,$C$4)),'File 2'!$D$6),0)</f>
        <v>0</v>
      </c>
      <c r="D10" s="8">
        <f>IF($A10&lt;=No_Components,IF($C$5=0,IF(AND(LEFT('DC Balance'!$S$22,1)="O",$AH10=1),INDEX('File 2'!$E$58:$E$110,$C$4),INDEX('File 2'!$W$58:$W$110,$C$4)),'File 2'!$D$7)-$C$10,0)</f>
        <v>0</v>
      </c>
      <c r="E10" s="8">
        <f>IF($A10&lt;=No_Components,IF($C$5=0,IF(AND(LEFT('DC Balance'!$S$22,1)="O",$AH8=1),INDEX('File 2'!$F$58:$F$110,$C$4),INDEX('File 2'!$Z$58:$Z$110,$C$4)),'File 2'!$D$13/'File 2'!$Z$54),0)</f>
        <v>0</v>
      </c>
      <c r="F10" s="8">
        <f>IF($A10&lt;='Data files'!$E$9,'Control Sheet'!J47,0)</f>
        <v>0</v>
      </c>
      <c r="G10" s="8">
        <f>IF($A9&lt;=No_Components,IF($C$5=0,INDEX('File 2'!U58:U110,$C$4),0.95*'File 2'!H6),0)</f>
        <v>0</v>
      </c>
      <c r="H10" s="8">
        <f>IF($A9&lt;=No_Components,IF($C$5=0,INDEX('File 2'!X58:X110,$C$4),1.05*'File 2'!H6),0)-G10</f>
        <v>0</v>
      </c>
      <c r="I10" s="8">
        <f>IF($A9&lt;=No_Components,IF($C$5=0,INDEX('File 2'!AA58:AA110,$C$4)/IF('File 2'!AA54=0,1,'File 2'!AA54),'File 2'!H13),0)</f>
        <v>0</v>
      </c>
      <c r="J10" s="8">
        <f>IF($A10&lt;='Data files'!$E$9,'Control Sheet'!K47,0)</f>
        <v>0</v>
      </c>
      <c r="K10" s="8">
        <f>IF($A9&lt;=No_Components,IF($C$5=0,INDEX('File 2'!V58:V110,$C$4),0.95*'File 2'!L6),0)</f>
        <v>0</v>
      </c>
      <c r="L10" s="8">
        <f>IF($A9&lt;=No_Components,IF($C$5=0,INDEX('File 2'!Y58:Y110,$C$4),1.05*'File 2'!L6),0)-K10</f>
        <v>0</v>
      </c>
      <c r="M10" s="8">
        <f>IF($A9&lt;=No_Components,IF($C$5=0,INDEX('File 2'!AB58:AB110,$C$4)/IF('File 2'!AB54=0,1,'File 2'!AB54),'File 2'!L13),0)</f>
        <v>0</v>
      </c>
      <c r="N10" s="8">
        <f>IF($A10&lt;='Data files'!$E$9,IF(E10&lt;C10,1,IF(E10&lt;D10,2,3)),0)</f>
        <v>0</v>
      </c>
      <c r="O10" s="8">
        <f>IF(AND($A10&lt;='Data files'!$E$9,'Control Sheet'!H47&gt;1),IF(I10&lt;0.95*G10,1,IF(I10&lt;1.05*G10,2,3)),0)</f>
        <v>0</v>
      </c>
      <c r="P10" s="8">
        <f>IF(AND($A10&lt;='Data files'!$E$9,'Control Sheet'!H47&gt;1),IF(M10&lt;0.95*K10,1,IF(M10&lt;1.05*K10,2,3)),0)</f>
        <v>0</v>
      </c>
      <c r="R10" t="s">
        <v>998</v>
      </c>
      <c r="T10" t="str">
        <f ca="1">OFFSET($J$8,$W$4,0,1,1)</f>
        <v>POD</v>
      </c>
      <c r="U10" t="str">
        <f ca="1">OFFSET($K$8,$W$4,0,1,1)</f>
        <v>Lower</v>
      </c>
      <c r="V10" t="str">
        <f ca="1">OFFSET($L$8,$W$4,0,1,1)</f>
        <v>Upper</v>
      </c>
      <c r="W10" t="str">
        <f ca="1">OFFSET($M$8,$W$4,0,1,1)</f>
        <v>Capacity</v>
      </c>
      <c r="X10" t="str">
        <f ca="1">OFFSET($AF$8,$W$4,0,1,1)</f>
        <v>3rd</v>
      </c>
      <c r="Z10">
        <f ca="1">INDIRECT("'File "&amp;$A10&amp;"'!"&amp;INDEX('Control Sheet'!$L$12:$L$15,'Dependency (hide)'!$O$21))</f>
        <v>0</v>
      </c>
      <c r="AA10">
        <f ca="1">INDIRECT("'File "&amp;$A10&amp;"'!FU_"&amp;INDEX('Control Sheet'!$L$12:$L$15,'Dependency (hide)'!$O$21))</f>
        <v>0</v>
      </c>
      <c r="AB10">
        <f ca="1">INDIRECT("'File "&amp;$A10&amp;"'!IP_"&amp;INDEX('Control Sheet'!$L$12:$L$15,'Dependency (hide)'!$O$21))</f>
        <v>0</v>
      </c>
      <c r="AD10">
        <f>IF($A10&lt;=No_Components,IF($C$5=0,IF(LEFT('DC Balance'!$S$22,1)="P",INDEX('File 2'!$AF$58:$AF$110,$C$4),INDEX('File 2'!$I$58:$I$110,$C$4)),AVERAGE('File 2'!$AF$58:AF109)),0)</f>
        <v>0</v>
      </c>
      <c r="AE10">
        <f t="shared" ca="1" si="0"/>
        <v>0</v>
      </c>
      <c r="AF10">
        <f t="shared" ca="1" si="1"/>
        <v>0</v>
      </c>
      <c r="AH10">
        <f>IF('Control Sheet'!D47&gt;=7,1,0)</f>
        <v>0</v>
      </c>
    </row>
    <row r="11" spans="1:34" x14ac:dyDescent="0.25">
      <c r="A11">
        <v>3</v>
      </c>
      <c r="B11">
        <f>IF($A11&lt;='Data files'!$E$9,'Control Sheet'!I48,0)</f>
        <v>0</v>
      </c>
      <c r="C11" s="8">
        <f>IF($A11&lt;=No_Components,IF($C$5=0,IF(AND(LEFT('DC Balance'!$S$22,1)="O",$AH11=1),INDEX('File 3'!$D$58:$D$110,$C$4),INDEX('File 3'!$T$58:$T$110,$C$4)),'File 3'!$D$6),0)</f>
        <v>0</v>
      </c>
      <c r="D11" s="8">
        <f>IF($A11&lt;=No_Components,IF($C$5=0,IF(AND(LEFT('DC Balance'!$S$22,1)="O",$AH11=1),INDEX('File 3'!$E$58:$E$110,$C$4),INDEX('File 3'!$W$58:$W$110,$C$4)),'File 3'!$D$7)-$C$11,0)</f>
        <v>0</v>
      </c>
      <c r="E11" s="8">
        <f>IF($A11&lt;=No_Components,IF($C$5=0,IF(AND(LEFT('DC Balance'!$S$22,1)="O",$AH8=1),INDEX('File 3'!$F$58:$F$110,$C$4),INDEX('File 3'!$Z$58:$Z$110,$C$4)),'File 3'!$D$13/'File 3'!$Z$54),0)</f>
        <v>0</v>
      </c>
      <c r="F11" s="8">
        <f>IF($A11&lt;='Data files'!$E$9,'Control Sheet'!J48,0)</f>
        <v>0</v>
      </c>
      <c r="G11" s="8">
        <f>IF($A9&lt;=No_Components,IF($C$5=0,INDEX('File 3'!U58:U110,$C$4),0.95*'File 3'!H6),0)</f>
        <v>0</v>
      </c>
      <c r="H11" s="8">
        <f>IF($A9&lt;=No_Components,IF($C$5=0,INDEX('File 3'!X58:X110,$C$4),1.05*'File 3'!H6),0)-G11</f>
        <v>0</v>
      </c>
      <c r="I11" s="8">
        <f>IF($A9&lt;=No_Components,IF($C$5=0,INDEX('File 3'!AA58:AA110,$C$4)/IF('File 3'!AA54=0,1,'File 3'!AA54),'File 3'!H13),0)</f>
        <v>0</v>
      </c>
      <c r="J11" s="8">
        <f>IF($A11&lt;='Data files'!$E$9,'Control Sheet'!K48,0)</f>
        <v>0</v>
      </c>
      <c r="K11" s="8">
        <f>IF($A9&lt;=No_Components,IF($C$5=0,INDEX('File 3'!V58:V110,$C$4),0.95*'File 3'!L6),0)</f>
        <v>0</v>
      </c>
      <c r="L11" s="8">
        <f>IF($A9&lt;=No_Components,IF($C$5=0,INDEX('File 3'!Y58:Y110,$C$4),1.05*'File 3'!L6),0)-K11</f>
        <v>0</v>
      </c>
      <c r="M11" s="8">
        <f>IF($A9&lt;=No_Components,IF($C$5=0,INDEX('File 3'!AB58:AB110,$C$4)/IF('File 3'!AB54=0,1,'File 3'!AB54),'File 3'!L13),0)</f>
        <v>0</v>
      </c>
      <c r="N11" s="8">
        <f>IF($A11&lt;='Data files'!$E$9,IF(E11&lt;C11,1,IF(E11&lt;D11,2,3)),0)</f>
        <v>0</v>
      </c>
      <c r="O11" s="8">
        <f>IF(AND($A11&lt;='Data files'!$E$9,'Control Sheet'!H48&gt;1),IF(I11&lt;0.95*G11,1,IF(I11&lt;1.05*G11,2,3)),0)</f>
        <v>0</v>
      </c>
      <c r="P11" s="8">
        <f>IF(AND($A11&lt;='Data files'!$E$9,'Control Sheet'!H48&gt;1),IF(M11&lt;0.95*K11,1,IF(M11&lt;1.05*K11,2,3)),0)</f>
        <v>0</v>
      </c>
      <c r="Z11">
        <f ca="1">INDIRECT("'File "&amp;$A11&amp;"'!"&amp;INDEX('Control Sheet'!$L$12:$L$15,'Dependency (hide)'!$O$21))</f>
        <v>0</v>
      </c>
      <c r="AA11">
        <f ca="1">INDIRECT("'File "&amp;$A11&amp;"'!FU_"&amp;INDEX('Control Sheet'!$L$12:$L$15,'Dependency (hide)'!$O$21))</f>
        <v>0</v>
      </c>
      <c r="AB11">
        <f ca="1">INDIRECT("'File "&amp;$A11&amp;"'!IP_"&amp;INDEX('Control Sheet'!$L$12:$L$15,'Dependency (hide)'!$O$21))</f>
        <v>0</v>
      </c>
      <c r="AD11">
        <f>IF($A11&lt;=No_Components,IF($C$5=0,IF(LEFT('DC Balance'!$S$22,1)="P",INDEX('File 3'!$AF$58:$AF$110,$C$4),INDEX('File 3'!$I$58:$I$110,$C$4)),AVERAGE('File 3'!$AF$58:AF109)),0)</f>
        <v>0</v>
      </c>
      <c r="AE11">
        <f t="shared" ca="1" si="0"/>
        <v>0</v>
      </c>
      <c r="AF11">
        <f t="shared" ca="1" si="1"/>
        <v>0</v>
      </c>
      <c r="AH11">
        <f>IF('Control Sheet'!D48&gt;=7,1,0)</f>
        <v>0</v>
      </c>
    </row>
    <row r="12" spans="1:34" x14ac:dyDescent="0.25">
      <c r="A12">
        <v>4</v>
      </c>
      <c r="B12">
        <f>IF($A12&lt;='Data files'!$E$9,'Control Sheet'!I49,0)</f>
        <v>0</v>
      </c>
      <c r="C12" s="8">
        <f>IF($A12&lt;=No_Components,IF($C$5=0,IF(AND(LEFT('DC Balance'!$S$22,1)="O",$AH12=1),INDEX('File 4'!$D$58:$D$110,$C$4),INDEX('File 4'!$T$58:$T$110,$C$4)),'File 4'!$D$6),0)</f>
        <v>0</v>
      </c>
      <c r="D12" s="8">
        <f>IF($A12&lt;=No_Components,IF($C$5=0,IF(AND(LEFT('DC Balance'!$S$22,1)="O",$AH12=1),INDEX('File 4'!$E$58:$E$110,$C$4),INDEX('File 4'!$W$58:$W$110,$C$4)),'File 4'!$D$7)-$C$12,0)</f>
        <v>0</v>
      </c>
      <c r="E12" s="8">
        <f>IF($A12&lt;=No_Components,IF($C$5=0,IF(AND(LEFT('DC Balance'!$S$22,1)="O",$AH8=1),INDEX('File 4'!$F$58:$F$110,$C$4),INDEX('File 4'!$Z$58:$Z$110,$C$4)),'File 4'!$D$13/'File 4'!$Z$54),0)</f>
        <v>0</v>
      </c>
      <c r="F12" s="8">
        <f>IF($A12&lt;='Data files'!$E$9,'Control Sheet'!J49,0)</f>
        <v>0</v>
      </c>
      <c r="G12" s="8">
        <f>IF($A9&lt;=No_Components,IF($C$5=0,INDEX('File 4'!U58:U110,$C$4),0.95*'File 4'!H6),0)</f>
        <v>0</v>
      </c>
      <c r="H12" s="8">
        <f>IF($A9&lt;=No_Components,IF($C$5=0,INDEX('File 4'!X58:X110,$C$4),1.05*'File 4'!H6),0)-G12</f>
        <v>0</v>
      </c>
      <c r="I12" s="8">
        <f>IF($A9&lt;=No_Components,IF($C$5=0,INDEX('File 4'!AA58:AA110,$C$4)/IF('File 4'!AA54=0,1,'File 4'!AA54),'File 4'!H13),0)</f>
        <v>0</v>
      </c>
      <c r="J12" s="8">
        <f>IF($A12&lt;='Data files'!$E$9,'Control Sheet'!K49,0)</f>
        <v>0</v>
      </c>
      <c r="K12" s="8">
        <f>IF($A9&lt;=No_Components,IF($C$5=0,INDEX('File 4'!V58:V110,$C$4),0.95*'File 4'!L6),0)</f>
        <v>0</v>
      </c>
      <c r="L12" s="8">
        <f>IF($A9&lt;=No_Components,IF($C$5=0,INDEX('File 4'!Y58:Y110,$C$4),1.05*'File 4'!L6),0)-K12</f>
        <v>0</v>
      </c>
      <c r="M12" s="8">
        <f>IF($A9&lt;=No_Components,IF($C$5=0,INDEX('File 4'!AB58:AB110,$C$4)/IF('File 4'!AB54=0,1,'File 4'!AB54),'File 4'!L13),0)</f>
        <v>0</v>
      </c>
      <c r="N12" s="8">
        <f>IF($A12&lt;='Data files'!$E$9,IF(E12&lt;C12,1,IF(E12&lt;D12,2,3)),0)</f>
        <v>0</v>
      </c>
      <c r="O12" s="8">
        <f>IF(AND($A12&lt;='Data files'!$E$9,'Control Sheet'!H49&gt;1),IF(I12&lt;0.95*G12,1,IF(I12&lt;1.05*G12,2,3)),0)</f>
        <v>0</v>
      </c>
      <c r="P12" s="8">
        <f>IF(AND($A12&lt;='Data files'!$E$9,'Control Sheet'!H49&gt;1),IF(M12&lt;0.95*K12,1,IF(M12&lt;1.05*K12,2,3)),0)</f>
        <v>0</v>
      </c>
      <c r="Z12">
        <f ca="1">INDIRECT("'File "&amp;$A12&amp;"'!"&amp;INDEX('Control Sheet'!$L$12:$L$15,'Dependency (hide)'!$O$21))</f>
        <v>0</v>
      </c>
      <c r="AA12">
        <f ca="1">INDIRECT("'File "&amp;$A12&amp;"'!FU_"&amp;INDEX('Control Sheet'!$L$12:$L$15,'Dependency (hide)'!$O$21))</f>
        <v>0</v>
      </c>
      <c r="AB12">
        <f ca="1">INDIRECT("'File "&amp;$A12&amp;"'!IP_"&amp;INDEX('Control Sheet'!$L$12:$L$15,'Dependency (hide)'!$O$21))</f>
        <v>0</v>
      </c>
      <c r="AD12">
        <f>IF($A12&lt;=No_Components,IF($C$5=0,IF(LEFT('DC Balance'!$S$22,1)="P",INDEX('File 4'!$AF$58:$AF$110,$C$4),INDEX('File 4'!$I$58:$I$110,$C$4)),AVERAGE('File 4'!$AF$58:AF109)),0)</f>
        <v>0</v>
      </c>
      <c r="AE12">
        <f t="shared" ca="1" si="0"/>
        <v>0</v>
      </c>
      <c r="AF12">
        <f t="shared" ca="1" si="1"/>
        <v>0</v>
      </c>
      <c r="AH12">
        <f>IF('Control Sheet'!D49&gt;=7,1,0)</f>
        <v>0</v>
      </c>
    </row>
    <row r="13" spans="1:34" x14ac:dyDescent="0.25">
      <c r="A13">
        <v>5</v>
      </c>
      <c r="B13">
        <f>IF($A13&lt;='Data files'!$E$9,'Control Sheet'!I50,0)</f>
        <v>0</v>
      </c>
      <c r="C13" s="8">
        <f>IF($A13&lt;=No_Components,IF($C$5=0,IF(AND(LEFT('DC Balance'!$S$22,1)="O",$AH13=1),INDEX('File 5'!$D$58:$D$110,$C$4),INDEX('File 5'!$T$58:$T$110,$C$4)),'File 5'!$D$6),0)</f>
        <v>0</v>
      </c>
      <c r="D13" s="8">
        <f>IF($A13&lt;=No_Components,IF($C$5=0,IF(AND(LEFT('DC Balance'!$S$22,1)="O",$AH13=1),INDEX('File 5'!$E$58:$E$110,$C$4),INDEX('File 5'!$W$58:$W$110,$C$4)),'File 5'!$D$7)-$C$13,0)</f>
        <v>0</v>
      </c>
      <c r="E13" s="8">
        <f>IF($A13&lt;=No_Components,IF($C$5=0,IF(AND(LEFT('DC Balance'!$S$22,1)="O",$AH8=1),INDEX('File 5'!$F$58:$F$110,$C$4),INDEX('File 5'!$Z$58:$Z$110,$C$4)),'File 5'!$D$13/'File 5'!$Z$54),0)</f>
        <v>0</v>
      </c>
      <c r="F13" s="8">
        <f>IF($A13&lt;='Data files'!$E$9,'Control Sheet'!J50,0)</f>
        <v>0</v>
      </c>
      <c r="G13" s="8">
        <f>IF($A9&lt;=No_Components,IF($C$5=0,INDEX('File 5'!U58:U110,$C$4),0.95*'File 5'!H6),0)</f>
        <v>0</v>
      </c>
      <c r="H13" s="8">
        <f>IF($A9&lt;=No_Components,IF($C$5=0,INDEX('File 5'!X58:X110,$C$4),1.05*'File 5'!H6),0)-G13</f>
        <v>0</v>
      </c>
      <c r="I13" s="8">
        <f>IF($A9&lt;=No_Components,IF($C$5=0,INDEX('File 5'!AA58:AA110,$C$4)/IF('File 5'!AA54=0,1,'File 5'!AA54),'File 5'!H13),0)</f>
        <v>0</v>
      </c>
      <c r="J13" s="8">
        <f>IF($A13&lt;='Data files'!$E$9,'Control Sheet'!K50,0)</f>
        <v>0</v>
      </c>
      <c r="K13" s="8">
        <f>IF($A9&lt;=No_Components,IF($C$5=0,INDEX('File 5'!V58:V110,$C$4),0.95*'File 5'!L6),0)</f>
        <v>0</v>
      </c>
      <c r="L13" s="8">
        <f>IF($A9&lt;=No_Components,IF($C$5=0,INDEX('File 5'!Y58:Y110,$C$4),1.05*'File 5'!L6),0)-K13</f>
        <v>0</v>
      </c>
      <c r="M13" s="8">
        <f>IF($A9&lt;=No_Components,IF($C$5=0,INDEX('File 5'!AB58:AB110,$C$4)/IF('File 5'!AB54=0,1,'File 5'!AB54),'File 5'!L13),0)</f>
        <v>0</v>
      </c>
      <c r="N13" s="8">
        <f>IF($A13&lt;='Data files'!$E$9,IF(E13&lt;C13,1,IF(E13&lt;D13,2,3)),0)</f>
        <v>0</v>
      </c>
      <c r="O13" s="8">
        <f>IF(AND($A13&lt;='Data files'!$E$9,'Control Sheet'!H50&gt;1),IF(I13&lt;0.95*G13,1,IF(I13&lt;1.05*G13,2,3)),0)</f>
        <v>0</v>
      </c>
      <c r="P13" s="8">
        <f>IF(AND($A13&lt;='Data files'!$E$9,'Control Sheet'!H50&gt;1),IF(M13&lt;0.95*K13,1,IF(M13&lt;1.05*K13,2,3)),0)</f>
        <v>0</v>
      </c>
      <c r="Z13">
        <f ca="1">INDIRECT("'File "&amp;$A13&amp;"'!"&amp;INDEX('Control Sheet'!$L$12:$L$15,'Dependency (hide)'!$O$21))</f>
        <v>0</v>
      </c>
      <c r="AA13">
        <f ca="1">INDIRECT("'File "&amp;$A13&amp;"'!FU_"&amp;INDEX('Control Sheet'!$L$12:$L$15,'Dependency (hide)'!$O$21))</f>
        <v>0</v>
      </c>
      <c r="AB13">
        <f ca="1">INDIRECT("'File "&amp;$A13&amp;"'!IP_"&amp;INDEX('Control Sheet'!$L$12:$L$15,'Dependency (hide)'!$O$21))</f>
        <v>0</v>
      </c>
      <c r="AD13">
        <f>IF($A13&lt;=No_Components,IF($C$5=0,IF(LEFT('DC Balance'!$S$22,1)="P",INDEX('File 5'!$AF$58:$AF$110,$C$4),INDEX('File 5'!$I$58:$I$110,$C$4)),AVERAGE('File 5'!$AF$58:AF109)),0)</f>
        <v>0</v>
      </c>
      <c r="AE13">
        <f t="shared" ca="1" si="0"/>
        <v>0</v>
      </c>
      <c r="AF13">
        <f t="shared" ca="1" si="1"/>
        <v>0</v>
      </c>
      <c r="AH13">
        <f>IF('Control Sheet'!D50&gt;=7,1,0)</f>
        <v>0</v>
      </c>
    </row>
    <row r="14" spans="1:34" x14ac:dyDescent="0.25">
      <c r="A14">
        <v>6</v>
      </c>
      <c r="B14">
        <f>IF($A14&lt;='Data files'!$E$9,'Control Sheet'!I51,0)</f>
        <v>0</v>
      </c>
      <c r="C14" s="8">
        <f>IF($A14&lt;=No_Components,IF($C$5=0,IF(AND(LEFT('DC Balance'!$S$22,1)="O",$AH14=1),INDEX('File 6'!$D$58:$D$110,$C$4),INDEX('File 6'!$T$58:$T$110,$C$4)),'File 6'!$D$6),0)</f>
        <v>0</v>
      </c>
      <c r="D14" s="8">
        <f>IF($A14&lt;=No_Components,IF($C$5=0,IF(AND(LEFT('DC Balance'!$S$22,1)="O",$AH14=1),INDEX('File 6'!$E$58:$E$110,$C$4),INDEX('File 6'!$W$58:$W$110,$C$4)),'File 6'!$D$7)-$C$14,0)</f>
        <v>0</v>
      </c>
      <c r="E14" s="8">
        <f>IF($A14&lt;=No_Components,IF($C$5=0,IF(AND(LEFT('DC Balance'!$S$22,1)="O",$AH8=1),INDEX('File 6'!$F$58:$F$110,$C$4),INDEX('File 6'!$Z$58:$Z$110,$C$4)),'File 6'!$D$13/'File 6'!$Z$54),0)</f>
        <v>0</v>
      </c>
      <c r="F14" s="8">
        <f>IF($A14&lt;='Data files'!$E$9,'Control Sheet'!J51,0)</f>
        <v>0</v>
      </c>
      <c r="G14" s="8">
        <f>IF($A9&lt;=No_Components,IF($C$5=0,INDEX('File 6'!U58:U110,$C$4),0.95*'File 6'!H6),0)</f>
        <v>0</v>
      </c>
      <c r="H14" s="8">
        <f>IF($A9&lt;=No_Components,IF($C$5=0,INDEX('File 6'!X58:X110,$C$4),1.05*'File 6'!H6),0)-G14</f>
        <v>0</v>
      </c>
      <c r="I14" s="8">
        <f>IF($A9&lt;=No_Components,IF($C$5=0,INDEX('File 6'!AA58:AA110,$C$4)/IF('File 6'!AA54=0,1,'File 6'!AA54),'File 6'!H13),0)</f>
        <v>0</v>
      </c>
      <c r="J14" s="8">
        <f>IF($A14&lt;='Data files'!$E$9,'Control Sheet'!K51,0)</f>
        <v>0</v>
      </c>
      <c r="K14" s="8">
        <f>IF($A9&lt;=No_Components,IF($C$5=0,INDEX('File 6'!V58:V110,$C$4),0.95*'File 6'!L6),0)</f>
        <v>0</v>
      </c>
      <c r="L14" s="8">
        <f>IF($A9&lt;=No_Components,IF($C$5=0,INDEX('File 6'!Y58:Y110,$C$4),1.05*'File 6'!L6),0)-K14</f>
        <v>0</v>
      </c>
      <c r="M14" s="8">
        <f>IF($A9&lt;=No_Components,IF($C$5=0,INDEX('File 6'!AB58:AB110,$C$4)/IF('File 6'!AB54=0,1,'File 6'!AB54),'File 6'!L13),0)</f>
        <v>0</v>
      </c>
      <c r="N14" s="8">
        <f>IF($A14&lt;='Data files'!$E$9,IF(E14&lt;C14,1,IF(E14&lt;D14,2,3)),0)</f>
        <v>0</v>
      </c>
      <c r="O14" s="8">
        <f>IF(AND($A14&lt;='Data files'!$E$9,'Control Sheet'!H51&gt;1),IF(I14&lt;0.95*G14,1,IF(I14&lt;1.05*G14,2,3)),0)</f>
        <v>0</v>
      </c>
      <c r="P14" s="8">
        <f>IF(AND($A14&lt;='Data files'!$E$9,'Control Sheet'!H51&gt;1),IF(M14&lt;0.95*K14,1,IF(M14&lt;1.05*K14,2,3)),0)</f>
        <v>0</v>
      </c>
      <c r="Z14">
        <f ca="1">INDIRECT("'File "&amp;$A14&amp;"'!"&amp;INDEX('Control Sheet'!$L$12:$L$15,'Dependency (hide)'!$O$21))</f>
        <v>0</v>
      </c>
      <c r="AA14">
        <f ca="1">INDIRECT("'File "&amp;$A14&amp;"'!FU_"&amp;INDEX('Control Sheet'!$L$12:$L$15,'Dependency (hide)'!$O$21))</f>
        <v>0</v>
      </c>
      <c r="AB14">
        <f ca="1">INDIRECT("'File "&amp;$A14&amp;"'!IP_"&amp;INDEX('Control Sheet'!$L$12:$L$15,'Dependency (hide)'!$O$21))</f>
        <v>0</v>
      </c>
      <c r="AD14">
        <f>IF($A14&lt;=No_Components,IF($C$5=0,IF(LEFT('DC Balance'!$S$22,1)="P",INDEX('File 6'!$AF$58:$AF$110,$C$4),INDEX('File 6'!$I$58:$I$110,$C$4)),AVERAGE('File 6'!$AF$58:AF109)),0)</f>
        <v>0</v>
      </c>
      <c r="AE14">
        <f t="shared" ca="1" si="0"/>
        <v>0</v>
      </c>
      <c r="AF14">
        <f t="shared" ca="1" si="1"/>
        <v>0</v>
      </c>
      <c r="AH14">
        <f>IF('Control Sheet'!D51&gt;=7,1,0)</f>
        <v>0</v>
      </c>
    </row>
    <row r="15" spans="1:34" x14ac:dyDescent="0.25">
      <c r="A15">
        <v>7</v>
      </c>
      <c r="B15">
        <f>IF($A15&lt;='Data files'!$E$9,'Control Sheet'!I52,0)</f>
        <v>0</v>
      </c>
      <c r="C15" s="8">
        <f>IF($A15&lt;=No_Components,IF($C$5=0,IF(AND(LEFT('DC Balance'!$S$22,1)="O",$AH15=1),INDEX('File 7'!$D$58:$D$110,$C$4),INDEX('File 7'!$T$58:$T$110,$C$4)),'File 7'!$D$6),0)</f>
        <v>0</v>
      </c>
      <c r="D15" s="8">
        <f>IF($A15&lt;=No_Components,IF($C$5=0,IF(AND(LEFT('DC Balance'!$S$22,1)="O",$AH15=1),INDEX('File 7'!$E$58:$E$110,$C$4),INDEX('File 7'!$W$58:$W$110,$C$4)),'File 7'!$D$7)-$C$15,0)</f>
        <v>0</v>
      </c>
      <c r="E15" s="8">
        <f>IF($A15&lt;=No_Components,IF($C$5=0,IF(AND(LEFT('DC Balance'!$S$22,1)="O",$AH8=1),INDEX('File 7'!$F$58:$F$110,$C$4),INDEX('File 7'!$Z$58:$Z$110,$C$4)),'File 7'!$D$13/'File 7'!$Z$54),0)</f>
        <v>0</v>
      </c>
      <c r="F15" s="8">
        <f>IF($A15&lt;='Data files'!$E$9,'Control Sheet'!J52,0)</f>
        <v>0</v>
      </c>
      <c r="G15" s="8">
        <f>IF($A9&lt;=No_Components,IF($C$5=0,INDEX('File 7'!U58:U110,$C$4),0.95*'File 7'!H6),0)</f>
        <v>0</v>
      </c>
      <c r="H15" s="8">
        <f>IF($A9&lt;=No_Components,IF($C$5=0,INDEX('File 7'!X58:X110,$C$4),1.05*'File 7'!H6),0)-G15</f>
        <v>0</v>
      </c>
      <c r="I15" s="8">
        <f>IF($A9&lt;=No_Components,IF($C$5=0,INDEX('File 7'!AA58:AA110,$C$4)/IF('File 7'!AA54=0,1,'File 7'!AA54),'File 7'!H13),0)</f>
        <v>0</v>
      </c>
      <c r="J15" s="8">
        <f>IF($A15&lt;='Data files'!$E$9,'Control Sheet'!K52,0)</f>
        <v>0</v>
      </c>
      <c r="K15" s="8">
        <f>IF($A9&lt;=No_Components,IF($C$5=0,INDEX('File 7'!V58:V110,$C$4),0.95*'File 7'!L6),0)</f>
        <v>0</v>
      </c>
      <c r="L15" s="8">
        <f>IF($A9&lt;=No_Components,IF($C$5=0,INDEX('File 7'!Y58:Y110,$C$4),1.05*'File 7'!L6),0)-K15</f>
        <v>0</v>
      </c>
      <c r="M15" s="8">
        <f>IF($A9&lt;=No_Components,IF($C$5=0,INDEX('File 7'!AB58:AB110,$C$4)/IF('File 7'!AB54=0,1,'File 7'!AB54),'File 7'!L13),0)</f>
        <v>0</v>
      </c>
      <c r="N15" s="8">
        <f>IF($A15&lt;='Data files'!$E$9,IF(E15&lt;C15,1,IF(E15&lt;D15,2,3)),0)</f>
        <v>0</v>
      </c>
      <c r="O15" s="8">
        <f>IF(AND($A15&lt;='Data files'!$E$9,'Control Sheet'!H52&gt;1),IF(I15&lt;0.95*G15,1,IF(I15&lt;1.05*G15,2,3)),0)</f>
        <v>0</v>
      </c>
      <c r="P15" s="8">
        <f>IF(AND($A15&lt;='Data files'!$E$9,'Control Sheet'!H52&gt;1),IF(M15&lt;0.95*K15,1,IF(M15&lt;1.05*K15,2,3)),0)</f>
        <v>0</v>
      </c>
      <c r="R15" s="85">
        <f>'Reference dates (hide)'!N43</f>
        <v>43829</v>
      </c>
      <c r="S15" t="str">
        <f>"Planning starting date: "&amp;TEXT(R15,"dd/mm/yyyy")</f>
        <v>Planning starting date: 30/12/2019</v>
      </c>
      <c r="Z15">
        <f ca="1">INDIRECT("'File "&amp;$A15&amp;"'!"&amp;INDEX('Control Sheet'!$L$12:$L$15,'Dependency (hide)'!$O$21))</f>
        <v>0</v>
      </c>
      <c r="AA15">
        <f ca="1">INDIRECT("'File "&amp;$A15&amp;"'!FU_"&amp;INDEX('Control Sheet'!$L$12:$L$15,'Dependency (hide)'!$O$21))</f>
        <v>0</v>
      </c>
      <c r="AB15">
        <f ca="1">INDIRECT("'File "&amp;$A15&amp;"'!IP_"&amp;INDEX('Control Sheet'!$L$12:$L$15,'Dependency (hide)'!$O$21))</f>
        <v>0</v>
      </c>
      <c r="AD15">
        <f>IF($A15&lt;=No_Components,IF($C$5=0,IF(LEFT('DC Balance'!$S$22,1)="P",INDEX('File 7'!$AF$58:$AF$110,$C$4),INDEX('File 7'!$I$58:$I$110,$C$4)),AVERAGE('File 7'!$AF$58:AF109)),0)</f>
        <v>0</v>
      </c>
      <c r="AE15">
        <f t="shared" ca="1" si="0"/>
        <v>0</v>
      </c>
      <c r="AF15">
        <f t="shared" ca="1" si="1"/>
        <v>0</v>
      </c>
      <c r="AH15">
        <f>IF('Control Sheet'!D52&gt;=7,1,0)</f>
        <v>0</v>
      </c>
    </row>
    <row r="16" spans="1:34" x14ac:dyDescent="0.25">
      <c r="A16">
        <v>8</v>
      </c>
      <c r="B16">
        <f>IF($A16&lt;='Data files'!$E$9,'Control Sheet'!I53,0)</f>
        <v>0</v>
      </c>
      <c r="C16" s="8">
        <f>IF($A16&lt;=No_Components,IF($C$5=0,IF(AND(LEFT('DC Balance'!$S$22,1)="O",$AH16=1),INDEX('File 8'!$D$58:$D$110,$C$4),INDEX('File 8'!$T$58:$T$110,$C$4)),'File 8'!$D$6),0)</f>
        <v>0</v>
      </c>
      <c r="D16" s="8">
        <f>IF($A16&lt;=No_Components,IF($C$5=0,IF(AND(LEFT('DC Balance'!$S$22,1)="O",$AH16=1),INDEX('File 8'!$E$58:$E$110,$C$4),INDEX('File 8'!$W$58:$W$110,$C$4)),'File 8'!$D$7)-$C$16,0)</f>
        <v>0</v>
      </c>
      <c r="E16" s="8">
        <f>IF($A16&lt;=No_Components,IF($C$5=0,IF(AND(LEFT('DC Balance'!$S$22,1)="O",$AH8=1),INDEX('File 8'!$F$58:$F$110,$C$4),INDEX('File 8'!$Z$58:$Z$110,$C$4)),'File 8'!$D$13/'File 8'!$Z$54),0)</f>
        <v>0</v>
      </c>
      <c r="F16" s="8">
        <f>IF($A16&lt;='Data files'!$E$9,'Control Sheet'!J53,0)</f>
        <v>0</v>
      </c>
      <c r="G16" s="8">
        <f>IF($A9&lt;=No_Components,IF($C$5=0,INDEX('File 8'!U58:U110,$C$4),0.95*'File 8'!H6),0)</f>
        <v>0</v>
      </c>
      <c r="H16" s="8">
        <f>IF($A9&lt;=No_Components,IF($C$5=0,INDEX('File 8'!X58:X110,$C$4),1.05*'File 8'!H6),0)-G16</f>
        <v>0</v>
      </c>
      <c r="I16" s="8">
        <f>IF($A9&lt;=No_Components,IF($C$5=0,INDEX('File 8'!AA58:AA110,$C$4)/IF('File 8'!AA54=0,1,'File 8'!AA54),'File 8'!H13),0)</f>
        <v>0</v>
      </c>
      <c r="J16" s="8">
        <f>IF($A16&lt;='Data files'!$E$9,'Control Sheet'!K53,0)</f>
        <v>0</v>
      </c>
      <c r="K16" s="8">
        <f>IF($A9&lt;=No_Components,IF($C$5=0,INDEX('File 8'!V58:V110,$C$4),0.95*'File 8'!L6),0)</f>
        <v>0</v>
      </c>
      <c r="L16" s="8">
        <f>IF($A9&lt;=No_Components,IF($C$5=0,INDEX('File 8'!Y58:Y110,$C$4),1.05*'File 8'!L6),0)-K16</f>
        <v>0</v>
      </c>
      <c r="M16" s="8">
        <f>IF($A9&lt;=No_Components,IF($C$5=0,INDEX('File 8'!AB58:AB110,$C$4)/IF('File 8'!AB54=0,1,'File 8'!AB54),'File 8'!L13),0)</f>
        <v>0</v>
      </c>
      <c r="N16" s="8">
        <f>IF($A16&lt;='Data files'!$E$9,IF(E16&lt;C16,1,IF(E16&lt;D16,2,3)),0)</f>
        <v>0</v>
      </c>
      <c r="O16" s="8">
        <f>IF(AND($A16&lt;='Data files'!$E$9,'Control Sheet'!H53&gt;1),IF(I16&lt;0.95*G16,1,IF(I16&lt;1.05*G16,2,3)),0)</f>
        <v>0</v>
      </c>
      <c r="P16" s="8">
        <f>IF(AND($A16&lt;='Data files'!$E$9,'Control Sheet'!H53&gt;1),IF(M16&lt;0.95*K16,1,IF(M16&lt;1.05*K16,2,3)),0)</f>
        <v>0</v>
      </c>
      <c r="R16" s="85">
        <f ca="1">IF(W4=0,R15,IF(OFFSET('Control Sheet'!$N$45,'DC Balance (hide)'!W4,0,1,1)&lt;&gt;"",OFFSET('Control Sheet'!$N$45,'DC Balance (hide)'!W4,0,1,1),0))</f>
        <v>43829</v>
      </c>
      <c r="S16" t="str">
        <f ca="1">"Original start date in model: "&amp;TEXT(R16,"dd/mm/yyyy")</f>
        <v>Original start date in model: 30/12/2019</v>
      </c>
      <c r="Z16">
        <f ca="1">INDIRECT("'File "&amp;$A16&amp;"'!"&amp;INDEX('Control Sheet'!$L$12:$L$15,'Dependency (hide)'!$O$21))</f>
        <v>0</v>
      </c>
      <c r="AA16">
        <f ca="1">INDIRECT("'File "&amp;$A16&amp;"'!FU_"&amp;INDEX('Control Sheet'!$L$12:$L$15,'Dependency (hide)'!$O$21))</f>
        <v>0</v>
      </c>
      <c r="AB16">
        <f ca="1">INDIRECT("'File "&amp;$A16&amp;"'!IP_"&amp;INDEX('Control Sheet'!$L$12:$L$15,'Dependency (hide)'!$O$21))</f>
        <v>0</v>
      </c>
      <c r="AD16">
        <f>IF($A16&lt;=No_Components,IF($C$5=0,IF(LEFT('DC Balance'!$S$22,1)="P",INDEX('File 8'!$AF$58:$AF$110,$C$4),INDEX('File 8'!$I$58:$I$110,$C$4)),AVERAGE('File 8'!$AF$58:AF109)),0)</f>
        <v>0</v>
      </c>
      <c r="AE16">
        <f t="shared" ca="1" si="0"/>
        <v>0</v>
      </c>
      <c r="AF16">
        <f t="shared" ca="1" si="1"/>
        <v>0</v>
      </c>
      <c r="AH16">
        <f>IF('Control Sheet'!D53&gt;=7,1,0)</f>
        <v>0</v>
      </c>
    </row>
    <row r="17" spans="1:34" x14ac:dyDescent="0.25">
      <c r="A17">
        <v>9</v>
      </c>
      <c r="B17">
        <f>IF($A17&lt;='Data files'!$E$9,'Control Sheet'!I54,0)</f>
        <v>0</v>
      </c>
      <c r="C17" s="8">
        <f>IF($A17&lt;=No_Components,IF($C$5=0,IF(AND(LEFT('DC Balance'!$S$22,1)="O",$AH17=1),INDEX('File 9'!$D$58:$D$110,$C$4),INDEX('File 9'!$T$58:$T$110,$C$4)),'File 9'!$D$6),0)</f>
        <v>0</v>
      </c>
      <c r="D17" s="8">
        <f>IF($A17&lt;=No_Components,IF($C$5=0,IF(AND(LEFT('DC Balance'!$S$22,1)="O",$AH17=1),INDEX('File 9'!$E$58:$E$110,$C$4),INDEX('File 9'!$W$58:$W$110,$C$4)),'File 9'!$D$7)-$C$17,0)</f>
        <v>0</v>
      </c>
      <c r="E17" s="8">
        <f>IF($A17&lt;=No_Components,IF($C$5=0,IF(AND(LEFT('DC Balance'!$S$22,1)="O",$AH8=1),INDEX('File 9'!$F$58:$F$110,$C$4),INDEX('File 9'!$Z$58:$Z$110,$C$4)),'File 9'!$D$13/'File 9'!$Z$54),0)</f>
        <v>0</v>
      </c>
      <c r="F17" s="8">
        <f>IF($A17&lt;='Data files'!$E$9,'Control Sheet'!J54,0)</f>
        <v>0</v>
      </c>
      <c r="G17" s="8">
        <f>IF($A9&lt;=No_Components,IF($C$5=0,INDEX('File 9'!U58:U110,$C$4),0.95*'File 9'!H6),0)</f>
        <v>0</v>
      </c>
      <c r="H17" s="8">
        <f>IF($A9&lt;=No_Components,IF($C$5=0,INDEX('File 9'!X58:X110,$C$4),1.05*'File 9'!H6),0)-G17</f>
        <v>0</v>
      </c>
      <c r="I17" s="8">
        <f>IF($A9&lt;=No_Components,IF($C$5=0,INDEX('File 9'!AA58:AA110,$C$4)/IF('File 9'!AA54=0,1,'File 9'!AA54),'File 9'!H13),0)</f>
        <v>0</v>
      </c>
      <c r="J17" s="8">
        <f>IF($A17&lt;='Data files'!$E$9,'Control Sheet'!K54,0)</f>
        <v>0</v>
      </c>
      <c r="K17" s="8">
        <f>IF($A9&lt;=No_Components,IF($C$5=0,INDEX('File 9'!V58:V110,$C$4),0.95*'File 9'!L6),0)</f>
        <v>0</v>
      </c>
      <c r="L17" s="8">
        <f>IF($A9&lt;=No_Components,IF($C$5=0,INDEX('File 9'!Y58:Y110,$C$4),1.05*'File 9'!L6),0)-K17</f>
        <v>0</v>
      </c>
      <c r="M17" s="8">
        <f>IF($A9&lt;=No_Components,IF($C$5=0,INDEX('File 9'!AB58:AB110,$C$4)/IF('File 9'!AB54=0,1,'File 9'!AB54),'File 9'!L13),0)</f>
        <v>0</v>
      </c>
      <c r="N17" s="8">
        <f>IF($A17&lt;='Data files'!$E$9,IF(E17&lt;C17,1,IF(E17&lt;D17,2,3)),0)</f>
        <v>0</v>
      </c>
      <c r="O17" s="8">
        <f>IF(AND($A17&lt;='Data files'!$E$9,'Control Sheet'!H54&gt;1),IF(I17&lt;0.95*G17,1,IF(I17&lt;1.05*G17,2,3)),0)</f>
        <v>0</v>
      </c>
      <c r="P17" s="8">
        <f>IF(AND($A17&lt;='Data files'!$E$9,'Control Sheet'!H54&gt;1),IF(M17&lt;0.95*K17,1,IF(M17&lt;1.05*K17,2,3)),0)</f>
        <v>0</v>
      </c>
      <c r="Z17">
        <f ca="1">INDIRECT("'File "&amp;$A17&amp;"'!"&amp;INDEX('Control Sheet'!$L$12:$L$15,'Dependency (hide)'!$O$21))</f>
        <v>0</v>
      </c>
      <c r="AA17">
        <f ca="1">INDIRECT("'File "&amp;$A17&amp;"'!FU_"&amp;INDEX('Control Sheet'!$L$12:$L$15,'Dependency (hide)'!$O$21))</f>
        <v>0</v>
      </c>
      <c r="AB17">
        <f ca="1">INDIRECT("'File "&amp;$A17&amp;"'!IP_"&amp;INDEX('Control Sheet'!$L$12:$L$15,'Dependency (hide)'!$O$21))</f>
        <v>0</v>
      </c>
      <c r="AD17">
        <f>IF($A17&lt;=No_Components,IF($C$5=0,IF(LEFT('DC Balance'!$S$22,1)="P",INDEX('File 9'!$AF$58:$AF$110,$C$4),INDEX('File 9'!$I$58:$I$110,$C$4)),AVERAGE('File 9'!$AF$58:AF109)),0)</f>
        <v>0</v>
      </c>
      <c r="AE17">
        <f t="shared" ca="1" si="0"/>
        <v>0</v>
      </c>
      <c r="AF17">
        <f t="shared" ca="1" si="1"/>
        <v>0</v>
      </c>
      <c r="AH17">
        <f>IF('Control Sheet'!D54&gt;=7,1,0)</f>
        <v>0</v>
      </c>
    </row>
    <row r="18" spans="1:34" x14ac:dyDescent="0.25">
      <c r="A18">
        <v>10</v>
      </c>
      <c r="B18">
        <f>IF($A18&lt;='Data files'!$E$9,'Control Sheet'!I55,0)</f>
        <v>0</v>
      </c>
      <c r="C18" s="8">
        <f>IF($A18&lt;=No_Components,IF($C$5=0,IF(AND(LEFT('DC Balance'!$S$22,1)="O",$AH18=1),INDEX('File 10'!$D$58:$D$110,$C$4),INDEX('File 10'!$T$58:$T$110,$C$4)),'File 10'!$D$6),0)</f>
        <v>0</v>
      </c>
      <c r="D18" s="8">
        <f>IF($A18&lt;=No_Components,IF($C$5=0,IF(AND(LEFT('DC Balance'!$S$22,1)="O",$AH18=1),INDEX('File 10'!$E$58:$E$110,$C$4),INDEX('File 10'!$W$58:$W$110,$C$4)),'File 10'!$D$7)-$C$18,0)</f>
        <v>0</v>
      </c>
      <c r="E18" s="8">
        <f>IF($A18&lt;=No_Components,IF($C$5=0,IF(AND(LEFT('DC Balance'!$S$22,1)="O",$AH8=1),INDEX('File 10'!$F$58:$F$110,$C$4),INDEX('File 10'!$Z$58:$Z$110,$C$4)),'File 10'!$D$13/'File 10'!$Z$54),0)</f>
        <v>0</v>
      </c>
      <c r="F18" s="8">
        <f>IF($A18&lt;='Data files'!$E$9,'Control Sheet'!J55,0)</f>
        <v>0</v>
      </c>
      <c r="G18" s="8">
        <f>IF($A9&lt;=No_Components,IF($C$5=0,INDEX('File 10'!U58:U110,$C$4),0.95*'File 10'!H6),0)</f>
        <v>0</v>
      </c>
      <c r="H18" s="8">
        <f>IF($A9&lt;=No_Components,IF($C$5=0,INDEX('File 10'!X58:X110,$C$4),1.05*'File 10'!H6),0)-G18</f>
        <v>0</v>
      </c>
      <c r="I18" s="8">
        <f>IF($A9&lt;=No_Components,IF($C$5=0,INDEX('File 10'!AA58:AA110,$C$4)/IF('File 10'!AA54=0,1,'File 10'!AA54),'File 10'!H13),0)</f>
        <v>0</v>
      </c>
      <c r="J18" s="8">
        <f>IF($A18&lt;='Data files'!$E$9,'Control Sheet'!K55,0)</f>
        <v>0</v>
      </c>
      <c r="K18" s="8">
        <f>IF($A9&lt;=No_Components,IF($C$5=0,INDEX('File 10'!V58:V110,$C$4),0.95*'File 10'!L6),0)</f>
        <v>0</v>
      </c>
      <c r="L18" s="8">
        <f>IF($A9&lt;=No_Components,IF($C$5=0,INDEX('File 10'!Y58:Y110,$C$4),1.05*'File 10'!L6),0)-K18</f>
        <v>0</v>
      </c>
      <c r="M18" s="8">
        <f>IF($A9&lt;=No_Components,IF($C$5=0,INDEX('File 10'!AB58:AB110,$C$4)/IF('File 10'!AB54=0,1,'File 10'!AB54),'File 10'!L13),0)</f>
        <v>0</v>
      </c>
      <c r="N18" s="8">
        <f>IF($A18&lt;='Data files'!$E$9,IF(E18&lt;C18,1,IF(E18&lt;D18,2,3)),0)</f>
        <v>0</v>
      </c>
      <c r="O18" s="8">
        <f>IF(AND($A18&lt;='Data files'!$E$9,'Control Sheet'!H55&gt;1),IF(I18&lt;0.95*G18,1,IF(I18&lt;1.05*G18,2,3)),0)</f>
        <v>0</v>
      </c>
      <c r="P18" s="8">
        <f>IF(AND($A18&lt;='Data files'!$E$9,'Control Sheet'!H55&gt;1),IF(M18&lt;0.95*K18,1,IF(M18&lt;1.05*K18,2,3)),0)</f>
        <v>0</v>
      </c>
      <c r="Z18">
        <f ca="1">INDIRECT("'File "&amp;$A18&amp;"'!"&amp;INDEX('Control Sheet'!$L$12:$L$15,'Dependency (hide)'!$O$21))</f>
        <v>0</v>
      </c>
      <c r="AA18">
        <f ca="1">INDIRECT("'File "&amp;$A18&amp;"'!FU_"&amp;INDEX('Control Sheet'!$L$12:$L$15,'Dependency (hide)'!$O$21))</f>
        <v>0</v>
      </c>
      <c r="AB18">
        <f ca="1">INDIRECT("'File "&amp;$A18&amp;"'!IP_"&amp;INDEX('Control Sheet'!$L$12:$L$15,'Dependency (hide)'!$O$21))</f>
        <v>0</v>
      </c>
      <c r="AD18">
        <f>IF($A18&lt;=No_Components,IF($C$5=0,IF(LEFT('DC Balance'!$S$22,1)="P",INDEX('File 10'!$AF$58:$AF$110,$C$4),INDEX('File 10'!$I$58:$I$110,$C$4)),AVERAGE('File 10'!$AF$58:AF109)),0)</f>
        <v>0</v>
      </c>
      <c r="AE18">
        <f t="shared" ca="1" si="0"/>
        <v>0</v>
      </c>
      <c r="AF18">
        <f t="shared" ca="1" si="1"/>
        <v>0</v>
      </c>
      <c r="AH18">
        <f>IF('Control Sheet'!D55&gt;=7,1,0)</f>
        <v>0</v>
      </c>
    </row>
    <row r="19" spans="1:34" x14ac:dyDescent="0.25">
      <c r="A19">
        <v>11</v>
      </c>
      <c r="B19">
        <f>IF($A19&lt;='Data files'!$E$9,'Control Sheet'!I56,0)</f>
        <v>0</v>
      </c>
      <c r="C19" s="8">
        <f>IF($A19&lt;=No_Components,IF($C$5=0,IF(AND(LEFT('DC Balance'!$S$22,1)="O",$AH19=1),INDEX('File 11'!$D$58:$D$110,$C$4),INDEX('File 11'!$T$58:$T$110,$C$4)),'File 11'!$D$6),0)</f>
        <v>0</v>
      </c>
      <c r="D19" s="8">
        <f>IF($A19&lt;=No_Components,IF($C$5=0,IF(AND(LEFT('DC Balance'!$S$22,1)="O",$AH19=1),INDEX('File 11'!$E$58:$E$110,$C$4),INDEX('File 11'!$W$58:$W$110,$C$4)),'File 11'!$D$7)-$C$19,0)</f>
        <v>0</v>
      </c>
      <c r="E19" s="8">
        <f>IF($A19&lt;=No_Components,IF($C$5=0,IF(AND(LEFT('DC Balance'!$S$22,1)="O",$AH8=1),INDEX('File 11'!$F$58:$F$110,$C$4),INDEX('File 11'!$Z$58:$Z$110,$C$4)),'File 11'!$D$13/'File 11'!$Z$54),0)</f>
        <v>0</v>
      </c>
      <c r="F19" s="8">
        <f>IF($A19&lt;='Data files'!$E$9,'Control Sheet'!J56,0)</f>
        <v>0</v>
      </c>
      <c r="G19" s="8">
        <f>IF($A9&lt;=No_Components,IF($C$5=0,INDEX('File 11'!U58:U110,$C$4),0.95*'File 11'!H6),0)</f>
        <v>0</v>
      </c>
      <c r="H19" s="8">
        <f>IF($A9&lt;=No_Components,IF($C$5=0,INDEX('File 11'!X58:X110,$C$4),1.05*'File 11'!H6),0)-G19</f>
        <v>0</v>
      </c>
      <c r="I19" s="8">
        <f>IF($A9&lt;=No_Components,IF($C$5=0,INDEX('File 11'!AA58:AA110,$C$4)/IF('File 11'!AA54=0,1,'File 11'!AA54),'File 11'!H13),0)</f>
        <v>0</v>
      </c>
      <c r="J19" s="8">
        <f>IF($A19&lt;='Data files'!$E$9,'Control Sheet'!K56,0)</f>
        <v>0</v>
      </c>
      <c r="K19" s="8">
        <f>IF($A9&lt;=No_Components,IF($C$5=0,INDEX('File 11'!V58:V110,$C$4),0.95*'File 11'!L6),0)</f>
        <v>0</v>
      </c>
      <c r="L19" s="8">
        <f>IF($A9&lt;=No_Components,IF($C$5=0,INDEX('File 11'!Y58:Y110,$C$4),1.05*'File 11'!L6),0)-K19</f>
        <v>0</v>
      </c>
      <c r="M19" s="8">
        <f>IF($A9&lt;=No_Components,IF($C$5=0,INDEX('File 11'!AB58:AB110,$C$4)/IF('File 11'!AB54=0,1,'File 11'!AB54),'File 11'!L13),0)</f>
        <v>0</v>
      </c>
      <c r="N19" s="8">
        <f>IF($A19&lt;='Data files'!$E$9,IF(E19&lt;C19,1,IF(E19&lt;D19,2,3)),0)</f>
        <v>0</v>
      </c>
      <c r="O19" s="8">
        <f>IF(AND($A19&lt;='Data files'!$E$9,'Control Sheet'!H56&gt;1),IF(I19&lt;0.95*G19,1,IF(I19&lt;1.05*G19,2,3)),0)</f>
        <v>0</v>
      </c>
      <c r="P19" s="8">
        <f>IF(AND($A19&lt;='Data files'!$E$9,'Control Sheet'!H56&gt;1),IF(M19&lt;0.95*K19,1,IF(M19&lt;1.05*K19,2,3)),0)</f>
        <v>0</v>
      </c>
      <c r="R19">
        <f ca="1">IF(OR(R16=0,W4=0),0,1)</f>
        <v>0</v>
      </c>
      <c r="Z19">
        <f ca="1">INDIRECT("'File "&amp;$A19&amp;"'!"&amp;INDEX('Control Sheet'!$L$12:$L$15,'Dependency (hide)'!$O$21))</f>
        <v>0</v>
      </c>
      <c r="AA19">
        <f ca="1">INDIRECT("'File "&amp;$A19&amp;"'!FU_"&amp;INDEX('Control Sheet'!$L$12:$L$15,'Dependency (hide)'!$O$21))</f>
        <v>0</v>
      </c>
      <c r="AB19">
        <f ca="1">INDIRECT("'File "&amp;$A19&amp;"'!IP_"&amp;INDEX('Control Sheet'!$L$12:$L$15,'Dependency (hide)'!$O$21))</f>
        <v>0</v>
      </c>
      <c r="AD19">
        <f>IF($A19&lt;=No_Components,IF($C$5=0,IF(LEFT('DC Balance'!$S$22,1)="P",INDEX('File 11'!$AF$58:$AF$110,$C$4),INDEX('File 11'!$I$58:$I$110,$C$4)),AVERAGE('File 11'!$AF$58:AF109)),0)</f>
        <v>0</v>
      </c>
      <c r="AE19">
        <f t="shared" ca="1" si="0"/>
        <v>0</v>
      </c>
      <c r="AF19">
        <f t="shared" ca="1" si="1"/>
        <v>0</v>
      </c>
      <c r="AH19">
        <f>IF('Control Sheet'!D56&gt;=7,1,0)</f>
        <v>0</v>
      </c>
    </row>
    <row r="20" spans="1:34" x14ac:dyDescent="0.25">
      <c r="A20">
        <v>12</v>
      </c>
      <c r="B20">
        <f>IF($A20&lt;='Data files'!$E$9,'Control Sheet'!I57,0)</f>
        <v>0</v>
      </c>
      <c r="C20" s="8">
        <f>IF($A20&lt;=No_Components,IF($C$5=0,IF(AND(LEFT('DC Balance'!$S$22,1)="O",$AH20=1),INDEX('File 12'!$D$58:$D$110,$C$4),INDEX('File 12'!$T$58:$T$110,$C$4)),'File 12'!$D$6),0)</f>
        <v>0</v>
      </c>
      <c r="D20" s="8">
        <f>IF($A20&lt;=No_Components,IF($C$5=0,IF(AND(LEFT('DC Balance'!$S$22,1)="O",$AH20=1),INDEX('File 12'!$E$58:$E$110,$C$4),INDEX('File 12'!$W$58:$W$110,$C$4)),'File 12'!$D$7)-$C$20,0)</f>
        <v>0</v>
      </c>
      <c r="E20" s="8">
        <f>IF($A20&lt;=No_Components,IF($C$5=0,IF(AND(LEFT('DC Balance'!$S$22,1)="O",$AH8=1),INDEX('File 12'!$F$58:$F$110,$C$4),INDEX('File 12'!$Z$58:$Z$110,$C$4)),'File 12'!$D$13/'File 12'!$Z$54),0)</f>
        <v>0</v>
      </c>
      <c r="F20" s="8">
        <f>IF($A20&lt;='Data files'!$E$9,'Control Sheet'!J57,0)</f>
        <v>0</v>
      </c>
      <c r="G20" s="8">
        <f>IF($A9&lt;=No_Components,IF($C$5=0,INDEX('File 12'!U58:U110,$C$4),0.95*'File 12'!H6),0)</f>
        <v>0</v>
      </c>
      <c r="H20" s="8">
        <f>IF($A9&lt;=No_Components,IF($C$5=0,INDEX('File 12'!X58:X110,$C$4),1.05*'File 12'!H6),0)-G20</f>
        <v>0</v>
      </c>
      <c r="I20" s="8">
        <f>IF($A9&lt;=No_Components,IF($C$5=0,INDEX('File 12'!AA58:AA110,$C$4)/IF('File 12'!AA54=0,1,'File 12'!AA54),'File 12'!H13),0)</f>
        <v>0</v>
      </c>
      <c r="J20" s="8">
        <f>IF($A20&lt;='Data files'!$E$9,'Control Sheet'!K57,0)</f>
        <v>0</v>
      </c>
      <c r="K20" s="8">
        <f>IF($A9&lt;=No_Components,IF($C$5=0,INDEX('File 12'!V58:V110,$C$4),0.95*'File 12'!L6),0)</f>
        <v>0</v>
      </c>
      <c r="L20" s="8">
        <f>IF($A9&lt;=No_Components,IF($C$5=0,INDEX('File 12'!Y58:Y110,$C$4),1.05*'File 12'!L6),0)-K20</f>
        <v>0</v>
      </c>
      <c r="M20" s="8">
        <f>IF($A9&lt;=No_Components,IF($C$5=0,INDEX('File 12'!AB58:AB110,$C$4)/IF('File 12'!AB54=0,1,'File 12'!AB54),'File 12'!L13),0)</f>
        <v>0</v>
      </c>
      <c r="N20" s="8">
        <f>IF($A20&lt;='Data files'!$E$9,IF(E20&lt;C20,1,IF(E20&lt;D20,2,3)),0)</f>
        <v>0</v>
      </c>
      <c r="O20" s="8">
        <f>IF(AND($A20&lt;='Data files'!$E$9,'Control Sheet'!H57&gt;1),IF(I20&lt;0.95*G20,1,IF(I20&lt;1.05*G20,2,3)),0)</f>
        <v>0</v>
      </c>
      <c r="P20" s="8">
        <f>IF(AND($A20&lt;='Data files'!$E$9,'Control Sheet'!H57&gt;1),IF(M20&lt;0.95*K20,1,IF(M20&lt;1.05*K20,2,3)),0)</f>
        <v>0</v>
      </c>
      <c r="Z20">
        <f ca="1">INDIRECT("'File "&amp;$A20&amp;"'!"&amp;INDEX('Control Sheet'!$L$12:$L$15,'Dependency (hide)'!$O$21))</f>
        <v>0</v>
      </c>
      <c r="AA20">
        <f ca="1">INDIRECT("'File "&amp;$A20&amp;"'!FU_"&amp;INDEX('Control Sheet'!$L$12:$L$15,'Dependency (hide)'!$O$21))</f>
        <v>0</v>
      </c>
      <c r="AB20">
        <f ca="1">INDIRECT("'File "&amp;$A20&amp;"'!IP_"&amp;INDEX('Control Sheet'!$L$12:$L$15,'Dependency (hide)'!$O$21))</f>
        <v>0</v>
      </c>
      <c r="AD20">
        <f>IF($A20&lt;=No_Components,IF($C$5=0,IF(LEFT('DC Balance'!$S$22,1)="P",INDEX('File 12'!$AF$58:$AF$110,$C$4),INDEX('File 12'!$I$58:$I$110,$C$4)),AVERAGE('File 12'!$AF$58:AF109)),0)</f>
        <v>0</v>
      </c>
      <c r="AE20">
        <f t="shared" ca="1" si="0"/>
        <v>0</v>
      </c>
      <c r="AF20">
        <f t="shared" ca="1" si="1"/>
        <v>0</v>
      </c>
      <c r="AH20">
        <f>IF('Control Sheet'!D57&gt;=7,1,0)</f>
        <v>0</v>
      </c>
    </row>
    <row r="21" spans="1:34" x14ac:dyDescent="0.25">
      <c r="A21">
        <v>13</v>
      </c>
      <c r="B21">
        <f>IF($A21&lt;='Data files'!$E$9,'Control Sheet'!I58,0)</f>
        <v>0</v>
      </c>
      <c r="C21" s="8">
        <f>IF($A21&lt;=No_Components,IF($C$5=0,IF(AND(LEFT('DC Balance'!$S$22,1)="O",$AH21=1),INDEX('File 13'!$D$58:$D$110,$C$4),INDEX('File 13'!$T$58:$T$110,$C$4)),'File 13'!$D$6),0)</f>
        <v>0</v>
      </c>
      <c r="D21" s="8">
        <f>IF($A21&lt;=No_Components,IF($C$5=0,IF(AND(LEFT('DC Balance'!$S$22,1)="O",$AH21=1),INDEX('File 13'!$E$58:$E$110,$C$4),INDEX('File 13'!$W$58:$W$110,$C$4)),'File 13'!$D$7)-$C$21,0)</f>
        <v>0</v>
      </c>
      <c r="E21" s="8">
        <f>IF($A21&lt;=No_Components,IF($C$5=0,IF(AND(LEFT('DC Balance'!$S$22,1)="O",$AH8=1),INDEX('File 13'!$F$58:$F$110,$C$4),INDEX('File 13'!$Z$58:$Z$110,$C$4)),'File 13'!$D$13/'File 13'!$Z$54),0)</f>
        <v>0</v>
      </c>
      <c r="F21" s="8">
        <f>IF($A21&lt;='Data files'!$E$9,'Control Sheet'!J58,0)</f>
        <v>0</v>
      </c>
      <c r="G21" s="8">
        <f>IF($A9&lt;=No_Components,IF($C$5=0,INDEX('File 13'!U58:U110,$C$4),0.95*'File 13'!H6),0)</f>
        <v>0</v>
      </c>
      <c r="H21" s="8">
        <f>IF($A9&lt;=No_Components,IF($C$5=0,INDEX('File 13'!X58:X110,$C$4),1.05*'File 13'!H6),0)-G21</f>
        <v>0</v>
      </c>
      <c r="I21" s="8">
        <f>IF($A9&lt;=No_Components,IF($C$5=0,INDEX('File 13'!AA58:AA110,$C$4)/IF('File 13'!AA54=0,1,'File 13'!AA54),'File 13'!H13),0)</f>
        <v>0</v>
      </c>
      <c r="J21" s="8">
        <f>IF($A21&lt;='Data files'!$E$9,'Control Sheet'!K58,0)</f>
        <v>0</v>
      </c>
      <c r="K21" s="8">
        <f>IF($A9&lt;=No_Components,IF($C$5=0,INDEX('File 13'!V58:V110,$C$4),0.95*'File 13'!L6),0)</f>
        <v>0</v>
      </c>
      <c r="L21" s="8">
        <f>IF($A9&lt;=No_Components,IF($C$5=0,INDEX('File 13'!Y58:Y110,$C$4),1.05*'File 13'!L6),0)-K21</f>
        <v>0</v>
      </c>
      <c r="M21" s="8">
        <f>IF($A9&lt;=No_Components,IF($C$5=0,INDEX('File 13'!AB58:AB110,$C$4)/IF('File 13'!AB54=0,1,'File 13'!AB54),'File 13'!L13),0)</f>
        <v>0</v>
      </c>
      <c r="N21" s="8">
        <f>IF($A21&lt;='Data files'!$E$9,IF(E21&lt;C21,1,IF(E21&lt;D21,2,3)),0)</f>
        <v>0</v>
      </c>
      <c r="O21" s="8">
        <f>IF(AND($A21&lt;='Data files'!$E$9,'Control Sheet'!H58&gt;1),IF(I21&lt;0.95*G21,1,IF(I21&lt;1.05*G21,2,3)),0)</f>
        <v>0</v>
      </c>
      <c r="P21" s="8">
        <f>IF(AND($A21&lt;='Data files'!$E$9,'Control Sheet'!H58&gt;1),IF(M21&lt;0.95*K21,1,IF(M21&lt;1.05*K21,2,3)),0)</f>
        <v>0</v>
      </c>
      <c r="Z21">
        <f ca="1">INDIRECT("'File "&amp;$A21&amp;"'!"&amp;INDEX('Control Sheet'!$L$12:$L$15,'Dependency (hide)'!$O$21))</f>
        <v>0</v>
      </c>
      <c r="AA21">
        <f ca="1">INDIRECT("'File "&amp;$A21&amp;"'!FU_"&amp;INDEX('Control Sheet'!$L$12:$L$15,'Dependency (hide)'!$O$21))</f>
        <v>0</v>
      </c>
      <c r="AB21">
        <f ca="1">INDIRECT("'File "&amp;$A21&amp;"'!IP_"&amp;INDEX('Control Sheet'!$L$12:$L$15,'Dependency (hide)'!$O$21))</f>
        <v>0</v>
      </c>
      <c r="AD21">
        <f>IF($A21&lt;=No_Components,IF($C$5=0,IF(LEFT('DC Balance'!$S$22,1)="P",INDEX('File 13'!$AF$58:$AF$110,$C$4),INDEX('File 13'!$I$58:$I$110,$C$4)),AVERAGE('File 13'!$AF$58:AF109)),0)</f>
        <v>0</v>
      </c>
      <c r="AE21">
        <f t="shared" ca="1" si="0"/>
        <v>0</v>
      </c>
      <c r="AF21">
        <f t="shared" ca="1" si="1"/>
        <v>0</v>
      </c>
      <c r="AH21">
        <f>IF('Control Sheet'!D58&gt;=7,1,0)</f>
        <v>0</v>
      </c>
    </row>
    <row r="22" spans="1:34" x14ac:dyDescent="0.25">
      <c r="A22">
        <v>14</v>
      </c>
      <c r="B22">
        <f>IF($A22&lt;='Data files'!$E$9,'Control Sheet'!I59,0)</f>
        <v>0</v>
      </c>
      <c r="C22" s="8">
        <f>IF($A22&lt;=No_Components,IF($C$5=0,IF(AND(LEFT('DC Balance'!$S$22,1)="O",$AH22=1),INDEX('File 14'!$D$58:$D$110,$C$4),INDEX('File 14'!$T$58:$T$110,$C$4)),'File 14'!$D$6),0)</f>
        <v>0</v>
      </c>
      <c r="D22" s="8">
        <f>IF($A22&lt;=No_Components,IF($C$5=0,IF(AND(LEFT('DC Balance'!$S$22,1)="O",$AH22=1),INDEX('File 14'!$E$58:$E$110,$C$4),INDEX('File 14'!$W$58:$W$110,$C$4)),'File 14'!$D$7)-$C$22,0)</f>
        <v>0</v>
      </c>
      <c r="E22" s="8">
        <f>IF($A22&lt;=No_Components,IF($C$5=0,IF(AND(LEFT('DC Balance'!$S$22,1)="O",$AH8=1),INDEX('File 14'!$F$58:$F$110,$C$4),INDEX('File 14'!$Z$58:$Z$110,$C$4)),'File 14'!$D$13/'File 14'!$Z$54),0)</f>
        <v>0</v>
      </c>
      <c r="F22" s="8">
        <f>IF($A22&lt;='Data files'!$E$9,'Control Sheet'!J59,0)</f>
        <v>0</v>
      </c>
      <c r="G22" s="8">
        <f>IF($A9&lt;=No_Components,IF($C$5=0,INDEX('File 14'!U58:U110,$C$4),0.95*'File 14'!H6),0)</f>
        <v>0</v>
      </c>
      <c r="H22" s="8">
        <f>IF($A9&lt;=No_Components,IF($C$5=0,INDEX('File 14'!X58:X110,$C$4),1.05*'File 14'!H6),0)-G22</f>
        <v>0</v>
      </c>
      <c r="I22" s="8">
        <f>IF($A9&lt;=No_Components,IF($C$5=0,INDEX('File 14'!AA58:AA110,$C$4)/IF('File 14'!AA54=0,1,'File 14'!AA54),'File 14'!H13),0)</f>
        <v>0</v>
      </c>
      <c r="J22" s="8">
        <f>IF($A22&lt;='Data files'!$E$9,'Control Sheet'!K59,0)</f>
        <v>0</v>
      </c>
      <c r="K22" s="8">
        <f>IF($A9&lt;=No_Components,IF($C$5=0,INDEX('File 14'!V58:V110,$C$4),0.95*'File 14'!L6),0)</f>
        <v>0</v>
      </c>
      <c r="L22" s="8">
        <f>IF($A9&lt;=No_Components,IF($C$5=0,INDEX('File 14'!Y58:Y110,$C$4),1.05*'File 14'!L6),0)-K22</f>
        <v>0</v>
      </c>
      <c r="M22" s="8">
        <f>IF($A9&lt;=No_Components,IF($C$5=0,INDEX('File 14'!AB58:AB110,$C$4)/IF('File 14'!AB54=0,1,'File 14'!AB54),'File 14'!L13),0)</f>
        <v>0</v>
      </c>
      <c r="N22" s="8">
        <f>IF($A22&lt;='Data files'!$E$9,IF(E22&lt;C22,1,IF(E22&lt;D22,2,3)),0)</f>
        <v>0</v>
      </c>
      <c r="O22" s="8">
        <f>IF(AND($A22&lt;='Data files'!$E$9,'Control Sheet'!H59&gt;1),IF(I22&lt;0.95*G22,1,IF(I22&lt;1.05*G22,2,3)),0)</f>
        <v>0</v>
      </c>
      <c r="P22" s="8">
        <f>IF(AND($A22&lt;='Data files'!$E$9,'Control Sheet'!H59&gt;1),IF(M22&lt;0.95*K22,1,IF(M22&lt;1.05*K22,2,3)),0)</f>
        <v>0</v>
      </c>
      <c r="Z22">
        <f ca="1">INDIRECT("'File "&amp;$A22&amp;"'!"&amp;INDEX('Control Sheet'!$L$12:$L$15,'Dependency (hide)'!$O$21))</f>
        <v>0</v>
      </c>
      <c r="AA22">
        <f ca="1">INDIRECT("'File "&amp;$A22&amp;"'!FU_"&amp;INDEX('Control Sheet'!$L$12:$L$15,'Dependency (hide)'!$O$21))</f>
        <v>0</v>
      </c>
      <c r="AB22">
        <f ca="1">INDIRECT("'File "&amp;$A22&amp;"'!IP_"&amp;INDEX('Control Sheet'!$L$12:$L$15,'Dependency (hide)'!$O$21))</f>
        <v>0</v>
      </c>
      <c r="AD22">
        <f>IF($A22&lt;=No_Components,IF($C$5=0,IF(LEFT('DC Balance'!$S$22,1)="P",INDEX('File 14'!$AF$58:$AF$110,$C$4),INDEX('File 14'!$I$58:$I$110,$C$4)),AVERAGE('File 14'!$AF$58:AF109)),0)</f>
        <v>0</v>
      </c>
      <c r="AE22">
        <f t="shared" ca="1" si="0"/>
        <v>0</v>
      </c>
      <c r="AF22">
        <f t="shared" ca="1" si="1"/>
        <v>0</v>
      </c>
      <c r="AH22">
        <f>IF('Control Sheet'!D59&gt;=7,1,0)</f>
        <v>0</v>
      </c>
    </row>
    <row r="23" spans="1:34" x14ac:dyDescent="0.25">
      <c r="A23">
        <v>15</v>
      </c>
      <c r="B23">
        <f>IF($A23&lt;='Data files'!$E$9,'Control Sheet'!I60,0)</f>
        <v>0</v>
      </c>
      <c r="C23" s="8">
        <f>IF($A23&lt;=No_Components,IF($C$5=0,IF(AND(LEFT('DC Balance'!$S$22,1)="O",$AH23=1),INDEX('File 15'!$D$58:$D$110,$C$4),INDEX('File 15'!$T$58:$T$110,$C$4)),'File 15'!$D$6),0)</f>
        <v>0</v>
      </c>
      <c r="D23" s="8">
        <f>IF($A23&lt;=No_Components,IF($C$5=0,IF(AND(LEFT('DC Balance'!$S$22,1)="O",$AH23=1),INDEX('File 15'!$E$58:$E$110,$C$4),INDEX('File 15'!$W$58:$W$110,$C$4)),'File 15'!$D$7)-$C$23,0)</f>
        <v>0</v>
      </c>
      <c r="E23" s="8">
        <f>IF($A23&lt;=No_Components,IF($C$5=0,IF(AND(LEFT('DC Balance'!$S$22,1)="O",$AH8=1),INDEX('File 15'!$F$58:$F$110,$C$4),INDEX('File 15'!$Z$58:$Z$110,$C$4)),'File 15'!$D$13/'File 15'!$Z$54),0)</f>
        <v>0</v>
      </c>
      <c r="F23" s="8">
        <f>IF($A23&lt;='Data files'!$E$9,'Control Sheet'!J60,0)</f>
        <v>0</v>
      </c>
      <c r="G23" s="8">
        <f>IF($A9&lt;=No_Components,IF($C$5=0,INDEX('File 15'!U58:U110,$C$4),0.95*'File 15'!H6),0)</f>
        <v>0</v>
      </c>
      <c r="H23" s="8">
        <f>IF($A9&lt;=No_Components,IF($C$5=0,INDEX('File 15'!X58:X110,$C$4),1.05*'File 15'!H6),0)-G23</f>
        <v>0</v>
      </c>
      <c r="I23" s="8">
        <f>IF($A9&lt;=No_Components,IF($C$5=0,INDEX('File 15'!AA58:AA110,$C$4)/IF('File 15'!AA54=0,1,'File 15'!AA54),'File 15'!H13),0)</f>
        <v>0</v>
      </c>
      <c r="J23" s="8">
        <f>IF($A23&lt;='Data files'!$E$9,'Control Sheet'!K60,0)</f>
        <v>0</v>
      </c>
      <c r="K23" s="8">
        <f>IF($A9&lt;=No_Components,IF($C$5=0,INDEX('File 15'!V58:V110,$C$4),0.95*'File 15'!L6),0)</f>
        <v>0</v>
      </c>
      <c r="L23" s="8">
        <f>IF($A9&lt;=No_Components,IF($C$5=0,INDEX('File 15'!Y58:Y110,$C$4),1.05*'File 15'!L6),0)-K23</f>
        <v>0</v>
      </c>
      <c r="M23" s="8">
        <f>IF($A9&lt;=No_Components,IF($C$5=0,INDEX('File 15'!AB58:AB110,$C$4)/IF('File 15'!AB54=0,1,'File 15'!AB54),'File 15'!L13),0)</f>
        <v>0</v>
      </c>
      <c r="N23" s="8">
        <f>IF($A23&lt;='Data files'!$E$9,IF(E23&lt;C23,1,IF(E23&lt;D23,2,3)),0)</f>
        <v>0</v>
      </c>
      <c r="O23" s="8">
        <f>IF(AND($A23&lt;='Data files'!$E$9,'Control Sheet'!H60&gt;1),IF(I23&lt;0.95*G23,1,IF(I23&lt;1.05*G23,2,3)),0)</f>
        <v>0</v>
      </c>
      <c r="P23" s="8">
        <f>IF(AND($A23&lt;='Data files'!$E$9,'Control Sheet'!H60&gt;1),IF(M23&lt;0.95*K23,1,IF(M23&lt;1.05*K23,2,3)),0)</f>
        <v>0</v>
      </c>
      <c r="Z23">
        <f ca="1">INDIRECT("'File "&amp;$A23&amp;"'!"&amp;INDEX('Control Sheet'!$L$12:$L$15,'Dependency (hide)'!$O$21))</f>
        <v>0</v>
      </c>
      <c r="AA23">
        <f ca="1">INDIRECT("'File "&amp;$A23&amp;"'!FU_"&amp;INDEX('Control Sheet'!$L$12:$L$15,'Dependency (hide)'!$O$21))</f>
        <v>0</v>
      </c>
      <c r="AB23">
        <f ca="1">INDIRECT("'File "&amp;$A23&amp;"'!IP_"&amp;INDEX('Control Sheet'!$L$12:$L$15,'Dependency (hide)'!$O$21))</f>
        <v>0</v>
      </c>
      <c r="AD23">
        <f>IF($A23&lt;=No_Components,IF($C$5=0,IF(LEFT('DC Balance'!$S$22,1)="P",INDEX('File 15'!$AF$58:$AF$110,$C$4),INDEX('File 15'!$I$58:$I$110,$C$4)),AVERAGE('File 15'!$AF$58:AF109)),0)</f>
        <v>0</v>
      </c>
      <c r="AE23">
        <f t="shared" ca="1" si="0"/>
        <v>0</v>
      </c>
      <c r="AF23">
        <f t="shared" ca="1" si="1"/>
        <v>0</v>
      </c>
      <c r="AH23">
        <f>IF('Control Sheet'!D60&gt;=7,1,0)</f>
        <v>0</v>
      </c>
    </row>
    <row r="24" spans="1:34" x14ac:dyDescent="0.25">
      <c r="A24">
        <v>16</v>
      </c>
      <c r="B24">
        <f>IF($A24&lt;='Data files'!$E$9,'Control Sheet'!I61,0)</f>
        <v>0</v>
      </c>
      <c r="C24" s="8">
        <f>IF($A24&lt;=No_Components,IF($C$5=0,IF(AND(LEFT('DC Balance'!$S$22,1)="O",$AH24=1),INDEX('File 16'!$D$58:$D$110,$C$4),INDEX('File 16'!$T$58:$T$110,$C$4)),'File 16'!$D$6),0)</f>
        <v>0</v>
      </c>
      <c r="D24" s="8">
        <f>IF($A24&lt;=No_Components,IF($C$5=0,IF(AND(LEFT('DC Balance'!$S$22,1)="O",$AH24=1),INDEX('File 16'!$E$58:$E$110,$C$4),INDEX('File 16'!$W$58:$W$110,$C$4)),'File 16'!$D$7)-$C$24,0)</f>
        <v>0</v>
      </c>
      <c r="E24" s="8">
        <f>IF($A24&lt;=No_Components,IF($C$5=0,IF(AND(LEFT('DC Balance'!$S$22,1)="O",$AH8=1),INDEX('File 16'!$F$58:$F$110,$C$4),INDEX('File 16'!$Z$58:$Z$110,$C$4)),'File 16'!$D$13/'File 16'!$Z$54),0)</f>
        <v>0</v>
      </c>
      <c r="F24" s="8">
        <f>IF($A24&lt;='Data files'!$E$9,'Control Sheet'!J61,0)</f>
        <v>0</v>
      </c>
      <c r="G24" s="8">
        <f>IF($A9&lt;=No_Components,IF($C$5=0,INDEX('File 16'!U58:U110,$C$4),0.95*'File 16'!H6),0)</f>
        <v>0</v>
      </c>
      <c r="H24" s="8">
        <f>IF($A9&lt;=No_Components,IF($C$5=0,INDEX('File 16'!X58:X110,$C$4),1.05*'File 16'!H6),0)-G24</f>
        <v>0</v>
      </c>
      <c r="I24" s="8">
        <f>IF($A9&lt;=No_Components,IF($C$5=0,INDEX('File 16'!AA58:AA110,$C$4)/IF('File 16'!AA54=0,1,'File 16'!AA54),'File 16'!H13),0)</f>
        <v>0</v>
      </c>
      <c r="J24" s="8">
        <f>IF($A24&lt;='Data files'!$E$9,'Control Sheet'!K61,0)</f>
        <v>0</v>
      </c>
      <c r="K24" s="8">
        <f>IF($A9&lt;=No_Components,IF($C$5=0,INDEX('File 16'!V58:V110,$C$4),0.95*'File 16'!L6),0)</f>
        <v>0</v>
      </c>
      <c r="L24" s="8">
        <f>IF($A9&lt;=No_Components,IF($C$5=0,INDEX('File 16'!Y58:Y110,$C$4),1.05*'File 16'!L6),0)-K24</f>
        <v>0</v>
      </c>
      <c r="M24" s="8">
        <f>IF($A9&lt;=No_Components,IF($C$5=0,INDEX('File 16'!AB58:AB110,$C$4)/IF('File 16'!AB54=0,1,'File 16'!AB54),'File 16'!L13),0)</f>
        <v>0</v>
      </c>
      <c r="N24" s="8">
        <f>IF($A24&lt;='Data files'!$E$9,IF(E24&lt;C24,1,IF(E24&lt;D24,2,3)),0)</f>
        <v>0</v>
      </c>
      <c r="O24" s="8">
        <f>IF(AND($A24&lt;='Data files'!$E$9,'Control Sheet'!H61&gt;1),IF(I24&lt;0.95*G24,1,IF(I24&lt;1.05*G24,2,3)),0)</f>
        <v>0</v>
      </c>
      <c r="P24" s="8">
        <f>IF(AND($A24&lt;='Data files'!$E$9,'Control Sheet'!H61&gt;1),IF(M24&lt;0.95*K24,1,IF(M24&lt;1.05*K24,2,3)),0)</f>
        <v>0</v>
      </c>
      <c r="Z24">
        <f ca="1">INDIRECT("'File "&amp;$A24&amp;"'!"&amp;INDEX('Control Sheet'!$L$12:$L$15,'Dependency (hide)'!$O$21))</f>
        <v>0</v>
      </c>
      <c r="AA24">
        <f ca="1">INDIRECT("'File "&amp;$A24&amp;"'!FU_"&amp;INDEX('Control Sheet'!$L$12:$L$15,'Dependency (hide)'!$O$21))</f>
        <v>0</v>
      </c>
      <c r="AB24">
        <f ca="1">INDIRECT("'File "&amp;$A24&amp;"'!IP_"&amp;INDEX('Control Sheet'!$L$12:$L$15,'Dependency (hide)'!$O$21))</f>
        <v>0</v>
      </c>
      <c r="AD24">
        <f>IF($A24&lt;=No_Components,IF($C$5=0,IF(LEFT('DC Balance'!$S$22,1)="P",INDEX('File 16'!$AF$58:$AF$110,$C$4),INDEX('File 16'!$I$58:$I$110,$C$4)),AVERAGE('File 16'!$AF$58:AF109)),0)</f>
        <v>0</v>
      </c>
      <c r="AE24">
        <f t="shared" ca="1" si="0"/>
        <v>0</v>
      </c>
      <c r="AF24">
        <f t="shared" ca="1" si="1"/>
        <v>0</v>
      </c>
      <c r="AH24">
        <f>IF('Control Sheet'!D61&gt;=7,1,0)</f>
        <v>0</v>
      </c>
    </row>
    <row r="25" spans="1:34" x14ac:dyDescent="0.25">
      <c r="A25">
        <v>17</v>
      </c>
      <c r="B25">
        <f>IF($A25&lt;='Data files'!$E$9,'Control Sheet'!I62,0)</f>
        <v>0</v>
      </c>
      <c r="C25" s="8">
        <f>IF($A25&lt;=No_Components,IF($C$5=0,IF(AND(LEFT('DC Balance'!$S$22,1)="O",$AH25=1),INDEX('File 17'!$D$58:$D$110,$C$4),INDEX('File 17'!$T$58:$T$110,$C$4)),'File 17'!$D$6),0)</f>
        <v>0</v>
      </c>
      <c r="D25" s="8">
        <f>IF($A25&lt;=No_Components,IF($C$5=0,IF(AND(LEFT('DC Balance'!$S$22,1)="O",$AH25=1),INDEX('File 17'!$E$58:$E$110,$C$4),INDEX('File 17'!$W$58:$W$110,$C$4)),'File 17'!$D$7)-$C$25,0)</f>
        <v>0</v>
      </c>
      <c r="E25" s="8">
        <f>IF($A25&lt;=No_Components,IF($C$5=0,IF(AND(LEFT('DC Balance'!$S$22,1)="O",$AH8=1),INDEX('File 17'!$F$58:$F$110,$C$4),INDEX('File 17'!$Z$58:$Z$110,$C$4)),'File 17'!$D$13/'File 17'!$Z$54),0)</f>
        <v>0</v>
      </c>
      <c r="F25" s="8">
        <f>IF($A25&lt;='Data files'!$E$9,'Control Sheet'!J62,0)</f>
        <v>0</v>
      </c>
      <c r="G25" s="8">
        <f>IF($A9&lt;=No_Components,IF($C$5=0,INDEX('File 17'!U58:U110,$C$4),0.95*'File 17'!H6),0)</f>
        <v>0</v>
      </c>
      <c r="H25" s="8">
        <f>IF($A9&lt;=No_Components,IF($C$5=0,INDEX('File 17'!X58:X110,$C$4),1.05*'File 17'!H6),0)-G25</f>
        <v>0</v>
      </c>
      <c r="I25" s="8">
        <f>IF($A9&lt;=No_Components,IF($C$5=0,INDEX('File 17'!AA58:AA110,$C$4)/IF('File 17'!AA54=0,1,'File 17'!AA54),'File 17'!H13),0)</f>
        <v>0</v>
      </c>
      <c r="J25" s="8">
        <f>IF($A25&lt;='Data files'!$E$9,'Control Sheet'!K62,0)</f>
        <v>0</v>
      </c>
      <c r="K25" s="8">
        <f>IF($A9&lt;=No_Components,IF($C$5=0,INDEX('File 17'!V58:V110,$C$4),0.95*'File 17'!L6),0)</f>
        <v>0</v>
      </c>
      <c r="L25" s="8">
        <f>IF($A9&lt;=No_Components,IF($C$5=0,INDEX('File 17'!Y58:Y110,$C$4),1.05*'File 17'!L6),0)-K25</f>
        <v>0</v>
      </c>
      <c r="M25" s="8">
        <f>IF($A9&lt;=No_Components,IF($C$5=0,INDEX('File 17'!AB58:AB110,$C$4)/IF('File 17'!AB54=0,1,'File 17'!AB54),'File 17'!L13),0)</f>
        <v>0</v>
      </c>
      <c r="N25" s="8">
        <f>IF($A25&lt;='Data files'!$E$9,IF(E25&lt;C25,1,IF(E25&lt;D25,2,3)),0)</f>
        <v>0</v>
      </c>
      <c r="O25" s="8">
        <f>IF(AND($A25&lt;='Data files'!$E$9,'Control Sheet'!H62&gt;1),IF(I25&lt;0.95*G25,1,IF(I25&lt;1.05*G25,2,3)),0)</f>
        <v>0</v>
      </c>
      <c r="P25" s="8">
        <f>IF(AND($A25&lt;='Data files'!$E$9,'Control Sheet'!H62&gt;1),IF(M25&lt;0.95*K25,1,IF(M25&lt;1.05*K25,2,3)),0)</f>
        <v>0</v>
      </c>
      <c r="Z25">
        <f ca="1">INDIRECT("'File "&amp;$A25&amp;"'!"&amp;INDEX('Control Sheet'!$L$12:$L$15,'Dependency (hide)'!$O$21))</f>
        <v>0</v>
      </c>
      <c r="AA25">
        <f ca="1">INDIRECT("'File "&amp;$A25&amp;"'!FU_"&amp;INDEX('Control Sheet'!$L$12:$L$15,'Dependency (hide)'!$O$21))</f>
        <v>0</v>
      </c>
      <c r="AB25">
        <f ca="1">INDIRECT("'File "&amp;$A25&amp;"'!IP_"&amp;INDEX('Control Sheet'!$L$12:$L$15,'Dependency (hide)'!$O$21))</f>
        <v>0</v>
      </c>
      <c r="AD25">
        <f>IF($A25&lt;=No_Components,IF($C$5=0,IF(LEFT('DC Balance'!$S$22,1)="P",INDEX('File 17'!$AF$58:$AF$110,$C$4),INDEX('File 17'!$I$58:$I$110,$C$4)),AVERAGE('File 17'!$AF$58:AF109)),0)</f>
        <v>0</v>
      </c>
      <c r="AE25">
        <f t="shared" ca="1" si="0"/>
        <v>0</v>
      </c>
      <c r="AF25">
        <f t="shared" ca="1" si="1"/>
        <v>0</v>
      </c>
      <c r="AH25">
        <f>IF('Control Sheet'!D62&gt;=7,1,0)</f>
        <v>0</v>
      </c>
    </row>
    <row r="26" spans="1:34" x14ac:dyDescent="0.25">
      <c r="A26">
        <v>18</v>
      </c>
      <c r="B26">
        <f>IF($A26&lt;='Data files'!$E$9,'Control Sheet'!I63,0)</f>
        <v>0</v>
      </c>
      <c r="C26" s="8">
        <f>IF($A26&lt;=No_Components,IF($C$5=0,IF(AND(LEFT('DC Balance'!$S$22,1)="O",$AH26=1),INDEX('File 18'!$D$58:$D$110,$C$4),INDEX('File 18'!$T$58:$T$110,$C$4)),'File 18'!$D$6),0)</f>
        <v>0</v>
      </c>
      <c r="D26" s="8">
        <f>IF($A26&lt;=No_Components,IF($C$5=0,IF(AND(LEFT('DC Balance'!$S$22,1)="O",$AH26=1),INDEX('File 18'!$E$58:$E$110,$C$4),INDEX('File 18'!$W$58:$W$110,$C$4)),'File 18'!$D$7)-$C$26,0)</f>
        <v>0</v>
      </c>
      <c r="E26" s="8">
        <f>IF($A26&lt;=No_Components,IF($C$5=0,IF(AND(LEFT('DC Balance'!$S$22,1)="O",$AH8=1),INDEX('File 18'!$F$58:$F$110,$C$4),INDEX('File 18'!$Z$58:$Z$110,$C$4)),'File 18'!$D$13/'File 18'!$Z$54),0)</f>
        <v>0</v>
      </c>
      <c r="F26" s="8">
        <f>IF($A26&lt;='Data files'!$E$9,'Control Sheet'!J63,0)</f>
        <v>0</v>
      </c>
      <c r="G26" s="8">
        <f>IF($A9&lt;=No_Components,IF($C$5=0,INDEX('File 18'!U58:U110,$C$4),0.95*'File 18'!H6),0)</f>
        <v>0</v>
      </c>
      <c r="H26" s="8">
        <f>IF($A9&lt;=No_Components,IF($C$5=0,INDEX('File 18'!X58:X110,$C$4),1.05*'File 18'!H6),0)-G26</f>
        <v>0</v>
      </c>
      <c r="I26" s="8">
        <f>IF($A9&lt;=No_Components,IF($C$5=0,INDEX('File 18'!AA58:AA110,$C$4)/IF('File 18'!AA54=0,1,'File 18'!AA54),'File 18'!H13),0)</f>
        <v>0</v>
      </c>
      <c r="J26" s="8">
        <f>IF($A26&lt;='Data files'!$E$9,'Control Sheet'!K63,0)</f>
        <v>0</v>
      </c>
      <c r="K26" s="8">
        <f>IF($A9&lt;=No_Components,IF($C$5=0,INDEX('File 18'!V58:V110,$C$4),0.95*'File 18'!L6),0)</f>
        <v>0</v>
      </c>
      <c r="L26" s="8">
        <f>IF($A9&lt;=No_Components,IF($C$5=0,INDEX('File 18'!Y58:Y110,$C$4),1.05*'File 18'!L6),0)-K26</f>
        <v>0</v>
      </c>
      <c r="M26" s="8">
        <f>IF($A9&lt;=No_Components,IF($C$5=0,INDEX('File 18'!AB58:AB110,$C$4)/IF('File 18'!AB54=0,1,'File 18'!AB54),'File 18'!L13),0)</f>
        <v>0</v>
      </c>
      <c r="N26" s="8">
        <f>IF($A26&lt;='Data files'!$E$9,IF(E26&lt;C26,1,IF(E26&lt;D26,2,3)),0)</f>
        <v>0</v>
      </c>
      <c r="O26" s="8">
        <f>IF(AND($A26&lt;='Data files'!$E$9,'Control Sheet'!H63&gt;1),IF(I26&lt;0.95*G26,1,IF(I26&lt;1.05*G26,2,3)),0)</f>
        <v>0</v>
      </c>
      <c r="P26" s="8">
        <f>IF(AND($A26&lt;='Data files'!$E$9,'Control Sheet'!H63&gt;1),IF(M26&lt;0.95*K26,1,IF(M26&lt;1.05*K26,2,3)),0)</f>
        <v>0</v>
      </c>
      <c r="Z26">
        <f ca="1">INDIRECT("'File "&amp;$A26&amp;"'!"&amp;INDEX('Control Sheet'!$L$12:$L$15,'Dependency (hide)'!$O$21))</f>
        <v>0</v>
      </c>
      <c r="AA26">
        <f ca="1">INDIRECT("'File "&amp;$A26&amp;"'!FU_"&amp;INDEX('Control Sheet'!$L$12:$L$15,'Dependency (hide)'!$O$21))</f>
        <v>0</v>
      </c>
      <c r="AB26">
        <f ca="1">INDIRECT("'File "&amp;$A26&amp;"'!IP_"&amp;INDEX('Control Sheet'!$L$12:$L$15,'Dependency (hide)'!$O$21))</f>
        <v>0</v>
      </c>
      <c r="AD26">
        <f>IF($A26&lt;=No_Components,IF($C$5=0,IF(LEFT('DC Balance'!$S$22,1)="P",INDEX('File 18'!$AF$58:$AF$110,$C$4),INDEX('File 18'!$I$58:$I$110,$C$4)),AVERAGE('File 18'!$AF$58:AF109)),0)</f>
        <v>0</v>
      </c>
      <c r="AE26">
        <f t="shared" ca="1" si="0"/>
        <v>0</v>
      </c>
      <c r="AF26">
        <f t="shared" ca="1" si="1"/>
        <v>0</v>
      </c>
      <c r="AH26">
        <f>IF('Control Sheet'!D63&gt;=7,1,0)</f>
        <v>0</v>
      </c>
    </row>
    <row r="27" spans="1:34" x14ac:dyDescent="0.25">
      <c r="A27">
        <v>19</v>
      </c>
      <c r="B27">
        <f>IF($A27&lt;='Data files'!$E$9,'Control Sheet'!I64,0)</f>
        <v>0</v>
      </c>
      <c r="C27" s="8">
        <f>IF($A27&lt;=No_Components,IF($C$5=0,IF(AND(LEFT('DC Balance'!$S$22,1)="O",$AH27=1),INDEX('File 19'!$D$58:$D$110,$C$4),INDEX('File 19'!$T$58:$T$110,$C$4)),'File 19'!$D$6),0)</f>
        <v>0</v>
      </c>
      <c r="D27" s="8">
        <f>IF($A27&lt;=No_Components,IF($C$5=0,IF(AND(LEFT('DC Balance'!$S$22,1)="O",$AH27=1),INDEX('File 19'!$E$58:$E$110,$C$4),INDEX('File 19'!$W$58:$W$110,$C$4)),'File 19'!$D$7)-$C$27,0)</f>
        <v>0</v>
      </c>
      <c r="E27" s="8">
        <f>IF($A27&lt;=No_Components,IF($C$5=0,IF(AND(LEFT('DC Balance'!$S$22,1)="O",$AH8=1),INDEX('File 19'!$F$58:$F$110,$C$4),INDEX('File 19'!$Z$58:$Z$110,$C$4)),'File 19'!$D$13/'File 19'!$Z$54),0)</f>
        <v>0</v>
      </c>
      <c r="F27" s="8">
        <f>IF($A27&lt;='Data files'!$E$9,'Control Sheet'!J64,0)</f>
        <v>0</v>
      </c>
      <c r="G27" s="8">
        <f>IF($A9&lt;=No_Components,IF($C$5=0,INDEX('File 19'!U58:U110,$C$4),0.95*'File 19'!H6),0)</f>
        <v>0</v>
      </c>
      <c r="H27" s="8">
        <f>IF($A9&lt;=No_Components,IF($C$5=0,INDEX('File 19'!X58:X110,$C$4),1.05*'File 19'!H6),0)-G27</f>
        <v>0</v>
      </c>
      <c r="I27" s="8">
        <f>IF($A9&lt;=No_Components,IF($C$5=0,INDEX('File 19'!AA58:AA110,$C$4)/IF('File 19'!AA54=0,1,'File 19'!AA54),'File 19'!H13),0)</f>
        <v>0</v>
      </c>
      <c r="J27" s="8">
        <f>IF($A27&lt;='Data files'!$E$9,'Control Sheet'!K64,0)</f>
        <v>0</v>
      </c>
      <c r="K27" s="8">
        <f>IF($A9&lt;=No_Components,IF($C$5=0,INDEX('File 19'!V58:V110,$C$4),0.95*'File 19'!L6),0)</f>
        <v>0</v>
      </c>
      <c r="L27" s="8">
        <f>IF($A9&lt;=No_Components,IF($C$5=0,INDEX('File 19'!Y58:Y110,$C$4),1.05*'File 19'!L6),0)-K27</f>
        <v>0</v>
      </c>
      <c r="M27" s="8">
        <f>IF($A9&lt;=No_Components,IF($C$5=0,INDEX('File 19'!AB58:AB110,$C$4)/IF('File 19'!AB54=0,1,'File 19'!AB54),'File 19'!L13),0)</f>
        <v>0</v>
      </c>
      <c r="N27" s="8">
        <f>IF($A27&lt;='Data files'!$E$9,IF(E27&lt;C27,1,IF(E27&lt;D27,2,3)),0)</f>
        <v>0</v>
      </c>
      <c r="O27" s="8">
        <f>IF(AND($A27&lt;='Data files'!$E$9,'Control Sheet'!H64&gt;1),IF(I27&lt;0.95*G27,1,IF(I27&lt;1.05*G27,2,3)),0)</f>
        <v>0</v>
      </c>
      <c r="P27" s="8">
        <f>IF(AND($A27&lt;='Data files'!$E$9,'Control Sheet'!H64&gt;1),IF(M27&lt;0.95*K27,1,IF(M27&lt;1.05*K27,2,3)),0)</f>
        <v>0</v>
      </c>
      <c r="Z27">
        <f ca="1">INDIRECT("'File "&amp;$A27&amp;"'!"&amp;INDEX('Control Sheet'!$L$12:$L$15,'Dependency (hide)'!$O$21))</f>
        <v>0</v>
      </c>
      <c r="AA27">
        <f ca="1">INDIRECT("'File "&amp;$A27&amp;"'!FU_"&amp;INDEX('Control Sheet'!$L$12:$L$15,'Dependency (hide)'!$O$21))</f>
        <v>0</v>
      </c>
      <c r="AB27">
        <f ca="1">INDIRECT("'File "&amp;$A27&amp;"'!IP_"&amp;INDEX('Control Sheet'!$L$12:$L$15,'Dependency (hide)'!$O$21))</f>
        <v>0</v>
      </c>
      <c r="AD27">
        <f>IF($A27&lt;=No_Components,IF($C$5=0,IF(LEFT('DC Balance'!$S$22,1)="P",INDEX('File 19'!$AF$58:$AF$110,$C$4),INDEX('File 19'!$I$58:$I$110,$C$4)),AVERAGE('File 19'!$AF$58:AF109)),0)</f>
        <v>0</v>
      </c>
      <c r="AE27">
        <f t="shared" ca="1" si="0"/>
        <v>0</v>
      </c>
      <c r="AF27">
        <f t="shared" ca="1" si="1"/>
        <v>0</v>
      </c>
      <c r="AH27">
        <f>IF('Control Sheet'!D64&gt;=7,1,0)</f>
        <v>0</v>
      </c>
    </row>
    <row r="28" spans="1:34" x14ac:dyDescent="0.25">
      <c r="A28">
        <v>20</v>
      </c>
      <c r="B28">
        <f>IF($A28&lt;='Data files'!$E$9,'Control Sheet'!I65,0)</f>
        <v>0</v>
      </c>
      <c r="C28" s="8">
        <f>IF($A28&lt;=No_Components,IF($C$5=0,IF(AND(LEFT('DC Balance'!$S$22,1)="O",$AH28=1),INDEX('File 20'!$D$58:$D$110,$C$4),INDEX('File 20'!$T$58:$T$110,$C$4)),'File 20'!$D$6),0)</f>
        <v>0</v>
      </c>
      <c r="D28" s="8">
        <f>IF($A28&lt;=No_Components,IF($C$5=0,IF(AND(LEFT('DC Balance'!$S$22,1)="O",$AH28=1),INDEX('File 20'!$E$58:$E$110,$C$4),INDEX('File 20'!$W$58:$W$110,$C$4)),'File 20'!$D$7)-$C$28,0)</f>
        <v>0</v>
      </c>
      <c r="E28" s="8">
        <f>IF($A28&lt;=No_Components,IF($C$5=0,IF(AND(LEFT('DC Balance'!$S$22,1)="O",$AH8=1),INDEX('File 20'!$F$58:$F$110,$C$4),INDEX('File 20'!$Z$58:$Z$110,$C$4)),'File 20'!$D$13/'File 20'!$Z$54),0)</f>
        <v>0</v>
      </c>
      <c r="F28" s="8">
        <f>IF($A28&lt;='Data files'!$E$9,'Control Sheet'!J65,0)</f>
        <v>0</v>
      </c>
      <c r="G28" s="8">
        <f>IF($A9&lt;=No_Components,IF($C$5=0,INDEX('File 20'!U58:U110,$C$4),0.95*'File 20'!H6),0)</f>
        <v>0</v>
      </c>
      <c r="H28" s="8">
        <f>IF($A9&lt;=No_Components,IF($C$5=0,INDEX('File 20'!X58:X110,$C$4),1.05*'File 20'!H6),0)-G28</f>
        <v>0</v>
      </c>
      <c r="I28" s="8">
        <f>IF($A9&lt;=No_Components,IF($C$5=0,INDEX('File 20'!AA58:AA110,$C$4)/IF('File 20'!AA54=0,1,'File 20'!AA54),'File 20'!H13),0)</f>
        <v>0</v>
      </c>
      <c r="J28" s="8">
        <f>IF($A28&lt;='Data files'!$E$9,'Control Sheet'!K65,0)</f>
        <v>0</v>
      </c>
      <c r="K28" s="8">
        <f>IF($A9&lt;=No_Components,IF($C$5=0,INDEX('File 20'!V58:V110,$C$4),0.95*'File 20'!L6),0)</f>
        <v>0</v>
      </c>
      <c r="L28" s="8">
        <f>IF($A9&lt;=No_Components,IF($C$5=0,INDEX('File 20'!Y58:Y110,$C$4),1.05*'File 20'!L6),0)-K28</f>
        <v>0</v>
      </c>
      <c r="M28" s="8">
        <f>IF($A9&lt;=No_Components,IF($C$5=0,INDEX('File 20'!AB58:AB110,$C$4)/IF('File 20'!AB54=0,1,'File 20'!AB54),'File 20'!L13),0)</f>
        <v>0</v>
      </c>
      <c r="N28" s="8">
        <f>IF($A28&lt;='Data files'!$E$9,IF(E28&lt;C28,1,IF(E28&lt;D28,2,3)),0)</f>
        <v>0</v>
      </c>
      <c r="O28" s="8">
        <f>IF(AND($A28&lt;='Data files'!$E$9,'Control Sheet'!H65&gt;1),IF(I28&lt;0.95*G28,1,IF(I28&lt;1.05*G28,2,3)),0)</f>
        <v>0</v>
      </c>
      <c r="P28" s="8">
        <f>IF(AND($A28&lt;='Data files'!$E$9,'Control Sheet'!H65&gt;1),IF(M28&lt;0.95*K28,1,IF(M28&lt;1.05*K28,2,3)),0)</f>
        <v>0</v>
      </c>
      <c r="Z28">
        <f ca="1">INDIRECT("'File "&amp;$A28&amp;"'!"&amp;INDEX('Control Sheet'!$L$12:$L$15,'Dependency (hide)'!$O$21))</f>
        <v>0</v>
      </c>
      <c r="AA28">
        <f ca="1">INDIRECT("'File "&amp;$A28&amp;"'!FU_"&amp;INDEX('Control Sheet'!$L$12:$L$15,'Dependency (hide)'!$O$21))</f>
        <v>0</v>
      </c>
      <c r="AB28">
        <f ca="1">INDIRECT("'File "&amp;$A28&amp;"'!IP_"&amp;INDEX('Control Sheet'!$L$12:$L$15,'Dependency (hide)'!$O$21))</f>
        <v>0</v>
      </c>
      <c r="AD28">
        <f>IF($A28&lt;=No_Components,IF($C$5=0,IF(LEFT('DC Balance'!$S$22,1)="P",INDEX('File 20'!$AF$58:$AF$110,$C$4),INDEX('File 20'!$I$58:$I$110,$C$4)),AVERAGE('File 20'!$AF$58:AF109)),0)</f>
        <v>0</v>
      </c>
      <c r="AE28">
        <f t="shared" ca="1" si="0"/>
        <v>0</v>
      </c>
      <c r="AF28">
        <f t="shared" ca="1" si="1"/>
        <v>0</v>
      </c>
      <c r="AH28">
        <f>IF('Control Sheet'!D65&gt;=7,1,0)</f>
        <v>0</v>
      </c>
    </row>
    <row r="35" spans="1:16" x14ac:dyDescent="0.25">
      <c r="O35" t="s">
        <v>1239</v>
      </c>
    </row>
    <row r="36" spans="1:16" x14ac:dyDescent="0.25">
      <c r="A36" t="s">
        <v>1035</v>
      </c>
      <c r="O36" t="str">
        <f ca="1">IFERROR(OFFSET(INDIRECT("'File "&amp;$W$4&amp;"'!Y52"),0,$W$6,1,1),"")</f>
        <v/>
      </c>
    </row>
    <row r="37" spans="1:16" x14ac:dyDescent="0.25">
      <c r="F37" s="1" t="s">
        <v>1093</v>
      </c>
    </row>
    <row r="38" spans="1:16" x14ac:dyDescent="0.25">
      <c r="A38" s="1" t="s">
        <v>1091</v>
      </c>
      <c r="B38" s="1" t="s">
        <v>963</v>
      </c>
      <c r="C38" s="1" t="s">
        <v>10</v>
      </c>
      <c r="D38" s="1" t="s">
        <v>1038</v>
      </c>
      <c r="E38" s="1" t="s">
        <v>1039</v>
      </c>
      <c r="F38" s="1" t="s">
        <v>984</v>
      </c>
      <c r="G38" s="1" t="s">
        <v>985</v>
      </c>
      <c r="H38" s="1" t="s">
        <v>1308</v>
      </c>
      <c r="I38" s="1" t="s">
        <v>1309</v>
      </c>
      <c r="K38" s="1" t="s">
        <v>1106</v>
      </c>
      <c r="M38" t="s">
        <v>984</v>
      </c>
      <c r="N38" t="s">
        <v>985</v>
      </c>
      <c r="O38" t="s">
        <v>1310</v>
      </c>
      <c r="P38" t="s">
        <v>1311</v>
      </c>
    </row>
    <row r="39" spans="1:16" x14ac:dyDescent="0.25">
      <c r="A39">
        <f ca="1">OFFSET('Control Sheet'!$H$45,B39,0,1,1)</f>
        <v>1</v>
      </c>
      <c r="B39">
        <v>1</v>
      </c>
      <c r="C39" t="str">
        <f ca="1">IF('Data files'!$E$9&lt;=8,OFFSET('Control Sheet'!$B$45,B39,0,1,1),B39)</f>
        <v>test service</v>
      </c>
      <c r="D39" t="str">
        <f ca="1">IF(ISNA(H39)=FALSE,E39,"")</f>
        <v/>
      </c>
      <c r="E39" t="str">
        <f ca="1">IF(A39=1,"",OFFSET($B$8,B39,0,1,1))</f>
        <v/>
      </c>
      <c r="F39" s="8" t="str">
        <f ca="1">IF(A39=1,"",OFFSET($C$8,B39,0,1,1))</f>
        <v/>
      </c>
      <c r="G39" s="8" t="str">
        <f ca="1">IF(A39=1,"",OFFSET($D$8,B39,0,1,1))</f>
        <v/>
      </c>
      <c r="H39" s="8" t="e">
        <f ca="1">IF(A39&lt;=1,NA(),OFFSET($E$8,B39,0,1,1))</f>
        <v>#N/A</v>
      </c>
      <c r="I39" s="8" t="e">
        <f ca="1">IF(A39&lt;=1,NA(),OFFSET($AD$8,B39,0,1,1))</f>
        <v>#N/A</v>
      </c>
      <c r="K39" s="85">
        <f>IF(LEFT('DC Balance'!$S$22,1)="O",'DC Balance (hide)'!R16,'DC Balance (hide)'!R15)</f>
        <v>43829</v>
      </c>
      <c r="L39">
        <v>1</v>
      </c>
      <c r="M39" s="7" t="str">
        <f ca="1">IF($W$4&gt;0,OFFSET(INDIRECT("'File "&amp;$W$4&amp;IF(LEFT('DC Balance'!$S$22,1)="P","'!S57","'!C57")),$L39,$W$6,1,1),"")</f>
        <v/>
      </c>
      <c r="N39" s="7" t="str">
        <f ca="1">IF($W$4&gt;0,OFFSET(INDIRECT("'File "&amp;$W$4&amp;IF(LEFT('DC Balance'!$S$22,1)="P","'!V57","'!D57")),$L39,$W$6,1,1),"")</f>
        <v/>
      </c>
      <c r="O39" s="7" t="str">
        <f ca="1">IF($W$4&gt;0,OFFSET(INDIRECT("'File "&amp;$W$4&amp;IF(LEFT('DC Balance'!$S$22,1)="P","'!Y57","'!E57")),$L39,$W$6,1,1),"")</f>
        <v/>
      </c>
      <c r="P39" t="str">
        <f ca="1">IF($W$4&gt;0,OFFSET(INDIRECT("'File "&amp;$W$4&amp;IF(LEFT('DC Balance'!$S$22,1)="P","'!AE57","'!H57")),$L39,$W$6,1,1),"")</f>
        <v/>
      </c>
    </row>
    <row r="40" spans="1:16" x14ac:dyDescent="0.25">
      <c r="A40">
        <f ca="1">OFFSET('Control Sheet'!$H$45,B40,0,1,1)</f>
        <v>1</v>
      </c>
      <c r="B40">
        <v>1</v>
      </c>
      <c r="D40" t="str">
        <f ca="1">IF(ISNA(H40)=FALSE,E40,"")</f>
        <v>New</v>
      </c>
      <c r="E40" t="str">
        <f ca="1">OFFSET(IF(A40=1,$B$8,$F$8),B40,0,1,1)</f>
        <v>New</v>
      </c>
      <c r="F40" s="8">
        <f ca="1">IF(A40=1,OFFSET($C$8,B40,0,1,1),OFFSET($G$8,B40,0,1,1))</f>
        <v>23.375250655101734</v>
      </c>
      <c r="G40" s="8">
        <f ca="1">IF(A40=1,OFFSET($D$8,B40,0,1,1),OFFSET($H$8,B40,0,1,1))</f>
        <v>1.1200640938902922</v>
      </c>
      <c r="H40" s="8">
        <f ca="1">IF(A40=0,NA(),OFFSET(IF(A40=1,$E$8,$I$8),B40,0,1,1))</f>
        <v>10.028082154066407</v>
      </c>
      <c r="I40" s="8">
        <f ca="1">IF(A40=0,NA(),OFFSET(IF(A40=1,$AD$8,$AE$8),B40,0,1,1))</f>
        <v>8.5711359506635088</v>
      </c>
      <c r="K40" s="85">
        <f>K39+7</f>
        <v>43836</v>
      </c>
      <c r="L40">
        <v>2</v>
      </c>
      <c r="M40" s="7" t="str">
        <f ca="1">IF($W$4&gt;0,OFFSET(INDIRECT("'File "&amp;$W$4&amp;IF(LEFT('DC Balance'!$S$22,1)="P","'!S57","'!C57")),$L40,$W$6,1,1),"")</f>
        <v/>
      </c>
      <c r="N40" s="7" t="str">
        <f ca="1">IF($W$4&gt;0,OFFSET(INDIRECT("'File "&amp;$W$4&amp;IF(LEFT('DC Balance'!$S$22,1)="P","'!V57","'!D57")),$L40,$W$6,1,1),"")</f>
        <v/>
      </c>
      <c r="O40" s="7" t="str">
        <f ca="1">IF($W$4&gt;0,OFFSET(INDIRECT("'File "&amp;$W$4&amp;IF(LEFT('DC Balance'!$S$22,1)="P","'!Y57","'!E57")),$L40,$W$6,1,1),"")</f>
        <v/>
      </c>
      <c r="P40" t="str">
        <f ca="1">IF($W$4&gt;0,OFFSET(INDIRECT("'File "&amp;$W$4&amp;IF(LEFT('DC Balance'!$S$22,1)="P","'!AE57","'!H57")),$L40,$W$6,1,1),"")</f>
        <v/>
      </c>
    </row>
    <row r="41" spans="1:16" x14ac:dyDescent="0.25">
      <c r="A41">
        <f ca="1">OFFSET('Control Sheet'!$H$45,B41,0,1,1)</f>
        <v>1</v>
      </c>
      <c r="B41">
        <v>1</v>
      </c>
      <c r="D41" t="str">
        <f ca="1">IF(ISNA(H41)=FALSE,E41," ")</f>
        <v xml:space="preserve"> </v>
      </c>
      <c r="E41" t="str">
        <f ca="1">IF(A41=1,"",OFFSET($J$8,B41,0,1,1))</f>
        <v/>
      </c>
      <c r="F41" s="8" t="str">
        <f ca="1">IF(A41=1,"",OFFSET($K$8,B41,0,1,1))</f>
        <v/>
      </c>
      <c r="G41" s="8" t="str">
        <f ca="1">IF(A41=1,"",OFFSET($L$8,B41,0,1,1))</f>
        <v/>
      </c>
      <c r="H41" s="8" t="e">
        <f ca="1">IF(A41&lt;=1,NA(),OFFSET($M$8,B41,0,1,1))</f>
        <v>#N/A</v>
      </c>
      <c r="I41" s="8" t="e">
        <f ca="1">IF(A41&lt;=1,NA(),OFFSET($AF$8,B41,0,1,1))</f>
        <v>#N/A</v>
      </c>
      <c r="K41" s="85">
        <f t="shared" ref="K41:K90" si="2">K40+7</f>
        <v>43843</v>
      </c>
      <c r="L41">
        <v>3</v>
      </c>
      <c r="M41" s="7" t="str">
        <f ca="1">IF($W$4&gt;0,OFFSET(INDIRECT("'File "&amp;$W$4&amp;IF(LEFT('DC Balance'!$S$22,1)="P","'!S57","'!C57")),$L41,$W$6,1,1),"")</f>
        <v/>
      </c>
      <c r="N41" s="7" t="str">
        <f ca="1">IF($W$4&gt;0,OFFSET(INDIRECT("'File "&amp;$W$4&amp;IF(LEFT('DC Balance'!$S$22,1)="P","'!V57","'!D57")),$L41,$W$6,1,1),"")</f>
        <v/>
      </c>
      <c r="O41" s="7" t="str">
        <f ca="1">IF($W$4&gt;0,OFFSET(INDIRECT("'File "&amp;$W$4&amp;IF(LEFT('DC Balance'!$S$22,1)="P","'!Y57","'!E57")),$L41,$W$6,1,1),"")</f>
        <v/>
      </c>
      <c r="P41" t="str">
        <f ca="1">IF($W$4&gt;0,OFFSET(INDIRECT("'File "&amp;$W$4&amp;IF(LEFT('DC Balance'!$S$22,1)="P","'!AE57","'!H57")),$L41,$W$6,1,1),"")</f>
        <v/>
      </c>
    </row>
    <row r="42" spans="1:16" x14ac:dyDescent="0.25">
      <c r="C42" t="s">
        <v>1032</v>
      </c>
      <c r="D42" t="s">
        <v>1032</v>
      </c>
      <c r="F42" s="8"/>
      <c r="G42" s="8"/>
      <c r="H42" s="8"/>
      <c r="I42" s="8"/>
      <c r="K42" s="85">
        <f t="shared" si="2"/>
        <v>43850</v>
      </c>
      <c r="L42">
        <v>4</v>
      </c>
      <c r="M42" s="7" t="str">
        <f ca="1">IF($W$4&gt;0,OFFSET(INDIRECT("'File "&amp;$W$4&amp;IF(LEFT('DC Balance'!$S$22,1)="P","'!S57","'!C57")),$L42,$W$6,1,1),"")</f>
        <v/>
      </c>
      <c r="N42" s="7" t="str">
        <f ca="1">IF($W$4&gt;0,OFFSET(INDIRECT("'File "&amp;$W$4&amp;IF(LEFT('DC Balance'!$S$22,1)="P","'!V57","'!D57")),$L42,$W$6,1,1),"")</f>
        <v/>
      </c>
      <c r="O42" s="7" t="str">
        <f ca="1">IF($W$4&gt;0,OFFSET(INDIRECT("'File "&amp;$W$4&amp;IF(LEFT('DC Balance'!$S$22,1)="P","'!Y57","'!E57")),$L42,$W$6,1,1),"")</f>
        <v/>
      </c>
      <c r="P42" t="str">
        <f ca="1">IF($W$4&gt;0,OFFSET(INDIRECT("'File "&amp;$W$4&amp;IF(LEFT('DC Balance'!$S$22,1)="P","'!AE57","'!H57")),$L42,$W$6,1,1),"")</f>
        <v/>
      </c>
    </row>
    <row r="43" spans="1:16" x14ac:dyDescent="0.25">
      <c r="A43">
        <f ca="1">OFFSET('Control Sheet'!$H$45,B43,0,1,1)</f>
        <v>0</v>
      </c>
      <c r="B43">
        <v>2</v>
      </c>
      <c r="C43">
        <f ca="1">IF('Data files'!$E$9&lt;=8,OFFSET('Control Sheet'!$B$45,B43,0,1,1),B43)</f>
        <v>0</v>
      </c>
      <c r="D43" t="str">
        <f ca="1">IF(ISNA(H43)=FALSE,E43,"")</f>
        <v/>
      </c>
      <c r="E43">
        <f ca="1">IF(A43=1,"",OFFSET($B$8,B43,0,1,1))</f>
        <v>0</v>
      </c>
      <c r="F43" s="8">
        <f ca="1">IF(A43=1,"",OFFSET($C$8,B43,0,1,1))</f>
        <v>0</v>
      </c>
      <c r="G43" s="8">
        <f ca="1">IF(A43=1,"",OFFSET($D$8,B43,0,1,1))</f>
        <v>0</v>
      </c>
      <c r="H43" s="8" t="e">
        <f ca="1">IF(A43&lt;=1,NA(),OFFSET($E$8,B43,0,1,1))</f>
        <v>#N/A</v>
      </c>
      <c r="I43" s="8" t="e">
        <f ca="1">IF(A43&lt;=1,NA(),OFFSET($AD$8,B43,0,1,1))</f>
        <v>#N/A</v>
      </c>
      <c r="K43" s="85">
        <f t="shared" si="2"/>
        <v>43857</v>
      </c>
      <c r="L43">
        <v>5</v>
      </c>
      <c r="M43" s="7" t="str">
        <f ca="1">IF($W$4&gt;0,OFFSET(INDIRECT("'File "&amp;$W$4&amp;IF(LEFT('DC Balance'!$S$22,1)="P","'!S57","'!C57")),$L43,$W$6,1,1),"")</f>
        <v/>
      </c>
      <c r="N43" s="7" t="str">
        <f ca="1">IF($W$4&gt;0,OFFSET(INDIRECT("'File "&amp;$W$4&amp;IF(LEFT('DC Balance'!$S$22,1)="P","'!V57","'!D57")),$L43,$W$6,1,1),"")</f>
        <v/>
      </c>
      <c r="O43" s="7" t="str">
        <f ca="1">IF($W$4&gt;0,OFFSET(INDIRECT("'File "&amp;$W$4&amp;IF(LEFT('DC Balance'!$S$22,1)="P","'!Y57","'!E57")),$L43,$W$6,1,1),"")</f>
        <v/>
      </c>
      <c r="P43" t="str">
        <f ca="1">IF($W$4&gt;0,OFFSET(INDIRECT("'File "&amp;$W$4&amp;IF(LEFT('DC Balance'!$S$22,1)="P","'!AE57","'!H57")),$L43,$W$6,1,1),"")</f>
        <v/>
      </c>
    </row>
    <row r="44" spans="1:16" x14ac:dyDescent="0.25">
      <c r="A44">
        <f ca="1">OFFSET('Control Sheet'!$H$45,B44,0,1,1)</f>
        <v>0</v>
      </c>
      <c r="B44">
        <v>2</v>
      </c>
      <c r="D44" t="str">
        <f ca="1">IF(ISNA(H44)=FALSE,E44,"")</f>
        <v/>
      </c>
      <c r="E44">
        <f ca="1">OFFSET(IF(A44=1,$B$8,$F$8),B44,0,1,1)</f>
        <v>0</v>
      </c>
      <c r="F44" s="8">
        <f ca="1">IF(A44=1,OFFSET($C$8,B44,0,1,1),OFFSET($G$8,B44,0,1,1))</f>
        <v>0</v>
      </c>
      <c r="G44" s="8">
        <f ca="1">IF(A44=1,OFFSET($D$8,B44,0,1,1),OFFSET($H$8,B44,0,1,1))</f>
        <v>0</v>
      </c>
      <c r="H44" s="8" t="e">
        <f ca="1">IF(A44=0,NA(),OFFSET(IF(A44=1,$E$8,$I$8),B44,0,1,1))</f>
        <v>#N/A</v>
      </c>
      <c r="I44" s="8" t="e">
        <f ca="1">IF(A44=0,NA(),OFFSET(IF(A44=1,$AD$8,$AE$8),B44,0,1,1))</f>
        <v>#N/A</v>
      </c>
      <c r="K44" s="85">
        <f t="shared" si="2"/>
        <v>43864</v>
      </c>
      <c r="L44">
        <v>6</v>
      </c>
      <c r="M44" s="7" t="str">
        <f ca="1">IF($W$4&gt;0,OFFSET(INDIRECT("'File "&amp;$W$4&amp;IF(LEFT('DC Balance'!$S$22,1)="P","'!S57","'!C57")),$L44,$W$6,1,1),"")</f>
        <v/>
      </c>
      <c r="N44" s="7" t="str">
        <f ca="1">IF($W$4&gt;0,OFFSET(INDIRECT("'File "&amp;$W$4&amp;IF(LEFT('DC Balance'!$S$22,1)="P","'!V57","'!D57")),$L44,$W$6,1,1),"")</f>
        <v/>
      </c>
      <c r="O44" s="7" t="str">
        <f ca="1">IF($W$4&gt;0,OFFSET(INDIRECT("'File "&amp;$W$4&amp;IF(LEFT('DC Balance'!$S$22,1)="P","'!Y57","'!E57")),$L44,$W$6,1,1),"")</f>
        <v/>
      </c>
      <c r="P44" t="str">
        <f ca="1">IF($W$4&gt;0,OFFSET(INDIRECT("'File "&amp;$W$4&amp;IF(LEFT('DC Balance'!$S$22,1)="P","'!AE57","'!H57")),$L44,$W$6,1,1),"")</f>
        <v/>
      </c>
    </row>
    <row r="45" spans="1:16" x14ac:dyDescent="0.25">
      <c r="A45">
        <f ca="1">OFFSET('Control Sheet'!$H$45,B45,0,1,1)</f>
        <v>0</v>
      </c>
      <c r="B45">
        <v>2</v>
      </c>
      <c r="D45" t="str">
        <f ca="1">IF(ISNA(H45)=FALSE,E45," ")</f>
        <v xml:space="preserve"> </v>
      </c>
      <c r="E45">
        <f ca="1">IF(A45=1,"",OFFSET($J$8,B45,0,1,1))</f>
        <v>0</v>
      </c>
      <c r="F45" s="8">
        <f ca="1">IF(A45=1,"",OFFSET($K$8,B45,0,1,1))</f>
        <v>0</v>
      </c>
      <c r="G45" s="8">
        <f ca="1">IF(A45=1,"",OFFSET($L$8,B45,0,1,1))</f>
        <v>0</v>
      </c>
      <c r="H45" s="8" t="e">
        <f ca="1">IF(A45&lt;=1,NA(),OFFSET($M$8,B45,0,1,1))</f>
        <v>#N/A</v>
      </c>
      <c r="I45" s="8" t="e">
        <f ca="1">IF(A45&lt;=1,NA(),OFFSET($AF$8,B45,0,1,1))</f>
        <v>#N/A</v>
      </c>
      <c r="K45" s="85">
        <f t="shared" si="2"/>
        <v>43871</v>
      </c>
      <c r="L45">
        <v>7</v>
      </c>
      <c r="M45" s="7" t="str">
        <f ca="1">IF($W$4&gt;0,OFFSET(INDIRECT("'File "&amp;$W$4&amp;IF(LEFT('DC Balance'!$S$22,1)="P","'!S57","'!C57")),$L45,$W$6,1,1),"")</f>
        <v/>
      </c>
      <c r="N45" s="7" t="str">
        <f ca="1">IF($W$4&gt;0,OFFSET(INDIRECT("'File "&amp;$W$4&amp;IF(LEFT('DC Balance'!$S$22,1)="P","'!V57","'!D57")),$L45,$W$6,1,1),"")</f>
        <v/>
      </c>
      <c r="O45" s="7" t="str">
        <f ca="1">IF($W$4&gt;0,OFFSET(INDIRECT("'File "&amp;$W$4&amp;IF(LEFT('DC Balance'!$S$22,1)="P","'!Y57","'!E57")),$L45,$W$6,1,1),"")</f>
        <v/>
      </c>
      <c r="P45" t="str">
        <f ca="1">IF($W$4&gt;0,OFFSET(INDIRECT("'File "&amp;$W$4&amp;IF(LEFT('DC Balance'!$S$22,1)="P","'!AE57","'!H57")),$L45,$W$6,1,1),"")</f>
        <v/>
      </c>
    </row>
    <row r="46" spans="1:16" x14ac:dyDescent="0.25">
      <c r="C46" t="s">
        <v>1032</v>
      </c>
      <c r="D46" t="s">
        <v>1032</v>
      </c>
      <c r="F46" s="8"/>
      <c r="G46" s="8"/>
      <c r="H46" s="8"/>
      <c r="I46" s="8"/>
      <c r="K46" s="85">
        <f t="shared" si="2"/>
        <v>43878</v>
      </c>
      <c r="L46">
        <v>8</v>
      </c>
      <c r="M46" s="7" t="str">
        <f ca="1">IF($W$4&gt;0,OFFSET(INDIRECT("'File "&amp;$W$4&amp;IF(LEFT('DC Balance'!$S$22,1)="P","'!S57","'!C57")),$L46,$W$6,1,1),"")</f>
        <v/>
      </c>
      <c r="N46" s="7" t="str">
        <f ca="1">IF($W$4&gt;0,OFFSET(INDIRECT("'File "&amp;$W$4&amp;IF(LEFT('DC Balance'!$S$22,1)="P","'!V57","'!D57")),$L46,$W$6,1,1),"")</f>
        <v/>
      </c>
      <c r="O46" s="7" t="str">
        <f ca="1">IF($W$4&gt;0,OFFSET(INDIRECT("'File "&amp;$W$4&amp;IF(LEFT('DC Balance'!$S$22,1)="P","'!Y57","'!E57")),$L46,$W$6,1,1),"")</f>
        <v/>
      </c>
      <c r="P46" t="str">
        <f ca="1">IF($W$4&gt;0,OFFSET(INDIRECT("'File "&amp;$W$4&amp;IF(LEFT('DC Balance'!$S$22,1)="P","'!AE57","'!H57")),$L46,$W$6,1,1),"")</f>
        <v/>
      </c>
    </row>
    <row r="47" spans="1:16" x14ac:dyDescent="0.25">
      <c r="A47">
        <f ca="1">OFFSET('Control Sheet'!$H$45,B47,0,1,1)</f>
        <v>0</v>
      </c>
      <c r="B47">
        <v>3</v>
      </c>
      <c r="C47">
        <f ca="1">IF('Data files'!$E$9&lt;=8,OFFSET('Control Sheet'!$B$45,B47,0,1,1),B47)</f>
        <v>0</v>
      </c>
      <c r="D47" t="str">
        <f ca="1">IF(ISNA(H47)=FALSE,E47,"")</f>
        <v/>
      </c>
      <c r="E47">
        <f ca="1">IF(A47=1,"",OFFSET($B$8,B47,0,1,1))</f>
        <v>0</v>
      </c>
      <c r="F47" s="8">
        <f ca="1">IF(A47=1,"",OFFSET($C$8,B47,0,1,1))</f>
        <v>0</v>
      </c>
      <c r="G47" s="8">
        <f ca="1">IF(A47=1,"",OFFSET($D$8,B47,0,1,1))</f>
        <v>0</v>
      </c>
      <c r="H47" s="8" t="e">
        <f ca="1">IF(A47&lt;=1,NA(),OFFSET($E$8,B47,0,1,1))</f>
        <v>#N/A</v>
      </c>
      <c r="I47" s="8" t="e">
        <f ca="1">IF(A47&lt;=1,NA(),OFFSET($AD$8,B47,0,1,1))</f>
        <v>#N/A</v>
      </c>
      <c r="K47" s="85">
        <f t="shared" si="2"/>
        <v>43885</v>
      </c>
      <c r="L47">
        <v>9</v>
      </c>
      <c r="M47" s="7" t="str">
        <f ca="1">IF($W$4&gt;0,OFFSET(INDIRECT("'File "&amp;$W$4&amp;IF(LEFT('DC Balance'!$S$22,1)="P","'!S57","'!C57")),$L47,$W$6,1,1),"")</f>
        <v/>
      </c>
      <c r="N47" s="7" t="str">
        <f ca="1">IF($W$4&gt;0,OFFSET(INDIRECT("'File "&amp;$W$4&amp;IF(LEFT('DC Balance'!$S$22,1)="P","'!V57","'!D57")),$L47,$W$6,1,1),"")</f>
        <v/>
      </c>
      <c r="O47" s="7" t="str">
        <f ca="1">IF($W$4&gt;0,OFFSET(INDIRECT("'File "&amp;$W$4&amp;IF(LEFT('DC Balance'!$S$22,1)="P","'!Y57","'!E57")),$L47,$W$6,1,1),"")</f>
        <v/>
      </c>
      <c r="P47" t="str">
        <f ca="1">IF($W$4&gt;0,OFFSET(INDIRECT("'File "&amp;$W$4&amp;IF(LEFT('DC Balance'!$S$22,1)="P","'!AE57","'!H57")),$L47,$W$6,1,1),"")</f>
        <v/>
      </c>
    </row>
    <row r="48" spans="1:16" x14ac:dyDescent="0.25">
      <c r="A48">
        <f ca="1">OFFSET('Control Sheet'!$H$45,B48,0,1,1)</f>
        <v>0</v>
      </c>
      <c r="B48">
        <v>3</v>
      </c>
      <c r="D48" t="str">
        <f ca="1">IF(ISNA(H48)=FALSE,E48,"")</f>
        <v/>
      </c>
      <c r="E48">
        <f ca="1">OFFSET(IF(A48=1,$B$8,$F$8),B48,0,1,1)</f>
        <v>0</v>
      </c>
      <c r="F48" s="8">
        <f ca="1">IF(A48=1,OFFSET($C$8,B48,0,1,1),OFFSET($G$8,B48,0,1,1))</f>
        <v>0</v>
      </c>
      <c r="G48" s="8">
        <f ca="1">IF(A48=1,OFFSET($D$8,B48,0,1,1),OFFSET($H$8,B48,0,1,1))</f>
        <v>0</v>
      </c>
      <c r="H48" s="8" t="e">
        <f ca="1">IF(A48=0,NA(),OFFSET(IF(A48=1,$E$8,$I$8),B48,0,1,1))</f>
        <v>#N/A</v>
      </c>
      <c r="I48" s="8" t="e">
        <f ca="1">IF(A48=0,NA(),OFFSET(IF(A48=1,$AD$8,$AE$8),B48,0,1,1))</f>
        <v>#N/A</v>
      </c>
      <c r="K48" s="85">
        <f t="shared" si="2"/>
        <v>43892</v>
      </c>
      <c r="L48">
        <v>10</v>
      </c>
      <c r="M48" s="7" t="str">
        <f ca="1">IF($W$4&gt;0,OFFSET(INDIRECT("'File "&amp;$W$4&amp;IF(LEFT('DC Balance'!$S$22,1)="P","'!S57","'!C57")),$L48,$W$6,1,1),"")</f>
        <v/>
      </c>
      <c r="N48" s="7" t="str">
        <f ca="1">IF($W$4&gt;0,OFFSET(INDIRECT("'File "&amp;$W$4&amp;IF(LEFT('DC Balance'!$S$22,1)="P","'!V57","'!D57")),$L48,$W$6,1,1),"")</f>
        <v/>
      </c>
      <c r="O48" s="7" t="str">
        <f ca="1">IF($W$4&gt;0,OFFSET(INDIRECT("'File "&amp;$W$4&amp;IF(LEFT('DC Balance'!$S$22,1)="P","'!Y57","'!E57")),$L48,$W$6,1,1),"")</f>
        <v/>
      </c>
      <c r="P48" t="str">
        <f ca="1">IF($W$4&gt;0,OFFSET(INDIRECT("'File "&amp;$W$4&amp;IF(LEFT('DC Balance'!$S$22,1)="P","'!AE57","'!H57")),$L48,$W$6,1,1),"")</f>
        <v/>
      </c>
    </row>
    <row r="49" spans="1:16" x14ac:dyDescent="0.25">
      <c r="A49">
        <f ca="1">OFFSET('Control Sheet'!$H$45,B49,0,1,1)</f>
        <v>0</v>
      </c>
      <c r="B49">
        <v>3</v>
      </c>
      <c r="D49" t="str">
        <f ca="1">IF(ISNA(H49)=FALSE,E49," ")</f>
        <v xml:space="preserve"> </v>
      </c>
      <c r="E49">
        <f ca="1">IF(A49=1,"",OFFSET($J$8,B49,0,1,1))</f>
        <v>0</v>
      </c>
      <c r="F49" s="8">
        <f ca="1">IF(A49=1,"",OFFSET($K$8,B49,0,1,1))</f>
        <v>0</v>
      </c>
      <c r="G49" s="8">
        <f ca="1">IF(A49=1,"",OFFSET($L$8,B49,0,1,1))</f>
        <v>0</v>
      </c>
      <c r="H49" s="8" t="e">
        <f ca="1">IF(A49&lt;=1,NA(),OFFSET($M$8,B49,0,1,1))</f>
        <v>#N/A</v>
      </c>
      <c r="I49" s="8" t="e">
        <f ca="1">IF(A49&lt;=1,NA(),OFFSET($AF$8,B49,0,1,1))</f>
        <v>#N/A</v>
      </c>
      <c r="K49" s="85">
        <f t="shared" si="2"/>
        <v>43899</v>
      </c>
      <c r="L49">
        <v>11</v>
      </c>
      <c r="M49" s="7" t="str">
        <f ca="1">IF($W$4&gt;0,OFFSET(INDIRECT("'File "&amp;$W$4&amp;IF(LEFT('DC Balance'!$S$22,1)="P","'!S57","'!C57")),$L49,$W$6,1,1),"")</f>
        <v/>
      </c>
      <c r="N49" s="7" t="str">
        <f ca="1">IF($W$4&gt;0,OFFSET(INDIRECT("'File "&amp;$W$4&amp;IF(LEFT('DC Balance'!$S$22,1)="P","'!V57","'!D57")),$L49,$W$6,1,1),"")</f>
        <v/>
      </c>
      <c r="O49" s="7" t="str">
        <f ca="1">IF($W$4&gt;0,OFFSET(INDIRECT("'File "&amp;$W$4&amp;IF(LEFT('DC Balance'!$S$22,1)="P","'!Y57","'!E57")),$L49,$W$6,1,1),"")</f>
        <v/>
      </c>
      <c r="P49" t="str">
        <f ca="1">IF($W$4&gt;0,OFFSET(INDIRECT("'File "&amp;$W$4&amp;IF(LEFT('DC Balance'!$S$22,1)="P","'!AE57","'!H57")),$L49,$W$6,1,1),"")</f>
        <v/>
      </c>
    </row>
    <row r="50" spans="1:16" x14ac:dyDescent="0.25">
      <c r="C50" t="s">
        <v>1032</v>
      </c>
      <c r="D50" t="s">
        <v>1032</v>
      </c>
      <c r="F50" s="8"/>
      <c r="G50" s="8"/>
      <c r="H50" s="8"/>
      <c r="I50" s="8"/>
      <c r="K50" s="85">
        <f t="shared" si="2"/>
        <v>43906</v>
      </c>
      <c r="L50">
        <v>12</v>
      </c>
      <c r="M50" s="7" t="str">
        <f ca="1">IF($W$4&gt;0,OFFSET(INDIRECT("'File "&amp;$W$4&amp;IF(LEFT('DC Balance'!$S$22,1)="P","'!S57","'!C57")),$L50,$W$6,1,1),"")</f>
        <v/>
      </c>
      <c r="N50" s="7" t="str">
        <f ca="1">IF($W$4&gt;0,OFFSET(INDIRECT("'File "&amp;$W$4&amp;IF(LEFT('DC Balance'!$S$22,1)="P","'!V57","'!D57")),$L50,$W$6,1,1),"")</f>
        <v/>
      </c>
      <c r="O50" s="7" t="str">
        <f ca="1">IF($W$4&gt;0,OFFSET(INDIRECT("'File "&amp;$W$4&amp;IF(LEFT('DC Balance'!$S$22,1)="P","'!Y57","'!E57")),$L50,$W$6,1,1),"")</f>
        <v/>
      </c>
      <c r="P50" t="str">
        <f ca="1">IF($W$4&gt;0,OFFSET(INDIRECT("'File "&amp;$W$4&amp;IF(LEFT('DC Balance'!$S$22,1)="P","'!AE57","'!H57")),$L50,$W$6,1,1),"")</f>
        <v/>
      </c>
    </row>
    <row r="51" spans="1:16" x14ac:dyDescent="0.25">
      <c r="A51">
        <f ca="1">OFFSET('Control Sheet'!$H$45,B51,0,1,1)</f>
        <v>0</v>
      </c>
      <c r="B51">
        <v>4</v>
      </c>
      <c r="C51">
        <f ca="1">IF('Data files'!$E$9&lt;=8,OFFSET('Control Sheet'!$B$45,B51,0,1,1),B51)</f>
        <v>0</v>
      </c>
      <c r="D51" t="str">
        <f ca="1">IF(ISNA(H51)=FALSE,E51,"")</f>
        <v/>
      </c>
      <c r="E51">
        <f ca="1">IF(A51=1,"",OFFSET($B$8,B51,0,1,1))</f>
        <v>0</v>
      </c>
      <c r="F51" s="8">
        <f ca="1">IF(A51=1,"",OFFSET($C$8,B51,0,1,1))</f>
        <v>0</v>
      </c>
      <c r="G51" s="8">
        <f ca="1">IF(A51=1,"",OFFSET($D$8,B51,0,1,1))</f>
        <v>0</v>
      </c>
      <c r="H51" s="8" t="e">
        <f ca="1">IF(A51&lt;=1,NA(),OFFSET($E$8,B51,0,1,1))</f>
        <v>#N/A</v>
      </c>
      <c r="I51" s="8" t="e">
        <f ca="1">IF(A51&lt;=1,NA(),OFFSET($AD$8,B51,0,1,1))</f>
        <v>#N/A</v>
      </c>
      <c r="K51" s="85">
        <f t="shared" si="2"/>
        <v>43913</v>
      </c>
      <c r="L51">
        <v>13</v>
      </c>
      <c r="M51" s="7" t="str">
        <f ca="1">IF($W$4&gt;0,OFFSET(INDIRECT("'File "&amp;$W$4&amp;IF(LEFT('DC Balance'!$S$22,1)="P","'!S57","'!C57")),$L51,$W$6,1,1),"")</f>
        <v/>
      </c>
      <c r="N51" s="7" t="str">
        <f ca="1">IF($W$4&gt;0,OFFSET(INDIRECT("'File "&amp;$W$4&amp;IF(LEFT('DC Balance'!$S$22,1)="P","'!V57","'!D57")),$L51,$W$6,1,1),"")</f>
        <v/>
      </c>
      <c r="O51" s="7" t="str">
        <f ca="1">IF($W$4&gt;0,OFFSET(INDIRECT("'File "&amp;$W$4&amp;IF(LEFT('DC Balance'!$S$22,1)="P","'!Y57","'!E57")),$L51,$W$6,1,1),"")</f>
        <v/>
      </c>
      <c r="P51" t="str">
        <f ca="1">IF($W$4&gt;0,OFFSET(INDIRECT("'File "&amp;$W$4&amp;IF(LEFT('DC Balance'!$S$22,1)="P","'!AE57","'!H57")),$L51,$W$6,1,1),"")</f>
        <v/>
      </c>
    </row>
    <row r="52" spans="1:16" x14ac:dyDescent="0.25">
      <c r="A52">
        <f ca="1">OFFSET('Control Sheet'!$H$45,B52,0,1,1)</f>
        <v>0</v>
      </c>
      <c r="B52">
        <v>4</v>
      </c>
      <c r="D52" t="str">
        <f ca="1">IF(ISNA(H52)=FALSE,E52,"")</f>
        <v/>
      </c>
      <c r="E52">
        <f ca="1">OFFSET(IF(A52=1,$B$8,$F$8),B52,0,1,1)</f>
        <v>0</v>
      </c>
      <c r="F52" s="8">
        <f ca="1">IF(A52=1,OFFSET($C$8,B52,0,1,1),OFFSET($G$8,B52,0,1,1))</f>
        <v>0</v>
      </c>
      <c r="G52" s="8">
        <f ca="1">IF(A52=1,OFFSET($D$8,B52,0,1,1),OFFSET($H$8,B52,0,1,1))</f>
        <v>0</v>
      </c>
      <c r="H52" s="8" t="e">
        <f ca="1">IF(A52=0,NA(),OFFSET(IF(A52=1,$E$8,$I$8),B52,0,1,1))</f>
        <v>#N/A</v>
      </c>
      <c r="I52" s="8" t="e">
        <f ca="1">IF(A52=0,NA(),OFFSET(IF(A52=1,$AD$8,$AE$8),B52,0,1,1))</f>
        <v>#N/A</v>
      </c>
      <c r="K52" s="85">
        <f t="shared" si="2"/>
        <v>43920</v>
      </c>
      <c r="L52">
        <v>14</v>
      </c>
      <c r="M52" s="7" t="str">
        <f ca="1">IF($W$4&gt;0,OFFSET(INDIRECT("'File "&amp;$W$4&amp;IF(LEFT('DC Balance'!$S$22,1)="P","'!S57","'!C57")),$L52,$W$6,1,1),"")</f>
        <v/>
      </c>
      <c r="N52" s="7" t="str">
        <f ca="1">IF($W$4&gt;0,OFFSET(INDIRECT("'File "&amp;$W$4&amp;IF(LEFT('DC Balance'!$S$22,1)="P","'!V57","'!D57")),$L52,$W$6,1,1),"")</f>
        <v/>
      </c>
      <c r="O52" s="7" t="str">
        <f ca="1">IF($W$4&gt;0,OFFSET(INDIRECT("'File "&amp;$W$4&amp;IF(LEFT('DC Balance'!$S$22,1)="P","'!Y57","'!E57")),$L52,$W$6,1,1),"")</f>
        <v/>
      </c>
      <c r="P52" t="str">
        <f ca="1">IF($W$4&gt;0,OFFSET(INDIRECT("'File "&amp;$W$4&amp;IF(LEFT('DC Balance'!$S$22,1)="P","'!AE57","'!H57")),$L52,$W$6,1,1),"")</f>
        <v/>
      </c>
    </row>
    <row r="53" spans="1:16" x14ac:dyDescent="0.25">
      <c r="A53">
        <f ca="1">OFFSET('Control Sheet'!$H$45,B53,0,1,1)</f>
        <v>0</v>
      </c>
      <c r="B53">
        <v>4</v>
      </c>
      <c r="D53" t="str">
        <f ca="1">IF(ISNA(H53)=FALSE,E53," ")</f>
        <v xml:space="preserve"> </v>
      </c>
      <c r="E53">
        <f ca="1">IF(A53=1,"",OFFSET($J$8,B53,0,1,1))</f>
        <v>0</v>
      </c>
      <c r="F53" s="8">
        <f ca="1">IF(A53=1,"",OFFSET($K$8,B53,0,1,1))</f>
        <v>0</v>
      </c>
      <c r="G53" s="8">
        <f ca="1">IF(A53=1,"",OFFSET($L$8,B53,0,1,1))</f>
        <v>0</v>
      </c>
      <c r="H53" s="8" t="e">
        <f ca="1">IF(A53&lt;=1,NA(),OFFSET($M$8,B53,0,1,1))</f>
        <v>#N/A</v>
      </c>
      <c r="I53" s="8" t="e">
        <f ca="1">IF(A53&lt;=1,NA(),OFFSET($AF$8,B53,0,1,1))</f>
        <v>#N/A</v>
      </c>
      <c r="K53" s="85">
        <f t="shared" si="2"/>
        <v>43927</v>
      </c>
      <c r="L53">
        <v>15</v>
      </c>
      <c r="M53" s="7" t="str">
        <f ca="1">IF($W$4&gt;0,OFFSET(INDIRECT("'File "&amp;$W$4&amp;IF(LEFT('DC Balance'!$S$22,1)="P","'!S57","'!C57")),$L53,$W$6,1,1),"")</f>
        <v/>
      </c>
      <c r="N53" s="7" t="str">
        <f ca="1">IF($W$4&gt;0,OFFSET(INDIRECT("'File "&amp;$W$4&amp;IF(LEFT('DC Balance'!$S$22,1)="P","'!V57","'!D57")),$L53,$W$6,1,1),"")</f>
        <v/>
      </c>
      <c r="O53" s="7" t="str">
        <f ca="1">IF($W$4&gt;0,OFFSET(INDIRECT("'File "&amp;$W$4&amp;IF(LEFT('DC Balance'!$S$22,1)="P","'!Y57","'!E57")),$L53,$W$6,1,1),"")</f>
        <v/>
      </c>
      <c r="P53" t="str">
        <f ca="1">IF($W$4&gt;0,OFFSET(INDIRECT("'File "&amp;$W$4&amp;IF(LEFT('DC Balance'!$S$22,1)="P","'!AE57","'!H57")),$L53,$W$6,1,1),"")</f>
        <v/>
      </c>
    </row>
    <row r="54" spans="1:16" x14ac:dyDescent="0.25">
      <c r="C54" t="s">
        <v>1032</v>
      </c>
      <c r="D54" t="s">
        <v>1032</v>
      </c>
      <c r="F54" s="8"/>
      <c r="G54" s="8"/>
      <c r="H54" s="8"/>
      <c r="I54" s="8"/>
      <c r="K54" s="85">
        <f t="shared" si="2"/>
        <v>43934</v>
      </c>
      <c r="L54">
        <v>16</v>
      </c>
      <c r="M54" s="7" t="str">
        <f ca="1">IF($W$4&gt;0,OFFSET(INDIRECT("'File "&amp;$W$4&amp;IF(LEFT('DC Balance'!$S$22,1)="P","'!S57","'!C57")),$L54,$W$6,1,1),"")</f>
        <v/>
      </c>
      <c r="N54" s="7" t="str">
        <f ca="1">IF($W$4&gt;0,OFFSET(INDIRECT("'File "&amp;$W$4&amp;IF(LEFT('DC Balance'!$S$22,1)="P","'!V57","'!D57")),$L54,$W$6,1,1),"")</f>
        <v/>
      </c>
      <c r="O54" s="7" t="str">
        <f ca="1">IF($W$4&gt;0,OFFSET(INDIRECT("'File "&amp;$W$4&amp;IF(LEFT('DC Balance'!$S$22,1)="P","'!Y57","'!E57")),$L54,$W$6,1,1),"")</f>
        <v/>
      </c>
      <c r="P54" t="str">
        <f ca="1">IF($W$4&gt;0,OFFSET(INDIRECT("'File "&amp;$W$4&amp;IF(LEFT('DC Balance'!$S$22,1)="P","'!AE57","'!H57")),$L54,$W$6,1,1),"")</f>
        <v/>
      </c>
    </row>
    <row r="55" spans="1:16" x14ac:dyDescent="0.25">
      <c r="A55">
        <f ca="1">OFFSET('Control Sheet'!$H$45,B55,0,1,1)</f>
        <v>0</v>
      </c>
      <c r="B55">
        <v>5</v>
      </c>
      <c r="C55">
        <f ca="1">IF('Data files'!$E$9&lt;=8,OFFSET('Control Sheet'!$B$45,B55,0,1,1),B55)</f>
        <v>0</v>
      </c>
      <c r="D55" t="str">
        <f ca="1">IF(ISNA(H55)=FALSE,E55,"")</f>
        <v/>
      </c>
      <c r="E55">
        <f ca="1">IF(A55=1,"",OFFSET($B$8,B55,0,1,1))</f>
        <v>0</v>
      </c>
      <c r="F55" s="8">
        <f ca="1">IF(A55=1,"",OFFSET($C$8,B55,0,1,1))</f>
        <v>0</v>
      </c>
      <c r="G55" s="8">
        <f ca="1">IF(A55=1,"",OFFSET($D$8,B55,0,1,1))</f>
        <v>0</v>
      </c>
      <c r="H55" s="8" t="e">
        <f ca="1">IF(A55&lt;=1,NA(),OFFSET($E$8,B55,0,1,1))</f>
        <v>#N/A</v>
      </c>
      <c r="I55" s="8" t="e">
        <f ca="1">IF(A55&lt;=1,NA(),OFFSET($AD$8,B55,0,1,1))</f>
        <v>#N/A</v>
      </c>
      <c r="K55" s="85">
        <f t="shared" si="2"/>
        <v>43941</v>
      </c>
      <c r="L55">
        <v>17</v>
      </c>
      <c r="M55" s="7" t="str">
        <f ca="1">IF($W$4&gt;0,OFFSET(INDIRECT("'File "&amp;$W$4&amp;IF(LEFT('DC Balance'!$S$22,1)="P","'!S57","'!C57")),$L55,$W$6,1,1),"")</f>
        <v/>
      </c>
      <c r="N55" s="7" t="str">
        <f ca="1">IF($W$4&gt;0,OFFSET(INDIRECT("'File "&amp;$W$4&amp;IF(LEFT('DC Balance'!$S$22,1)="P","'!V57","'!D57")),$L55,$W$6,1,1),"")</f>
        <v/>
      </c>
      <c r="O55" s="7" t="str">
        <f ca="1">IF($W$4&gt;0,OFFSET(INDIRECT("'File "&amp;$W$4&amp;IF(LEFT('DC Balance'!$S$22,1)="P","'!Y57","'!E57")),$L55,$W$6,1,1),"")</f>
        <v/>
      </c>
      <c r="P55" t="str">
        <f ca="1">IF($W$4&gt;0,OFFSET(INDIRECT("'File "&amp;$W$4&amp;IF(LEFT('DC Balance'!$S$22,1)="P","'!AE57","'!H57")),$L55,$W$6,1,1),"")</f>
        <v/>
      </c>
    </row>
    <row r="56" spans="1:16" x14ac:dyDescent="0.25">
      <c r="A56">
        <f ca="1">OFFSET('Control Sheet'!$H$45,B56,0,1,1)</f>
        <v>0</v>
      </c>
      <c r="B56">
        <v>5</v>
      </c>
      <c r="D56" t="str">
        <f ca="1">IF(ISNA(H56)=FALSE,E56,"")</f>
        <v/>
      </c>
      <c r="E56">
        <f ca="1">OFFSET(IF(A56=1,$B$8,$F$8),B56,0,1,1)</f>
        <v>0</v>
      </c>
      <c r="F56" s="8">
        <f ca="1">IF(A56=1,OFFSET($C$8,B56,0,1,1),OFFSET($G$8,B56,0,1,1))</f>
        <v>0</v>
      </c>
      <c r="G56" s="8">
        <f ca="1">IF(A56=1,OFFSET($D$8,B56,0,1,1),OFFSET($H$8,B56,0,1,1))</f>
        <v>0</v>
      </c>
      <c r="H56" s="8" t="e">
        <f ca="1">IF(A56=0,NA(),OFFSET(IF(A56=1,$E$8,$I$8),B56,0,1,1))</f>
        <v>#N/A</v>
      </c>
      <c r="I56" s="8" t="e">
        <f ca="1">IF(A56=0,NA(),OFFSET(IF(A56=1,$AD$8,$AE$8),B56,0,1,1))</f>
        <v>#N/A</v>
      </c>
      <c r="K56" s="85">
        <f t="shared" si="2"/>
        <v>43948</v>
      </c>
      <c r="L56">
        <v>18</v>
      </c>
      <c r="M56" s="7" t="str">
        <f ca="1">IF($W$4&gt;0,OFFSET(INDIRECT("'File "&amp;$W$4&amp;IF(LEFT('DC Balance'!$S$22,1)="P","'!S57","'!C57")),$L56,$W$6,1,1),"")</f>
        <v/>
      </c>
      <c r="N56" s="7" t="str">
        <f ca="1">IF($W$4&gt;0,OFFSET(INDIRECT("'File "&amp;$W$4&amp;IF(LEFT('DC Balance'!$S$22,1)="P","'!V57","'!D57")),$L56,$W$6,1,1),"")</f>
        <v/>
      </c>
      <c r="O56" s="7" t="str">
        <f ca="1">IF($W$4&gt;0,OFFSET(INDIRECT("'File "&amp;$W$4&amp;IF(LEFT('DC Balance'!$S$22,1)="P","'!Y57","'!E57")),$L56,$W$6,1,1),"")</f>
        <v/>
      </c>
      <c r="P56" t="str">
        <f ca="1">IF($W$4&gt;0,OFFSET(INDIRECT("'File "&amp;$W$4&amp;IF(LEFT('DC Balance'!$S$22,1)="P","'!AE57","'!H57")),$L56,$W$6,1,1),"")</f>
        <v/>
      </c>
    </row>
    <row r="57" spans="1:16" x14ac:dyDescent="0.25">
      <c r="A57">
        <f ca="1">OFFSET('Control Sheet'!$H$45,B57,0,1,1)</f>
        <v>0</v>
      </c>
      <c r="B57">
        <v>5</v>
      </c>
      <c r="D57" t="str">
        <f ca="1">IF(ISNA(H57)=FALSE,E57," ")</f>
        <v xml:space="preserve"> </v>
      </c>
      <c r="E57">
        <f ca="1">IF(A57=1,"",OFFSET($J$8,B57,0,1,1))</f>
        <v>0</v>
      </c>
      <c r="F57" s="8">
        <f ca="1">IF(A57=1,"",OFFSET($K$8,B57,0,1,1))</f>
        <v>0</v>
      </c>
      <c r="G57" s="8">
        <f ca="1">IF(A57=1,"",OFFSET($L$8,B57,0,1,1))</f>
        <v>0</v>
      </c>
      <c r="H57" s="8" t="e">
        <f ca="1">IF(A57&lt;=1,NA(),OFFSET($M$8,B57,0,1,1))</f>
        <v>#N/A</v>
      </c>
      <c r="I57" s="8" t="e">
        <f ca="1">IF(A57&lt;=1,NA(),OFFSET($AF$8,B57,0,1,1))</f>
        <v>#N/A</v>
      </c>
      <c r="K57" s="85">
        <f t="shared" si="2"/>
        <v>43955</v>
      </c>
      <c r="L57">
        <v>19</v>
      </c>
      <c r="M57" s="7" t="str">
        <f ca="1">IF($W$4&gt;0,OFFSET(INDIRECT("'File "&amp;$W$4&amp;IF(LEFT('DC Balance'!$S$22,1)="P","'!S57","'!C57")),$L57,$W$6,1,1),"")</f>
        <v/>
      </c>
      <c r="N57" s="7" t="str">
        <f ca="1">IF($W$4&gt;0,OFFSET(INDIRECT("'File "&amp;$W$4&amp;IF(LEFT('DC Balance'!$S$22,1)="P","'!V57","'!D57")),$L57,$W$6,1,1),"")</f>
        <v/>
      </c>
      <c r="O57" s="7" t="str">
        <f ca="1">IF($W$4&gt;0,OFFSET(INDIRECT("'File "&amp;$W$4&amp;IF(LEFT('DC Balance'!$S$22,1)="P","'!Y57","'!E57")),$L57,$W$6,1,1),"")</f>
        <v/>
      </c>
      <c r="P57" t="str">
        <f ca="1">IF($W$4&gt;0,OFFSET(INDIRECT("'File "&amp;$W$4&amp;IF(LEFT('DC Balance'!$S$22,1)="P","'!AE57","'!H57")),$L57,$W$6,1,1),"")</f>
        <v/>
      </c>
    </row>
    <row r="58" spans="1:16" x14ac:dyDescent="0.25">
      <c r="C58" t="s">
        <v>1032</v>
      </c>
      <c r="D58" t="s">
        <v>1032</v>
      </c>
      <c r="F58" s="8"/>
      <c r="G58" s="8"/>
      <c r="H58" s="8"/>
      <c r="I58" s="8"/>
      <c r="K58" s="85">
        <f t="shared" si="2"/>
        <v>43962</v>
      </c>
      <c r="L58">
        <v>20</v>
      </c>
      <c r="M58" s="7" t="str">
        <f ca="1">IF($W$4&gt;0,OFFSET(INDIRECT("'File "&amp;$W$4&amp;IF(LEFT('DC Balance'!$S$22,1)="P","'!S57","'!C57")),$L58,$W$6,1,1),"")</f>
        <v/>
      </c>
      <c r="N58" s="7" t="str">
        <f ca="1">IF($W$4&gt;0,OFFSET(INDIRECT("'File "&amp;$W$4&amp;IF(LEFT('DC Balance'!$S$22,1)="P","'!V57","'!D57")),$L58,$W$6,1,1),"")</f>
        <v/>
      </c>
      <c r="O58" s="7" t="str">
        <f ca="1">IF($W$4&gt;0,OFFSET(INDIRECT("'File "&amp;$W$4&amp;IF(LEFT('DC Balance'!$S$22,1)="P","'!Y57","'!E57")),$L58,$W$6,1,1),"")</f>
        <v/>
      </c>
      <c r="P58" t="str">
        <f ca="1">IF($W$4&gt;0,OFFSET(INDIRECT("'File "&amp;$W$4&amp;IF(LEFT('DC Balance'!$S$22,1)="P","'!AE57","'!H57")),$L58,$W$6,1,1),"")</f>
        <v/>
      </c>
    </row>
    <row r="59" spans="1:16" x14ac:dyDescent="0.25">
      <c r="A59">
        <f ca="1">OFFSET('Control Sheet'!$H$45,B59,0,1,1)</f>
        <v>0</v>
      </c>
      <c r="B59">
        <v>6</v>
      </c>
      <c r="C59">
        <f ca="1">IF('Data files'!$E$9&lt;=8,OFFSET('Control Sheet'!$B$45,B59,0,1,1),B59)</f>
        <v>0</v>
      </c>
      <c r="D59" t="str">
        <f ca="1">IF(ISNA(H59)=FALSE,E59,"")</f>
        <v/>
      </c>
      <c r="E59">
        <f ca="1">IF(A59=1,"",OFFSET($B$8,B59,0,1,1))</f>
        <v>0</v>
      </c>
      <c r="F59" s="8">
        <f ca="1">IF(A59=1,"",OFFSET($C$8,B59,0,1,1))</f>
        <v>0</v>
      </c>
      <c r="G59" s="8">
        <f ca="1">IF(A59=1,"",OFFSET($D$8,B59,0,1,1))</f>
        <v>0</v>
      </c>
      <c r="H59" s="8" t="e">
        <f ca="1">IF(A59&lt;=1,NA(),OFFSET($E$8,B59,0,1,1))</f>
        <v>#N/A</v>
      </c>
      <c r="I59" s="8" t="e">
        <f ca="1">IF(A59&lt;=1,NA(),OFFSET($AD$8,B59,0,1,1))</f>
        <v>#N/A</v>
      </c>
      <c r="K59" s="85">
        <f t="shared" si="2"/>
        <v>43969</v>
      </c>
      <c r="L59">
        <v>21</v>
      </c>
      <c r="M59" s="7" t="str">
        <f ca="1">IF($W$4&gt;0,OFFSET(INDIRECT("'File "&amp;$W$4&amp;IF(LEFT('DC Balance'!$S$22,1)="P","'!S57","'!C57")),$L59,$W$6,1,1),"")</f>
        <v/>
      </c>
      <c r="N59" s="7" t="str">
        <f ca="1">IF($W$4&gt;0,OFFSET(INDIRECT("'File "&amp;$W$4&amp;IF(LEFT('DC Balance'!$S$22,1)="P","'!V57","'!D57")),$L59,$W$6,1,1),"")</f>
        <v/>
      </c>
      <c r="O59" s="7" t="str">
        <f ca="1">IF($W$4&gt;0,OFFSET(INDIRECT("'File "&amp;$W$4&amp;IF(LEFT('DC Balance'!$S$22,1)="P","'!Y57","'!E57")),$L59,$W$6,1,1),"")</f>
        <v/>
      </c>
      <c r="P59" t="str">
        <f ca="1">IF($W$4&gt;0,OFFSET(INDIRECT("'File "&amp;$W$4&amp;IF(LEFT('DC Balance'!$S$22,1)="P","'!AE57","'!H57")),$L59,$W$6,1,1),"")</f>
        <v/>
      </c>
    </row>
    <row r="60" spans="1:16" x14ac:dyDescent="0.25">
      <c r="A60">
        <f ca="1">OFFSET('Control Sheet'!$H$45,B60,0,1,1)</f>
        <v>0</v>
      </c>
      <c r="B60">
        <v>6</v>
      </c>
      <c r="D60" t="str">
        <f ca="1">IF(ISNA(H60)=FALSE,E60,"")</f>
        <v/>
      </c>
      <c r="E60">
        <f ca="1">OFFSET(IF(A60=1,$B$8,$F$8),B60,0,1,1)</f>
        <v>0</v>
      </c>
      <c r="F60" s="8">
        <f ca="1">IF(A60=1,OFFSET($C$8,B60,0,1,1),OFFSET($G$8,B60,0,1,1))</f>
        <v>0</v>
      </c>
      <c r="G60" s="8">
        <f ca="1">IF(A60=1,OFFSET($D$8,B60,0,1,1),OFFSET($H$8,B60,0,1,1))</f>
        <v>0</v>
      </c>
      <c r="H60" s="8" t="e">
        <f ca="1">IF(A60=0,NA(),OFFSET(IF(A60=1,$E$8,$I$8),B60,0,1,1))</f>
        <v>#N/A</v>
      </c>
      <c r="I60" s="8" t="e">
        <f ca="1">IF(A60=0,NA(),OFFSET(IF(A60=1,$AD$8,$AE$8),B60,0,1,1))</f>
        <v>#N/A</v>
      </c>
      <c r="K60" s="85">
        <f t="shared" si="2"/>
        <v>43976</v>
      </c>
      <c r="L60">
        <v>22</v>
      </c>
      <c r="M60" s="7" t="str">
        <f ca="1">IF($W$4&gt;0,OFFSET(INDIRECT("'File "&amp;$W$4&amp;IF(LEFT('DC Balance'!$S$22,1)="P","'!S57","'!C57")),$L60,$W$6,1,1),"")</f>
        <v/>
      </c>
      <c r="N60" s="7" t="str">
        <f ca="1">IF($W$4&gt;0,OFFSET(INDIRECT("'File "&amp;$W$4&amp;IF(LEFT('DC Balance'!$S$22,1)="P","'!V57","'!D57")),$L60,$W$6,1,1),"")</f>
        <v/>
      </c>
      <c r="O60" s="7" t="str">
        <f ca="1">IF($W$4&gt;0,OFFSET(INDIRECT("'File "&amp;$W$4&amp;IF(LEFT('DC Balance'!$S$22,1)="P","'!Y57","'!E57")),$L60,$W$6,1,1),"")</f>
        <v/>
      </c>
      <c r="P60" t="str">
        <f ca="1">IF($W$4&gt;0,OFFSET(INDIRECT("'File "&amp;$W$4&amp;IF(LEFT('DC Balance'!$S$22,1)="P","'!AE57","'!H57")),$L60,$W$6,1,1),"")</f>
        <v/>
      </c>
    </row>
    <row r="61" spans="1:16" x14ac:dyDescent="0.25">
      <c r="A61">
        <f ca="1">OFFSET('Control Sheet'!$H$45,B61,0,1,1)</f>
        <v>0</v>
      </c>
      <c r="B61">
        <v>6</v>
      </c>
      <c r="D61" t="str">
        <f ca="1">IF(ISNA(H61)=FALSE,E61," ")</f>
        <v xml:space="preserve"> </v>
      </c>
      <c r="E61">
        <f ca="1">IF(A61=1,"",OFFSET($J$8,B61,0,1,1))</f>
        <v>0</v>
      </c>
      <c r="F61" s="8">
        <f ca="1">IF(A61=1,"",OFFSET($K$8,B61,0,1,1))</f>
        <v>0</v>
      </c>
      <c r="G61" s="8">
        <f ca="1">IF(A61=1,"",OFFSET($L$8,B61,0,1,1))</f>
        <v>0</v>
      </c>
      <c r="H61" s="8" t="e">
        <f ca="1">IF(A61&lt;=1,NA(),OFFSET($M$8,B61,0,1,1))</f>
        <v>#N/A</v>
      </c>
      <c r="I61" s="8" t="e">
        <f ca="1">IF(A61&lt;=1,NA(),OFFSET($AF$8,B61,0,1,1))</f>
        <v>#N/A</v>
      </c>
      <c r="K61" s="85">
        <f t="shared" si="2"/>
        <v>43983</v>
      </c>
      <c r="L61">
        <v>23</v>
      </c>
      <c r="M61" s="7" t="str">
        <f ca="1">IF($W$4&gt;0,OFFSET(INDIRECT("'File "&amp;$W$4&amp;IF(LEFT('DC Balance'!$S$22,1)="P","'!S57","'!C57")),$L61,$W$6,1,1),"")</f>
        <v/>
      </c>
      <c r="N61" s="7" t="str">
        <f ca="1">IF($W$4&gt;0,OFFSET(INDIRECT("'File "&amp;$W$4&amp;IF(LEFT('DC Balance'!$S$22,1)="P","'!V57","'!D57")),$L61,$W$6,1,1),"")</f>
        <v/>
      </c>
      <c r="O61" s="7" t="str">
        <f ca="1">IF($W$4&gt;0,OFFSET(INDIRECT("'File "&amp;$W$4&amp;IF(LEFT('DC Balance'!$S$22,1)="P","'!Y57","'!E57")),$L61,$W$6,1,1),"")</f>
        <v/>
      </c>
      <c r="P61" t="str">
        <f ca="1">IF($W$4&gt;0,OFFSET(INDIRECT("'File "&amp;$W$4&amp;IF(LEFT('DC Balance'!$S$22,1)="P","'!AE57","'!H57")),$L61,$W$6,1,1),"")</f>
        <v/>
      </c>
    </row>
    <row r="62" spans="1:16" x14ac:dyDescent="0.25">
      <c r="C62" t="s">
        <v>1032</v>
      </c>
      <c r="D62" t="s">
        <v>1032</v>
      </c>
      <c r="F62" s="8"/>
      <c r="G62" s="8"/>
      <c r="H62" s="8"/>
      <c r="I62" s="8"/>
      <c r="K62" s="85">
        <f t="shared" si="2"/>
        <v>43990</v>
      </c>
      <c r="L62">
        <v>24</v>
      </c>
      <c r="M62" s="7" t="str">
        <f ca="1">IF($W$4&gt;0,OFFSET(INDIRECT("'File "&amp;$W$4&amp;IF(LEFT('DC Balance'!$S$22,1)="P","'!S57","'!C57")),$L62,$W$6,1,1),"")</f>
        <v/>
      </c>
      <c r="N62" s="7" t="str">
        <f ca="1">IF($W$4&gt;0,OFFSET(INDIRECT("'File "&amp;$W$4&amp;IF(LEFT('DC Balance'!$S$22,1)="P","'!V57","'!D57")),$L62,$W$6,1,1),"")</f>
        <v/>
      </c>
      <c r="O62" s="7" t="str">
        <f ca="1">IF($W$4&gt;0,OFFSET(INDIRECT("'File "&amp;$W$4&amp;IF(LEFT('DC Balance'!$S$22,1)="P","'!Y57","'!E57")),$L62,$W$6,1,1),"")</f>
        <v/>
      </c>
      <c r="P62" t="str">
        <f ca="1">IF($W$4&gt;0,OFFSET(INDIRECT("'File "&amp;$W$4&amp;IF(LEFT('DC Balance'!$S$22,1)="P","'!AE57","'!H57")),$L62,$W$6,1,1),"")</f>
        <v/>
      </c>
    </row>
    <row r="63" spans="1:16" x14ac:dyDescent="0.25">
      <c r="A63">
        <f ca="1">OFFSET('Control Sheet'!$H$45,B63,0,1,1)</f>
        <v>0</v>
      </c>
      <c r="B63">
        <v>7</v>
      </c>
      <c r="C63">
        <f ca="1">IF('Data files'!$E$9&lt;=8,OFFSET('Control Sheet'!$B$45,B63,0,1,1),B63)</f>
        <v>0</v>
      </c>
      <c r="D63" t="str">
        <f ca="1">IF(ISNA(H63)=FALSE,E63,"")</f>
        <v/>
      </c>
      <c r="E63">
        <f ca="1">IF(A63=1,"",OFFSET($B$8,B63,0,1,1))</f>
        <v>0</v>
      </c>
      <c r="F63" s="8">
        <f ca="1">IF(A63=1,"",OFFSET($C$8,B63,0,1,1))</f>
        <v>0</v>
      </c>
      <c r="G63" s="8">
        <f ca="1">IF(A63=1,"",OFFSET($D$8,B63,0,1,1))</f>
        <v>0</v>
      </c>
      <c r="H63" s="8" t="e">
        <f ca="1">IF(A63&lt;=1,NA(),OFFSET($E$8,B63,0,1,1))</f>
        <v>#N/A</v>
      </c>
      <c r="I63" s="8" t="e">
        <f ca="1">IF(A63&lt;=1,NA(),OFFSET($AD$8,B63,0,1,1))</f>
        <v>#N/A</v>
      </c>
      <c r="K63" s="85">
        <f t="shared" si="2"/>
        <v>43997</v>
      </c>
      <c r="L63">
        <v>25</v>
      </c>
      <c r="M63" s="7" t="str">
        <f ca="1">IF($W$4&gt;0,OFFSET(INDIRECT("'File "&amp;$W$4&amp;IF(LEFT('DC Balance'!$S$22,1)="P","'!S57","'!C57")),$L63,$W$6,1,1),"")</f>
        <v/>
      </c>
      <c r="N63" s="7" t="str">
        <f ca="1">IF($W$4&gt;0,OFFSET(INDIRECT("'File "&amp;$W$4&amp;IF(LEFT('DC Balance'!$S$22,1)="P","'!V57","'!D57")),$L63,$W$6,1,1),"")</f>
        <v/>
      </c>
      <c r="O63" s="7" t="str">
        <f ca="1">IF($W$4&gt;0,OFFSET(INDIRECT("'File "&amp;$W$4&amp;IF(LEFT('DC Balance'!$S$22,1)="P","'!Y57","'!E57")),$L63,$W$6,1,1),"")</f>
        <v/>
      </c>
      <c r="P63" t="str">
        <f ca="1">IF($W$4&gt;0,OFFSET(INDIRECT("'File "&amp;$W$4&amp;IF(LEFT('DC Balance'!$S$22,1)="P","'!AE57","'!H57")),$L63,$W$6,1,1),"")</f>
        <v/>
      </c>
    </row>
    <row r="64" spans="1:16" x14ac:dyDescent="0.25">
      <c r="A64">
        <f ca="1">OFFSET('Control Sheet'!$H$45,B64,0,1,1)</f>
        <v>0</v>
      </c>
      <c r="B64">
        <v>7</v>
      </c>
      <c r="D64" t="str">
        <f ca="1">IF(ISNA(H64)=FALSE,E64,"")</f>
        <v/>
      </c>
      <c r="E64">
        <f ca="1">OFFSET(IF(A64=1,$B$8,$F$8),B64,0,1,1)</f>
        <v>0</v>
      </c>
      <c r="F64" s="8">
        <f ca="1">IF(A64=1,OFFSET($C$8,B64,0,1,1),OFFSET($G$8,B64,0,1,1))</f>
        <v>0</v>
      </c>
      <c r="G64" s="8">
        <f ca="1">IF(A64=1,OFFSET($D$8,B64,0,1,1),OFFSET($H$8,B64,0,1,1))</f>
        <v>0</v>
      </c>
      <c r="H64" s="8" t="e">
        <f ca="1">IF(A64=0,NA(),OFFSET(IF(A64=1,$E$8,$I$8),B64,0,1,1))</f>
        <v>#N/A</v>
      </c>
      <c r="I64" s="8" t="e">
        <f ca="1">IF(A64=0,NA(),OFFSET(IF(A64=1,$AD$8,$AE$8),B64,0,1,1))</f>
        <v>#N/A</v>
      </c>
      <c r="K64" s="85">
        <f t="shared" si="2"/>
        <v>44004</v>
      </c>
      <c r="L64">
        <v>26</v>
      </c>
      <c r="M64" s="7" t="str">
        <f ca="1">IF($W$4&gt;0,OFFSET(INDIRECT("'File "&amp;$W$4&amp;IF(LEFT('DC Balance'!$S$22,1)="P","'!S57","'!C57")),$L64,$W$6,1,1),"")</f>
        <v/>
      </c>
      <c r="N64" s="7" t="str">
        <f ca="1">IF($W$4&gt;0,OFFSET(INDIRECT("'File "&amp;$W$4&amp;IF(LEFT('DC Balance'!$S$22,1)="P","'!V57","'!D57")),$L64,$W$6,1,1),"")</f>
        <v/>
      </c>
      <c r="O64" s="7" t="str">
        <f ca="1">IF($W$4&gt;0,OFFSET(INDIRECT("'File "&amp;$W$4&amp;IF(LEFT('DC Balance'!$S$22,1)="P","'!Y57","'!E57")),$L64,$W$6,1,1),"")</f>
        <v/>
      </c>
      <c r="P64" t="str">
        <f ca="1">IF($W$4&gt;0,OFFSET(INDIRECT("'File "&amp;$W$4&amp;IF(LEFT('DC Balance'!$S$22,1)="P","'!AE57","'!H57")),$L64,$W$6,1,1),"")</f>
        <v/>
      </c>
    </row>
    <row r="65" spans="1:16" x14ac:dyDescent="0.25">
      <c r="A65">
        <f ca="1">OFFSET('Control Sheet'!$H$45,B65,0,1,1)</f>
        <v>0</v>
      </c>
      <c r="B65">
        <v>7</v>
      </c>
      <c r="D65" t="str">
        <f ca="1">IF(ISNA(H65)=FALSE,E65," ")</f>
        <v xml:space="preserve"> </v>
      </c>
      <c r="E65">
        <f ca="1">IF(A65=1,"",OFFSET($J$8,B65,0,1,1))</f>
        <v>0</v>
      </c>
      <c r="F65" s="8">
        <f ca="1">IF(A65=1,"",OFFSET($K$8,B65,0,1,1))</f>
        <v>0</v>
      </c>
      <c r="G65" s="8">
        <f ca="1">IF(A65=1,"",OFFSET($L$8,B65,0,1,1))</f>
        <v>0</v>
      </c>
      <c r="H65" s="8" t="e">
        <f ca="1">IF(A65&lt;=1,NA(),OFFSET($M$8,B65,0,1,1))</f>
        <v>#N/A</v>
      </c>
      <c r="I65" s="8" t="e">
        <f ca="1">IF(A65&lt;=1,NA(),OFFSET($AF$8,B65,0,1,1))</f>
        <v>#N/A</v>
      </c>
      <c r="K65" s="85">
        <f t="shared" si="2"/>
        <v>44011</v>
      </c>
      <c r="L65">
        <v>27</v>
      </c>
      <c r="M65" s="7" t="str">
        <f ca="1">IF($W$4&gt;0,OFFSET(INDIRECT("'File "&amp;$W$4&amp;IF(LEFT('DC Balance'!$S$22,1)="P","'!S57","'!C57")),$L65,$W$6,1,1),"")</f>
        <v/>
      </c>
      <c r="N65" s="7" t="str">
        <f ca="1">IF($W$4&gt;0,OFFSET(INDIRECT("'File "&amp;$W$4&amp;IF(LEFT('DC Balance'!$S$22,1)="P","'!V57","'!D57")),$L65,$W$6,1,1),"")</f>
        <v/>
      </c>
      <c r="O65" s="7" t="str">
        <f ca="1">IF($W$4&gt;0,OFFSET(INDIRECT("'File "&amp;$W$4&amp;IF(LEFT('DC Balance'!$S$22,1)="P","'!Y57","'!E57")),$L65,$W$6,1,1),"")</f>
        <v/>
      </c>
      <c r="P65" t="str">
        <f ca="1">IF($W$4&gt;0,OFFSET(INDIRECT("'File "&amp;$W$4&amp;IF(LEFT('DC Balance'!$S$22,1)="P","'!AE57","'!H57")),$L65,$W$6,1,1),"")</f>
        <v/>
      </c>
    </row>
    <row r="66" spans="1:16" x14ac:dyDescent="0.25">
      <c r="C66" t="s">
        <v>1032</v>
      </c>
      <c r="D66" t="s">
        <v>1032</v>
      </c>
      <c r="F66" s="8"/>
      <c r="G66" s="8"/>
      <c r="H66" s="8"/>
      <c r="I66" s="8"/>
      <c r="K66" s="85">
        <f t="shared" si="2"/>
        <v>44018</v>
      </c>
      <c r="L66">
        <v>28</v>
      </c>
      <c r="M66" s="7" t="str">
        <f ca="1">IF($W$4&gt;0,OFFSET(INDIRECT("'File "&amp;$W$4&amp;IF(LEFT('DC Balance'!$S$22,1)="P","'!S57","'!C57")),$L66,$W$6,1,1),"")</f>
        <v/>
      </c>
      <c r="N66" s="7" t="str">
        <f ca="1">IF($W$4&gt;0,OFFSET(INDIRECT("'File "&amp;$W$4&amp;IF(LEFT('DC Balance'!$S$22,1)="P","'!V57","'!D57")),$L66,$W$6,1,1),"")</f>
        <v/>
      </c>
      <c r="O66" s="7" t="str">
        <f ca="1">IF($W$4&gt;0,OFFSET(INDIRECT("'File "&amp;$W$4&amp;IF(LEFT('DC Balance'!$S$22,1)="P","'!Y57","'!E57")),$L66,$W$6,1,1),"")</f>
        <v/>
      </c>
      <c r="P66" t="str">
        <f ca="1">IF($W$4&gt;0,OFFSET(INDIRECT("'File "&amp;$W$4&amp;IF(LEFT('DC Balance'!$S$22,1)="P","'!AE57","'!H57")),$L66,$W$6,1,1),"")</f>
        <v/>
      </c>
    </row>
    <row r="67" spans="1:16" x14ac:dyDescent="0.25">
      <c r="A67">
        <f ca="1">OFFSET('Control Sheet'!$H$45,B67,0,1,1)</f>
        <v>0</v>
      </c>
      <c r="B67">
        <v>8</v>
      </c>
      <c r="C67">
        <f ca="1">IF('Data files'!$E$9&lt;=8,OFFSET('Control Sheet'!$B$45,B67,0,1,1),B67)</f>
        <v>0</v>
      </c>
      <c r="D67" t="str">
        <f ca="1">IF(ISNA(H67)=FALSE,E67,"")</f>
        <v/>
      </c>
      <c r="E67">
        <f ca="1">IF(A67=1,"",OFFSET($B$8,B67,0,1,1))</f>
        <v>0</v>
      </c>
      <c r="F67" s="8">
        <f ca="1">IF(A67=1,"",OFFSET($C$8,B67,0,1,1))</f>
        <v>0</v>
      </c>
      <c r="G67" s="8">
        <f ca="1">IF(A67=1,"",OFFSET($D$8,B67,0,1,1))</f>
        <v>0</v>
      </c>
      <c r="H67" s="8" t="e">
        <f ca="1">IF(A67&lt;=1,NA(),OFFSET($E$8,B67,0,1,1))</f>
        <v>#N/A</v>
      </c>
      <c r="I67" s="8" t="e">
        <f ca="1">IF(A67&lt;=1,NA(),OFFSET($AD$8,B67,0,1,1))</f>
        <v>#N/A</v>
      </c>
      <c r="K67" s="85">
        <f t="shared" si="2"/>
        <v>44025</v>
      </c>
      <c r="L67">
        <v>29</v>
      </c>
      <c r="M67" s="7" t="str">
        <f ca="1">IF($W$4&gt;0,OFFSET(INDIRECT("'File "&amp;$W$4&amp;IF(LEFT('DC Balance'!$S$22,1)="P","'!S57","'!C57")),$L67,$W$6,1,1),"")</f>
        <v/>
      </c>
      <c r="N67" s="7" t="str">
        <f ca="1">IF($W$4&gt;0,OFFSET(INDIRECT("'File "&amp;$W$4&amp;IF(LEFT('DC Balance'!$S$22,1)="P","'!V57","'!D57")),$L67,$W$6,1,1),"")</f>
        <v/>
      </c>
      <c r="O67" s="7" t="str">
        <f ca="1">IF($W$4&gt;0,OFFSET(INDIRECT("'File "&amp;$W$4&amp;IF(LEFT('DC Balance'!$S$22,1)="P","'!Y57","'!E57")),$L67,$W$6,1,1),"")</f>
        <v/>
      </c>
      <c r="P67" t="str">
        <f ca="1">IF($W$4&gt;0,OFFSET(INDIRECT("'File "&amp;$W$4&amp;IF(LEFT('DC Balance'!$S$22,1)="P","'!AE57","'!H57")),$L67,$W$6,1,1),"")</f>
        <v/>
      </c>
    </row>
    <row r="68" spans="1:16" x14ac:dyDescent="0.25">
      <c r="A68">
        <f ca="1">OFFSET('Control Sheet'!$H$45,B68,0,1,1)</f>
        <v>0</v>
      </c>
      <c r="B68">
        <v>8</v>
      </c>
      <c r="D68" t="str">
        <f ca="1">IF(ISNA(H68)=FALSE,E68,"")</f>
        <v/>
      </c>
      <c r="E68">
        <f ca="1">OFFSET(IF(A68=1,$B$8,$F$8),B68,0,1,1)</f>
        <v>0</v>
      </c>
      <c r="F68" s="8">
        <f ca="1">IF(A68=1,OFFSET($C$8,B68,0,1,1),OFFSET($G$8,B68,0,1,1))</f>
        <v>0</v>
      </c>
      <c r="G68" s="8">
        <f ca="1">IF(A68=1,OFFSET($D$8,B68,0,1,1),OFFSET($H$8,B68,0,1,1))</f>
        <v>0</v>
      </c>
      <c r="H68" s="8" t="e">
        <f ca="1">IF(A68=0,NA(),OFFSET(IF(A68=1,$E$8,$I$8),B68,0,1,1))</f>
        <v>#N/A</v>
      </c>
      <c r="I68" s="8" t="e">
        <f ca="1">IF(A68=0,NA(),OFFSET(IF(A68=1,$AD$8,$AE$8),B68,0,1,1))</f>
        <v>#N/A</v>
      </c>
      <c r="K68" s="85">
        <f t="shared" si="2"/>
        <v>44032</v>
      </c>
      <c r="L68">
        <v>30</v>
      </c>
      <c r="M68" s="7" t="str">
        <f ca="1">IF($W$4&gt;0,OFFSET(INDIRECT("'File "&amp;$W$4&amp;IF(LEFT('DC Balance'!$S$22,1)="P","'!S57","'!C57")),$L68,$W$6,1,1),"")</f>
        <v/>
      </c>
      <c r="N68" s="7" t="str">
        <f ca="1">IF($W$4&gt;0,OFFSET(INDIRECT("'File "&amp;$W$4&amp;IF(LEFT('DC Balance'!$S$22,1)="P","'!V57","'!D57")),$L68,$W$6,1,1),"")</f>
        <v/>
      </c>
      <c r="O68" s="7" t="str">
        <f ca="1">IF($W$4&gt;0,OFFSET(INDIRECT("'File "&amp;$W$4&amp;IF(LEFT('DC Balance'!$S$22,1)="P","'!Y57","'!E57")),$L68,$W$6,1,1),"")</f>
        <v/>
      </c>
      <c r="P68" t="str">
        <f ca="1">IF($W$4&gt;0,OFFSET(INDIRECT("'File "&amp;$W$4&amp;IF(LEFT('DC Balance'!$S$22,1)="P","'!AE57","'!H57")),$L68,$W$6,1,1),"")</f>
        <v/>
      </c>
    </row>
    <row r="69" spans="1:16" x14ac:dyDescent="0.25">
      <c r="A69">
        <f ca="1">OFFSET('Control Sheet'!$H$45,B69,0,1,1)</f>
        <v>0</v>
      </c>
      <c r="B69">
        <v>8</v>
      </c>
      <c r="D69" t="str">
        <f ca="1">IF(ISNA(H69)=FALSE,E69," ")</f>
        <v xml:space="preserve"> </v>
      </c>
      <c r="E69">
        <f ca="1">IF(A69=1,"",OFFSET($J$8,B69,0,1,1))</f>
        <v>0</v>
      </c>
      <c r="F69" s="8">
        <f ca="1">IF(A69=1,"",OFFSET($K$8,B69,0,1,1))</f>
        <v>0</v>
      </c>
      <c r="G69" s="8">
        <f ca="1">IF(A69=1,"",OFFSET($L$8,B69,0,1,1))</f>
        <v>0</v>
      </c>
      <c r="H69" s="8" t="e">
        <f ca="1">IF(A69&lt;=1,NA(),OFFSET($M$8,B69,0,1,1))</f>
        <v>#N/A</v>
      </c>
      <c r="I69" s="8" t="e">
        <f ca="1">IF(A69&lt;=1,NA(),OFFSET($AF$8,B69,0,1,1))</f>
        <v>#N/A</v>
      </c>
      <c r="K69" s="85">
        <f t="shared" si="2"/>
        <v>44039</v>
      </c>
      <c r="L69">
        <v>31</v>
      </c>
      <c r="M69" s="7" t="str">
        <f ca="1">IF($W$4&gt;0,OFFSET(INDIRECT("'File "&amp;$W$4&amp;IF(LEFT('DC Balance'!$S$22,1)="P","'!S57","'!C57")),$L69,$W$6,1,1),"")</f>
        <v/>
      </c>
      <c r="N69" s="7" t="str">
        <f ca="1">IF($W$4&gt;0,OFFSET(INDIRECT("'File "&amp;$W$4&amp;IF(LEFT('DC Balance'!$S$22,1)="P","'!V57","'!D57")),$L69,$W$6,1,1),"")</f>
        <v/>
      </c>
      <c r="O69" s="7" t="str">
        <f ca="1">IF($W$4&gt;0,OFFSET(INDIRECT("'File "&amp;$W$4&amp;IF(LEFT('DC Balance'!$S$22,1)="P","'!Y57","'!E57")),$L69,$W$6,1,1),"")</f>
        <v/>
      </c>
      <c r="P69" t="str">
        <f ca="1">IF($W$4&gt;0,OFFSET(INDIRECT("'File "&amp;$W$4&amp;IF(LEFT('DC Balance'!$S$22,1)="P","'!AE57","'!H57")),$L69,$W$6,1,1),"")</f>
        <v/>
      </c>
    </row>
    <row r="70" spans="1:16" x14ac:dyDescent="0.25">
      <c r="C70" t="s">
        <v>1032</v>
      </c>
      <c r="D70" t="s">
        <v>1032</v>
      </c>
      <c r="F70" s="8"/>
      <c r="G70" s="8"/>
      <c r="H70" s="8"/>
      <c r="I70" s="8"/>
      <c r="K70" s="85">
        <f t="shared" si="2"/>
        <v>44046</v>
      </c>
      <c r="L70">
        <v>32</v>
      </c>
      <c r="M70" s="7" t="str">
        <f ca="1">IF($W$4&gt;0,OFFSET(INDIRECT("'File "&amp;$W$4&amp;IF(LEFT('DC Balance'!$S$22,1)="P","'!S57","'!C57")),$L70,$W$6,1,1),"")</f>
        <v/>
      </c>
      <c r="N70" s="7" t="str">
        <f ca="1">IF($W$4&gt;0,OFFSET(INDIRECT("'File "&amp;$W$4&amp;IF(LEFT('DC Balance'!$S$22,1)="P","'!V57","'!D57")),$L70,$W$6,1,1),"")</f>
        <v/>
      </c>
      <c r="O70" s="7" t="str">
        <f ca="1">IF($W$4&gt;0,OFFSET(INDIRECT("'File "&amp;$W$4&amp;IF(LEFT('DC Balance'!$S$22,1)="P","'!Y57","'!E57")),$L70,$W$6,1,1),"")</f>
        <v/>
      </c>
      <c r="P70" t="str">
        <f ca="1">IF($W$4&gt;0,OFFSET(INDIRECT("'File "&amp;$W$4&amp;IF(LEFT('DC Balance'!$S$22,1)="P","'!AE57","'!H57")),$L70,$W$6,1,1),"")</f>
        <v/>
      </c>
    </row>
    <row r="71" spans="1:16" x14ac:dyDescent="0.25">
      <c r="A71">
        <f ca="1">OFFSET('Control Sheet'!$H$45,B71,0,1,1)</f>
        <v>0</v>
      </c>
      <c r="B71">
        <v>9</v>
      </c>
      <c r="C71">
        <f ca="1">IF('Data files'!$E$9&lt;=8,OFFSET('Control Sheet'!$B$45,B71,0,1,1),B71)</f>
        <v>0</v>
      </c>
      <c r="D71" t="str">
        <f ca="1">IF(ISNA(H71)=FALSE,E71,"")</f>
        <v/>
      </c>
      <c r="E71">
        <f ca="1">IF(A71=1,"",OFFSET($B$8,B71,0,1,1))</f>
        <v>0</v>
      </c>
      <c r="F71" s="8">
        <f ca="1">IF(A71=1,"",OFFSET($C$8,B71,0,1,1))</f>
        <v>0</v>
      </c>
      <c r="G71" s="8">
        <f ca="1">IF(A71=1,"",OFFSET($D$8,B71,0,1,1))</f>
        <v>0</v>
      </c>
      <c r="H71" s="8" t="e">
        <f ca="1">IF(A71&lt;=1,NA(),OFFSET($E$8,B71,0,1,1))</f>
        <v>#N/A</v>
      </c>
      <c r="I71" s="8" t="e">
        <f ca="1">IF(A71&lt;=1,NA(),OFFSET($AD$8,B71,0,1,1))</f>
        <v>#N/A</v>
      </c>
      <c r="K71" s="85">
        <f t="shared" si="2"/>
        <v>44053</v>
      </c>
      <c r="L71">
        <v>33</v>
      </c>
      <c r="M71" s="7" t="str">
        <f ca="1">IF($W$4&gt;0,OFFSET(INDIRECT("'File "&amp;$W$4&amp;IF(LEFT('DC Balance'!$S$22,1)="P","'!S57","'!C57")),$L71,$W$6,1,1),"")</f>
        <v/>
      </c>
      <c r="N71" s="7" t="str">
        <f ca="1">IF($W$4&gt;0,OFFSET(INDIRECT("'File "&amp;$W$4&amp;IF(LEFT('DC Balance'!$S$22,1)="P","'!V57","'!D57")),$L71,$W$6,1,1),"")</f>
        <v/>
      </c>
      <c r="O71" s="7" t="str">
        <f ca="1">IF($W$4&gt;0,OFFSET(INDIRECT("'File "&amp;$W$4&amp;IF(LEFT('DC Balance'!$S$22,1)="P","'!Y57","'!E57")),$L71,$W$6,1,1),"")</f>
        <v/>
      </c>
      <c r="P71" t="str">
        <f ca="1">IF($W$4&gt;0,OFFSET(INDIRECT("'File "&amp;$W$4&amp;IF(LEFT('DC Balance'!$S$22,1)="P","'!AE57","'!H57")),$L71,$W$6,1,1),"")</f>
        <v/>
      </c>
    </row>
    <row r="72" spans="1:16" x14ac:dyDescent="0.25">
      <c r="A72">
        <f ca="1">OFFSET('Control Sheet'!$H$45,B72,0,1,1)</f>
        <v>0</v>
      </c>
      <c r="B72">
        <v>9</v>
      </c>
      <c r="D72" t="str">
        <f ca="1">IF(ISNA(H72)=FALSE,E72,"")</f>
        <v/>
      </c>
      <c r="E72">
        <f ca="1">OFFSET(IF(A72=1,$B$8,$F$8),B72,0,1,1)</f>
        <v>0</v>
      </c>
      <c r="F72" s="8">
        <f ca="1">IF(A72=1,OFFSET($C$8,B72,0,1,1),OFFSET($G$8,B72,0,1,1))</f>
        <v>0</v>
      </c>
      <c r="G72" s="8">
        <f ca="1">IF(A72=1,OFFSET($D$8,B72,0,1,1),OFFSET($H$8,B72,0,1,1))</f>
        <v>0</v>
      </c>
      <c r="H72" s="8" t="e">
        <f ca="1">IF(A72=0,NA(),OFFSET(IF(A72=1,$E$8,$I$8),B72,0,1,1))</f>
        <v>#N/A</v>
      </c>
      <c r="I72" s="8" t="e">
        <f ca="1">IF(A72=0,NA(),OFFSET(IF(A72=1,$AD$8,$AE$8),B72,0,1,1))</f>
        <v>#N/A</v>
      </c>
      <c r="K72" s="85">
        <f t="shared" si="2"/>
        <v>44060</v>
      </c>
      <c r="L72">
        <v>34</v>
      </c>
      <c r="M72" s="7" t="str">
        <f ca="1">IF($W$4&gt;0,OFFSET(INDIRECT("'File "&amp;$W$4&amp;IF(LEFT('DC Balance'!$S$22,1)="P","'!S57","'!C57")),$L72,$W$6,1,1),"")</f>
        <v/>
      </c>
      <c r="N72" s="7" t="str">
        <f ca="1">IF($W$4&gt;0,OFFSET(INDIRECT("'File "&amp;$W$4&amp;IF(LEFT('DC Balance'!$S$22,1)="P","'!V57","'!D57")),$L72,$W$6,1,1),"")</f>
        <v/>
      </c>
      <c r="O72" s="7" t="str">
        <f ca="1">IF($W$4&gt;0,OFFSET(INDIRECT("'File "&amp;$W$4&amp;IF(LEFT('DC Balance'!$S$22,1)="P","'!Y57","'!E57")),$L72,$W$6,1,1),"")</f>
        <v/>
      </c>
      <c r="P72" t="str">
        <f ca="1">IF($W$4&gt;0,OFFSET(INDIRECT("'File "&amp;$W$4&amp;IF(LEFT('DC Balance'!$S$22,1)="P","'!AE57","'!H57")),$L72,$W$6,1,1),"")</f>
        <v/>
      </c>
    </row>
    <row r="73" spans="1:16" x14ac:dyDescent="0.25">
      <c r="A73">
        <f ca="1">OFFSET('Control Sheet'!$H$45,B73,0,1,1)</f>
        <v>0</v>
      </c>
      <c r="B73">
        <v>9</v>
      </c>
      <c r="D73" t="str">
        <f ca="1">IF(ISNA(H73)=FALSE,E73," ")</f>
        <v xml:space="preserve"> </v>
      </c>
      <c r="E73">
        <f ca="1">IF(A73=1,"",OFFSET($J$8,B73,0,1,1))</f>
        <v>0</v>
      </c>
      <c r="F73" s="8">
        <f ca="1">IF(A73=1,"",OFFSET($K$8,B73,0,1,1))</f>
        <v>0</v>
      </c>
      <c r="G73" s="8">
        <f ca="1">IF(A73=1,"",OFFSET($L$8,B73,0,1,1))</f>
        <v>0</v>
      </c>
      <c r="H73" s="8" t="e">
        <f ca="1">IF(A73&lt;=1,NA(),OFFSET($M$8,B73,0,1,1))</f>
        <v>#N/A</v>
      </c>
      <c r="I73" s="8" t="e">
        <f ca="1">IF(A73&lt;=1,NA(),OFFSET($AF$8,B73,0,1,1))</f>
        <v>#N/A</v>
      </c>
      <c r="K73" s="85">
        <f t="shared" si="2"/>
        <v>44067</v>
      </c>
      <c r="L73">
        <v>35</v>
      </c>
      <c r="M73" s="7" t="str">
        <f ca="1">IF($W$4&gt;0,OFFSET(INDIRECT("'File "&amp;$W$4&amp;IF(LEFT('DC Balance'!$S$22,1)="P","'!S57","'!C57")),$L73,$W$6,1,1),"")</f>
        <v/>
      </c>
      <c r="N73" s="7" t="str">
        <f ca="1">IF($W$4&gt;0,OFFSET(INDIRECT("'File "&amp;$W$4&amp;IF(LEFT('DC Balance'!$S$22,1)="P","'!V57","'!D57")),$L73,$W$6,1,1),"")</f>
        <v/>
      </c>
      <c r="O73" s="7" t="str">
        <f ca="1">IF($W$4&gt;0,OFFSET(INDIRECT("'File "&amp;$W$4&amp;IF(LEFT('DC Balance'!$S$22,1)="P","'!Y57","'!E57")),$L73,$W$6,1,1),"")</f>
        <v/>
      </c>
      <c r="P73" t="str">
        <f ca="1">IF($W$4&gt;0,OFFSET(INDIRECT("'File "&amp;$W$4&amp;IF(LEFT('DC Balance'!$S$22,1)="P","'!AE57","'!H57")),$L73,$W$6,1,1),"")</f>
        <v/>
      </c>
    </row>
    <row r="74" spans="1:16" x14ac:dyDescent="0.25">
      <c r="C74" t="s">
        <v>1032</v>
      </c>
      <c r="D74" t="s">
        <v>1032</v>
      </c>
      <c r="F74" s="8"/>
      <c r="G74" s="8"/>
      <c r="H74" s="8"/>
      <c r="I74" s="8"/>
      <c r="K74" s="85">
        <f t="shared" si="2"/>
        <v>44074</v>
      </c>
      <c r="L74">
        <v>36</v>
      </c>
      <c r="M74" s="7" t="str">
        <f ca="1">IF($W$4&gt;0,OFFSET(INDIRECT("'File "&amp;$W$4&amp;IF(LEFT('DC Balance'!$S$22,1)="P","'!S57","'!C57")),$L74,$W$6,1,1),"")</f>
        <v/>
      </c>
      <c r="N74" s="7" t="str">
        <f ca="1">IF($W$4&gt;0,OFFSET(INDIRECT("'File "&amp;$W$4&amp;IF(LEFT('DC Balance'!$S$22,1)="P","'!V57","'!D57")),$L74,$W$6,1,1),"")</f>
        <v/>
      </c>
      <c r="O74" s="7" t="str">
        <f ca="1">IF($W$4&gt;0,OFFSET(INDIRECT("'File "&amp;$W$4&amp;IF(LEFT('DC Balance'!$S$22,1)="P","'!Y57","'!E57")),$L74,$W$6,1,1),"")</f>
        <v/>
      </c>
      <c r="P74" t="str">
        <f ca="1">IF($W$4&gt;0,OFFSET(INDIRECT("'File "&amp;$W$4&amp;IF(LEFT('DC Balance'!$S$22,1)="P","'!AE57","'!H57")),$L74,$W$6,1,1),"")</f>
        <v/>
      </c>
    </row>
    <row r="75" spans="1:16" x14ac:dyDescent="0.25">
      <c r="A75">
        <f ca="1">OFFSET('Control Sheet'!$H$45,B75,0,1,1)</f>
        <v>0</v>
      </c>
      <c r="B75">
        <v>10</v>
      </c>
      <c r="C75">
        <f ca="1">IF('Data files'!$E$9&lt;=8,OFFSET('Control Sheet'!$B$45,B75,0,1,1),B75)</f>
        <v>0</v>
      </c>
      <c r="D75" t="str">
        <f ca="1">IF(ISNA(H75)=FALSE,E75,"")</f>
        <v/>
      </c>
      <c r="E75">
        <f ca="1">IF(A75=1,"",OFFSET($B$8,B75,0,1,1))</f>
        <v>0</v>
      </c>
      <c r="F75" s="8">
        <f ca="1">IF(A75=1,"",OFFSET($C$8,B75,0,1,1))</f>
        <v>0</v>
      </c>
      <c r="G75" s="8">
        <f ca="1">IF(A75=1,"",OFFSET($D$8,B75,0,1,1))</f>
        <v>0</v>
      </c>
      <c r="H75" s="8" t="e">
        <f ca="1">IF(A75&lt;=1,NA(),OFFSET($E$8,B75,0,1,1))</f>
        <v>#N/A</v>
      </c>
      <c r="I75" s="8" t="e">
        <f ca="1">IF(A75&lt;=1,NA(),OFFSET($AD$8,B75,0,1,1))</f>
        <v>#N/A</v>
      </c>
      <c r="K75" s="85">
        <f t="shared" si="2"/>
        <v>44081</v>
      </c>
      <c r="L75">
        <v>37</v>
      </c>
      <c r="M75" s="7" t="str">
        <f ca="1">IF($W$4&gt;0,OFFSET(INDIRECT("'File "&amp;$W$4&amp;IF(LEFT('DC Balance'!$S$22,1)="P","'!S57","'!C57")),$L75,$W$6,1,1),"")</f>
        <v/>
      </c>
      <c r="N75" s="7" t="str">
        <f ca="1">IF($W$4&gt;0,OFFSET(INDIRECT("'File "&amp;$W$4&amp;IF(LEFT('DC Balance'!$S$22,1)="P","'!V57","'!D57")),$L75,$W$6,1,1),"")</f>
        <v/>
      </c>
      <c r="O75" s="7" t="str">
        <f ca="1">IF($W$4&gt;0,OFFSET(INDIRECT("'File "&amp;$W$4&amp;IF(LEFT('DC Balance'!$S$22,1)="P","'!Y57","'!E57")),$L75,$W$6,1,1),"")</f>
        <v/>
      </c>
      <c r="P75" t="str">
        <f ca="1">IF($W$4&gt;0,OFFSET(INDIRECT("'File "&amp;$W$4&amp;IF(LEFT('DC Balance'!$S$22,1)="P","'!AE57","'!H57")),$L75,$W$6,1,1),"")</f>
        <v/>
      </c>
    </row>
    <row r="76" spans="1:16" x14ac:dyDescent="0.25">
      <c r="A76">
        <f ca="1">OFFSET('Control Sheet'!$H$45,B76,0,1,1)</f>
        <v>0</v>
      </c>
      <c r="B76">
        <v>10</v>
      </c>
      <c r="D76" t="str">
        <f ca="1">IF(ISNA(H76)=FALSE,E76,"")</f>
        <v/>
      </c>
      <c r="E76">
        <f ca="1">OFFSET(IF(A76=1,$B$8,$F$8),B76,0,1,1)</f>
        <v>0</v>
      </c>
      <c r="F76" s="8">
        <f ca="1">IF(A76=1,OFFSET($C$8,B76,0,1,1),OFFSET($G$8,B76,0,1,1))</f>
        <v>0</v>
      </c>
      <c r="G76" s="8">
        <f ca="1">IF(A76=1,OFFSET($D$8,B76,0,1,1),OFFSET($H$8,B76,0,1,1))</f>
        <v>0</v>
      </c>
      <c r="H76" s="8" t="e">
        <f ca="1">IF(A76=0,NA(),OFFSET(IF(A76=1,$E$8,$I$8),B76,0,1,1))</f>
        <v>#N/A</v>
      </c>
      <c r="I76" s="8" t="e">
        <f ca="1">IF(A76=0,NA(),OFFSET(IF(A76=1,$AD$8,$AE$8),B76,0,1,1))</f>
        <v>#N/A</v>
      </c>
      <c r="K76" s="85">
        <f t="shared" si="2"/>
        <v>44088</v>
      </c>
      <c r="L76">
        <v>38</v>
      </c>
      <c r="M76" s="7" t="str">
        <f ca="1">IF($W$4&gt;0,OFFSET(INDIRECT("'File "&amp;$W$4&amp;IF(LEFT('DC Balance'!$S$22,1)="P","'!S57","'!C57")),$L76,$W$6,1,1),"")</f>
        <v/>
      </c>
      <c r="N76" s="7" t="str">
        <f ca="1">IF($W$4&gt;0,OFFSET(INDIRECT("'File "&amp;$W$4&amp;IF(LEFT('DC Balance'!$S$22,1)="P","'!V57","'!D57")),$L76,$W$6,1,1),"")</f>
        <v/>
      </c>
      <c r="O76" s="7" t="str">
        <f ca="1">IF($W$4&gt;0,OFFSET(INDIRECT("'File "&amp;$W$4&amp;IF(LEFT('DC Balance'!$S$22,1)="P","'!Y57","'!E57")),$L76,$W$6,1,1),"")</f>
        <v/>
      </c>
      <c r="P76" t="str">
        <f ca="1">IF($W$4&gt;0,OFFSET(INDIRECT("'File "&amp;$W$4&amp;IF(LEFT('DC Balance'!$S$22,1)="P","'!AE57","'!H57")),$L76,$W$6,1,1),"")</f>
        <v/>
      </c>
    </row>
    <row r="77" spans="1:16" x14ac:dyDescent="0.25">
      <c r="A77">
        <f ca="1">OFFSET('Control Sheet'!$H$45,B77,0,1,1)</f>
        <v>0</v>
      </c>
      <c r="B77">
        <v>10</v>
      </c>
      <c r="D77" t="str">
        <f ca="1">IF(ISNA(H77)=FALSE,E77," ")</f>
        <v xml:space="preserve"> </v>
      </c>
      <c r="E77">
        <f ca="1">IF(A77=1,"",OFFSET($J$8,B77,0,1,1))</f>
        <v>0</v>
      </c>
      <c r="F77" s="8">
        <f ca="1">IF(A77=1,"",OFFSET($K$8,B77,0,1,1))</f>
        <v>0</v>
      </c>
      <c r="G77" s="8">
        <f ca="1">IF(A77=1,"",OFFSET($L$8,B77,0,1,1))</f>
        <v>0</v>
      </c>
      <c r="H77" s="8" t="e">
        <f ca="1">IF(A77&lt;=1,NA(),OFFSET($M$8,B77,0,1,1))</f>
        <v>#N/A</v>
      </c>
      <c r="I77" s="8" t="e">
        <f ca="1">IF(A77&lt;=1,NA(),OFFSET($AF$8,B77,0,1,1))</f>
        <v>#N/A</v>
      </c>
      <c r="K77" s="85">
        <f t="shared" si="2"/>
        <v>44095</v>
      </c>
      <c r="L77">
        <v>39</v>
      </c>
      <c r="M77" s="7" t="str">
        <f ca="1">IF($W$4&gt;0,OFFSET(INDIRECT("'File "&amp;$W$4&amp;IF(LEFT('DC Balance'!$S$22,1)="P","'!S57","'!C57")),$L77,$W$6,1,1),"")</f>
        <v/>
      </c>
      <c r="N77" s="7" t="str">
        <f ca="1">IF($W$4&gt;0,OFFSET(INDIRECT("'File "&amp;$W$4&amp;IF(LEFT('DC Balance'!$S$22,1)="P","'!V57","'!D57")),$L77,$W$6,1,1),"")</f>
        <v/>
      </c>
      <c r="O77" s="7" t="str">
        <f ca="1">IF($W$4&gt;0,OFFSET(INDIRECT("'File "&amp;$W$4&amp;IF(LEFT('DC Balance'!$S$22,1)="P","'!Y57","'!E57")),$L77,$W$6,1,1),"")</f>
        <v/>
      </c>
      <c r="P77" t="str">
        <f ca="1">IF($W$4&gt;0,OFFSET(INDIRECT("'File "&amp;$W$4&amp;IF(LEFT('DC Balance'!$S$22,1)="P","'!AE57","'!H57")),$L77,$W$6,1,1),"")</f>
        <v/>
      </c>
    </row>
    <row r="78" spans="1:16" x14ac:dyDescent="0.25">
      <c r="C78" t="s">
        <v>1032</v>
      </c>
      <c r="D78" t="s">
        <v>1032</v>
      </c>
      <c r="F78" s="8"/>
      <c r="G78" s="8"/>
      <c r="H78" s="8"/>
      <c r="I78" s="8"/>
      <c r="K78" s="85">
        <f t="shared" si="2"/>
        <v>44102</v>
      </c>
      <c r="L78">
        <v>40</v>
      </c>
      <c r="M78" s="7" t="str">
        <f ca="1">IF($W$4&gt;0,OFFSET(INDIRECT("'File "&amp;$W$4&amp;IF(LEFT('DC Balance'!$S$22,1)="P","'!S57","'!C57")),$L78,$W$6,1,1),"")</f>
        <v/>
      </c>
      <c r="N78" s="7" t="str">
        <f ca="1">IF($W$4&gt;0,OFFSET(INDIRECT("'File "&amp;$W$4&amp;IF(LEFT('DC Balance'!$S$22,1)="P","'!V57","'!D57")),$L78,$W$6,1,1),"")</f>
        <v/>
      </c>
      <c r="O78" s="7" t="str">
        <f ca="1">IF($W$4&gt;0,OFFSET(INDIRECT("'File "&amp;$W$4&amp;IF(LEFT('DC Balance'!$S$22,1)="P","'!Y57","'!E57")),$L78,$W$6,1,1),"")</f>
        <v/>
      </c>
      <c r="P78" t="str">
        <f ca="1">IF($W$4&gt;0,OFFSET(INDIRECT("'File "&amp;$W$4&amp;IF(LEFT('DC Balance'!$S$22,1)="P","'!AE57","'!H57")),$L78,$W$6,1,1),"")</f>
        <v/>
      </c>
    </row>
    <row r="79" spans="1:16" x14ac:dyDescent="0.25">
      <c r="A79">
        <f ca="1">OFFSET('Control Sheet'!$H$45,B79,0,1,1)</f>
        <v>0</v>
      </c>
      <c r="B79">
        <v>11</v>
      </c>
      <c r="C79">
        <f ca="1">IF('Data files'!$E$9&lt;=8,OFFSET('Control Sheet'!$B$45,B79,0,1,1),B79)</f>
        <v>0</v>
      </c>
      <c r="D79" t="str">
        <f ca="1">IF(ISNA(H79)=FALSE,E79,"")</f>
        <v/>
      </c>
      <c r="E79">
        <f ca="1">IF(A79=1,"",OFFSET($B$8,B79,0,1,1))</f>
        <v>0</v>
      </c>
      <c r="F79" s="8">
        <f ca="1">IF(A79=1,"",OFFSET($C$8,B79,0,1,1))</f>
        <v>0</v>
      </c>
      <c r="G79" s="8">
        <f ca="1">IF(A79=1,"",OFFSET($D$8,B79,0,1,1))</f>
        <v>0</v>
      </c>
      <c r="H79" s="8" t="e">
        <f ca="1">IF(A79&lt;=1,NA(),OFFSET($E$8,B79,0,1,1))</f>
        <v>#N/A</v>
      </c>
      <c r="I79" s="8" t="e">
        <f ca="1">IF(A79&lt;=1,NA(),OFFSET($AD$8,B79,0,1,1))</f>
        <v>#N/A</v>
      </c>
      <c r="K79" s="85">
        <f t="shared" si="2"/>
        <v>44109</v>
      </c>
      <c r="L79">
        <v>41</v>
      </c>
      <c r="M79" s="7" t="str">
        <f ca="1">IF($W$4&gt;0,OFFSET(INDIRECT("'File "&amp;$W$4&amp;IF(LEFT('DC Balance'!$S$22,1)="P","'!S57","'!C57")),$L79,$W$6,1,1),"")</f>
        <v/>
      </c>
      <c r="N79" s="7" t="str">
        <f ca="1">IF($W$4&gt;0,OFFSET(INDIRECT("'File "&amp;$W$4&amp;IF(LEFT('DC Balance'!$S$22,1)="P","'!V57","'!D57")),$L79,$W$6,1,1),"")</f>
        <v/>
      </c>
      <c r="O79" s="7" t="str">
        <f ca="1">IF($W$4&gt;0,OFFSET(INDIRECT("'File "&amp;$W$4&amp;IF(LEFT('DC Balance'!$S$22,1)="P","'!Y57","'!E57")),$L79,$W$6,1,1),"")</f>
        <v/>
      </c>
      <c r="P79" t="str">
        <f ca="1">IF($W$4&gt;0,OFFSET(INDIRECT("'File "&amp;$W$4&amp;IF(LEFT('DC Balance'!$S$22,1)="P","'!AE57","'!H57")),$L79,$W$6,1,1),"")</f>
        <v/>
      </c>
    </row>
    <row r="80" spans="1:16" x14ac:dyDescent="0.25">
      <c r="A80">
        <f ca="1">OFFSET('Control Sheet'!$H$45,B80,0,1,1)</f>
        <v>0</v>
      </c>
      <c r="B80">
        <v>11</v>
      </c>
      <c r="D80" t="str">
        <f ca="1">IF(ISNA(H80)=FALSE,E80,"")</f>
        <v/>
      </c>
      <c r="E80">
        <f ca="1">OFFSET(IF(A80=1,$B$8,$F$8),B80,0,1,1)</f>
        <v>0</v>
      </c>
      <c r="F80" s="8">
        <f ca="1">IF(A80=1,OFFSET($C$8,B80,0,1,1),OFFSET($G$8,B80,0,1,1))</f>
        <v>0</v>
      </c>
      <c r="G80" s="8">
        <f ca="1">IF(A80=1,OFFSET($D$8,B80,0,1,1),OFFSET($H$8,B80,0,1,1))</f>
        <v>0</v>
      </c>
      <c r="H80" s="8" t="e">
        <f ca="1">IF(A80=0,NA(),OFFSET(IF(A80=1,$E$8,$I$8),B80,0,1,1))</f>
        <v>#N/A</v>
      </c>
      <c r="I80" s="8" t="e">
        <f ca="1">IF(A80=0,NA(),OFFSET(IF(A80=1,$AD$8,$AE$8),B80,0,1,1))</f>
        <v>#N/A</v>
      </c>
      <c r="K80" s="85">
        <f t="shared" si="2"/>
        <v>44116</v>
      </c>
      <c r="L80">
        <v>42</v>
      </c>
      <c r="M80" s="7" t="str">
        <f ca="1">IF($W$4&gt;0,OFFSET(INDIRECT("'File "&amp;$W$4&amp;IF(LEFT('DC Balance'!$S$22,1)="P","'!S57","'!C57")),$L80,$W$6,1,1),"")</f>
        <v/>
      </c>
      <c r="N80" s="7" t="str">
        <f ca="1">IF($W$4&gt;0,OFFSET(INDIRECT("'File "&amp;$W$4&amp;IF(LEFT('DC Balance'!$S$22,1)="P","'!V57","'!D57")),$L80,$W$6,1,1),"")</f>
        <v/>
      </c>
      <c r="O80" s="7" t="str">
        <f ca="1">IF($W$4&gt;0,OFFSET(INDIRECT("'File "&amp;$W$4&amp;IF(LEFT('DC Balance'!$S$22,1)="P","'!Y57","'!E57")),$L80,$W$6,1,1),"")</f>
        <v/>
      </c>
      <c r="P80" t="str">
        <f ca="1">IF($W$4&gt;0,OFFSET(INDIRECT("'File "&amp;$W$4&amp;IF(LEFT('DC Balance'!$S$22,1)="P","'!AE57","'!H57")),$L80,$W$6,1,1),"")</f>
        <v/>
      </c>
    </row>
    <row r="81" spans="1:16" x14ac:dyDescent="0.25">
      <c r="A81">
        <f ca="1">OFFSET('Control Sheet'!$H$45,B81,0,1,1)</f>
        <v>0</v>
      </c>
      <c r="B81">
        <v>11</v>
      </c>
      <c r="D81" t="str">
        <f ca="1">IF(ISNA(H81)=FALSE,E81," ")</f>
        <v xml:space="preserve"> </v>
      </c>
      <c r="E81">
        <f ca="1">IF(A81=1,"",OFFSET($J$8,B81,0,1,1))</f>
        <v>0</v>
      </c>
      <c r="F81" s="8">
        <f ca="1">IF(A81=1,"",OFFSET($K$8,B81,0,1,1))</f>
        <v>0</v>
      </c>
      <c r="G81" s="8">
        <f ca="1">IF(A81=1,"",OFFSET($L$8,B81,0,1,1))</f>
        <v>0</v>
      </c>
      <c r="H81" s="8" t="e">
        <f ca="1">IF(A81&lt;=1,NA(),OFFSET($M$8,B81,0,1,1))</f>
        <v>#N/A</v>
      </c>
      <c r="I81" s="8" t="e">
        <f ca="1">IF(A81&lt;=1,NA(),OFFSET($AF$8,B81,0,1,1))</f>
        <v>#N/A</v>
      </c>
      <c r="K81" s="85">
        <f t="shared" si="2"/>
        <v>44123</v>
      </c>
      <c r="L81">
        <v>43</v>
      </c>
      <c r="M81" s="7" t="str">
        <f ca="1">IF($W$4&gt;0,OFFSET(INDIRECT("'File "&amp;$W$4&amp;IF(LEFT('DC Balance'!$S$22,1)="P","'!S57","'!C57")),$L81,$W$6,1,1),"")</f>
        <v/>
      </c>
      <c r="N81" s="7" t="str">
        <f ca="1">IF($W$4&gt;0,OFFSET(INDIRECT("'File "&amp;$W$4&amp;IF(LEFT('DC Balance'!$S$22,1)="P","'!V57","'!D57")),$L81,$W$6,1,1),"")</f>
        <v/>
      </c>
      <c r="O81" s="7" t="str">
        <f ca="1">IF($W$4&gt;0,OFFSET(INDIRECT("'File "&amp;$W$4&amp;IF(LEFT('DC Balance'!$S$22,1)="P","'!Y57","'!E57")),$L81,$W$6,1,1),"")</f>
        <v/>
      </c>
      <c r="P81" t="str">
        <f ca="1">IF($W$4&gt;0,OFFSET(INDIRECT("'File "&amp;$W$4&amp;IF(LEFT('DC Balance'!$S$22,1)="P","'!AE57","'!H57")),$L81,$W$6,1,1),"")</f>
        <v/>
      </c>
    </row>
    <row r="82" spans="1:16" x14ac:dyDescent="0.25">
      <c r="C82" t="s">
        <v>1032</v>
      </c>
      <c r="D82" t="s">
        <v>1032</v>
      </c>
      <c r="F82" s="8"/>
      <c r="G82" s="8"/>
      <c r="H82" s="8"/>
      <c r="I82" s="8"/>
      <c r="K82" s="85">
        <f t="shared" si="2"/>
        <v>44130</v>
      </c>
      <c r="L82">
        <v>44</v>
      </c>
      <c r="M82" s="7" t="str">
        <f ca="1">IF($W$4&gt;0,OFFSET(INDIRECT("'File "&amp;$W$4&amp;IF(LEFT('DC Balance'!$S$22,1)="P","'!S57","'!C57")),$L82,$W$6,1,1),"")</f>
        <v/>
      </c>
      <c r="N82" s="7" t="str">
        <f ca="1">IF($W$4&gt;0,OFFSET(INDIRECT("'File "&amp;$W$4&amp;IF(LEFT('DC Balance'!$S$22,1)="P","'!V57","'!D57")),$L82,$W$6,1,1),"")</f>
        <v/>
      </c>
      <c r="O82" s="7" t="str">
        <f ca="1">IF($W$4&gt;0,OFFSET(INDIRECT("'File "&amp;$W$4&amp;IF(LEFT('DC Balance'!$S$22,1)="P","'!Y57","'!E57")),$L82,$W$6,1,1),"")</f>
        <v/>
      </c>
      <c r="P82" t="str">
        <f ca="1">IF($W$4&gt;0,OFFSET(INDIRECT("'File "&amp;$W$4&amp;IF(LEFT('DC Balance'!$S$22,1)="P","'!AE57","'!H57")),$L82,$W$6,1,1),"")</f>
        <v/>
      </c>
    </row>
    <row r="83" spans="1:16" x14ac:dyDescent="0.25">
      <c r="A83">
        <f ca="1">OFFSET('Control Sheet'!$H$45,B83,0,1,1)</f>
        <v>0</v>
      </c>
      <c r="B83">
        <v>12</v>
      </c>
      <c r="C83">
        <f ca="1">IF('Data files'!$E$9&lt;=8,OFFSET('Control Sheet'!$B$45,B83,0,1,1),B83)</f>
        <v>0</v>
      </c>
      <c r="D83" t="str">
        <f ca="1">IF(ISNA(H83)=FALSE,E83,"")</f>
        <v/>
      </c>
      <c r="E83">
        <f ca="1">IF(A83=1,"",OFFSET($B$8,B83,0,1,1))</f>
        <v>0</v>
      </c>
      <c r="F83" s="8">
        <f ca="1">IF(A83=1,"",OFFSET($C$8,B83,0,1,1))</f>
        <v>0</v>
      </c>
      <c r="G83" s="8">
        <f ca="1">IF(A83=1,"",OFFSET($D$8,B83,0,1,1))</f>
        <v>0</v>
      </c>
      <c r="H83" s="8" t="e">
        <f ca="1">IF(A83&lt;=1,NA(),OFFSET($E$8,B83,0,1,1))</f>
        <v>#N/A</v>
      </c>
      <c r="I83" s="8" t="e">
        <f ca="1">IF(A83&lt;=1,NA(),OFFSET($AD$8,B83,0,1,1))</f>
        <v>#N/A</v>
      </c>
      <c r="K83" s="85">
        <f t="shared" si="2"/>
        <v>44137</v>
      </c>
      <c r="L83">
        <v>45</v>
      </c>
      <c r="M83" s="7" t="str">
        <f ca="1">IF($W$4&gt;0,OFFSET(INDIRECT("'File "&amp;$W$4&amp;IF(LEFT('DC Balance'!$S$22,1)="P","'!S57","'!C57")),$L83,$W$6,1,1),"")</f>
        <v/>
      </c>
      <c r="N83" s="7" t="str">
        <f ca="1">IF($W$4&gt;0,OFFSET(INDIRECT("'File "&amp;$W$4&amp;IF(LEFT('DC Balance'!$S$22,1)="P","'!V57","'!D57")),$L83,$W$6,1,1),"")</f>
        <v/>
      </c>
      <c r="O83" s="7" t="str">
        <f ca="1">IF($W$4&gt;0,OFFSET(INDIRECT("'File "&amp;$W$4&amp;IF(LEFT('DC Balance'!$S$22,1)="P","'!Y57","'!E57")),$L83,$W$6,1,1),"")</f>
        <v/>
      </c>
      <c r="P83" t="str">
        <f ca="1">IF($W$4&gt;0,OFFSET(INDIRECT("'File "&amp;$W$4&amp;IF(LEFT('DC Balance'!$S$22,1)="P","'!AE57","'!H57")),$L83,$W$6,1,1),"")</f>
        <v/>
      </c>
    </row>
    <row r="84" spans="1:16" x14ac:dyDescent="0.25">
      <c r="A84">
        <f ca="1">OFFSET('Control Sheet'!$H$45,B84,0,1,1)</f>
        <v>0</v>
      </c>
      <c r="B84">
        <v>12</v>
      </c>
      <c r="D84" t="str">
        <f ca="1">IF(ISNA(H84)=FALSE,E84,"")</f>
        <v/>
      </c>
      <c r="E84">
        <f ca="1">OFFSET(IF(A84=1,$B$8,$F$8),B84,0,1,1)</f>
        <v>0</v>
      </c>
      <c r="F84" s="8">
        <f ca="1">IF(A84=1,OFFSET($C$8,B84,0,1,1),OFFSET($G$8,B84,0,1,1))</f>
        <v>0</v>
      </c>
      <c r="G84" s="8">
        <f ca="1">IF(A84=1,OFFSET($D$8,B84,0,1,1),OFFSET($H$8,B84,0,1,1))</f>
        <v>0</v>
      </c>
      <c r="H84" s="8" t="e">
        <f ca="1">IF(A84=0,NA(),OFFSET(IF(A84=1,$E$8,$I$8),B84,0,1,1))</f>
        <v>#N/A</v>
      </c>
      <c r="I84" s="8" t="e">
        <f ca="1">IF(A84=0,NA(),OFFSET(IF(A84=1,$AD$8,$AE$8),B84,0,1,1))</f>
        <v>#N/A</v>
      </c>
      <c r="K84" s="85">
        <f t="shared" si="2"/>
        <v>44144</v>
      </c>
      <c r="L84">
        <v>46</v>
      </c>
      <c r="M84" s="7" t="str">
        <f ca="1">IF($W$4&gt;0,OFFSET(INDIRECT("'File "&amp;$W$4&amp;IF(LEFT('DC Balance'!$S$22,1)="P","'!S57","'!C57")),$L84,$W$6,1,1),"")</f>
        <v/>
      </c>
      <c r="N84" s="7" t="str">
        <f ca="1">IF($W$4&gt;0,OFFSET(INDIRECT("'File "&amp;$W$4&amp;IF(LEFT('DC Balance'!$S$22,1)="P","'!V57","'!D57")),$L84,$W$6,1,1),"")</f>
        <v/>
      </c>
      <c r="O84" s="7" t="str">
        <f ca="1">IF($W$4&gt;0,OFFSET(INDIRECT("'File "&amp;$W$4&amp;IF(LEFT('DC Balance'!$S$22,1)="P","'!Y57","'!E57")),$L84,$W$6,1,1),"")</f>
        <v/>
      </c>
      <c r="P84" t="str">
        <f ca="1">IF($W$4&gt;0,OFFSET(INDIRECT("'File "&amp;$W$4&amp;IF(LEFT('DC Balance'!$S$22,1)="P","'!AE57","'!H57")),$L84,$W$6,1,1),"")</f>
        <v/>
      </c>
    </row>
    <row r="85" spans="1:16" x14ac:dyDescent="0.25">
      <c r="A85">
        <f ca="1">OFFSET('Control Sheet'!$H$45,B85,0,1,1)</f>
        <v>0</v>
      </c>
      <c r="B85">
        <v>12</v>
      </c>
      <c r="D85" t="str">
        <f ca="1">IF(ISNA(H85)=FALSE,E85," ")</f>
        <v xml:space="preserve"> </v>
      </c>
      <c r="E85">
        <f ca="1">IF(A85=1,"",OFFSET($J$8,B85,0,1,1))</f>
        <v>0</v>
      </c>
      <c r="F85" s="8">
        <f ca="1">IF(A85=1,"",OFFSET($K$8,B85,0,1,1))</f>
        <v>0</v>
      </c>
      <c r="G85" s="8">
        <f ca="1">IF(A85=1,"",OFFSET($L$8,B85,0,1,1))</f>
        <v>0</v>
      </c>
      <c r="H85" s="8" t="e">
        <f ca="1">IF(A85&lt;=1,NA(),OFFSET($M$8,B85,0,1,1))</f>
        <v>#N/A</v>
      </c>
      <c r="I85" s="8" t="e">
        <f ca="1">IF(A85&lt;=1,NA(),OFFSET($AF$8,B85,0,1,1))</f>
        <v>#N/A</v>
      </c>
      <c r="K85" s="85">
        <f t="shared" si="2"/>
        <v>44151</v>
      </c>
      <c r="L85">
        <v>47</v>
      </c>
      <c r="M85" s="7" t="str">
        <f ca="1">IF($W$4&gt;0,OFFSET(INDIRECT("'File "&amp;$W$4&amp;IF(LEFT('DC Balance'!$S$22,1)="P","'!S57","'!C57")),$L85,$W$6,1,1),"")</f>
        <v/>
      </c>
      <c r="N85" s="7" t="str">
        <f ca="1">IF($W$4&gt;0,OFFSET(INDIRECT("'File "&amp;$W$4&amp;IF(LEFT('DC Balance'!$S$22,1)="P","'!V57","'!D57")),$L85,$W$6,1,1),"")</f>
        <v/>
      </c>
      <c r="O85" s="7" t="str">
        <f ca="1">IF($W$4&gt;0,OFFSET(INDIRECT("'File "&amp;$W$4&amp;IF(LEFT('DC Balance'!$S$22,1)="P","'!Y57","'!E57")),$L85,$W$6,1,1),"")</f>
        <v/>
      </c>
      <c r="P85" t="str">
        <f ca="1">IF($W$4&gt;0,OFFSET(INDIRECT("'File "&amp;$W$4&amp;IF(LEFT('DC Balance'!$S$22,1)="P","'!AE57","'!H57")),$L85,$W$6,1,1),"")</f>
        <v/>
      </c>
    </row>
    <row r="86" spans="1:16" x14ac:dyDescent="0.25">
      <c r="C86" t="s">
        <v>1032</v>
      </c>
      <c r="D86" t="s">
        <v>1032</v>
      </c>
      <c r="F86" s="8"/>
      <c r="G86" s="8"/>
      <c r="H86" s="8"/>
      <c r="I86" s="8"/>
      <c r="K86" s="85">
        <f t="shared" si="2"/>
        <v>44158</v>
      </c>
      <c r="L86">
        <v>48</v>
      </c>
      <c r="M86" s="7" t="str">
        <f ca="1">IF($W$4&gt;0,OFFSET(INDIRECT("'File "&amp;$W$4&amp;IF(LEFT('DC Balance'!$S$22,1)="P","'!S57","'!C57")),$L86,$W$6,1,1),"")</f>
        <v/>
      </c>
      <c r="N86" s="7" t="str">
        <f ca="1">IF($W$4&gt;0,OFFSET(INDIRECT("'File "&amp;$W$4&amp;IF(LEFT('DC Balance'!$S$22,1)="P","'!V57","'!D57")),$L86,$W$6,1,1),"")</f>
        <v/>
      </c>
      <c r="O86" s="7" t="str">
        <f ca="1">IF($W$4&gt;0,OFFSET(INDIRECT("'File "&amp;$W$4&amp;IF(LEFT('DC Balance'!$S$22,1)="P","'!Y57","'!E57")),$L86,$W$6,1,1),"")</f>
        <v/>
      </c>
      <c r="P86" t="str">
        <f ca="1">IF($W$4&gt;0,OFFSET(INDIRECT("'File "&amp;$W$4&amp;IF(LEFT('DC Balance'!$S$22,1)="P","'!AE57","'!H57")),$L86,$W$6,1,1),"")</f>
        <v/>
      </c>
    </row>
    <row r="87" spans="1:16" x14ac:dyDescent="0.25">
      <c r="A87">
        <f ca="1">OFFSET('Control Sheet'!$H$45,B87,0,1,1)</f>
        <v>0</v>
      </c>
      <c r="B87">
        <v>13</v>
      </c>
      <c r="C87">
        <f ca="1">IF('Data files'!$E$9&lt;=8,OFFSET('Control Sheet'!$B$45,B87,0,1,1),B87)</f>
        <v>0</v>
      </c>
      <c r="D87" t="str">
        <f ca="1">IF(ISNA(H87)=FALSE,E87,"")</f>
        <v/>
      </c>
      <c r="E87">
        <f ca="1">IF(A87=1,"",OFFSET($B$8,B87,0,1,1))</f>
        <v>0</v>
      </c>
      <c r="F87" s="8">
        <f ca="1">IF(A87=1,"",OFFSET($C$8,B87,0,1,1))</f>
        <v>0</v>
      </c>
      <c r="G87" s="8">
        <f ca="1">IF(A87=1,"",OFFSET($D$8,B87,0,1,1))</f>
        <v>0</v>
      </c>
      <c r="H87" s="8" t="e">
        <f ca="1">IF(A87&lt;=1,NA(),OFFSET($E$8,B87,0,1,1))</f>
        <v>#N/A</v>
      </c>
      <c r="I87" s="8" t="e">
        <f ca="1">IF(A87&lt;=1,NA(),OFFSET($AD$8,B87,0,1,1))</f>
        <v>#N/A</v>
      </c>
      <c r="K87" s="85">
        <f t="shared" si="2"/>
        <v>44165</v>
      </c>
      <c r="L87">
        <v>49</v>
      </c>
      <c r="M87" s="7" t="str">
        <f ca="1">IF($W$4&gt;0,OFFSET(INDIRECT("'File "&amp;$W$4&amp;IF(LEFT('DC Balance'!$S$22,1)="P","'!S57","'!C57")),$L87,$W$6,1,1),"")</f>
        <v/>
      </c>
      <c r="N87" s="7" t="str">
        <f ca="1">IF($W$4&gt;0,OFFSET(INDIRECT("'File "&amp;$W$4&amp;IF(LEFT('DC Balance'!$S$22,1)="P","'!V57","'!D57")),$L87,$W$6,1,1),"")</f>
        <v/>
      </c>
      <c r="O87" s="7" t="str">
        <f ca="1">IF($W$4&gt;0,OFFSET(INDIRECT("'File "&amp;$W$4&amp;IF(LEFT('DC Balance'!$S$22,1)="P","'!Y57","'!E57")),$L87,$W$6,1,1),"")</f>
        <v/>
      </c>
      <c r="P87" t="str">
        <f ca="1">IF($W$4&gt;0,OFFSET(INDIRECT("'File "&amp;$W$4&amp;IF(LEFT('DC Balance'!$S$22,1)="P","'!AE57","'!H57")),$L87,$W$6,1,1),"")</f>
        <v/>
      </c>
    </row>
    <row r="88" spans="1:16" x14ac:dyDescent="0.25">
      <c r="A88">
        <f ca="1">OFFSET('Control Sheet'!$H$45,B88,0,1,1)</f>
        <v>0</v>
      </c>
      <c r="B88">
        <v>13</v>
      </c>
      <c r="D88" t="str">
        <f ca="1">IF(ISNA(H88)=FALSE,E88,"")</f>
        <v/>
      </c>
      <c r="E88">
        <f ca="1">OFFSET(IF(A88=1,$B$8,$F$8),B88,0,1,1)</f>
        <v>0</v>
      </c>
      <c r="F88" s="8">
        <f ca="1">IF(A88=1,OFFSET($C$8,B88,0,1,1),OFFSET($G$8,B88,0,1,1))</f>
        <v>0</v>
      </c>
      <c r="G88" s="8">
        <f ca="1">IF(A88=1,OFFSET($D$8,B88,0,1,1),OFFSET($H$8,B88,0,1,1))</f>
        <v>0</v>
      </c>
      <c r="H88" s="8" t="e">
        <f ca="1">IF(A88=0,NA(),OFFSET(IF(A88=1,$E$8,$I$8),B88,0,1,1))</f>
        <v>#N/A</v>
      </c>
      <c r="I88" s="8" t="e">
        <f ca="1">IF(A88=0,NA(),OFFSET(IF(A88=1,$AD$8,$AE$8),B88,0,1,1))</f>
        <v>#N/A</v>
      </c>
      <c r="K88" s="85">
        <f t="shared" si="2"/>
        <v>44172</v>
      </c>
      <c r="L88">
        <v>50</v>
      </c>
      <c r="M88" s="7" t="str">
        <f ca="1">IF($W$4&gt;0,OFFSET(INDIRECT("'File "&amp;$W$4&amp;IF(LEFT('DC Balance'!$S$22,1)="P","'!S57","'!C57")),$L88,$W$6,1,1),"")</f>
        <v/>
      </c>
      <c r="N88" s="7" t="str">
        <f ca="1">IF($W$4&gt;0,OFFSET(INDIRECT("'File "&amp;$W$4&amp;IF(LEFT('DC Balance'!$S$22,1)="P","'!V57","'!D57")),$L88,$W$6,1,1),"")</f>
        <v/>
      </c>
      <c r="O88" s="7" t="str">
        <f ca="1">IF($W$4&gt;0,OFFSET(INDIRECT("'File "&amp;$W$4&amp;IF(LEFT('DC Balance'!$S$22,1)="P","'!Y57","'!E57")),$L88,$W$6,1,1),"")</f>
        <v/>
      </c>
      <c r="P88" t="str">
        <f ca="1">IF($W$4&gt;0,OFFSET(INDIRECT("'File "&amp;$W$4&amp;IF(LEFT('DC Balance'!$S$22,1)="P","'!AE57","'!H57")),$L88,$W$6,1,1),"")</f>
        <v/>
      </c>
    </row>
    <row r="89" spans="1:16" x14ac:dyDescent="0.25">
      <c r="A89">
        <f ca="1">OFFSET('Control Sheet'!$H$45,B89,0,1,1)</f>
        <v>0</v>
      </c>
      <c r="B89">
        <v>13</v>
      </c>
      <c r="D89" t="str">
        <f ca="1">IF(ISNA(H89)=FALSE,E89," ")</f>
        <v xml:space="preserve"> </v>
      </c>
      <c r="E89">
        <f ca="1">IF(A89=1,"",OFFSET($J$8,B89,0,1,1))</f>
        <v>0</v>
      </c>
      <c r="F89" s="8">
        <f ca="1">IF(A89=1,"",OFFSET($K$8,B89,0,1,1))</f>
        <v>0</v>
      </c>
      <c r="G89" s="8">
        <f ca="1">IF(A89=1,"",OFFSET($L$8,B89,0,1,1))</f>
        <v>0</v>
      </c>
      <c r="H89" s="8" t="e">
        <f ca="1">IF(A89&lt;=1,NA(),OFFSET($M$8,B89,0,1,1))</f>
        <v>#N/A</v>
      </c>
      <c r="I89" s="8" t="e">
        <f ca="1">IF(A89&lt;=1,NA(),OFFSET($AF$8,B89,0,1,1))</f>
        <v>#N/A</v>
      </c>
      <c r="K89" s="85">
        <f t="shared" si="2"/>
        <v>44179</v>
      </c>
      <c r="L89">
        <v>51</v>
      </c>
      <c r="M89" s="7" t="str">
        <f ca="1">IF($W$4&gt;0,OFFSET(INDIRECT("'File "&amp;$W$4&amp;IF(LEFT('DC Balance'!$S$22,1)="P","'!S57","'!C57")),$L89,$W$6,1,1),"")</f>
        <v/>
      </c>
      <c r="N89" s="7" t="str">
        <f ca="1">IF($W$4&gt;0,OFFSET(INDIRECT("'File "&amp;$W$4&amp;IF(LEFT('DC Balance'!$S$22,1)="P","'!V57","'!D57")),$L89,$W$6,1,1),"")</f>
        <v/>
      </c>
      <c r="O89" s="7" t="str">
        <f ca="1">IF($W$4&gt;0,OFFSET(INDIRECT("'File "&amp;$W$4&amp;IF(LEFT('DC Balance'!$S$22,1)="P","'!Y57","'!E57")),$L89,$W$6,1,1),"")</f>
        <v/>
      </c>
      <c r="P89" t="str">
        <f ca="1">IF($W$4&gt;0,OFFSET(INDIRECT("'File "&amp;$W$4&amp;IF(LEFT('DC Balance'!$S$22,1)="P","'!AE57","'!H57")),$L89,$W$6,1,1),"")</f>
        <v/>
      </c>
    </row>
    <row r="90" spans="1:16" x14ac:dyDescent="0.25">
      <c r="C90" t="s">
        <v>1032</v>
      </c>
      <c r="D90" t="s">
        <v>1032</v>
      </c>
      <c r="F90" s="8"/>
      <c r="G90" s="8"/>
      <c r="H90" s="8"/>
      <c r="I90" s="8"/>
      <c r="K90" s="85">
        <f t="shared" si="2"/>
        <v>44186</v>
      </c>
      <c r="L90">
        <v>52</v>
      </c>
      <c r="M90" s="7" t="str">
        <f ca="1">IF($W$4&gt;0,OFFSET(INDIRECT("'File "&amp;$W$4&amp;IF(LEFT('DC Balance'!$S$22,1)="P","'!S57","'!C57")),$L90,$W$6,1,1),"")</f>
        <v/>
      </c>
      <c r="N90" s="7" t="str">
        <f ca="1">IF($W$4&gt;0,OFFSET(INDIRECT("'File "&amp;$W$4&amp;IF(LEFT('DC Balance'!$S$22,1)="P","'!V57","'!D57")),$L90,$W$6,1,1),"")</f>
        <v/>
      </c>
      <c r="O90" s="7" t="str">
        <f ca="1">IF($W$4&gt;0,OFFSET(INDIRECT("'File "&amp;$W$4&amp;IF(LEFT('DC Balance'!$S$22,1)="P","'!Y57","'!E57")),$L90,$W$6,1,1),"")</f>
        <v/>
      </c>
      <c r="P90" t="str">
        <f ca="1">IF($W$4&gt;0,OFFSET(INDIRECT("'File "&amp;$W$4&amp;IF(LEFT('DC Balance'!$S$22,1)="P","'!AE57","'!H57")),$L90,$W$6,1,1),"")</f>
        <v/>
      </c>
    </row>
    <row r="91" spans="1:16" x14ac:dyDescent="0.25">
      <c r="A91">
        <f ca="1">OFFSET('Control Sheet'!$H$45,B91,0,1,1)</f>
        <v>0</v>
      </c>
      <c r="B91">
        <v>14</v>
      </c>
      <c r="C91">
        <f ca="1">IF('Data files'!$E$9&lt;=8,OFFSET('Control Sheet'!$B$45,B91,0,1,1),B91)</f>
        <v>0</v>
      </c>
      <c r="D91" t="str">
        <f ca="1">IF(ISNA(H91)=FALSE,E91,"")</f>
        <v/>
      </c>
      <c r="E91">
        <f ca="1">IF(A91=1,"",OFFSET($B$8,B91,0,1,1))</f>
        <v>0</v>
      </c>
      <c r="F91" s="8">
        <f ca="1">IF(A91=1,"",OFFSET($C$8,B91,0,1,1))</f>
        <v>0</v>
      </c>
      <c r="G91" s="8">
        <f ca="1">IF(A91=1,"",OFFSET($D$8,B91,0,1,1))</f>
        <v>0</v>
      </c>
      <c r="H91" s="8" t="e">
        <f ca="1">IF(A91&lt;=1,NA(),OFFSET($E$8,B91,0,1,1))</f>
        <v>#N/A</v>
      </c>
      <c r="I91" s="8" t="e">
        <f ca="1">IF(A91&lt;=1,NA(),OFFSET($AD$8,B91,0,1,1))</f>
        <v>#N/A</v>
      </c>
    </row>
    <row r="92" spans="1:16" x14ac:dyDescent="0.25">
      <c r="A92">
        <f ca="1">OFFSET('Control Sheet'!$H$45,B92,0,1,1)</f>
        <v>0</v>
      </c>
      <c r="B92">
        <v>14</v>
      </c>
      <c r="D92" t="str">
        <f ca="1">IF(ISNA(H92)=FALSE,E92,"")</f>
        <v/>
      </c>
      <c r="E92">
        <f ca="1">OFFSET(IF(A92=1,$B$8,$F$8),B92,0,1,1)</f>
        <v>0</v>
      </c>
      <c r="F92" s="8">
        <f ca="1">IF(A92=1,OFFSET($C$8,B92,0,1,1),OFFSET($G$8,B92,0,1,1))</f>
        <v>0</v>
      </c>
      <c r="G92" s="8">
        <f ca="1">IF(A92=1,OFFSET($D$8,B92,0,1,1),OFFSET($H$8,B92,0,1,1))</f>
        <v>0</v>
      </c>
      <c r="H92" s="8" t="e">
        <f ca="1">IF(A92=0,NA(),OFFSET(IF(A92=1,$E$8,$I$8),B92,0,1,1))</f>
        <v>#N/A</v>
      </c>
      <c r="I92" s="8" t="e">
        <f ca="1">IF(A92=0,NA(),OFFSET(IF(A92=1,$AD$8,$AE$8),B92,0,1,1))</f>
        <v>#N/A</v>
      </c>
    </row>
    <row r="93" spans="1:16" x14ac:dyDescent="0.25">
      <c r="A93">
        <f ca="1">OFFSET('Control Sheet'!$H$45,B93,0,1,1)</f>
        <v>0</v>
      </c>
      <c r="B93">
        <v>14</v>
      </c>
      <c r="D93" t="str">
        <f ca="1">IF(ISNA(H93)=FALSE,E93," ")</f>
        <v xml:space="preserve"> </v>
      </c>
      <c r="E93">
        <f ca="1">IF(A93=1,"",OFFSET($J$8,B93,0,1,1))</f>
        <v>0</v>
      </c>
      <c r="F93" s="8">
        <f ca="1">IF(A93=1,"",OFFSET($K$8,B93,0,1,1))</f>
        <v>0</v>
      </c>
      <c r="G93" s="8">
        <f ca="1">IF(A93=1,"",OFFSET($L$8,B93,0,1,1))</f>
        <v>0</v>
      </c>
      <c r="H93" s="8" t="e">
        <f ca="1">IF(A93&lt;=1,NA(),OFFSET($M$8,B93,0,1,1))</f>
        <v>#N/A</v>
      </c>
      <c r="I93" s="8" t="e">
        <f ca="1">IF(A93&lt;=1,NA(),OFFSET($AF$8,B93,0,1,1))</f>
        <v>#N/A</v>
      </c>
    </row>
    <row r="94" spans="1:16" x14ac:dyDescent="0.25">
      <c r="C94" t="s">
        <v>1032</v>
      </c>
      <c r="D94" t="s">
        <v>1032</v>
      </c>
      <c r="F94" s="8"/>
      <c r="G94" s="8"/>
      <c r="H94" s="8"/>
      <c r="I94" s="8"/>
    </row>
    <row r="95" spans="1:16" x14ac:dyDescent="0.25">
      <c r="A95">
        <f ca="1">OFFSET('Control Sheet'!$H$45,B95,0,1,1)</f>
        <v>0</v>
      </c>
      <c r="B95">
        <v>15</v>
      </c>
      <c r="C95">
        <f ca="1">IF('Data files'!$E$9&lt;=8,OFFSET('Control Sheet'!$B$45,B95,0,1,1),B95)</f>
        <v>0</v>
      </c>
      <c r="D95" t="str">
        <f ca="1">IF(ISNA(H95)=FALSE,E95,"")</f>
        <v/>
      </c>
      <c r="E95">
        <f ca="1">IF(A95=1,"",OFFSET($B$8,B95,0,1,1))</f>
        <v>0</v>
      </c>
      <c r="F95" s="8">
        <f ca="1">IF(A95=1,"",OFFSET($C$8,B95,0,1,1))</f>
        <v>0</v>
      </c>
      <c r="G95" s="8">
        <f ca="1">IF(A95=1,"",OFFSET($D$8,B95,0,1,1))</f>
        <v>0</v>
      </c>
      <c r="H95" s="8" t="e">
        <f ca="1">IF(A95&lt;=1,NA(),OFFSET($E$8,B95,0,1,1))</f>
        <v>#N/A</v>
      </c>
      <c r="I95" s="8" t="e">
        <f ca="1">IF(A95&lt;=1,NA(),OFFSET($AD$8,B95,0,1,1))</f>
        <v>#N/A</v>
      </c>
    </row>
    <row r="96" spans="1:16" x14ac:dyDescent="0.25">
      <c r="A96">
        <f ca="1">OFFSET('Control Sheet'!$H$45,B96,0,1,1)</f>
        <v>0</v>
      </c>
      <c r="B96">
        <v>15</v>
      </c>
      <c r="D96" t="str">
        <f ca="1">IF(ISNA(H96)=FALSE,E96,"")</f>
        <v/>
      </c>
      <c r="E96">
        <f ca="1">OFFSET(IF(A96=1,$B$8,$F$8),B96,0,1,1)</f>
        <v>0</v>
      </c>
      <c r="F96" s="8">
        <f ca="1">IF(A96=1,OFFSET($C$8,B96,0,1,1),OFFSET($G$8,B96,0,1,1))</f>
        <v>0</v>
      </c>
      <c r="G96" s="8">
        <f ca="1">IF(A96=1,OFFSET($D$8,B96,0,1,1),OFFSET($H$8,B96,0,1,1))</f>
        <v>0</v>
      </c>
      <c r="H96" s="8" t="e">
        <f ca="1">IF(A96=0,NA(),OFFSET(IF(A96=1,$E$8,$I$8),B96,0,1,1))</f>
        <v>#N/A</v>
      </c>
      <c r="I96" s="8" t="e">
        <f ca="1">IF(A96=0,NA(),OFFSET(IF(A96=1,$AD$8,$AE$8),B96,0,1,1))</f>
        <v>#N/A</v>
      </c>
    </row>
    <row r="97" spans="1:9" x14ac:dyDescent="0.25">
      <c r="A97">
        <f ca="1">OFFSET('Control Sheet'!$H$45,B97,0,1,1)</f>
        <v>0</v>
      </c>
      <c r="B97">
        <v>15</v>
      </c>
      <c r="D97" t="str">
        <f ca="1">IF(ISNA(H97)=FALSE,E97," ")</f>
        <v xml:space="preserve"> </v>
      </c>
      <c r="E97">
        <f ca="1">IF(A97=1,"",OFFSET($J$8,B97,0,1,1))</f>
        <v>0</v>
      </c>
      <c r="F97" s="8">
        <f ca="1">IF(A97=1,"",OFFSET($K$8,B97,0,1,1))</f>
        <v>0</v>
      </c>
      <c r="G97" s="8">
        <f ca="1">IF(A97=1,"",OFFSET($L$8,B97,0,1,1))</f>
        <v>0</v>
      </c>
      <c r="H97" s="8" t="e">
        <f ca="1">IF(A97&lt;=1,NA(),OFFSET($M$8,B97,0,1,1))</f>
        <v>#N/A</v>
      </c>
      <c r="I97" s="8" t="e">
        <f ca="1">IF(A97&lt;=1,NA(),OFFSET($AF$8,B97,0,1,1))</f>
        <v>#N/A</v>
      </c>
    </row>
    <row r="98" spans="1:9" x14ac:dyDescent="0.25">
      <c r="C98" t="s">
        <v>1032</v>
      </c>
      <c r="D98" t="s">
        <v>1032</v>
      </c>
      <c r="F98" s="8"/>
      <c r="G98" s="8"/>
      <c r="H98" s="8"/>
      <c r="I98" s="8"/>
    </row>
    <row r="99" spans="1:9" x14ac:dyDescent="0.25">
      <c r="A99">
        <f ca="1">OFFSET('Control Sheet'!$H$45,B99,0,1,1)</f>
        <v>0</v>
      </c>
      <c r="B99">
        <v>16</v>
      </c>
      <c r="C99">
        <f ca="1">IF('Data files'!$E$9&lt;=8,OFFSET('Control Sheet'!$B$45,B99,0,1,1),B99)</f>
        <v>0</v>
      </c>
      <c r="D99" t="str">
        <f ca="1">IF(ISNA(H99)=FALSE,E99,"")</f>
        <v/>
      </c>
      <c r="E99">
        <f ca="1">IF(A99=1,"",OFFSET($B$8,B99,0,1,1))</f>
        <v>0</v>
      </c>
      <c r="F99" s="8">
        <f ca="1">IF(A99=1,"",OFFSET($C$8,B99,0,1,1))</f>
        <v>0</v>
      </c>
      <c r="G99" s="8">
        <f ca="1">IF(A99=1,"",OFFSET($D$8,B99,0,1,1))</f>
        <v>0</v>
      </c>
      <c r="H99" s="8" t="e">
        <f ca="1">IF(A99&lt;=1,NA(),OFFSET($E$8,B99,0,1,1))</f>
        <v>#N/A</v>
      </c>
      <c r="I99" s="8" t="e">
        <f ca="1">IF(A99&lt;=1,NA(),OFFSET($AD$8,B99,0,1,1))</f>
        <v>#N/A</v>
      </c>
    </row>
    <row r="100" spans="1:9" x14ac:dyDescent="0.25">
      <c r="A100">
        <f ca="1">OFFSET('Control Sheet'!$H$45,B100,0,1,1)</f>
        <v>0</v>
      </c>
      <c r="B100">
        <v>16</v>
      </c>
      <c r="D100" t="str">
        <f ca="1">IF(ISNA(H100)=FALSE,E100,"")</f>
        <v/>
      </c>
      <c r="E100">
        <f ca="1">OFFSET(IF(A100=1,$B$8,$F$8),B100,0,1,1)</f>
        <v>0</v>
      </c>
      <c r="F100" s="8">
        <f ca="1">IF(A100=1,OFFSET($C$8,B100,0,1,1),OFFSET($G$8,B100,0,1,1))</f>
        <v>0</v>
      </c>
      <c r="G100" s="8">
        <f ca="1">IF(A100=1,OFFSET($D$8,B100,0,1,1),OFFSET($H$8,B100,0,1,1))</f>
        <v>0</v>
      </c>
      <c r="H100" s="8" t="e">
        <f ca="1">IF(A100=0,NA(),OFFSET(IF(A100=1,$E$8,$I$8),B100,0,1,1))</f>
        <v>#N/A</v>
      </c>
      <c r="I100" s="8" t="e">
        <f ca="1">IF(A100=0,NA(),OFFSET(IF(A100=1,$AD$8,$AE$8),B100,0,1,1))</f>
        <v>#N/A</v>
      </c>
    </row>
    <row r="101" spans="1:9" x14ac:dyDescent="0.25">
      <c r="A101">
        <f ca="1">OFFSET('Control Sheet'!$H$45,B101,0,1,1)</f>
        <v>0</v>
      </c>
      <c r="B101">
        <v>16</v>
      </c>
      <c r="D101" t="str">
        <f ca="1">IF(ISNA(H101)=FALSE,E101," ")</f>
        <v xml:space="preserve"> </v>
      </c>
      <c r="E101">
        <f ca="1">IF(A101=1,"",OFFSET($J$8,B101,0,1,1))</f>
        <v>0</v>
      </c>
      <c r="F101" s="8">
        <f ca="1">IF(A101=1,"",OFFSET($K$8,B101,0,1,1))</f>
        <v>0</v>
      </c>
      <c r="G101" s="8">
        <f ca="1">IF(A101=1,"",OFFSET($L$8,B101,0,1,1))</f>
        <v>0</v>
      </c>
      <c r="H101" s="8" t="e">
        <f ca="1">IF(A101&lt;=1,NA(),OFFSET($M$8,B101,0,1,1))</f>
        <v>#N/A</v>
      </c>
      <c r="I101" s="8" t="e">
        <f ca="1">IF(A101&lt;=1,NA(),OFFSET($AF$8,B101,0,1,1))</f>
        <v>#N/A</v>
      </c>
    </row>
    <row r="102" spans="1:9" x14ac:dyDescent="0.25">
      <c r="C102" t="s">
        <v>1032</v>
      </c>
      <c r="D102" t="s">
        <v>1032</v>
      </c>
      <c r="F102" s="8"/>
      <c r="G102" s="8"/>
      <c r="H102" s="8"/>
      <c r="I102" s="8"/>
    </row>
    <row r="103" spans="1:9" x14ac:dyDescent="0.25">
      <c r="A103">
        <f ca="1">OFFSET('Control Sheet'!$H$45,B103,0,1,1)</f>
        <v>0</v>
      </c>
      <c r="B103">
        <v>17</v>
      </c>
      <c r="C103">
        <f ca="1">IF('Data files'!$E$9&lt;=8,OFFSET('Control Sheet'!$B$45,B103,0,1,1),B103)</f>
        <v>0</v>
      </c>
      <c r="D103" t="str">
        <f ca="1">IF(ISNA(H103)=FALSE,E103,"")</f>
        <v/>
      </c>
      <c r="E103">
        <f ca="1">IF(A103=1,"",OFFSET($B$8,B103,0,1,1))</f>
        <v>0</v>
      </c>
      <c r="F103" s="8">
        <f ca="1">IF(A103=1,"",OFFSET($C$8,B103,0,1,1))</f>
        <v>0</v>
      </c>
      <c r="G103" s="8">
        <f ca="1">IF(A103=1,"",OFFSET($D$8,B103,0,1,1))</f>
        <v>0</v>
      </c>
      <c r="H103" s="8" t="e">
        <f ca="1">IF(A103&lt;=1,NA(),OFFSET($E$8,B103,0,1,1))</f>
        <v>#N/A</v>
      </c>
      <c r="I103" s="8" t="e">
        <f ca="1">IF(A103&lt;=1,NA(),OFFSET($AD$8,B103,0,1,1))</f>
        <v>#N/A</v>
      </c>
    </row>
    <row r="104" spans="1:9" x14ac:dyDescent="0.25">
      <c r="A104">
        <f ca="1">OFFSET('Control Sheet'!$H$45,B104,0,1,1)</f>
        <v>0</v>
      </c>
      <c r="B104">
        <v>17</v>
      </c>
      <c r="D104" t="str">
        <f ca="1">IF(ISNA(H104)=FALSE,E104,"")</f>
        <v/>
      </c>
      <c r="E104">
        <f ca="1">OFFSET(IF(A104=1,$B$8,$F$8),B104,0,1,1)</f>
        <v>0</v>
      </c>
      <c r="F104" s="8">
        <f ca="1">IF(A104=1,OFFSET($C$8,B104,0,1,1),OFFSET($G$8,B104,0,1,1))</f>
        <v>0</v>
      </c>
      <c r="G104" s="8">
        <f ca="1">IF(A104=1,OFFSET($D$8,B104,0,1,1),OFFSET($H$8,B104,0,1,1))</f>
        <v>0</v>
      </c>
      <c r="H104" s="8" t="e">
        <f ca="1">IF(A104=0,NA(),OFFSET(IF(A104=1,$E$8,$I$8),B104,0,1,1))</f>
        <v>#N/A</v>
      </c>
      <c r="I104" s="8" t="e">
        <f ca="1">IF(A104=0,NA(),OFFSET(IF(A104=1,$AD$8,$AE$8),B104,0,1,1))</f>
        <v>#N/A</v>
      </c>
    </row>
    <row r="105" spans="1:9" x14ac:dyDescent="0.25">
      <c r="A105">
        <f ca="1">OFFSET('Control Sheet'!$H$45,B105,0,1,1)</f>
        <v>0</v>
      </c>
      <c r="B105">
        <v>17</v>
      </c>
      <c r="D105" t="str">
        <f ca="1">IF(ISNA(H105)=FALSE,E105," ")</f>
        <v xml:space="preserve"> </v>
      </c>
      <c r="E105">
        <f ca="1">IF(A105=1,"",OFFSET($J$8,B105,0,1,1))</f>
        <v>0</v>
      </c>
      <c r="F105" s="8">
        <f ca="1">IF(A105=1,"",OFFSET($K$8,B105,0,1,1))</f>
        <v>0</v>
      </c>
      <c r="G105" s="8">
        <f ca="1">IF(A105=1,"",OFFSET($L$8,B105,0,1,1))</f>
        <v>0</v>
      </c>
      <c r="H105" s="8" t="e">
        <f ca="1">IF(A105&lt;=1,NA(),OFFSET($M$8,B105,0,1,1))</f>
        <v>#N/A</v>
      </c>
      <c r="I105" s="8" t="e">
        <f ca="1">IF(A105&lt;=1,NA(),OFFSET($AF$8,B105,0,1,1))</f>
        <v>#N/A</v>
      </c>
    </row>
    <row r="106" spans="1:9" x14ac:dyDescent="0.25">
      <c r="C106" t="s">
        <v>1032</v>
      </c>
      <c r="D106" t="s">
        <v>1032</v>
      </c>
      <c r="F106" s="8"/>
      <c r="G106" s="8"/>
      <c r="H106" s="8"/>
      <c r="I106" s="8"/>
    </row>
    <row r="107" spans="1:9" x14ac:dyDescent="0.25">
      <c r="A107">
        <f ca="1">OFFSET('Control Sheet'!$H$45,B107,0,1,1)</f>
        <v>0</v>
      </c>
      <c r="B107">
        <v>18</v>
      </c>
      <c r="C107">
        <f ca="1">IF('Data files'!$E$9&lt;=8,OFFSET('Control Sheet'!$B$45,B107,0,1,1),B107)</f>
        <v>0</v>
      </c>
      <c r="D107" t="str">
        <f ca="1">IF(ISNA(H107)=FALSE,E107,"")</f>
        <v/>
      </c>
      <c r="E107">
        <f ca="1">IF(A107=1,"",OFFSET($B$8,B107,0,1,1))</f>
        <v>0</v>
      </c>
      <c r="F107" s="8">
        <f ca="1">IF(A107=1,"",OFFSET($C$8,B107,0,1,1))</f>
        <v>0</v>
      </c>
      <c r="G107" s="8">
        <f ca="1">IF(A107=1,"",OFFSET($D$8,B107,0,1,1))</f>
        <v>0</v>
      </c>
      <c r="H107" s="8" t="e">
        <f ca="1">IF(A107&lt;=1,NA(),OFFSET($E$8,B107,0,1,1))</f>
        <v>#N/A</v>
      </c>
      <c r="I107" s="8" t="e">
        <f ca="1">IF(A107&lt;=1,NA(),OFFSET($AD$8,B107,0,1,1))</f>
        <v>#N/A</v>
      </c>
    </row>
    <row r="108" spans="1:9" x14ac:dyDescent="0.25">
      <c r="A108">
        <f ca="1">OFFSET('Control Sheet'!$H$45,B108,0,1,1)</f>
        <v>0</v>
      </c>
      <c r="B108">
        <v>18</v>
      </c>
      <c r="D108" t="str">
        <f ca="1">IF(ISNA(H108)=FALSE,E108,"")</f>
        <v/>
      </c>
      <c r="E108">
        <f ca="1">OFFSET(IF(A108=1,$B$8,$F$8),B108,0,1,1)</f>
        <v>0</v>
      </c>
      <c r="F108" s="8">
        <f ca="1">IF(A108=1,OFFSET($C$8,B108,0,1,1),OFFSET($G$8,B108,0,1,1))</f>
        <v>0</v>
      </c>
      <c r="G108" s="8">
        <f ca="1">IF(A108=1,OFFSET($D$8,B108,0,1,1),OFFSET($H$8,B108,0,1,1))</f>
        <v>0</v>
      </c>
      <c r="H108" s="8" t="e">
        <f ca="1">IF(A108=0,NA(),OFFSET(IF(A108=1,$E$8,$I$8),B108,0,1,1))</f>
        <v>#N/A</v>
      </c>
      <c r="I108" s="8" t="e">
        <f ca="1">IF(A108=0,NA(),OFFSET(IF(A108=1,$AD$8,$AE$8),B108,0,1,1))</f>
        <v>#N/A</v>
      </c>
    </row>
    <row r="109" spans="1:9" x14ac:dyDescent="0.25">
      <c r="A109">
        <f ca="1">OFFSET('Control Sheet'!$H$45,B109,0,1,1)</f>
        <v>0</v>
      </c>
      <c r="B109">
        <v>18</v>
      </c>
      <c r="D109" t="str">
        <f ca="1">IF(ISNA(H109)=FALSE,E109," ")</f>
        <v xml:space="preserve"> </v>
      </c>
      <c r="E109">
        <f ca="1">IF(A109=1,"",OFFSET($J$8,B109,0,1,1))</f>
        <v>0</v>
      </c>
      <c r="F109" s="8">
        <f ca="1">IF(A109=1,"",OFFSET($K$8,B109,0,1,1))</f>
        <v>0</v>
      </c>
      <c r="G109" s="8">
        <f ca="1">IF(A109=1,"",OFFSET($L$8,B109,0,1,1))</f>
        <v>0</v>
      </c>
      <c r="H109" s="8" t="e">
        <f ca="1">IF(A109&lt;=1,NA(),OFFSET($M$8,B109,0,1,1))</f>
        <v>#N/A</v>
      </c>
      <c r="I109" s="8" t="e">
        <f ca="1">IF(A109&lt;=1,NA(),OFFSET($AF$8,B109,0,1,1))</f>
        <v>#N/A</v>
      </c>
    </row>
    <row r="110" spans="1:9" x14ac:dyDescent="0.25">
      <c r="C110" t="s">
        <v>1032</v>
      </c>
      <c r="D110" t="s">
        <v>1032</v>
      </c>
      <c r="F110" s="8"/>
      <c r="G110" s="8"/>
      <c r="H110" s="8"/>
      <c r="I110" s="8"/>
    </row>
    <row r="111" spans="1:9" x14ac:dyDescent="0.25">
      <c r="A111">
        <f ca="1">OFFSET('Control Sheet'!$H$45,B111,0,1,1)</f>
        <v>0</v>
      </c>
      <c r="B111">
        <v>19</v>
      </c>
      <c r="C111">
        <f ca="1">IF('Data files'!$E$9&lt;=8,OFFSET('Control Sheet'!$B$45,B111,0,1,1),B111)</f>
        <v>0</v>
      </c>
      <c r="D111" t="str">
        <f ca="1">IF(ISNA(H111)=FALSE,E111,"")</f>
        <v/>
      </c>
      <c r="E111">
        <f ca="1">IF(A111=1,"",OFFSET($B$8,B111,0,1,1))</f>
        <v>0</v>
      </c>
      <c r="F111" s="8">
        <f ca="1">IF(A111=1,"",OFFSET($C$8,B111,0,1,1))</f>
        <v>0</v>
      </c>
      <c r="G111" s="8">
        <f ca="1">IF(A111=1,"",OFFSET($D$8,B111,0,1,1))</f>
        <v>0</v>
      </c>
      <c r="H111" s="8" t="e">
        <f ca="1">IF(A111&lt;=1,NA(),OFFSET($E$8,B111,0,1,1))</f>
        <v>#N/A</v>
      </c>
      <c r="I111" s="8" t="e">
        <f ca="1">IF(A111&lt;=1,NA(),OFFSET($AD$8,B111,0,1,1))</f>
        <v>#N/A</v>
      </c>
    </row>
    <row r="112" spans="1:9" x14ac:dyDescent="0.25">
      <c r="A112">
        <f ca="1">OFFSET('Control Sheet'!$H$45,B112,0,1,1)</f>
        <v>0</v>
      </c>
      <c r="B112">
        <v>19</v>
      </c>
      <c r="D112" t="str">
        <f ca="1">IF(ISNA(H112)=FALSE,E112,"")</f>
        <v/>
      </c>
      <c r="E112">
        <f ca="1">OFFSET(IF(A112=1,$B$8,$F$8),B112,0,1,1)</f>
        <v>0</v>
      </c>
      <c r="F112" s="8">
        <f ca="1">IF(A112=1,OFFSET($C$8,B112,0,1,1),OFFSET($G$8,B112,0,1,1))</f>
        <v>0</v>
      </c>
      <c r="G112" s="8">
        <f ca="1">IF(A112=1,OFFSET($D$8,B112,0,1,1),OFFSET($H$8,B112,0,1,1))</f>
        <v>0</v>
      </c>
      <c r="H112" s="8" t="e">
        <f ca="1">IF(A112=0,NA(),OFFSET(IF(A112=1,$E$8,$I$8),B112,0,1,1))</f>
        <v>#N/A</v>
      </c>
      <c r="I112" s="8" t="e">
        <f ca="1">IF(A112=0,NA(),OFFSET(IF(A112=1,$AD$8,$AE$8),B112,0,1,1))</f>
        <v>#N/A</v>
      </c>
    </row>
    <row r="113" spans="1:9" x14ac:dyDescent="0.25">
      <c r="A113">
        <f ca="1">OFFSET('Control Sheet'!$H$45,B113,0,1,1)</f>
        <v>0</v>
      </c>
      <c r="B113">
        <v>19</v>
      </c>
      <c r="D113" t="str">
        <f ca="1">IF(ISNA(H113)=FALSE,E113," ")</f>
        <v xml:space="preserve"> </v>
      </c>
      <c r="E113">
        <f ca="1">IF(A113=1,"",OFFSET($J$8,B113,0,1,1))</f>
        <v>0</v>
      </c>
      <c r="F113" s="8">
        <f ca="1">IF(A113=1,"",OFFSET($K$8,B113,0,1,1))</f>
        <v>0</v>
      </c>
      <c r="G113" s="8">
        <f ca="1">IF(A113=1,"",OFFSET($L$8,B113,0,1,1))</f>
        <v>0</v>
      </c>
      <c r="H113" s="8" t="e">
        <f ca="1">IF(A113&lt;=1,NA(),OFFSET($M$8,B113,0,1,1))</f>
        <v>#N/A</v>
      </c>
      <c r="I113" s="8" t="e">
        <f ca="1">IF(A113&lt;=1,NA(),OFFSET($AF$8,B113,0,1,1))</f>
        <v>#N/A</v>
      </c>
    </row>
    <row r="114" spans="1:9" x14ac:dyDescent="0.25">
      <c r="C114" t="s">
        <v>1032</v>
      </c>
      <c r="D114" t="s">
        <v>1032</v>
      </c>
      <c r="F114" s="8"/>
      <c r="G114" s="8"/>
      <c r="H114" s="8"/>
      <c r="I114" s="8"/>
    </row>
    <row r="115" spans="1:9" x14ac:dyDescent="0.25">
      <c r="A115">
        <f ca="1">OFFSET('Control Sheet'!$H$45,B115,0,1,1)</f>
        <v>0</v>
      </c>
      <c r="B115">
        <v>20</v>
      </c>
      <c r="C115">
        <f ca="1">IF('Data files'!$E$9&lt;=8,OFFSET('Control Sheet'!$B$45,B115,0,1,1),B115)</f>
        <v>0</v>
      </c>
      <c r="D115" t="str">
        <f ca="1">IF(ISNA(H115)=FALSE,E115,"")</f>
        <v/>
      </c>
      <c r="E115">
        <f ca="1">IF(A115=1,"",OFFSET($B$8,B115,0,1,1))</f>
        <v>0</v>
      </c>
      <c r="F115" s="8">
        <f ca="1">IF(A115=1,"",OFFSET($C$8,B115,0,1,1))</f>
        <v>0</v>
      </c>
      <c r="G115" s="8">
        <f ca="1">IF(A115=1,"",OFFSET($D$8,B115,0,1,1))</f>
        <v>0</v>
      </c>
      <c r="H115" s="8" t="e">
        <f ca="1">IF(A115&lt;=1,NA(),OFFSET($E$8,B115,0,1,1))</f>
        <v>#N/A</v>
      </c>
      <c r="I115" s="8" t="e">
        <f ca="1">IF(A115&lt;=1,NA(),OFFSET($AD$8,B115,0,1,1))</f>
        <v>#N/A</v>
      </c>
    </row>
    <row r="116" spans="1:9" x14ac:dyDescent="0.25">
      <c r="A116">
        <f ca="1">OFFSET('Control Sheet'!$H$45,B116,0,1,1)</f>
        <v>0</v>
      </c>
      <c r="B116">
        <v>20</v>
      </c>
      <c r="D116" t="str">
        <f ca="1">IF(ISNA(H116)=FALSE,E116,"")</f>
        <v/>
      </c>
      <c r="E116">
        <f ca="1">OFFSET(IF(A116=1,$B$8,$F$8),B116,0,1,1)</f>
        <v>0</v>
      </c>
      <c r="F116" s="8">
        <f ca="1">IF(A116=1,OFFSET($C$8,B116,0,1,1),OFFSET($G$8,B116,0,1,1))</f>
        <v>0</v>
      </c>
      <c r="G116" s="8">
        <f ca="1">IF(A116=1,OFFSET($D$8,B116,0,1,1),OFFSET($H$8,B116,0,1,1))</f>
        <v>0</v>
      </c>
      <c r="H116" s="8" t="e">
        <f ca="1">IF(A116=0,NA(),OFFSET(IF(A116=1,$E$8,$I$8),B116,0,1,1))</f>
        <v>#N/A</v>
      </c>
      <c r="I116" s="8" t="e">
        <f ca="1">IF(A116=0,NA(),OFFSET(IF(A116=1,$AD$8,$AE$8),B116,0,1,1))</f>
        <v>#N/A</v>
      </c>
    </row>
    <row r="117" spans="1:9" x14ac:dyDescent="0.25">
      <c r="A117">
        <f ca="1">OFFSET('Control Sheet'!$H$45,B117,0,1,1)</f>
        <v>0</v>
      </c>
      <c r="B117">
        <v>20</v>
      </c>
      <c r="D117" t="str">
        <f ca="1">IF(ISNA(H117)=FALSE,E117," ")</f>
        <v xml:space="preserve"> </v>
      </c>
      <c r="E117">
        <f ca="1">IF(A117=1,"",OFFSET($J$8,B117,0,1,1))</f>
        <v>0</v>
      </c>
      <c r="F117" s="8">
        <f ca="1">IF(A117=1,"",OFFSET($K$8,B117,0,1,1))</f>
        <v>0</v>
      </c>
      <c r="G117" s="8">
        <f ca="1">IF(A117=1,"",OFFSET($L$8,B117,0,1,1))</f>
        <v>0</v>
      </c>
      <c r="H117" s="8" t="e">
        <f ca="1">IF(A117&lt;=1,NA(),OFFSET($M$8,B117,0,1,1))</f>
        <v>#N/A</v>
      </c>
      <c r="I117" s="8" t="e">
        <f ca="1">IF(A117&lt;=1,NA(),OFFSET($AF$8,B117,0,1,1))</f>
        <v>#N/A</v>
      </c>
    </row>
    <row r="118" spans="1:9" x14ac:dyDescent="0.25">
      <c r="C118" t="s">
        <v>1032</v>
      </c>
      <c r="D118" t="s">
        <v>1032</v>
      </c>
    </row>
  </sheetData>
  <pageMargins left="0.7" right="0.7" top="0.75" bottom="0.75" header="0.3" footer="0.3"/>
  <pageSetup paperSize="9" orientation="portrait" horizontalDpi="90" verticalDpi="9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6"/>
  <dimension ref="A1:AA57"/>
  <sheetViews>
    <sheetView showGridLines="0" showRowColHeaders="0" zoomScaleNormal="100" workbookViewId="0">
      <selection activeCell="H4" sqref="H4:J4"/>
    </sheetView>
  </sheetViews>
  <sheetFormatPr defaultRowHeight="13.8" x14ac:dyDescent="0.25"/>
  <cols>
    <col min="2" max="2" width="27.8984375" customWidth="1"/>
    <col min="3" max="3" width="9" customWidth="1"/>
    <col min="4" max="6" width="9" hidden="1" customWidth="1"/>
    <col min="7" max="7" width="1.59765625" customWidth="1"/>
    <col min="8" max="8" width="14.09765625" customWidth="1"/>
    <col min="12" max="12" width="1.59765625" customWidth="1"/>
    <col min="13" max="13" width="14.09765625" customWidth="1"/>
    <col min="14" max="16" width="9" customWidth="1"/>
    <col min="17" max="17" width="1.59765625" customWidth="1"/>
    <col min="18" max="18" width="14.09765625" customWidth="1"/>
    <col min="19" max="21" width="9" customWidth="1"/>
  </cols>
  <sheetData>
    <row r="1" spans="1:27" x14ac:dyDescent="0.25">
      <c r="A1" s="18"/>
      <c r="B1" s="18"/>
      <c r="C1" s="18"/>
      <c r="D1" s="18"/>
      <c r="E1" s="18"/>
      <c r="F1" s="18"/>
      <c r="G1" s="18"/>
      <c r="H1" s="18"/>
      <c r="I1" s="18"/>
      <c r="J1" s="18"/>
      <c r="K1" s="18"/>
      <c r="L1" s="18"/>
      <c r="M1" s="18"/>
      <c r="N1" s="18"/>
      <c r="O1" s="18"/>
      <c r="P1" s="18"/>
      <c r="Q1" s="18"/>
      <c r="R1" s="18"/>
      <c r="S1" s="18"/>
    </row>
    <row r="2" spans="1:27" x14ac:dyDescent="0.25">
      <c r="A2" s="17" t="str">
        <f>'Data files'!D4&amp;IF('Data files'!D4&lt;&gt;"",", ","")&amp;'Data files'!D7&amp;IF(ISERROR(FIND("SERVICE",UPPER('Data files'!D7),1))=FALSE,""," Service")</f>
        <v>Test Trust, Test service</v>
      </c>
      <c r="B2" s="34"/>
      <c r="C2" s="34"/>
      <c r="D2" s="34"/>
      <c r="E2" s="34"/>
      <c r="F2" s="34"/>
      <c r="G2" s="34"/>
      <c r="H2" s="34"/>
      <c r="I2" s="34"/>
      <c r="J2" s="34"/>
      <c r="K2" s="34"/>
      <c r="L2" s="34"/>
      <c r="M2" s="34"/>
      <c r="N2" s="34"/>
      <c r="O2" s="34"/>
      <c r="P2" s="34"/>
      <c r="Q2" s="34"/>
      <c r="R2" s="34"/>
      <c r="S2" s="34"/>
      <c r="T2" s="34"/>
      <c r="U2" s="34"/>
      <c r="V2" s="86"/>
      <c r="W2" s="65"/>
      <c r="X2" s="65"/>
      <c r="Y2" s="65"/>
      <c r="Z2" s="65"/>
      <c r="AA2" s="65"/>
    </row>
    <row r="4" spans="1:27" x14ac:dyDescent="0.25">
      <c r="A4" s="254" t="s">
        <v>1042</v>
      </c>
      <c r="B4" s="254"/>
      <c r="C4" s="254"/>
      <c r="D4" s="254"/>
      <c r="H4" s="255" t="s">
        <v>982</v>
      </c>
      <c r="I4" s="256"/>
      <c r="J4" s="257"/>
      <c r="S4" s="253" t="s">
        <v>1232</v>
      </c>
      <c r="T4" s="253"/>
    </row>
    <row r="5" spans="1:27" x14ac:dyDescent="0.25">
      <c r="S5" s="252" t="s">
        <v>1460</v>
      </c>
      <c r="T5" s="252"/>
    </row>
    <row r="7" spans="1:27" x14ac:dyDescent="0.25">
      <c r="S7" s="120" t="s">
        <v>1235</v>
      </c>
      <c r="T7" s="4"/>
    </row>
    <row r="8" spans="1:27" x14ac:dyDescent="0.25">
      <c r="S8" s="252" t="s">
        <v>1144</v>
      </c>
      <c r="T8" s="252"/>
    </row>
    <row r="10" spans="1:27" x14ac:dyDescent="0.25">
      <c r="S10" s="1" t="s">
        <v>1238</v>
      </c>
    </row>
    <row r="11" spans="1:27" x14ac:dyDescent="0.25">
      <c r="S11" s="259" t="s">
        <v>815</v>
      </c>
      <c r="T11" s="260"/>
    </row>
    <row r="16" spans="1:27" x14ac:dyDescent="0.25">
      <c r="S16" s="1" t="s">
        <v>1144</v>
      </c>
    </row>
    <row r="17" spans="1:25" x14ac:dyDescent="0.25">
      <c r="S17" s="154">
        <f>IF(S8="Week",Range_DCBalance_Week,"")</f>
        <v>1</v>
      </c>
    </row>
    <row r="21" spans="1:25" x14ac:dyDescent="0.25">
      <c r="S21" t="s">
        <v>1457</v>
      </c>
    </row>
    <row r="22" spans="1:25" x14ac:dyDescent="0.25">
      <c r="S22" s="261" t="s">
        <v>1467</v>
      </c>
      <c r="T22" s="262"/>
      <c r="U22" s="263"/>
    </row>
    <row r="26" spans="1:25" x14ac:dyDescent="0.25">
      <c r="A26" s="19" t="s">
        <v>993</v>
      </c>
      <c r="B26" s="18"/>
      <c r="C26" s="18"/>
      <c r="D26" s="18"/>
      <c r="E26" s="18"/>
      <c r="F26" s="18"/>
      <c r="G26" s="18"/>
      <c r="H26" s="258" t="s">
        <v>1011</v>
      </c>
      <c r="I26" s="258"/>
      <c r="J26" s="258"/>
      <c r="K26" s="15" t="s">
        <v>1012</v>
      </c>
      <c r="L26" s="18"/>
      <c r="M26" s="18"/>
      <c r="N26" s="18"/>
      <c r="O26" s="18"/>
      <c r="P26" s="18"/>
      <c r="Q26" s="18"/>
      <c r="R26" s="18"/>
      <c r="S26" s="18"/>
      <c r="T26" s="18"/>
      <c r="U26" s="18"/>
      <c r="V26" s="18"/>
      <c r="W26" s="18"/>
      <c r="X26" s="18"/>
      <c r="Y26" s="18"/>
    </row>
    <row r="27" spans="1:25" x14ac:dyDescent="0.25">
      <c r="A27" s="61" t="s">
        <v>1029</v>
      </c>
      <c r="B27" s="29"/>
      <c r="C27" s="29"/>
      <c r="D27" s="29"/>
      <c r="E27" s="29"/>
      <c r="F27" s="29"/>
      <c r="G27" s="29"/>
      <c r="H27" s="248" t="s">
        <v>1014</v>
      </c>
      <c r="I27" s="248"/>
      <c r="J27" s="248"/>
      <c r="K27" s="18"/>
      <c r="L27" s="18"/>
      <c r="M27" s="18"/>
      <c r="N27" s="18"/>
      <c r="O27" s="18"/>
      <c r="P27" s="18"/>
      <c r="Q27" s="18"/>
      <c r="R27" s="18"/>
      <c r="S27" s="18"/>
      <c r="T27" s="18"/>
      <c r="U27" s="18"/>
      <c r="V27" s="18"/>
      <c r="W27" s="18"/>
      <c r="X27" s="18"/>
      <c r="Y27" s="18"/>
    </row>
    <row r="28" spans="1:25" x14ac:dyDescent="0.25">
      <c r="A28" s="19"/>
      <c r="B28" s="18"/>
      <c r="C28" s="18"/>
      <c r="D28" s="18"/>
      <c r="E28" s="18"/>
      <c r="F28" s="18"/>
      <c r="G28" s="18"/>
      <c r="H28" s="18"/>
      <c r="I28" s="18"/>
      <c r="J28" s="18"/>
      <c r="K28" s="18"/>
      <c r="L28" s="18"/>
      <c r="M28" s="18"/>
      <c r="N28" s="18"/>
      <c r="O28" s="18"/>
      <c r="P28" s="18"/>
      <c r="Q28" s="18"/>
      <c r="R28" s="18"/>
      <c r="S28" s="18"/>
      <c r="T28" s="18"/>
      <c r="U28" s="18"/>
      <c r="V28" s="18"/>
      <c r="W28" s="18"/>
      <c r="X28" s="18"/>
      <c r="Y28" s="18"/>
    </row>
    <row r="29" spans="1:25" x14ac:dyDescent="0.25">
      <c r="A29" s="18"/>
      <c r="B29" s="18"/>
      <c r="C29" s="18"/>
      <c r="D29" s="18"/>
      <c r="E29" s="18"/>
      <c r="F29" s="18"/>
      <c r="G29" s="18"/>
      <c r="H29" s="19" t="s">
        <v>996</v>
      </c>
      <c r="I29" s="18"/>
      <c r="J29" s="18"/>
      <c r="K29" s="18"/>
      <c r="L29" s="18"/>
      <c r="M29" s="19" t="s">
        <v>997</v>
      </c>
      <c r="N29" s="18"/>
      <c r="O29" s="18"/>
      <c r="P29" s="18"/>
      <c r="Q29" s="18"/>
      <c r="R29" s="19" t="s">
        <v>998</v>
      </c>
      <c r="S29" s="18"/>
      <c r="T29" s="18"/>
      <c r="U29" s="18"/>
      <c r="V29" s="18"/>
      <c r="W29" s="18"/>
      <c r="X29" s="18"/>
      <c r="Y29" s="18"/>
    </row>
    <row r="30" spans="1:25" x14ac:dyDescent="0.25">
      <c r="A30" s="249" t="s">
        <v>994</v>
      </c>
      <c r="B30" s="249"/>
      <c r="C30" s="250" t="s">
        <v>812</v>
      </c>
      <c r="D30" s="42" t="s">
        <v>999</v>
      </c>
      <c r="E30" s="42" t="s">
        <v>1000</v>
      </c>
      <c r="F30" s="42" t="s">
        <v>1001</v>
      </c>
      <c r="G30" s="18"/>
      <c r="H30" s="246" t="s">
        <v>995</v>
      </c>
      <c r="I30" s="246" t="s">
        <v>938</v>
      </c>
      <c r="J30" s="246" t="s">
        <v>939</v>
      </c>
      <c r="K30" s="246" t="s">
        <v>990</v>
      </c>
      <c r="L30" s="18"/>
      <c r="M30" s="246" t="s">
        <v>995</v>
      </c>
      <c r="N30" s="246" t="s">
        <v>938</v>
      </c>
      <c r="O30" s="246" t="s">
        <v>939</v>
      </c>
      <c r="P30" s="246" t="s">
        <v>990</v>
      </c>
      <c r="Q30" s="18"/>
      <c r="R30" s="246" t="s">
        <v>995</v>
      </c>
      <c r="S30" s="246" t="s">
        <v>938</v>
      </c>
      <c r="T30" s="246" t="s">
        <v>939</v>
      </c>
      <c r="U30" s="246" t="s">
        <v>990</v>
      </c>
      <c r="V30" s="18"/>
      <c r="W30" s="18"/>
      <c r="X30" s="18"/>
      <c r="Y30" s="18"/>
    </row>
    <row r="31" spans="1:25" x14ac:dyDescent="0.25">
      <c r="A31" s="249"/>
      <c r="B31" s="249"/>
      <c r="C31" s="251"/>
      <c r="D31" s="43"/>
      <c r="E31" s="43"/>
      <c r="F31" s="43"/>
      <c r="G31" s="18"/>
      <c r="H31" s="247"/>
      <c r="I31" s="247"/>
      <c r="J31" s="247"/>
      <c r="K31" s="247"/>
      <c r="L31" s="18"/>
      <c r="M31" s="247"/>
      <c r="N31" s="247"/>
      <c r="O31" s="247"/>
      <c r="P31" s="247"/>
      <c r="Q31" s="18"/>
      <c r="R31" s="247"/>
      <c r="S31" s="247"/>
      <c r="T31" s="247"/>
      <c r="U31" s="247"/>
      <c r="V31" s="18"/>
      <c r="W31" s="18"/>
      <c r="X31" s="18"/>
      <c r="Y31" s="18"/>
    </row>
    <row r="32" spans="1:25" x14ac:dyDescent="0.25">
      <c r="A32" s="243" t="str">
        <f>'Data files'!A16</f>
        <v>1. test service</v>
      </c>
      <c r="B32" s="243"/>
      <c r="C32" s="16">
        <f ca="1">IF('Control Sheet'!A46&lt;='Data files'!$E$9,IF(ISNA(MATCH(1,OFFSET(D32,0,0,1,'Control Sheet'!H46)))=FALSE,1,IF(ISNA(MATCH(2,OFFSET(D32,0,0,1,'Control Sheet'!H46)))=FALSE,2,3)),0)</f>
        <v>1</v>
      </c>
      <c r="D32" s="16">
        <f ca="1">IF('Control Sheet'!A46&lt;='Data files'!$E$9,IF('DC Balance'!K32&lt;'DC Balance'!I32,1,IF('DC Balance'!K32&lt;'DC Balance'!J32,2,3)),0)</f>
        <v>1</v>
      </c>
      <c r="E32" s="16">
        <f>IF('Control Sheet'!A46&lt;='Data files'!$E$9,IF('DC Balance'!P32="--",0,IF('DC Balance'!P32&lt;'DC Balance'!N32,1,IF('DC Balance'!P32&lt;'DC Balance'!O32,2,3))),0)</f>
        <v>0</v>
      </c>
      <c r="F32" s="16">
        <f>IF('Control Sheet'!A46&lt;='Data files'!$E$9,IF('DC Balance'!U32="--",0,IF('DC Balance'!U32&lt;'DC Balance'!S32,1,IF('DC Balance'!U32&lt;'DC Balance'!T32,2,3))),0)</f>
        <v>0</v>
      </c>
      <c r="G32" s="18"/>
      <c r="H32" s="16" t="str">
        <f>IF('Control Sheet'!I46=0,"--",'Control Sheet'!I46)</f>
        <v>New</v>
      </c>
      <c r="I32" s="139">
        <f>'DC Balance (hide)'!C9</f>
        <v>23.375250655101734</v>
      </c>
      <c r="J32" s="139">
        <f>'DC Balance (hide)'!D9+I32</f>
        <v>24.495314748992026</v>
      </c>
      <c r="K32" s="139">
        <f ca="1">'DC Balance (hide)'!E9</f>
        <v>10.028082154066407</v>
      </c>
      <c r="L32" s="18"/>
      <c r="M32" s="16" t="str">
        <f>IF('Control Sheet'!F46=0,"",'Control Sheet'!J46)</f>
        <v/>
      </c>
      <c r="N32" s="20" t="str">
        <f>IF('DC Balance (hide)'!$G9 = 0, "--",0.95*'DC Balance (hide)'!$G9)</f>
        <v>--</v>
      </c>
      <c r="O32" s="20" t="str">
        <f>IF('DC Balance (hide)'!$G9 = 0, "--",1.05*'DC Balance (hide)'!$G9)</f>
        <v>--</v>
      </c>
      <c r="P32" s="20" t="str">
        <f>IF('DC Balance (hide)'!$I9 = 0, "--",'DC Balance (hide)'!$I9)</f>
        <v>--</v>
      </c>
      <c r="Q32" s="18"/>
      <c r="R32" s="16" t="str">
        <f>IF('Control Sheet'!G46=0,"",'Control Sheet'!K46)</f>
        <v/>
      </c>
      <c r="S32" s="20" t="str">
        <f>IF('DC Balance (hide)'!$K9 = 0, "--",0.95*'DC Balance (hide)'!$K9)</f>
        <v>--</v>
      </c>
      <c r="T32" s="20" t="str">
        <f>IF('DC Balance (hide)'!$K9 = 0, "--",1.05*'DC Balance (hide)'!$K9)</f>
        <v>--</v>
      </c>
      <c r="U32" s="20" t="str">
        <f>IF('DC Balance (hide)'!$M9 = 0, "--",'DC Balance (hide)'!$M9)</f>
        <v>--</v>
      </c>
      <c r="V32" s="18"/>
      <c r="W32" s="18"/>
      <c r="X32" s="18"/>
      <c r="Y32" s="18"/>
    </row>
    <row r="33" spans="1:25" hidden="1" x14ac:dyDescent="0.25">
      <c r="A33" s="243" t="str">
        <f>'Data files'!A17</f>
        <v xml:space="preserve">2. </v>
      </c>
      <c r="B33" s="243"/>
      <c r="C33" s="16">
        <f ca="1">IF('Control Sheet'!A47&lt;='Data files'!$E$9,IF(ISNA(MATCH(1,OFFSET(D33,0,0,1,'Control Sheet'!H47)))=FALSE,1,IF(ISNA(MATCH(2,OFFSET(D33,0,0,1,'Control Sheet'!H47)))=FALSE,2,3)),0)</f>
        <v>0</v>
      </c>
      <c r="D33" s="16">
        <f>IF('Control Sheet'!A47&lt;='Data files'!$E$9,IF('DC Balance'!K33&lt;'DC Balance'!I33,1,IF('DC Balance'!K33&lt;'DC Balance'!J33,2,3)),0)</f>
        <v>0</v>
      </c>
      <c r="E33" s="16">
        <f>IF('Control Sheet'!A47&lt;='Data files'!$E$9,IF('DC Balance'!P33="--",0,IF('DC Balance'!P33&lt;'DC Balance'!N33,1,IF('DC Balance'!P33&lt;'DC Balance'!O33,2,3))),0)</f>
        <v>0</v>
      </c>
      <c r="F33" s="16">
        <f>IF('Control Sheet'!A47&lt;='Data files'!$E$9,IF('DC Balance'!U33="--",0,IF('DC Balance'!U33&lt;'DC Balance'!S33,1,IF('DC Balance'!U33&lt;'DC Balance'!T33,2,3))),0)</f>
        <v>0</v>
      </c>
      <c r="G33" s="18"/>
      <c r="H33" s="16" t="str">
        <f>IF('Control Sheet'!I47=0,"--",'Control Sheet'!I47)</f>
        <v>0</v>
      </c>
      <c r="I33" s="139">
        <f>'DC Balance (hide)'!C10</f>
        <v>0</v>
      </c>
      <c r="J33" s="139">
        <f>'DC Balance (hide)'!D10+I33</f>
        <v>0</v>
      </c>
      <c r="K33" s="139">
        <f>'DC Balance (hide)'!E10</f>
        <v>0</v>
      </c>
      <c r="L33" s="18"/>
      <c r="M33" s="16" t="str">
        <f>IF('Control Sheet'!F47=0,"",'Control Sheet'!J47)</f>
        <v/>
      </c>
      <c r="N33" s="20" t="str">
        <f>IF('DC Balance (hide)'!$G10 = 0, "--",0.95*'DC Balance (hide)'!$G10)</f>
        <v>--</v>
      </c>
      <c r="O33" s="20" t="str">
        <f>IF('DC Balance (hide)'!$G10 = 0, "--",1.05*'DC Balance (hide)'!$G10)</f>
        <v>--</v>
      </c>
      <c r="P33" s="20" t="str">
        <f>IF('DC Balance (hide)'!$I10 = 0, "--",'DC Balance (hide)'!$I10)</f>
        <v>--</v>
      </c>
      <c r="Q33" s="18"/>
      <c r="R33" s="16" t="str">
        <f>IF('Control Sheet'!G47=0,"",'Control Sheet'!K47)</f>
        <v/>
      </c>
      <c r="S33" s="20" t="str">
        <f>IF('DC Balance (hide)'!$K10 = 0, "--",0.95*'DC Balance (hide)'!$K10)</f>
        <v>--</v>
      </c>
      <c r="T33" s="20" t="str">
        <f>IF('DC Balance (hide)'!$K10 = 0, "--",1.05*'DC Balance (hide)'!$K10)</f>
        <v>--</v>
      </c>
      <c r="U33" s="20" t="str">
        <f>IF('DC Balance (hide)'!$M10 = 0, "--",'DC Balance (hide)'!$M10)</f>
        <v>--</v>
      </c>
      <c r="V33" s="18"/>
      <c r="W33" s="18"/>
      <c r="X33" s="18"/>
      <c r="Y33" s="18"/>
    </row>
    <row r="34" spans="1:25" hidden="1" x14ac:dyDescent="0.25">
      <c r="A34" s="243" t="str">
        <f>'Data files'!A18</f>
        <v xml:space="preserve">3. </v>
      </c>
      <c r="B34" s="243"/>
      <c r="C34" s="16">
        <f ca="1">IF('Control Sheet'!A48&lt;='Data files'!$E$9,IF(ISNA(MATCH(1,OFFSET(D34,0,0,1,'Control Sheet'!H48)))=FALSE,1,IF(ISNA(MATCH(2,OFFSET(D34,0,0,1,'Control Sheet'!H48)))=FALSE,2,3)),0)</f>
        <v>0</v>
      </c>
      <c r="D34" s="16">
        <f>IF('Control Sheet'!A48&lt;='Data files'!$E$9,IF('DC Balance'!K34&lt;'DC Balance'!I34,1,IF('DC Balance'!K34&lt;'DC Balance'!J34,2,3)),0)</f>
        <v>0</v>
      </c>
      <c r="E34" s="16">
        <f>IF('Control Sheet'!A48&lt;='Data files'!$E$9,IF('DC Balance'!P34="--",0,IF('DC Balance'!P34&lt;'DC Balance'!N34,1,IF('DC Balance'!P34&lt;'DC Balance'!O34,2,3))),0)</f>
        <v>0</v>
      </c>
      <c r="F34" s="16">
        <f>IF('Control Sheet'!A48&lt;='Data files'!$E$9,IF('DC Balance'!U34="--",0,IF('DC Balance'!U34&lt;'DC Balance'!S34,1,IF('DC Balance'!U34&lt;'DC Balance'!T34,2,3))),0)</f>
        <v>0</v>
      </c>
      <c r="G34" s="18"/>
      <c r="H34" s="16" t="str">
        <f>IF('Control Sheet'!I48=0,"--",'Control Sheet'!I48)</f>
        <v>0</v>
      </c>
      <c r="I34" s="139">
        <f>'DC Balance (hide)'!C11</f>
        <v>0</v>
      </c>
      <c r="J34" s="139">
        <f>'DC Balance (hide)'!D11+I34</f>
        <v>0</v>
      </c>
      <c r="K34" s="139">
        <f>'DC Balance (hide)'!E11</f>
        <v>0</v>
      </c>
      <c r="L34" s="18"/>
      <c r="M34" s="16" t="str">
        <f>IF('Control Sheet'!F48=0,"",'Control Sheet'!J48)</f>
        <v/>
      </c>
      <c r="N34" s="20" t="str">
        <f>IF('DC Balance (hide)'!$G11 = 0, "--",0.95*'DC Balance (hide)'!$G11)</f>
        <v>--</v>
      </c>
      <c r="O34" s="20" t="str">
        <f>IF('DC Balance (hide)'!$G11 = 0, "--",1.05*'DC Balance (hide)'!$G11)</f>
        <v>--</v>
      </c>
      <c r="P34" s="20" t="str">
        <f>IF('DC Balance (hide)'!$I11 = 0, "--",'DC Balance (hide)'!$I11)</f>
        <v>--</v>
      </c>
      <c r="Q34" s="18"/>
      <c r="R34" s="16" t="str">
        <f>IF('Control Sheet'!G48=0,"",'Control Sheet'!K48)</f>
        <v/>
      </c>
      <c r="S34" s="20" t="str">
        <f>IF('DC Balance (hide)'!$K11 = 0, "--",0.95*'DC Balance (hide)'!$K11)</f>
        <v>--</v>
      </c>
      <c r="T34" s="20" t="str">
        <f>IF('DC Balance (hide)'!$K11 = 0, "--",1.05*'DC Balance (hide)'!$K11)</f>
        <v>--</v>
      </c>
      <c r="U34" s="20" t="str">
        <f>IF('DC Balance (hide)'!$M11 = 0, "--",'DC Balance (hide)'!$M11)</f>
        <v>--</v>
      </c>
      <c r="V34" s="18"/>
      <c r="W34" s="18"/>
      <c r="X34" s="18"/>
      <c r="Y34" s="18"/>
    </row>
    <row r="35" spans="1:25" hidden="1" x14ac:dyDescent="0.25">
      <c r="A35" s="243" t="str">
        <f>'Data files'!A19</f>
        <v xml:space="preserve">4. </v>
      </c>
      <c r="B35" s="243"/>
      <c r="C35" s="16">
        <f ca="1">IF('Control Sheet'!A49&lt;='Data files'!$E$9,IF(ISNA(MATCH(1,OFFSET(D35,0,0,1,'Control Sheet'!H49)))=FALSE,1,IF(ISNA(MATCH(2,OFFSET(D35,0,0,1,'Control Sheet'!H49)))=FALSE,2,3)),0)</f>
        <v>0</v>
      </c>
      <c r="D35" s="16">
        <f>IF('Control Sheet'!A49&lt;='Data files'!$E$9,IF('DC Balance'!K35&lt;'DC Balance'!I35,1,IF('DC Balance'!K35&lt;'DC Balance'!J35,2,3)),0)</f>
        <v>0</v>
      </c>
      <c r="E35" s="16">
        <f>IF('Control Sheet'!A49&lt;='Data files'!$E$9,IF('DC Balance'!P35="--",0,IF('DC Balance'!P35&lt;'DC Balance'!N35,1,IF('DC Balance'!P35&lt;'DC Balance'!O35,2,3))),0)</f>
        <v>0</v>
      </c>
      <c r="F35" s="16">
        <f>IF('Control Sheet'!A49&lt;='Data files'!$E$9,IF('DC Balance'!U35="--",0,IF('DC Balance'!U35&lt;'DC Balance'!S35,1,IF('DC Balance'!U35&lt;'DC Balance'!T35,2,3))),0)</f>
        <v>0</v>
      </c>
      <c r="G35" s="18"/>
      <c r="H35" s="16" t="str">
        <f>IF('Control Sheet'!I49=0,"--",'Control Sheet'!I49)</f>
        <v>0</v>
      </c>
      <c r="I35" s="139">
        <f>'DC Balance (hide)'!C12</f>
        <v>0</v>
      </c>
      <c r="J35" s="139">
        <f>'DC Balance (hide)'!D12+I35</f>
        <v>0</v>
      </c>
      <c r="K35" s="139">
        <f>'DC Balance (hide)'!E12</f>
        <v>0</v>
      </c>
      <c r="L35" s="18"/>
      <c r="M35" s="16" t="str">
        <f>IF('Control Sheet'!F49=0,"",'Control Sheet'!J49)</f>
        <v/>
      </c>
      <c r="N35" s="20" t="str">
        <f>IF('DC Balance (hide)'!$G12 = 0, "--",0.95*'DC Balance (hide)'!$G12)</f>
        <v>--</v>
      </c>
      <c r="O35" s="20" t="str">
        <f>IF('DC Balance (hide)'!$G12 = 0, "--",1.05*'DC Balance (hide)'!$G12)</f>
        <v>--</v>
      </c>
      <c r="P35" s="20" t="str">
        <f>IF('DC Balance (hide)'!$I12 = 0, "--",'DC Balance (hide)'!$I12)</f>
        <v>--</v>
      </c>
      <c r="Q35" s="18"/>
      <c r="R35" s="16" t="str">
        <f>IF('Control Sheet'!G49=0,"",'Control Sheet'!K49)</f>
        <v/>
      </c>
      <c r="S35" s="20" t="str">
        <f>IF('DC Balance (hide)'!$K12 = 0, "--",0.95*'DC Balance (hide)'!$K12)</f>
        <v>--</v>
      </c>
      <c r="T35" s="20" t="str">
        <f>IF('DC Balance (hide)'!$K12 = 0, "--",1.05*'DC Balance (hide)'!$K12)</f>
        <v>--</v>
      </c>
      <c r="U35" s="20" t="str">
        <f>IF('DC Balance (hide)'!$M12 = 0, "--",'DC Balance (hide)'!$M12)</f>
        <v>--</v>
      </c>
      <c r="V35" s="18"/>
      <c r="W35" s="18"/>
      <c r="X35" s="18"/>
      <c r="Y35" s="18"/>
    </row>
    <row r="36" spans="1:25" hidden="1" x14ac:dyDescent="0.25">
      <c r="A36" s="243" t="str">
        <f>'Data files'!A20</f>
        <v xml:space="preserve">5. </v>
      </c>
      <c r="B36" s="243"/>
      <c r="C36" s="16">
        <f ca="1">IF('Control Sheet'!A50&lt;='Data files'!$E$9,IF(ISNA(MATCH(1,OFFSET(D36,0,0,1,'Control Sheet'!H50)))=FALSE,1,IF(ISNA(MATCH(2,OFFSET(D36,0,0,1,'Control Sheet'!H50)))=FALSE,2,3)),0)</f>
        <v>0</v>
      </c>
      <c r="D36" s="16">
        <f>IF('Control Sheet'!A50&lt;='Data files'!$E$9,IF('DC Balance'!K36&lt;'DC Balance'!I36,1,IF('DC Balance'!K36&lt;'DC Balance'!J36,2,3)),0)</f>
        <v>0</v>
      </c>
      <c r="E36" s="16">
        <f>IF('Control Sheet'!A50&lt;='Data files'!$E$9,IF('DC Balance'!P36="--",0,IF('DC Balance'!P36&lt;'DC Balance'!N36,1,IF('DC Balance'!P36&lt;'DC Balance'!O36,2,3))),0)</f>
        <v>0</v>
      </c>
      <c r="F36" s="16">
        <f>IF('Control Sheet'!A50&lt;='Data files'!$E$9,IF('DC Balance'!U36="--",0,IF('DC Balance'!U36&lt;'DC Balance'!S36,1,IF('DC Balance'!U36&lt;'DC Balance'!T36,2,3))),0)</f>
        <v>0</v>
      </c>
      <c r="G36" s="18"/>
      <c r="H36" s="16" t="str">
        <f>IF('Control Sheet'!I50=0,"--",'Control Sheet'!I50)</f>
        <v>0</v>
      </c>
      <c r="I36" s="139">
        <f>'DC Balance (hide)'!C13</f>
        <v>0</v>
      </c>
      <c r="J36" s="139">
        <f>'DC Balance (hide)'!D13+I36</f>
        <v>0</v>
      </c>
      <c r="K36" s="139">
        <f>'DC Balance (hide)'!E13</f>
        <v>0</v>
      </c>
      <c r="L36" s="18"/>
      <c r="M36" s="16" t="str">
        <f>IF('Control Sheet'!F50=0,"",'Control Sheet'!J50)</f>
        <v/>
      </c>
      <c r="N36" s="20" t="str">
        <f>IF('DC Balance (hide)'!$G13 = 0, "--",0.95*'DC Balance (hide)'!$G13)</f>
        <v>--</v>
      </c>
      <c r="O36" s="20" t="str">
        <f>IF('DC Balance (hide)'!$G13 = 0, "--",1.05*'DC Balance (hide)'!$G13)</f>
        <v>--</v>
      </c>
      <c r="P36" s="20" t="str">
        <f>IF('DC Balance (hide)'!$I13 = 0, "--",'DC Balance (hide)'!$I13)</f>
        <v>--</v>
      </c>
      <c r="Q36" s="18"/>
      <c r="R36" s="16" t="str">
        <f>IF('Control Sheet'!G50=0,"",'Control Sheet'!K50)</f>
        <v/>
      </c>
      <c r="S36" s="20" t="str">
        <f>IF('DC Balance (hide)'!$K13 = 0, "--",0.95*'DC Balance (hide)'!$K13)</f>
        <v>--</v>
      </c>
      <c r="T36" s="20" t="str">
        <f>IF('DC Balance (hide)'!$K13 = 0, "--",1.05*'DC Balance (hide)'!$K13)</f>
        <v>--</v>
      </c>
      <c r="U36" s="20" t="str">
        <f>IF('DC Balance (hide)'!$M13 = 0, "--",'DC Balance (hide)'!$M13)</f>
        <v>--</v>
      </c>
      <c r="V36" s="18"/>
      <c r="W36" s="18"/>
      <c r="X36" s="18"/>
      <c r="Y36" s="18"/>
    </row>
    <row r="37" spans="1:25" hidden="1" x14ac:dyDescent="0.25">
      <c r="A37" s="243" t="str">
        <f>'Data files'!A21</f>
        <v xml:space="preserve">6. </v>
      </c>
      <c r="B37" s="243"/>
      <c r="C37" s="16">
        <f ca="1">IF('Control Sheet'!A51&lt;='Data files'!$E$9,IF(ISNA(MATCH(1,OFFSET(D37,0,0,1,'Control Sheet'!H51)))=FALSE,1,IF(ISNA(MATCH(2,OFFSET(D37,0,0,1,'Control Sheet'!H51)))=FALSE,2,3)),0)</f>
        <v>0</v>
      </c>
      <c r="D37" s="16">
        <f>IF('Control Sheet'!A51&lt;='Data files'!$E$9,IF('DC Balance'!K37&lt;'DC Balance'!I37,1,IF('DC Balance'!K37&lt;'DC Balance'!J37,2,3)),0)</f>
        <v>0</v>
      </c>
      <c r="E37" s="16">
        <f>IF('Control Sheet'!A51&lt;='Data files'!$E$9,IF('DC Balance'!P37="--",0,IF('DC Balance'!P37&lt;'DC Balance'!N37,1,IF('DC Balance'!P37&lt;'DC Balance'!O37,2,3))),0)</f>
        <v>0</v>
      </c>
      <c r="F37" s="16">
        <f>IF('Control Sheet'!A51&lt;='Data files'!$E$9,IF('DC Balance'!U37="--",0,IF('DC Balance'!U37&lt;'DC Balance'!S37,1,IF('DC Balance'!U37&lt;'DC Balance'!T37,2,3))),0)</f>
        <v>0</v>
      </c>
      <c r="G37" s="18"/>
      <c r="H37" s="16" t="str">
        <f>IF('Control Sheet'!I51=0,"--",'Control Sheet'!I51)</f>
        <v>0</v>
      </c>
      <c r="I37" s="139">
        <f>'DC Balance (hide)'!C14</f>
        <v>0</v>
      </c>
      <c r="J37" s="139">
        <f>'DC Balance (hide)'!D14+I37</f>
        <v>0</v>
      </c>
      <c r="K37" s="139">
        <f>'DC Balance (hide)'!E14</f>
        <v>0</v>
      </c>
      <c r="L37" s="18"/>
      <c r="M37" s="16" t="str">
        <f>IF('Control Sheet'!F51=0,"",'Control Sheet'!J51)</f>
        <v/>
      </c>
      <c r="N37" s="20" t="str">
        <f>IF('DC Balance (hide)'!$G14 = 0, "--",0.95*'DC Balance (hide)'!$G14)</f>
        <v>--</v>
      </c>
      <c r="O37" s="20" t="str">
        <f>IF('DC Balance (hide)'!$G14 = 0, "--",1.05*'DC Balance (hide)'!$G14)</f>
        <v>--</v>
      </c>
      <c r="P37" s="20" t="str">
        <f>IF('DC Balance (hide)'!$I14 = 0, "--",'DC Balance (hide)'!$I14)</f>
        <v>--</v>
      </c>
      <c r="Q37" s="18"/>
      <c r="R37" s="16" t="str">
        <f>IF('Control Sheet'!G51=0,"",'Control Sheet'!K51)</f>
        <v/>
      </c>
      <c r="S37" s="20" t="str">
        <f>IF('DC Balance (hide)'!$K14 = 0, "--",0.95*'DC Balance (hide)'!$K14)</f>
        <v>--</v>
      </c>
      <c r="T37" s="20" t="str">
        <f>IF('DC Balance (hide)'!$K14 = 0, "--",1.05*'DC Balance (hide)'!$K14)</f>
        <v>--</v>
      </c>
      <c r="U37" s="20" t="str">
        <f>IF('DC Balance (hide)'!$M14 = 0, "--",'DC Balance (hide)'!$M14)</f>
        <v>--</v>
      </c>
      <c r="V37" s="18"/>
      <c r="W37" s="18"/>
      <c r="X37" s="18"/>
      <c r="Y37" s="18"/>
    </row>
    <row r="38" spans="1:25" hidden="1" x14ac:dyDescent="0.25">
      <c r="A38" s="243" t="str">
        <f>'Data files'!A22</f>
        <v xml:space="preserve">7. </v>
      </c>
      <c r="B38" s="243"/>
      <c r="C38" s="16">
        <f ca="1">IF('Control Sheet'!A52&lt;='Data files'!$E$9,IF(ISNA(MATCH(1,OFFSET(D38,0,0,1,'Control Sheet'!H52)))=FALSE,1,IF(ISNA(MATCH(2,OFFSET(D38,0,0,1,'Control Sheet'!H52)))=FALSE,2,3)),0)</f>
        <v>0</v>
      </c>
      <c r="D38" s="16">
        <f>IF('Control Sheet'!A52&lt;='Data files'!$E$9,IF('DC Balance'!K38&lt;'DC Balance'!I38,1,IF('DC Balance'!K38&lt;'DC Balance'!J38,2,3)),0)</f>
        <v>0</v>
      </c>
      <c r="E38" s="16">
        <f>IF('Control Sheet'!A52&lt;='Data files'!$E$9,IF('DC Balance'!P38="--",0,IF('DC Balance'!P38&lt;'DC Balance'!N38,1,IF('DC Balance'!P38&lt;'DC Balance'!O38,2,3))),0)</f>
        <v>0</v>
      </c>
      <c r="F38" s="16">
        <f>IF('Control Sheet'!A52&lt;='Data files'!$E$9,IF('DC Balance'!U38="--",0,IF('DC Balance'!U38&lt;'DC Balance'!S38,1,IF('DC Balance'!U38&lt;'DC Balance'!T38,2,3))),0)</f>
        <v>0</v>
      </c>
      <c r="G38" s="18"/>
      <c r="H38" s="16" t="str">
        <f>IF('Control Sheet'!I52=0,"--",'Control Sheet'!I52)</f>
        <v>0</v>
      </c>
      <c r="I38" s="139">
        <f>'DC Balance (hide)'!C15</f>
        <v>0</v>
      </c>
      <c r="J38" s="139">
        <f>'DC Balance (hide)'!D15+I38</f>
        <v>0</v>
      </c>
      <c r="K38" s="139">
        <f>'DC Balance (hide)'!E15</f>
        <v>0</v>
      </c>
      <c r="L38" s="18"/>
      <c r="M38" s="16" t="str">
        <f>IF('Control Sheet'!F52=0,"",'Control Sheet'!J52)</f>
        <v/>
      </c>
      <c r="N38" s="20" t="str">
        <f>IF('DC Balance (hide)'!$G15 = 0, "--",0.95*'DC Balance (hide)'!$G15)</f>
        <v>--</v>
      </c>
      <c r="O38" s="20" t="str">
        <f>IF('DC Balance (hide)'!$G15 = 0, "--",1.05*'DC Balance (hide)'!$G15)</f>
        <v>--</v>
      </c>
      <c r="P38" s="20" t="str">
        <f>IF('DC Balance (hide)'!$I15 = 0, "--",'DC Balance (hide)'!$I15)</f>
        <v>--</v>
      </c>
      <c r="Q38" s="18"/>
      <c r="R38" s="16" t="str">
        <f>IF('Control Sheet'!G52=0,"",'Control Sheet'!K52)</f>
        <v/>
      </c>
      <c r="S38" s="20" t="str">
        <f>IF('DC Balance (hide)'!$K15 = 0, "--",0.95*'DC Balance (hide)'!$K15)</f>
        <v>--</v>
      </c>
      <c r="T38" s="20" t="str">
        <f>IF('DC Balance (hide)'!$K15 = 0, "--",1.05*'DC Balance (hide)'!$K15)</f>
        <v>--</v>
      </c>
      <c r="U38" s="20" t="str">
        <f>IF('DC Balance (hide)'!$M15 = 0, "--",'DC Balance (hide)'!$M15)</f>
        <v>--</v>
      </c>
      <c r="V38" s="18"/>
      <c r="W38" s="18"/>
      <c r="X38" s="18"/>
      <c r="Y38" s="18"/>
    </row>
    <row r="39" spans="1:25" hidden="1" x14ac:dyDescent="0.25">
      <c r="A39" s="243" t="str">
        <f>'Data files'!A23</f>
        <v xml:space="preserve">8. </v>
      </c>
      <c r="B39" s="243"/>
      <c r="C39" s="16">
        <f ca="1">IF('Control Sheet'!A53&lt;='Data files'!$E$9,IF(ISNA(MATCH(1,OFFSET(D39,0,0,1,'Control Sheet'!H53)))=FALSE,1,IF(ISNA(MATCH(2,OFFSET(D39,0,0,1,'Control Sheet'!H53)))=FALSE,2,3)),0)</f>
        <v>0</v>
      </c>
      <c r="D39" s="16">
        <f>IF('Control Sheet'!A53&lt;='Data files'!$E$9,IF('DC Balance'!K39&lt;'DC Balance'!I39,1,IF('DC Balance'!K39&lt;'DC Balance'!J39,2,3)),0)</f>
        <v>0</v>
      </c>
      <c r="E39" s="16">
        <f>IF('Control Sheet'!A53&lt;='Data files'!$E$9,IF('DC Balance'!P39="--",0,IF('DC Balance'!P39&lt;'DC Balance'!N39,1,IF('DC Balance'!P39&lt;'DC Balance'!O39,2,3))),0)</f>
        <v>0</v>
      </c>
      <c r="F39" s="16">
        <f>IF('Control Sheet'!A53&lt;='Data files'!$E$9,IF('DC Balance'!U39="--",0,IF('DC Balance'!U39&lt;'DC Balance'!S39,1,IF('DC Balance'!U39&lt;'DC Balance'!T39,2,3))),0)</f>
        <v>0</v>
      </c>
      <c r="G39" s="18"/>
      <c r="H39" s="16" t="str">
        <f>IF('Control Sheet'!I53=0,"--",'Control Sheet'!I53)</f>
        <v>0</v>
      </c>
      <c r="I39" s="139">
        <f>'DC Balance (hide)'!C16</f>
        <v>0</v>
      </c>
      <c r="J39" s="139">
        <f>'DC Balance (hide)'!D16+I39</f>
        <v>0</v>
      </c>
      <c r="K39" s="139">
        <f>'DC Balance (hide)'!E16</f>
        <v>0</v>
      </c>
      <c r="L39" s="18"/>
      <c r="M39" s="16" t="str">
        <f>IF('Control Sheet'!F53=0,"",'Control Sheet'!J53)</f>
        <v/>
      </c>
      <c r="N39" s="20" t="str">
        <f>IF('DC Balance (hide)'!$G16 = 0, "--",0.95*'DC Balance (hide)'!$G16)</f>
        <v>--</v>
      </c>
      <c r="O39" s="20" t="str">
        <f>IF('DC Balance (hide)'!$G16 = 0, "--",1.05*'DC Balance (hide)'!$G16)</f>
        <v>--</v>
      </c>
      <c r="P39" s="20" t="str">
        <f>IF('DC Balance (hide)'!$I16 = 0, "--",'DC Balance (hide)'!$I16)</f>
        <v>--</v>
      </c>
      <c r="Q39" s="18"/>
      <c r="R39" s="16" t="str">
        <f>IF('Control Sheet'!G53=0,"",'Control Sheet'!K53)</f>
        <v/>
      </c>
      <c r="S39" s="20" t="str">
        <f>IF('DC Balance (hide)'!$K16 = 0, "--",0.95*'DC Balance (hide)'!$K16)</f>
        <v>--</v>
      </c>
      <c r="T39" s="20" t="str">
        <f>IF('DC Balance (hide)'!$K16 = 0, "--",1.05*'DC Balance (hide)'!$K16)</f>
        <v>--</v>
      </c>
      <c r="U39" s="20" t="str">
        <f>IF('DC Balance (hide)'!$M16 = 0, "--",'DC Balance (hide)'!$M16)</f>
        <v>--</v>
      </c>
      <c r="V39" s="18"/>
      <c r="W39" s="18"/>
      <c r="X39" s="18"/>
      <c r="Y39" s="18"/>
    </row>
    <row r="40" spans="1:25" hidden="1" x14ac:dyDescent="0.25">
      <c r="A40" s="243" t="str">
        <f>'Data files'!A24</f>
        <v xml:space="preserve">9. </v>
      </c>
      <c r="B40" s="243"/>
      <c r="C40" s="16">
        <f ca="1">IF('Control Sheet'!A54&lt;='Data files'!$E$9,IF(ISNA(MATCH(1,OFFSET(D40,0,0,1,'Control Sheet'!H54)))=FALSE,1,IF(ISNA(MATCH(2,OFFSET(D40,0,0,1,'Control Sheet'!H54)))=FALSE,2,3)),0)</f>
        <v>0</v>
      </c>
      <c r="D40" s="16">
        <f>IF('Control Sheet'!A54&lt;='Data files'!$E$9,IF('DC Balance'!K40&lt;'DC Balance'!I40,1,IF('DC Balance'!K40&lt;'DC Balance'!J40,2,3)),0)</f>
        <v>0</v>
      </c>
      <c r="E40" s="16">
        <f>IF('Control Sheet'!A54&lt;='Data files'!$E$9,IF('DC Balance'!P40="--",0,IF('DC Balance'!P40&lt;'DC Balance'!N40,1,IF('DC Balance'!P40&lt;'DC Balance'!O40,2,3))),0)</f>
        <v>0</v>
      </c>
      <c r="F40" s="16">
        <f>IF('Control Sheet'!A54&lt;='Data files'!$E$9,IF('DC Balance'!U40="--",0,IF('DC Balance'!U40&lt;'DC Balance'!S40,1,IF('DC Balance'!U40&lt;'DC Balance'!T40,2,3))),0)</f>
        <v>0</v>
      </c>
      <c r="G40" s="18"/>
      <c r="H40" s="16" t="str">
        <f>IF('Control Sheet'!I54=0,"--",'Control Sheet'!I54)</f>
        <v>0</v>
      </c>
      <c r="I40" s="139">
        <f>'DC Balance (hide)'!C17</f>
        <v>0</v>
      </c>
      <c r="J40" s="139">
        <f>'DC Balance (hide)'!D17+I40</f>
        <v>0</v>
      </c>
      <c r="K40" s="139">
        <f>'DC Balance (hide)'!E17</f>
        <v>0</v>
      </c>
      <c r="L40" s="18"/>
      <c r="M40" s="16" t="str">
        <f>IF('Control Sheet'!F54=0,"",'Control Sheet'!J54)</f>
        <v/>
      </c>
      <c r="N40" s="20" t="str">
        <f>IF('DC Balance (hide)'!$G17 = 0, "--",0.95*'DC Balance (hide)'!$G17)</f>
        <v>--</v>
      </c>
      <c r="O40" s="20" t="str">
        <f>IF('DC Balance (hide)'!$G17 = 0, "--",1.05*'DC Balance (hide)'!$G17)</f>
        <v>--</v>
      </c>
      <c r="P40" s="20" t="str">
        <f>IF('DC Balance (hide)'!$I17 = 0, "--",'DC Balance (hide)'!$I17)</f>
        <v>--</v>
      </c>
      <c r="Q40" s="18"/>
      <c r="R40" s="16" t="str">
        <f>IF('Control Sheet'!G54=0,"",'Control Sheet'!K54)</f>
        <v/>
      </c>
      <c r="S40" s="20" t="str">
        <f>IF('DC Balance (hide)'!$K17 = 0, "--",0.95*'DC Balance (hide)'!$K17)</f>
        <v>--</v>
      </c>
      <c r="T40" s="20" t="str">
        <f>IF('DC Balance (hide)'!$K17 = 0, "--",1.05*'DC Balance (hide)'!$K17)</f>
        <v>--</v>
      </c>
      <c r="U40" s="20" t="str">
        <f>IF('DC Balance (hide)'!$M17 = 0, "--",'DC Balance (hide)'!$M17)</f>
        <v>--</v>
      </c>
      <c r="V40" s="18"/>
      <c r="W40" s="18"/>
      <c r="X40" s="18"/>
      <c r="Y40" s="18"/>
    </row>
    <row r="41" spans="1:25" hidden="1" x14ac:dyDescent="0.25">
      <c r="A41" s="243" t="str">
        <f>'Data files'!A25</f>
        <v xml:space="preserve">10. </v>
      </c>
      <c r="B41" s="243"/>
      <c r="C41" s="16">
        <f ca="1">IF('Control Sheet'!A55&lt;='Data files'!$E$9,IF(ISNA(MATCH(1,OFFSET(D41,0,0,1,'Control Sheet'!H55)))=FALSE,1,IF(ISNA(MATCH(2,OFFSET(D41,0,0,1,'Control Sheet'!H55)))=FALSE,2,3)),0)</f>
        <v>0</v>
      </c>
      <c r="D41" s="16">
        <f>IF('Control Sheet'!A55&lt;='Data files'!$E$9,IF('DC Balance'!K41&lt;'DC Balance'!I41,1,IF('DC Balance'!K41&lt;'DC Balance'!J41,2,3)),0)</f>
        <v>0</v>
      </c>
      <c r="E41" s="16">
        <f>IF('Control Sheet'!A55&lt;='Data files'!$E$9,IF('DC Balance'!P41="--",0,IF('DC Balance'!P41&lt;'DC Balance'!N41,1,IF('DC Balance'!P41&lt;'DC Balance'!O41,2,3))),0)</f>
        <v>0</v>
      </c>
      <c r="F41" s="16">
        <f>IF('Control Sheet'!A55&lt;='Data files'!$E$9,IF('DC Balance'!U41="--",0,IF('DC Balance'!U41&lt;'DC Balance'!S41,1,IF('DC Balance'!U41&lt;'DC Balance'!T41,2,3))),0)</f>
        <v>0</v>
      </c>
      <c r="G41" s="18"/>
      <c r="H41" s="16" t="str">
        <f>IF('Control Sheet'!I55=0,"--",'Control Sheet'!I55)</f>
        <v>0</v>
      </c>
      <c r="I41" s="139">
        <f>'DC Balance (hide)'!C18</f>
        <v>0</v>
      </c>
      <c r="J41" s="139">
        <f>'DC Balance (hide)'!D18+I41</f>
        <v>0</v>
      </c>
      <c r="K41" s="139">
        <f>'DC Balance (hide)'!E18</f>
        <v>0</v>
      </c>
      <c r="L41" s="18"/>
      <c r="M41" s="16" t="str">
        <f>IF('Control Sheet'!F55=0,"",'Control Sheet'!J55)</f>
        <v/>
      </c>
      <c r="N41" s="20" t="str">
        <f>IF('DC Balance (hide)'!$G18 = 0, "--",0.95*'DC Balance (hide)'!$G18)</f>
        <v>--</v>
      </c>
      <c r="O41" s="20" t="str">
        <f>IF('DC Balance (hide)'!$G18 = 0, "--",1.05*'DC Balance (hide)'!$G18)</f>
        <v>--</v>
      </c>
      <c r="P41" s="20" t="str">
        <f>IF('DC Balance (hide)'!$I18 = 0, "--",'DC Balance (hide)'!$I18)</f>
        <v>--</v>
      </c>
      <c r="Q41" s="18"/>
      <c r="R41" s="16" t="str">
        <f>IF('Control Sheet'!G55=0,"",'Control Sheet'!K55)</f>
        <v/>
      </c>
      <c r="S41" s="20" t="str">
        <f>IF('DC Balance (hide)'!$K18 = 0, "--",0.95*'DC Balance (hide)'!$K18)</f>
        <v>--</v>
      </c>
      <c r="T41" s="20" t="str">
        <f>IF('DC Balance (hide)'!$K18 = 0, "--",1.05*'DC Balance (hide)'!$K18)</f>
        <v>--</v>
      </c>
      <c r="U41" s="20" t="str">
        <f>IF('DC Balance (hide)'!$M18 = 0, "--",'DC Balance (hide)'!$M18)</f>
        <v>--</v>
      </c>
      <c r="V41" s="18"/>
      <c r="W41" s="18"/>
      <c r="X41" s="18"/>
      <c r="Y41" s="18"/>
    </row>
    <row r="42" spans="1:25" hidden="1" x14ac:dyDescent="0.25">
      <c r="A42" s="243" t="str">
        <f>'Data files'!A26</f>
        <v xml:space="preserve">11. </v>
      </c>
      <c r="B42" s="243"/>
      <c r="C42" s="16">
        <f ca="1">IF('Control Sheet'!A56&lt;='Data files'!$E$9,IF(ISNA(MATCH(1,OFFSET(D42,0,0,1,'Control Sheet'!H56)))=FALSE,1,IF(ISNA(MATCH(2,OFFSET(D42,0,0,1,'Control Sheet'!H56)))=FALSE,2,3)),0)</f>
        <v>0</v>
      </c>
      <c r="D42" s="16">
        <f>IF('Control Sheet'!A56&lt;='Data files'!$E$9,IF('DC Balance'!K42&lt;'DC Balance'!I42,1,IF('DC Balance'!K42&lt;'DC Balance'!J42,2,3)),0)</f>
        <v>0</v>
      </c>
      <c r="E42" s="16">
        <f>IF('Control Sheet'!A56&lt;='Data files'!$E$9,IF('DC Balance'!P42="--",0,IF('DC Balance'!P42&lt;'DC Balance'!N42,1,IF('DC Balance'!P42&lt;'DC Balance'!O42,2,3))),0)</f>
        <v>0</v>
      </c>
      <c r="F42" s="16">
        <f>IF('Control Sheet'!A56&lt;='Data files'!$E$9,IF('DC Balance'!U42="--",0,IF('DC Balance'!U42&lt;'DC Balance'!S42,1,IF('DC Balance'!U42&lt;'DC Balance'!T42,2,3))),0)</f>
        <v>0</v>
      </c>
      <c r="G42" s="18"/>
      <c r="H42" s="16" t="str">
        <f>IF('Control Sheet'!I56=0,"--",'Control Sheet'!I56)</f>
        <v>0</v>
      </c>
      <c r="I42" s="139">
        <f>'DC Balance (hide)'!C19</f>
        <v>0</v>
      </c>
      <c r="J42" s="139">
        <f>'DC Balance (hide)'!D19+I42</f>
        <v>0</v>
      </c>
      <c r="K42" s="139">
        <f>'DC Balance (hide)'!E19</f>
        <v>0</v>
      </c>
      <c r="L42" s="18"/>
      <c r="M42" s="16" t="str">
        <f>IF('Control Sheet'!F56=0,"",'Control Sheet'!J56)</f>
        <v/>
      </c>
      <c r="N42" s="20" t="str">
        <f>IF('DC Balance (hide)'!$G19 = 0, "--",0.95*'DC Balance (hide)'!$G19)</f>
        <v>--</v>
      </c>
      <c r="O42" s="20" t="str">
        <f>IF('DC Balance (hide)'!$G19 = 0, "--",1.05*'DC Balance (hide)'!$G19)</f>
        <v>--</v>
      </c>
      <c r="P42" s="20" t="str">
        <f>IF('DC Balance (hide)'!$I19 = 0, "--",'DC Balance (hide)'!$I19)</f>
        <v>--</v>
      </c>
      <c r="Q42" s="18"/>
      <c r="R42" s="16" t="str">
        <f>IF('Control Sheet'!G56=0,"",'Control Sheet'!K56)</f>
        <v/>
      </c>
      <c r="S42" s="20" t="str">
        <f>IF('DC Balance (hide)'!$K19 = 0, "--",0.95*'DC Balance (hide)'!$K19)</f>
        <v>--</v>
      </c>
      <c r="T42" s="20" t="str">
        <f>IF('DC Balance (hide)'!$K19 = 0, "--",1.05*'DC Balance (hide)'!$K19)</f>
        <v>--</v>
      </c>
      <c r="U42" s="20" t="str">
        <f>IF('DC Balance (hide)'!$M19 = 0, "--",'DC Balance (hide)'!$M19)</f>
        <v>--</v>
      </c>
      <c r="V42" s="18"/>
      <c r="W42" s="18"/>
      <c r="X42" s="18"/>
      <c r="Y42" s="18"/>
    </row>
    <row r="43" spans="1:25" hidden="1" x14ac:dyDescent="0.25">
      <c r="A43" s="243" t="str">
        <f>'Data files'!A27</f>
        <v xml:space="preserve">12. </v>
      </c>
      <c r="B43" s="243"/>
      <c r="C43" s="16">
        <f ca="1">IF('Control Sheet'!A57&lt;='Data files'!$E$9,IF(ISNA(MATCH(1,OFFSET(D43,0,0,1,'Control Sheet'!H57)))=FALSE,1,IF(ISNA(MATCH(2,OFFSET(D43,0,0,1,'Control Sheet'!H57)))=FALSE,2,3)),0)</f>
        <v>0</v>
      </c>
      <c r="D43" s="16">
        <f>IF('Control Sheet'!A57&lt;='Data files'!$E$9,IF('DC Balance'!K43&lt;'DC Balance'!I43,1,IF('DC Balance'!K43&lt;'DC Balance'!J43,2,3)),0)</f>
        <v>0</v>
      </c>
      <c r="E43" s="16">
        <f>IF('Control Sheet'!A57&lt;='Data files'!$E$9,IF('DC Balance'!P43="--",0,IF('DC Balance'!P43&lt;'DC Balance'!N43,1,IF('DC Balance'!P43&lt;'DC Balance'!O43,2,3))),0)</f>
        <v>0</v>
      </c>
      <c r="F43" s="16">
        <f>IF('Control Sheet'!A57&lt;='Data files'!$E$9,IF('DC Balance'!U43="--",0,IF('DC Balance'!U43&lt;'DC Balance'!S43,1,IF('DC Balance'!U43&lt;'DC Balance'!T43,2,3))),0)</f>
        <v>0</v>
      </c>
      <c r="G43" s="18"/>
      <c r="H43" s="16" t="str">
        <f>IF('Control Sheet'!I57=0,"--",'Control Sheet'!I57)</f>
        <v>0</v>
      </c>
      <c r="I43" s="139">
        <f>'DC Balance (hide)'!C20</f>
        <v>0</v>
      </c>
      <c r="J43" s="139">
        <f>'DC Balance (hide)'!D20+I43</f>
        <v>0</v>
      </c>
      <c r="K43" s="139">
        <f>'DC Balance (hide)'!E20</f>
        <v>0</v>
      </c>
      <c r="L43" s="18"/>
      <c r="M43" s="16" t="str">
        <f>IF('Control Sheet'!F57=0,"",'Control Sheet'!J57)</f>
        <v/>
      </c>
      <c r="N43" s="20" t="str">
        <f>IF('DC Balance (hide)'!$G20 = 0, "--",0.95*'DC Balance (hide)'!$G20)</f>
        <v>--</v>
      </c>
      <c r="O43" s="20" t="str">
        <f>IF('DC Balance (hide)'!$G20 = 0, "--",1.05*'DC Balance (hide)'!$G20)</f>
        <v>--</v>
      </c>
      <c r="P43" s="20" t="str">
        <f>IF('DC Balance (hide)'!$I20 = 0, "--",'DC Balance (hide)'!$I20)</f>
        <v>--</v>
      </c>
      <c r="Q43" s="18"/>
      <c r="R43" s="16" t="str">
        <f>IF('Control Sheet'!G57=0,"",'Control Sheet'!K57)</f>
        <v/>
      </c>
      <c r="S43" s="20" t="str">
        <f>IF('DC Balance (hide)'!$K20 = 0, "--",0.95*'DC Balance (hide)'!$K20)</f>
        <v>--</v>
      </c>
      <c r="T43" s="20" t="str">
        <f>IF('DC Balance (hide)'!$K20 = 0, "--",1.05*'DC Balance (hide)'!$K20)</f>
        <v>--</v>
      </c>
      <c r="U43" s="20" t="str">
        <f>IF('DC Balance (hide)'!$M20 = 0, "--",'DC Balance (hide)'!$M20)</f>
        <v>--</v>
      </c>
      <c r="V43" s="18"/>
      <c r="W43" s="18"/>
      <c r="X43" s="18"/>
      <c r="Y43" s="18"/>
    </row>
    <row r="44" spans="1:25" hidden="1" x14ac:dyDescent="0.25">
      <c r="A44" s="243" t="str">
        <f>'Data files'!A28</f>
        <v xml:space="preserve">13. </v>
      </c>
      <c r="B44" s="243"/>
      <c r="C44" s="16">
        <f ca="1">IF('Control Sheet'!A58&lt;='Data files'!$E$9,IF(ISNA(MATCH(1,OFFSET(D44,0,0,1,'Control Sheet'!H58)))=FALSE,1,IF(ISNA(MATCH(2,OFFSET(D44,0,0,1,'Control Sheet'!H58)))=FALSE,2,3)),0)</f>
        <v>0</v>
      </c>
      <c r="D44" s="16">
        <f>IF('Control Sheet'!A58&lt;='Data files'!$E$9,IF('DC Balance'!K44&lt;'DC Balance'!I44,1,IF('DC Balance'!K44&lt;'DC Balance'!J44,2,3)),0)</f>
        <v>0</v>
      </c>
      <c r="E44" s="16">
        <f>IF('Control Sheet'!A58&lt;='Data files'!$E$9,IF('DC Balance'!P44="--",0,IF('DC Balance'!P44&lt;'DC Balance'!N44,1,IF('DC Balance'!P44&lt;'DC Balance'!O44,2,3))),0)</f>
        <v>0</v>
      </c>
      <c r="F44" s="16">
        <f>IF('Control Sheet'!A58&lt;='Data files'!$E$9,IF('DC Balance'!U44="--",0,IF('DC Balance'!U44&lt;'DC Balance'!S44,1,IF('DC Balance'!U44&lt;'DC Balance'!T44,2,3))),0)</f>
        <v>0</v>
      </c>
      <c r="G44" s="18"/>
      <c r="H44" s="16" t="str">
        <f>IF('Control Sheet'!I58=0,"--",'Control Sheet'!I58)</f>
        <v>0</v>
      </c>
      <c r="I44" s="139">
        <f>'DC Balance (hide)'!C21</f>
        <v>0</v>
      </c>
      <c r="J44" s="139">
        <f>'DC Balance (hide)'!D21+I44</f>
        <v>0</v>
      </c>
      <c r="K44" s="139">
        <f>'DC Balance (hide)'!E21</f>
        <v>0</v>
      </c>
      <c r="L44" s="18"/>
      <c r="M44" s="16" t="str">
        <f>IF('Control Sheet'!F58=0,"",'Control Sheet'!J58)</f>
        <v/>
      </c>
      <c r="N44" s="20" t="str">
        <f>IF('DC Balance (hide)'!$G21 = 0, "--",0.95*'DC Balance (hide)'!$G21)</f>
        <v>--</v>
      </c>
      <c r="O44" s="20" t="str">
        <f>IF('DC Balance (hide)'!$G21 = 0, "--",1.05*'DC Balance (hide)'!$G21)</f>
        <v>--</v>
      </c>
      <c r="P44" s="20" t="str">
        <f>IF('DC Balance (hide)'!$I21 = 0, "--",'DC Balance (hide)'!$I21)</f>
        <v>--</v>
      </c>
      <c r="Q44" s="18"/>
      <c r="R44" s="16" t="str">
        <f>IF('Control Sheet'!G58=0,"",'Control Sheet'!K58)</f>
        <v/>
      </c>
      <c r="S44" s="20" t="str">
        <f>IF('DC Balance (hide)'!$K21 = 0, "--",0.95*'DC Balance (hide)'!$K21)</f>
        <v>--</v>
      </c>
      <c r="T44" s="20" t="str">
        <f>IF('DC Balance (hide)'!$K21 = 0, "--",1.05*'DC Balance (hide)'!$K21)</f>
        <v>--</v>
      </c>
      <c r="U44" s="20" t="str">
        <f>IF('DC Balance (hide)'!$M21 = 0, "--",'DC Balance (hide)'!$M21)</f>
        <v>--</v>
      </c>
      <c r="V44" s="18"/>
      <c r="W44" s="18"/>
      <c r="X44" s="18"/>
      <c r="Y44" s="18"/>
    </row>
    <row r="45" spans="1:25" hidden="1" x14ac:dyDescent="0.25">
      <c r="A45" s="243" t="str">
        <f>'Data files'!A29</f>
        <v xml:space="preserve">14. </v>
      </c>
      <c r="B45" s="243"/>
      <c r="C45" s="16">
        <f ca="1">IF('Control Sheet'!A59&lt;='Data files'!$E$9,IF(ISNA(MATCH(1,OFFSET(D45,0,0,1,'Control Sheet'!H59)))=FALSE,1,IF(ISNA(MATCH(2,OFFSET(D45,0,0,1,'Control Sheet'!H59)))=FALSE,2,3)),0)</f>
        <v>0</v>
      </c>
      <c r="D45" s="16">
        <f>IF('Control Sheet'!A59&lt;='Data files'!$E$9,IF('DC Balance'!K45&lt;'DC Balance'!I45,1,IF('DC Balance'!K45&lt;'DC Balance'!J45,2,3)),0)</f>
        <v>0</v>
      </c>
      <c r="E45" s="16">
        <f>IF('Control Sheet'!A59&lt;='Data files'!$E$9,IF('DC Balance'!P45="--",0,IF('DC Balance'!P45&lt;'DC Balance'!N45,1,IF('DC Balance'!P45&lt;'DC Balance'!O45,2,3))),0)</f>
        <v>0</v>
      </c>
      <c r="F45" s="16">
        <f>IF('Control Sheet'!A59&lt;='Data files'!$E$9,IF('DC Balance'!U45="--",0,IF('DC Balance'!U45&lt;'DC Balance'!S45,1,IF('DC Balance'!U45&lt;'DC Balance'!T45,2,3))),0)</f>
        <v>0</v>
      </c>
      <c r="G45" s="18"/>
      <c r="H45" s="16" t="str">
        <f>IF('Control Sheet'!I59=0,"--",'Control Sheet'!I59)</f>
        <v>0</v>
      </c>
      <c r="I45" s="139">
        <f>'DC Balance (hide)'!C22</f>
        <v>0</v>
      </c>
      <c r="J45" s="139">
        <f>'DC Balance (hide)'!D22+I45</f>
        <v>0</v>
      </c>
      <c r="K45" s="139">
        <f>'DC Balance (hide)'!E22</f>
        <v>0</v>
      </c>
      <c r="L45" s="18"/>
      <c r="M45" s="16" t="str">
        <f>IF('Control Sheet'!F59=0,"",'Control Sheet'!J59)</f>
        <v/>
      </c>
      <c r="N45" s="20" t="str">
        <f>IF('DC Balance (hide)'!$G22 = 0, "--",0.95*'DC Balance (hide)'!$G22)</f>
        <v>--</v>
      </c>
      <c r="O45" s="20" t="str">
        <f>IF('DC Balance (hide)'!$G22 = 0, "--",1.05*'DC Balance (hide)'!$G22)</f>
        <v>--</v>
      </c>
      <c r="P45" s="20" t="str">
        <f>IF('DC Balance (hide)'!$I22 = 0, "--",'DC Balance (hide)'!$I22)</f>
        <v>--</v>
      </c>
      <c r="Q45" s="18"/>
      <c r="R45" s="16" t="str">
        <f>IF('Control Sheet'!G59=0,"",'Control Sheet'!K59)</f>
        <v/>
      </c>
      <c r="S45" s="20" t="str">
        <f>IF('DC Balance (hide)'!$K22 = 0, "--",0.95*'DC Balance (hide)'!$K22)</f>
        <v>--</v>
      </c>
      <c r="T45" s="20" t="str">
        <f>IF('DC Balance (hide)'!$K22 = 0, "--",1.05*'DC Balance (hide)'!$K22)</f>
        <v>--</v>
      </c>
      <c r="U45" s="20" t="str">
        <f>IF('DC Balance (hide)'!$M22 = 0, "--",'DC Balance (hide)'!$M22)</f>
        <v>--</v>
      </c>
      <c r="V45" s="18"/>
      <c r="W45" s="18"/>
      <c r="X45" s="18"/>
      <c r="Y45" s="18"/>
    </row>
    <row r="46" spans="1:25" hidden="1" x14ac:dyDescent="0.25">
      <c r="A46" s="243" t="str">
        <f>'Data files'!A30</f>
        <v xml:space="preserve">15. </v>
      </c>
      <c r="B46" s="243"/>
      <c r="C46" s="16">
        <f ca="1">IF('Control Sheet'!A60&lt;='Data files'!$E$9,IF(ISNA(MATCH(1,OFFSET(D46,0,0,1,'Control Sheet'!H60)))=FALSE,1,IF(ISNA(MATCH(2,OFFSET(D46,0,0,1,'Control Sheet'!H60)))=FALSE,2,3)),0)</f>
        <v>0</v>
      </c>
      <c r="D46" s="16">
        <f>IF('Control Sheet'!A60&lt;='Data files'!$E$9,IF('DC Balance'!K46&lt;'DC Balance'!I46,1,IF('DC Balance'!K46&lt;'DC Balance'!J46,2,3)),0)</f>
        <v>0</v>
      </c>
      <c r="E46" s="16">
        <f>IF('Control Sheet'!A60&lt;='Data files'!$E$9,IF('DC Balance'!P46="--",0,IF('DC Balance'!P46&lt;'DC Balance'!N46,1,IF('DC Balance'!P46&lt;'DC Balance'!O46,2,3))),0)</f>
        <v>0</v>
      </c>
      <c r="F46" s="16">
        <f>IF('Control Sheet'!A60&lt;='Data files'!$E$9,IF('DC Balance'!U46="--",0,IF('DC Balance'!U46&lt;'DC Balance'!S46,1,IF('DC Balance'!U46&lt;'DC Balance'!T46,2,3))),0)</f>
        <v>0</v>
      </c>
      <c r="G46" s="18"/>
      <c r="H46" s="16" t="str">
        <f>IF('Control Sheet'!I60=0,"--",'Control Sheet'!I60)</f>
        <v>0</v>
      </c>
      <c r="I46" s="139">
        <f>'DC Balance (hide)'!C23</f>
        <v>0</v>
      </c>
      <c r="J46" s="139">
        <f>'DC Balance (hide)'!D23+I46</f>
        <v>0</v>
      </c>
      <c r="K46" s="139">
        <f>'DC Balance (hide)'!E23</f>
        <v>0</v>
      </c>
      <c r="L46" s="18"/>
      <c r="M46" s="16" t="str">
        <f>IF('Control Sheet'!F60=0,"",'Control Sheet'!J60)</f>
        <v/>
      </c>
      <c r="N46" s="20" t="str">
        <f>IF('DC Balance (hide)'!$G23 = 0, "--",0.95*'DC Balance (hide)'!$G23)</f>
        <v>--</v>
      </c>
      <c r="O46" s="20" t="str">
        <f>IF('DC Balance (hide)'!$G23 = 0, "--",1.05*'DC Balance (hide)'!$G23)</f>
        <v>--</v>
      </c>
      <c r="P46" s="20" t="str">
        <f>IF('DC Balance (hide)'!$I23 = 0, "--",'DC Balance (hide)'!$I23)</f>
        <v>--</v>
      </c>
      <c r="Q46" s="18"/>
      <c r="R46" s="16" t="str">
        <f>IF('Control Sheet'!G60=0,"",'Control Sheet'!K60)</f>
        <v/>
      </c>
      <c r="S46" s="20" t="str">
        <f>IF('DC Balance (hide)'!$K23 = 0, "--",0.95*'DC Balance (hide)'!$K23)</f>
        <v>--</v>
      </c>
      <c r="T46" s="20" t="str">
        <f>IF('DC Balance (hide)'!$K23 = 0, "--",1.05*'DC Balance (hide)'!$K23)</f>
        <v>--</v>
      </c>
      <c r="U46" s="20" t="str">
        <f>IF('DC Balance (hide)'!$M23 = 0, "--",'DC Balance (hide)'!$M23)</f>
        <v>--</v>
      </c>
      <c r="V46" s="18"/>
      <c r="W46" s="18"/>
      <c r="X46" s="18"/>
      <c r="Y46" s="18"/>
    </row>
    <row r="47" spans="1:25" hidden="1" x14ac:dyDescent="0.25">
      <c r="A47" s="243" t="str">
        <f>'Data files'!A31</f>
        <v xml:space="preserve">16. </v>
      </c>
      <c r="B47" s="243"/>
      <c r="C47" s="16">
        <f ca="1">IF('Control Sheet'!A61&lt;='Data files'!$E$9,IF(ISNA(MATCH(1,OFFSET(D47,0,0,1,'Control Sheet'!H61)))=FALSE,1,IF(ISNA(MATCH(2,OFFSET(D47,0,0,1,'Control Sheet'!H61)))=FALSE,2,3)),0)</f>
        <v>0</v>
      </c>
      <c r="D47" s="16">
        <f>IF('Control Sheet'!A61&lt;='Data files'!$E$9,IF('DC Balance'!K47&lt;'DC Balance'!I47,1,IF('DC Balance'!K47&lt;'DC Balance'!J47,2,3)),0)</f>
        <v>0</v>
      </c>
      <c r="E47" s="16">
        <f>IF('Control Sheet'!A61&lt;='Data files'!$E$9,IF('DC Balance'!P47="--",0,IF('DC Balance'!P47&lt;'DC Balance'!N47,1,IF('DC Balance'!P47&lt;'DC Balance'!O47,2,3))),0)</f>
        <v>0</v>
      </c>
      <c r="F47" s="16">
        <f>IF('Control Sheet'!A61&lt;='Data files'!$E$9,IF('DC Balance'!U47="--",0,IF('DC Balance'!U47&lt;'DC Balance'!S47,1,IF('DC Balance'!U47&lt;'DC Balance'!T47,2,3))),0)</f>
        <v>0</v>
      </c>
      <c r="G47" s="18"/>
      <c r="H47" s="16" t="str">
        <f>IF('Control Sheet'!I61=0,"--",'Control Sheet'!I61)</f>
        <v>0</v>
      </c>
      <c r="I47" s="139">
        <f>'DC Balance (hide)'!C24</f>
        <v>0</v>
      </c>
      <c r="J47" s="139">
        <f>'DC Balance (hide)'!D24+I47</f>
        <v>0</v>
      </c>
      <c r="K47" s="139">
        <f>'DC Balance (hide)'!E24</f>
        <v>0</v>
      </c>
      <c r="L47" s="18"/>
      <c r="M47" s="16" t="str">
        <f>IF('Control Sheet'!F61=0,"",'Control Sheet'!J61)</f>
        <v/>
      </c>
      <c r="N47" s="20" t="str">
        <f>IF('DC Balance (hide)'!$G24 = 0, "--",0.95*'DC Balance (hide)'!$G24)</f>
        <v>--</v>
      </c>
      <c r="O47" s="20" t="str">
        <f>IF('DC Balance (hide)'!$G24 = 0, "--",1.05*'DC Balance (hide)'!$G24)</f>
        <v>--</v>
      </c>
      <c r="P47" s="20" t="str">
        <f>IF('DC Balance (hide)'!$I24 = 0, "--",'DC Balance (hide)'!$I24)</f>
        <v>--</v>
      </c>
      <c r="Q47" s="18"/>
      <c r="R47" s="16" t="str">
        <f>IF('Control Sheet'!G61=0,"",'Control Sheet'!K61)</f>
        <v/>
      </c>
      <c r="S47" s="20" t="str">
        <f>IF('DC Balance (hide)'!$K24 = 0, "--",0.95*'DC Balance (hide)'!$K24)</f>
        <v>--</v>
      </c>
      <c r="T47" s="20" t="str">
        <f>IF('DC Balance (hide)'!$K24 = 0, "--",1.05*'DC Balance (hide)'!$K24)</f>
        <v>--</v>
      </c>
      <c r="U47" s="20" t="str">
        <f>IF('DC Balance (hide)'!$M24 = 0, "--",'DC Balance (hide)'!$M24)</f>
        <v>--</v>
      </c>
      <c r="V47" s="18"/>
      <c r="W47" s="18"/>
      <c r="X47" s="18"/>
      <c r="Y47" s="18"/>
    </row>
    <row r="48" spans="1:25" hidden="1" x14ac:dyDescent="0.25">
      <c r="A48" s="243" t="str">
        <f>'Data files'!A32</f>
        <v xml:space="preserve">17. </v>
      </c>
      <c r="B48" s="243"/>
      <c r="C48" s="16">
        <f ca="1">IF('Control Sheet'!A62&lt;='Data files'!$E$9,IF(ISNA(MATCH(1,OFFSET(D48,0,0,1,'Control Sheet'!H62)))=FALSE,1,IF(ISNA(MATCH(2,OFFSET(D48,0,0,1,'Control Sheet'!H62)))=FALSE,2,3)),0)</f>
        <v>0</v>
      </c>
      <c r="D48" s="16">
        <f>IF('Control Sheet'!A62&lt;='Data files'!$E$9,IF('DC Balance'!K48&lt;'DC Balance'!I48,1,IF('DC Balance'!K48&lt;'DC Balance'!J48,2,3)),0)</f>
        <v>0</v>
      </c>
      <c r="E48" s="16">
        <f>IF('Control Sheet'!A62&lt;='Data files'!$E$9,IF('DC Balance'!P48="--",0,IF('DC Balance'!P48&lt;'DC Balance'!N48,1,IF('DC Balance'!P48&lt;'DC Balance'!O48,2,3))),0)</f>
        <v>0</v>
      </c>
      <c r="F48" s="16">
        <f>IF('Control Sheet'!A62&lt;='Data files'!$E$9,IF('DC Balance'!U48="--",0,IF('DC Balance'!U48&lt;'DC Balance'!S48,1,IF('DC Balance'!U48&lt;'DC Balance'!T48,2,3))),0)</f>
        <v>0</v>
      </c>
      <c r="G48" s="18"/>
      <c r="H48" s="16" t="str">
        <f>IF('Control Sheet'!I62=0,"--",'Control Sheet'!I62)</f>
        <v>0</v>
      </c>
      <c r="I48" s="139">
        <f>'DC Balance (hide)'!C25</f>
        <v>0</v>
      </c>
      <c r="J48" s="139">
        <f>'DC Balance (hide)'!D25+I48</f>
        <v>0</v>
      </c>
      <c r="K48" s="139">
        <f>'DC Balance (hide)'!E25</f>
        <v>0</v>
      </c>
      <c r="L48" s="18"/>
      <c r="M48" s="16" t="str">
        <f>IF('Control Sheet'!F62=0,"",'Control Sheet'!J62)</f>
        <v/>
      </c>
      <c r="N48" s="20" t="str">
        <f>IF('DC Balance (hide)'!$G25 = 0, "--",0.95*'DC Balance (hide)'!$G25)</f>
        <v>--</v>
      </c>
      <c r="O48" s="20" t="str">
        <f>IF('DC Balance (hide)'!$G25 = 0, "--",1.05*'DC Balance (hide)'!$G25)</f>
        <v>--</v>
      </c>
      <c r="P48" s="20" t="str">
        <f>IF('DC Balance (hide)'!$I25 = 0, "--",'DC Balance (hide)'!$I25)</f>
        <v>--</v>
      </c>
      <c r="Q48" s="18"/>
      <c r="R48" s="16" t="str">
        <f>IF('Control Sheet'!G62=0,"",'Control Sheet'!K62)</f>
        <v/>
      </c>
      <c r="S48" s="20" t="str">
        <f>IF('DC Balance (hide)'!$K25 = 0, "--",0.95*'DC Balance (hide)'!$K25)</f>
        <v>--</v>
      </c>
      <c r="T48" s="20" t="str">
        <f>IF('DC Balance (hide)'!$K25 = 0, "--",1.05*'DC Balance (hide)'!$K25)</f>
        <v>--</v>
      </c>
      <c r="U48" s="20" t="str">
        <f>IF('DC Balance (hide)'!$M25 = 0, "--",'DC Balance (hide)'!$M25)</f>
        <v>--</v>
      </c>
      <c r="V48" s="18"/>
      <c r="W48" s="18"/>
      <c r="X48" s="18"/>
      <c r="Y48" s="18"/>
    </row>
    <row r="49" spans="1:25" hidden="1" x14ac:dyDescent="0.25">
      <c r="A49" s="243" t="str">
        <f>'Data files'!A33</f>
        <v xml:space="preserve">18. </v>
      </c>
      <c r="B49" s="243"/>
      <c r="C49" s="16">
        <f ca="1">IF('Control Sheet'!A63&lt;='Data files'!$E$9,IF(ISNA(MATCH(1,OFFSET(D49,0,0,1,'Control Sheet'!H63)))=FALSE,1,IF(ISNA(MATCH(2,OFFSET(D49,0,0,1,'Control Sheet'!H63)))=FALSE,2,3)),0)</f>
        <v>0</v>
      </c>
      <c r="D49" s="16">
        <f>IF('Control Sheet'!A63&lt;='Data files'!$E$9,IF('DC Balance'!K49&lt;'DC Balance'!I49,1,IF('DC Balance'!K49&lt;'DC Balance'!J49,2,3)),0)</f>
        <v>0</v>
      </c>
      <c r="E49" s="16">
        <f>IF('Control Sheet'!A63&lt;='Data files'!$E$9,IF('DC Balance'!P49="--",0,IF('DC Balance'!P49&lt;'DC Balance'!N49,1,IF('DC Balance'!P49&lt;'DC Balance'!O49,2,3))),0)</f>
        <v>0</v>
      </c>
      <c r="F49" s="16">
        <f>IF('Control Sheet'!A63&lt;='Data files'!$E$9,IF('DC Balance'!U49="--",0,IF('DC Balance'!U49&lt;'DC Balance'!S49,1,IF('DC Balance'!U49&lt;'DC Balance'!T49,2,3))),0)</f>
        <v>0</v>
      </c>
      <c r="G49" s="18"/>
      <c r="H49" s="16" t="str">
        <f>IF('Control Sheet'!I63=0,"--",'Control Sheet'!I63)</f>
        <v>0</v>
      </c>
      <c r="I49" s="139">
        <f>'DC Balance (hide)'!C26</f>
        <v>0</v>
      </c>
      <c r="J49" s="139">
        <f>'DC Balance (hide)'!D26+I49</f>
        <v>0</v>
      </c>
      <c r="K49" s="139">
        <f>'DC Balance (hide)'!E26</f>
        <v>0</v>
      </c>
      <c r="L49" s="18"/>
      <c r="M49" s="16" t="str">
        <f>IF('Control Sheet'!F63=0,"",'Control Sheet'!J63)</f>
        <v/>
      </c>
      <c r="N49" s="20" t="str">
        <f>IF('DC Balance (hide)'!$G26 = 0, "--",0.95*'DC Balance (hide)'!$G26)</f>
        <v>--</v>
      </c>
      <c r="O49" s="20" t="str">
        <f>IF('DC Balance (hide)'!$G26 = 0, "--",1.05*'DC Balance (hide)'!$G26)</f>
        <v>--</v>
      </c>
      <c r="P49" s="20" t="str">
        <f>IF('DC Balance (hide)'!$I26 = 0, "--",'DC Balance (hide)'!$I26)</f>
        <v>--</v>
      </c>
      <c r="Q49" s="18"/>
      <c r="R49" s="16" t="str">
        <f>IF('Control Sheet'!G63=0,"",'Control Sheet'!K63)</f>
        <v/>
      </c>
      <c r="S49" s="20" t="str">
        <f>IF('DC Balance (hide)'!$K26 = 0, "--",0.95*'DC Balance (hide)'!$K26)</f>
        <v>--</v>
      </c>
      <c r="T49" s="20" t="str">
        <f>IF('DC Balance (hide)'!$K26 = 0, "--",1.05*'DC Balance (hide)'!$K26)</f>
        <v>--</v>
      </c>
      <c r="U49" s="20" t="str">
        <f>IF('DC Balance (hide)'!$M26 = 0, "--",'DC Balance (hide)'!$M26)</f>
        <v>--</v>
      </c>
      <c r="V49" s="18"/>
      <c r="W49" s="18"/>
      <c r="X49" s="18"/>
      <c r="Y49" s="18"/>
    </row>
    <row r="50" spans="1:25" hidden="1" x14ac:dyDescent="0.25">
      <c r="A50" s="243" t="str">
        <f>'Data files'!A34</f>
        <v xml:space="preserve">19. </v>
      </c>
      <c r="B50" s="243"/>
      <c r="C50" s="16">
        <f ca="1">IF('Control Sheet'!A64&lt;='Data files'!$E$9,IF(ISNA(MATCH(1,OFFSET(D50,0,0,1,'Control Sheet'!H64)))=FALSE,1,IF(ISNA(MATCH(2,OFFSET(D50,0,0,1,'Control Sheet'!H64)))=FALSE,2,3)),0)</f>
        <v>0</v>
      </c>
      <c r="D50" s="16">
        <f>IF('Control Sheet'!A64&lt;='Data files'!$E$9,IF('DC Balance'!K50&lt;'DC Balance'!I50,1,IF('DC Balance'!K50&lt;'DC Balance'!J50,2,3)),0)</f>
        <v>0</v>
      </c>
      <c r="E50" s="16">
        <f>IF('Control Sheet'!A64&lt;='Data files'!$E$9,IF('DC Balance'!P50="--",0,IF('DC Balance'!P50&lt;'DC Balance'!N50,1,IF('DC Balance'!P50&lt;'DC Balance'!O50,2,3))),0)</f>
        <v>0</v>
      </c>
      <c r="F50" s="16">
        <f>IF('Control Sheet'!A64&lt;='Data files'!$E$9,IF('DC Balance'!U50="--",0,IF('DC Balance'!U50&lt;'DC Balance'!S50,1,IF('DC Balance'!U50&lt;'DC Balance'!T50,2,3))),0)</f>
        <v>0</v>
      </c>
      <c r="G50" s="18"/>
      <c r="H50" s="16" t="str">
        <f>IF('Control Sheet'!I64=0,"--",'Control Sheet'!I64)</f>
        <v>0</v>
      </c>
      <c r="I50" s="139">
        <f>'DC Balance (hide)'!C27</f>
        <v>0</v>
      </c>
      <c r="J50" s="139">
        <f>'DC Balance (hide)'!D27+I50</f>
        <v>0</v>
      </c>
      <c r="K50" s="139">
        <f>'DC Balance (hide)'!E27</f>
        <v>0</v>
      </c>
      <c r="L50" s="18"/>
      <c r="M50" s="16" t="str">
        <f>IF('Control Sheet'!F64=0,"",'Control Sheet'!J64)</f>
        <v/>
      </c>
      <c r="N50" s="20" t="str">
        <f>IF('DC Balance (hide)'!$G27 = 0, "--",0.95*'DC Balance (hide)'!$G27)</f>
        <v>--</v>
      </c>
      <c r="O50" s="20" t="str">
        <f>IF('DC Balance (hide)'!$G27 = 0, "--",1.05*'DC Balance (hide)'!$G27)</f>
        <v>--</v>
      </c>
      <c r="P50" s="20" t="str">
        <f>IF('DC Balance (hide)'!$I27 = 0, "--",'DC Balance (hide)'!$I27)</f>
        <v>--</v>
      </c>
      <c r="Q50" s="18"/>
      <c r="R50" s="16" t="str">
        <f>IF('Control Sheet'!G64=0,"",'Control Sheet'!K64)</f>
        <v/>
      </c>
      <c r="S50" s="20" t="str">
        <f>IF('DC Balance (hide)'!$K27 = 0, "--",0.95*'DC Balance (hide)'!$K27)</f>
        <v>--</v>
      </c>
      <c r="T50" s="20" t="str">
        <f>IF('DC Balance (hide)'!$K27 = 0, "--",1.05*'DC Balance (hide)'!$K27)</f>
        <v>--</v>
      </c>
      <c r="U50" s="20" t="str">
        <f>IF('DC Balance (hide)'!$M27 = 0, "--",'DC Balance (hide)'!$M27)</f>
        <v>--</v>
      </c>
      <c r="V50" s="18"/>
      <c r="W50" s="18"/>
      <c r="X50" s="18"/>
      <c r="Y50" s="18"/>
    </row>
    <row r="51" spans="1:25" hidden="1" x14ac:dyDescent="0.25">
      <c r="A51" s="243" t="str">
        <f>'Data files'!A35</f>
        <v xml:space="preserve">20. </v>
      </c>
      <c r="B51" s="243"/>
      <c r="C51" s="16">
        <f ca="1">IF('Control Sheet'!A65&lt;='Data files'!$E$9,IF(ISNA(MATCH(1,OFFSET(D51,0,0,1,'Control Sheet'!H65)))=FALSE,1,IF(ISNA(MATCH(2,OFFSET(D51,0,0,1,'Control Sheet'!H65)))=FALSE,2,3)),0)</f>
        <v>0</v>
      </c>
      <c r="D51" s="16">
        <f>IF('Control Sheet'!A65&lt;='Data files'!$E$9,IF('DC Balance'!K51&lt;'DC Balance'!I51,1,IF('DC Balance'!K51&lt;'DC Balance'!J51,2,3)),0)</f>
        <v>0</v>
      </c>
      <c r="E51" s="16">
        <f>IF('Control Sheet'!A65&lt;='Data files'!$E$9,IF('DC Balance'!P51="--",0,IF('DC Balance'!P51&lt;'DC Balance'!N51,1,IF('DC Balance'!P51&lt;'DC Balance'!O51,2,3))),0)</f>
        <v>0</v>
      </c>
      <c r="F51" s="16">
        <f>IF('Control Sheet'!A65&lt;='Data files'!$E$9,IF('DC Balance'!U51="--",0,IF('DC Balance'!U51&lt;'DC Balance'!S51,1,IF('DC Balance'!U51&lt;'DC Balance'!T51,2,3))),0)</f>
        <v>0</v>
      </c>
      <c r="G51" s="18"/>
      <c r="H51" s="16" t="str">
        <f>IF('Control Sheet'!I65=0,"--",'Control Sheet'!I65)</f>
        <v>0</v>
      </c>
      <c r="I51" s="139">
        <f>'DC Balance (hide)'!C28</f>
        <v>0</v>
      </c>
      <c r="J51" s="139">
        <f>'DC Balance (hide)'!D28+I51</f>
        <v>0</v>
      </c>
      <c r="K51" s="139">
        <f>'DC Balance (hide)'!E28</f>
        <v>0</v>
      </c>
      <c r="L51" s="18"/>
      <c r="M51" s="16" t="str">
        <f>IF('Control Sheet'!F65=0,"",'Control Sheet'!J65)</f>
        <v/>
      </c>
      <c r="N51" s="20" t="str">
        <f>IF('DC Balance (hide)'!$G28 = 0, "--",0.95*'DC Balance (hide)'!$G28)</f>
        <v>--</v>
      </c>
      <c r="O51" s="20" t="str">
        <f>IF('DC Balance (hide)'!$G28 = 0, "--",1.05*'DC Balance (hide)'!$G28)</f>
        <v>--</v>
      </c>
      <c r="P51" s="20" t="str">
        <f>IF('DC Balance (hide)'!$I28 = 0, "--",'DC Balance (hide)'!$I28)</f>
        <v>--</v>
      </c>
      <c r="Q51" s="18"/>
      <c r="R51" s="16" t="str">
        <f>IF('Control Sheet'!G65=0,"",'Control Sheet'!K65)</f>
        <v/>
      </c>
      <c r="S51" s="20" t="str">
        <f>IF('DC Balance (hide)'!$K28 = 0, "--",0.95*'DC Balance (hide)'!$K28)</f>
        <v>--</v>
      </c>
      <c r="T51" s="20" t="str">
        <f>IF('DC Balance (hide)'!$K28 = 0, "--",1.05*'DC Balance (hide)'!$K28)</f>
        <v>--</v>
      </c>
      <c r="U51" s="20" t="str">
        <f>IF('DC Balance (hide)'!$M28 = 0, "--",'DC Balance (hide)'!$M28)</f>
        <v>--</v>
      </c>
      <c r="V51" s="18"/>
      <c r="W51" s="18"/>
      <c r="X51" s="18"/>
      <c r="Y51" s="18"/>
    </row>
    <row r="52" spans="1:25" x14ac:dyDescent="0.25">
      <c r="A52" s="18"/>
      <c r="B52" s="18"/>
      <c r="C52" s="18"/>
      <c r="D52" s="18"/>
      <c r="E52" s="18"/>
      <c r="F52" s="18"/>
      <c r="G52" s="18"/>
      <c r="H52" s="18"/>
      <c r="I52" s="18"/>
      <c r="J52" s="18"/>
      <c r="K52" s="18"/>
      <c r="L52" s="18"/>
      <c r="M52" s="18"/>
      <c r="N52" s="18"/>
      <c r="O52" s="18"/>
      <c r="P52" s="18"/>
      <c r="Q52" s="18"/>
      <c r="R52" s="18"/>
      <c r="S52" s="18"/>
      <c r="T52" s="18"/>
      <c r="U52" s="18"/>
      <c r="V52" s="18"/>
      <c r="W52" s="18"/>
      <c r="X52" s="18"/>
      <c r="Y52" s="18"/>
    </row>
    <row r="53" spans="1:25" x14ac:dyDescent="0.25">
      <c r="A53" s="18"/>
      <c r="B53" s="18"/>
      <c r="C53" s="18"/>
      <c r="D53" s="18"/>
      <c r="E53" s="18"/>
      <c r="F53" s="18"/>
      <c r="G53" s="18"/>
      <c r="H53" s="18"/>
      <c r="I53" s="18"/>
      <c r="J53" s="18"/>
      <c r="K53" s="18"/>
      <c r="L53" s="18"/>
      <c r="M53" s="18"/>
      <c r="N53" s="18"/>
      <c r="O53" s="18"/>
      <c r="P53" s="18"/>
      <c r="Q53" s="18"/>
      <c r="R53" s="18"/>
      <c r="S53" s="18"/>
      <c r="T53" s="18"/>
      <c r="U53" s="18"/>
      <c r="V53" s="18"/>
      <c r="W53" s="18"/>
      <c r="X53" s="18"/>
      <c r="Y53" s="18"/>
    </row>
    <row r="54" spans="1:25" x14ac:dyDescent="0.25">
      <c r="A54" s="21" t="s">
        <v>1004</v>
      </c>
      <c r="B54" s="244" t="s">
        <v>1006</v>
      </c>
      <c r="C54" s="245"/>
      <c r="D54" s="18"/>
      <c r="E54" s="18"/>
      <c r="F54" s="18"/>
      <c r="G54" s="18"/>
      <c r="H54" s="242" t="s">
        <v>1007</v>
      </c>
      <c r="I54" s="242"/>
      <c r="J54" s="242"/>
      <c r="K54" s="242"/>
      <c r="L54" s="18"/>
      <c r="M54" s="18"/>
      <c r="N54" s="18"/>
      <c r="O54" s="18"/>
      <c r="P54" s="18"/>
      <c r="Q54" s="18"/>
      <c r="R54" s="18"/>
      <c r="S54" s="18"/>
      <c r="T54" s="18"/>
      <c r="U54" s="18"/>
      <c r="V54" s="18"/>
      <c r="W54" s="18"/>
      <c r="X54" s="18"/>
      <c r="Y54" s="18"/>
    </row>
    <row r="55" spans="1:25" ht="42.75" customHeight="1" x14ac:dyDescent="0.25">
      <c r="A55" s="22">
        <v>1</v>
      </c>
      <c r="B55" s="239" t="s">
        <v>1005</v>
      </c>
      <c r="C55" s="240"/>
      <c r="D55" s="23"/>
      <c r="E55" s="23"/>
      <c r="F55" s="23"/>
      <c r="G55" s="23"/>
      <c r="H55" s="241" t="s">
        <v>1008</v>
      </c>
      <c r="I55" s="241"/>
      <c r="J55" s="241"/>
      <c r="K55" s="241"/>
      <c r="L55" s="18"/>
      <c r="M55" s="18"/>
      <c r="N55" s="18"/>
      <c r="O55" s="18"/>
      <c r="P55" s="18"/>
      <c r="Q55" s="18"/>
      <c r="R55" s="18"/>
      <c r="S55" s="18"/>
      <c r="T55" s="18"/>
      <c r="U55" s="18"/>
      <c r="V55" s="18"/>
      <c r="W55" s="18"/>
      <c r="X55" s="18"/>
      <c r="Y55" s="18"/>
    </row>
    <row r="56" spans="1:25" ht="42.75" customHeight="1" x14ac:dyDescent="0.25">
      <c r="A56" s="24">
        <v>2</v>
      </c>
      <c r="B56" s="239" t="s">
        <v>1002</v>
      </c>
      <c r="C56" s="240"/>
      <c r="D56" s="23"/>
      <c r="E56" s="23"/>
      <c r="F56" s="23"/>
      <c r="G56" s="23"/>
      <c r="H56" s="241" t="s">
        <v>1009</v>
      </c>
      <c r="I56" s="241"/>
      <c r="J56" s="241"/>
      <c r="K56" s="241"/>
      <c r="L56" s="18"/>
      <c r="M56" s="18"/>
      <c r="N56" s="18"/>
      <c r="O56" s="18"/>
      <c r="P56" s="18"/>
      <c r="Q56" s="18"/>
      <c r="R56" s="18"/>
      <c r="S56" s="18"/>
      <c r="T56" s="18"/>
      <c r="U56" s="18"/>
      <c r="V56" s="18"/>
      <c r="W56" s="18"/>
      <c r="X56" s="18"/>
      <c r="Y56" s="18"/>
    </row>
    <row r="57" spans="1:25" ht="42.75" customHeight="1" x14ac:dyDescent="0.25">
      <c r="A57" s="25">
        <v>3</v>
      </c>
      <c r="B57" s="239" t="s">
        <v>1003</v>
      </c>
      <c r="C57" s="240"/>
      <c r="D57" s="23"/>
      <c r="E57" s="23"/>
      <c r="F57" s="23"/>
      <c r="G57" s="23"/>
      <c r="H57" s="241" t="s">
        <v>1010</v>
      </c>
      <c r="I57" s="241"/>
      <c r="J57" s="241"/>
      <c r="K57" s="241"/>
      <c r="L57" s="18"/>
      <c r="M57" s="18"/>
      <c r="N57" s="18"/>
      <c r="O57" s="18"/>
      <c r="P57" s="18"/>
      <c r="Q57" s="18"/>
      <c r="R57" s="18"/>
      <c r="S57" s="18"/>
      <c r="T57" s="18"/>
      <c r="U57" s="18"/>
      <c r="V57" s="18"/>
      <c r="W57" s="18"/>
      <c r="X57" s="18"/>
      <c r="Y57" s="18"/>
    </row>
  </sheetData>
  <mergeCells count="51">
    <mergeCell ref="S5:T5"/>
    <mergeCell ref="S4:T4"/>
    <mergeCell ref="A4:D4"/>
    <mergeCell ref="H4:J4"/>
    <mergeCell ref="H26:J26"/>
    <mergeCell ref="S8:T8"/>
    <mergeCell ref="S11:T11"/>
    <mergeCell ref="S22:U22"/>
    <mergeCell ref="H27:J27"/>
    <mergeCell ref="A30:B31"/>
    <mergeCell ref="C30:C31"/>
    <mergeCell ref="H30:H31"/>
    <mergeCell ref="I30:I31"/>
    <mergeCell ref="J30:J31"/>
    <mergeCell ref="R30:R31"/>
    <mergeCell ref="S30:S31"/>
    <mergeCell ref="T30:T31"/>
    <mergeCell ref="U30:U31"/>
    <mergeCell ref="A32:B32"/>
    <mergeCell ref="K30:K31"/>
    <mergeCell ref="M30:M31"/>
    <mergeCell ref="N30:N31"/>
    <mergeCell ref="O30:O31"/>
    <mergeCell ref="P30:P31"/>
    <mergeCell ref="A33:B33"/>
    <mergeCell ref="A34:B34"/>
    <mergeCell ref="A35:B35"/>
    <mergeCell ref="A36:B36"/>
    <mergeCell ref="A37:B37"/>
    <mergeCell ref="A38:B38"/>
    <mergeCell ref="A39:B39"/>
    <mergeCell ref="A40:B40"/>
    <mergeCell ref="A41:B41"/>
    <mergeCell ref="A42:B42"/>
    <mergeCell ref="A43:B43"/>
    <mergeCell ref="A44:B44"/>
    <mergeCell ref="A45:B45"/>
    <mergeCell ref="A46:B46"/>
    <mergeCell ref="A47:B47"/>
    <mergeCell ref="A48:B48"/>
    <mergeCell ref="A49:B49"/>
    <mergeCell ref="A50:B50"/>
    <mergeCell ref="A51:B51"/>
    <mergeCell ref="B54:C54"/>
    <mergeCell ref="B57:C57"/>
    <mergeCell ref="H57:K57"/>
    <mergeCell ref="H54:K54"/>
    <mergeCell ref="B55:C55"/>
    <mergeCell ref="H55:K55"/>
    <mergeCell ref="B56:C56"/>
    <mergeCell ref="H56:K56"/>
  </mergeCells>
  <conditionalFormatting sqref="C32:C51">
    <cfRule type="expression" dxfId="44" priority="15">
      <formula>C32=3</formula>
    </cfRule>
    <cfRule type="expression" dxfId="43" priority="16">
      <formula>C32=2</formula>
    </cfRule>
    <cfRule type="expression" dxfId="42" priority="17">
      <formula>C32=1</formula>
    </cfRule>
  </conditionalFormatting>
  <conditionalFormatting sqref="I32:I51">
    <cfRule type="expression" dxfId="41" priority="14">
      <formula>D32=1</formula>
    </cfRule>
  </conditionalFormatting>
  <conditionalFormatting sqref="J32:J51">
    <cfRule type="expression" dxfId="40" priority="13">
      <formula>D32=2</formula>
    </cfRule>
  </conditionalFormatting>
  <conditionalFormatting sqref="K32:K51">
    <cfRule type="expression" dxfId="39" priority="12">
      <formula>D32=3</formula>
    </cfRule>
  </conditionalFormatting>
  <conditionalFormatting sqref="N32:N51">
    <cfRule type="expression" dxfId="38" priority="11">
      <formula>E32=1</formula>
    </cfRule>
  </conditionalFormatting>
  <conditionalFormatting sqref="O32:O51">
    <cfRule type="expression" dxfId="37" priority="10">
      <formula>E32=2</formula>
    </cfRule>
  </conditionalFormatting>
  <conditionalFormatting sqref="P32:P51">
    <cfRule type="expression" dxfId="36" priority="9">
      <formula>E32=3</formula>
    </cfRule>
  </conditionalFormatting>
  <conditionalFormatting sqref="S32:S51">
    <cfRule type="expression" dxfId="35" priority="8">
      <formula>F32=1</formula>
    </cfRule>
  </conditionalFormatting>
  <conditionalFormatting sqref="T32:T51">
    <cfRule type="expression" dxfId="34" priority="7">
      <formula>F32=2</formula>
    </cfRule>
  </conditionalFormatting>
  <conditionalFormatting sqref="U32:U51">
    <cfRule type="expression" dxfId="33" priority="6">
      <formula>F32=3</formula>
    </cfRule>
  </conditionalFormatting>
  <conditionalFormatting sqref="M28:V53 H29">
    <cfRule type="expression" dxfId="32" priority="5">
      <formula>IF($K$26="Show",0,1)</formula>
    </cfRule>
  </conditionalFormatting>
  <conditionalFormatting sqref="S10:T10 S11:T11">
    <cfRule type="expression" dxfId="31" priority="3">
      <formula>IF(OR($S$5="Aggregate for year",$S$8="Week"),1,0)</formula>
    </cfRule>
  </conditionalFormatting>
  <conditionalFormatting sqref="S16:S17">
    <cfRule type="expression" dxfId="30" priority="2">
      <formula>IF(AND(LEFT($S$5,4)="Week",$S$8="Week"),0,1)</formula>
    </cfRule>
  </conditionalFormatting>
  <dataValidations count="2">
    <dataValidation type="list" allowBlank="1" showInputMessage="1" showErrorMessage="1" sqref="S5" xr:uid="{CA15F93F-E831-4389-AF24-3C127E07F316}">
      <formula1>"Aggregate for year,Weekly breakdown"</formula1>
    </dataValidation>
    <dataValidation type="list" allowBlank="1" showInputMessage="1" showErrorMessage="1" sqref="H4" xr:uid="{00000000-0002-0000-0700-000001000000}">
      <formula1>Range_Process_Select</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Scroll Bar 1">
              <controlPr defaultSize="0" autoPict="0">
                <anchor moveWithCells="1">
                  <from>
                    <xdr:col>0</xdr:col>
                    <xdr:colOff>0</xdr:colOff>
                    <xdr:row>24</xdr:row>
                    <xdr:rowOff>0</xdr:rowOff>
                  </from>
                  <to>
                    <xdr:col>18</xdr:col>
                    <xdr:colOff>0</xdr:colOff>
                    <xdr:row>25</xdr:row>
                    <xdr:rowOff>0</xdr:rowOff>
                  </to>
                </anchor>
              </controlPr>
            </control>
          </mc:Choice>
        </mc:AlternateContent>
        <mc:AlternateContent xmlns:mc="http://schemas.openxmlformats.org/markup-compatibility/2006">
          <mc:Choice Requires="x14">
            <control shapeId="27652" r:id="rId5" name="Button_ShowAnimation">
              <controlPr defaultSize="0" print="0" autoFill="0" autoPict="0" macro="[0]!Sheet36.animate_DC_Balance_Chart">
                <anchor moveWithCells="1" sizeWithCells="1">
                  <from>
                    <xdr:col>18</xdr:col>
                    <xdr:colOff>0</xdr:colOff>
                    <xdr:row>12</xdr:row>
                    <xdr:rowOff>0</xdr:rowOff>
                  </from>
                  <to>
                    <xdr:col>20</xdr:col>
                    <xdr:colOff>0</xdr:colOff>
                    <xdr:row>14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00000000-000E-0000-0700-000003000000}">
            <xm:f>IF(AND($S$5="Weekly breakdown",'DC Balance (hide)'!$W$4&gt;0),0,1)</xm:f>
            <x14:dxf>
              <font>
                <color theme="0"/>
              </font>
              <fill>
                <patternFill>
                  <bgColor theme="0"/>
                </patternFill>
              </fill>
              <border>
                <left style="thin">
                  <color theme="0"/>
                </left>
                <right style="thin">
                  <color theme="0"/>
                </right>
                <top style="thin">
                  <color theme="0"/>
                </top>
                <bottom style="thin">
                  <color theme="0"/>
                </bottom>
                <vertical/>
                <horizontal/>
              </border>
            </x14:dxf>
          </x14:cfRule>
          <xm:sqref>S7:T8</xm:sqref>
        </x14:conditionalFormatting>
        <x14:conditionalFormatting xmlns:xm="http://schemas.microsoft.com/office/excel/2006/main">
          <x14:cfRule type="expression" priority="1" id="{8F6D4E3F-9E3D-4625-AE13-4BE881A68130}">
            <xm:f>IF('DC Balance (hide)'!$R$19=0,1,0)</xm:f>
            <x14:dxf>
              <font>
                <color theme="0"/>
              </font>
              <border>
                <left style="thin">
                  <color theme="0"/>
                </left>
                <right style="thin">
                  <color theme="0"/>
                </right>
                <top style="thin">
                  <color theme="0"/>
                </top>
                <bottom style="thin">
                  <color theme="0"/>
                </bottom>
                <vertical/>
                <horizontal/>
              </border>
            </x14:dxf>
          </x14:cfRule>
          <xm:sqref>S21:U22</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700-000000000000}">
          <x14:formula1>
            <xm:f>'Control Sheet'!$B$15:$B$16</xm:f>
          </x14:formula1>
          <xm:sqref>K26</xm:sqref>
        </x14:dataValidation>
        <x14:dataValidation type="list" allowBlank="1" showInputMessage="1" showErrorMessage="1" xr:uid="{28407B86-560A-47F8-9376-81337C3956AC}">
          <x14:formula1>
            <xm:f>IF($H$4&lt;&gt;"Total",'Control Sheet'!$H$16:$H$17,'Control Sheet'!$H$16)</xm:f>
          </x14:formula1>
          <xm:sqref>S8:T8</xm:sqref>
        </x14:dataValidation>
        <x14:dataValidation type="list" allowBlank="1" showInputMessage="1" showErrorMessage="1" xr:uid="{BA7AB540-C7BA-43D2-A63A-56EFA1A65B08}">
          <x14:formula1>
            <xm:f>IF('DC Balance (hide)'!$W$4&gt;0,OFFSET('DC Balance (hide)'!$T$8,0,0,'DC Balance (hide)'!$W$5,1),'DC Balance (hide)'!$A$2)</xm:f>
          </x14:formula1>
          <xm:sqref>S11</xm:sqref>
        </x14:dataValidation>
        <x14:dataValidation type="list" allowBlank="1" showInputMessage="1" showErrorMessage="1" xr:uid="{9245ADFE-EA56-464E-B2B5-06DB0F87CCF2}">
          <x14:formula1>
            <xm:f>IF(OR('DC Balance (hide)'!$R$16=0,'DC Balance (hide)'!$W$4=0),'DC Balance (hide)'!$S$15,'DC Balance (hide)'!$S$15:$S$16)</xm:f>
          </x14:formula1>
          <xm:sqref>S22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5"/>
  <dimension ref="A1:AE52"/>
  <sheetViews>
    <sheetView showGridLines="0" showRowColHeaders="0" zoomScale="85" zoomScaleNormal="85" workbookViewId="0">
      <selection activeCell="E4" sqref="E4:H4"/>
    </sheetView>
  </sheetViews>
  <sheetFormatPr defaultRowHeight="13.8" x14ac:dyDescent="0.25"/>
  <cols>
    <col min="3" max="3" width="9" hidden="1" customWidth="1"/>
    <col min="4" max="4" width="13.69921875" customWidth="1"/>
    <col min="5" max="6" width="8.59765625" customWidth="1"/>
    <col min="7" max="7" width="12.3984375" customWidth="1"/>
    <col min="8" max="8" width="2.59765625" customWidth="1"/>
    <col min="9" max="9" width="13.69921875" customWidth="1"/>
    <col min="10" max="11" width="8.59765625" customWidth="1"/>
    <col min="12" max="12" width="12.3984375" customWidth="1"/>
    <col min="13" max="13" width="2.59765625" customWidth="1"/>
    <col min="14" max="14" width="13.69921875" customWidth="1"/>
    <col min="15" max="16" width="8.59765625" customWidth="1"/>
    <col min="17" max="17" width="12.3984375" customWidth="1"/>
    <col min="18" max="18" width="10" bestFit="1" customWidth="1"/>
    <col min="19" max="19" width="9" customWidth="1"/>
  </cols>
  <sheetData>
    <row r="1" spans="1:31" x14ac:dyDescent="0.25">
      <c r="A1" s="18"/>
      <c r="B1" s="18"/>
      <c r="C1" s="18"/>
      <c r="D1" s="18"/>
      <c r="E1" s="18"/>
      <c r="F1" s="18"/>
      <c r="G1" s="18"/>
      <c r="H1" s="18"/>
      <c r="I1" s="18"/>
      <c r="J1" s="18"/>
      <c r="K1" s="18"/>
      <c r="L1" s="18"/>
      <c r="M1" s="18"/>
      <c r="N1" s="18"/>
      <c r="O1" s="18"/>
      <c r="P1" s="18"/>
      <c r="Q1" s="18"/>
      <c r="R1" s="18"/>
      <c r="S1" s="18"/>
    </row>
    <row r="2" spans="1:31" x14ac:dyDescent="0.25">
      <c r="A2" s="26" t="str">
        <f>'Data files'!D4&amp;IF('Data files'!D4&lt;&gt;"",", ","")&amp;'Data files'!D7&amp;IF(ISERROR(FIND("SERVICE",UPPER('Data files'!D7),1))=FALSE,""," Service")</f>
        <v>Test Trust, Test service</v>
      </c>
      <c r="B2" s="27"/>
      <c r="C2" s="27"/>
      <c r="D2" s="27"/>
      <c r="E2" s="27"/>
      <c r="F2" s="27"/>
      <c r="G2" s="27"/>
      <c r="H2" s="27"/>
      <c r="I2" s="27"/>
      <c r="J2" s="27"/>
      <c r="K2" s="27"/>
      <c r="L2" s="27"/>
      <c r="M2" s="27"/>
      <c r="N2" s="27"/>
      <c r="O2" s="27"/>
      <c r="P2" s="27"/>
      <c r="Q2" s="27"/>
      <c r="R2" s="27"/>
      <c r="S2" s="27"/>
      <c r="T2" s="65"/>
      <c r="U2" s="65"/>
      <c r="V2" s="65"/>
      <c r="W2" s="65"/>
      <c r="X2" s="65"/>
      <c r="Y2" s="65"/>
      <c r="Z2" s="65"/>
      <c r="AA2" s="65"/>
      <c r="AB2" s="65"/>
      <c r="AC2" s="65"/>
      <c r="AD2" s="65"/>
      <c r="AE2" s="65"/>
    </row>
    <row r="4" spans="1:31" x14ac:dyDescent="0.25">
      <c r="A4" t="s">
        <v>1042</v>
      </c>
      <c r="E4" s="270" t="s">
        <v>982</v>
      </c>
      <c r="F4" s="271"/>
      <c r="G4" s="271"/>
      <c r="H4" s="272"/>
      <c r="AB4" s="265"/>
      <c r="AC4" s="265"/>
    </row>
    <row r="29" spans="1:25" x14ac:dyDescent="0.25">
      <c r="A29" s="19" t="s">
        <v>993</v>
      </c>
      <c r="D29" s="276" t="s">
        <v>1011</v>
      </c>
      <c r="E29" s="276"/>
      <c r="F29" s="276"/>
      <c r="G29" s="15" t="s">
        <v>1012</v>
      </c>
    </row>
    <row r="31" spans="1:25" ht="14.25" customHeight="1" x14ac:dyDescent="0.25">
      <c r="A31" s="273" t="s">
        <v>994</v>
      </c>
      <c r="B31" s="273"/>
      <c r="C31" s="274" t="s">
        <v>812</v>
      </c>
      <c r="D31" s="268" t="s">
        <v>995</v>
      </c>
      <c r="E31" s="268" t="s">
        <v>938</v>
      </c>
      <c r="F31" s="268" t="s">
        <v>939</v>
      </c>
      <c r="G31" s="268" t="s">
        <v>1040</v>
      </c>
      <c r="I31" s="268" t="s">
        <v>995</v>
      </c>
      <c r="J31" s="268" t="s">
        <v>938</v>
      </c>
      <c r="K31" s="268" t="s">
        <v>939</v>
      </c>
      <c r="L31" s="268" t="s">
        <v>1040</v>
      </c>
      <c r="M31" s="18"/>
      <c r="N31" s="268" t="s">
        <v>995</v>
      </c>
      <c r="O31" s="268" t="s">
        <v>938</v>
      </c>
      <c r="P31" s="268" t="s">
        <v>939</v>
      </c>
      <c r="Q31" s="266" t="s">
        <v>1040</v>
      </c>
      <c r="R31" s="264" t="s">
        <v>1349</v>
      </c>
      <c r="V31" s="18"/>
      <c r="W31" s="18"/>
      <c r="X31" s="18"/>
      <c r="Y31" s="18"/>
    </row>
    <row r="32" spans="1:25" x14ac:dyDescent="0.25">
      <c r="A32" s="273"/>
      <c r="B32" s="273"/>
      <c r="C32" s="275"/>
      <c r="D32" s="269"/>
      <c r="E32" s="269"/>
      <c r="F32" s="269"/>
      <c r="G32" s="269"/>
      <c r="I32" s="269"/>
      <c r="J32" s="269"/>
      <c r="K32" s="269"/>
      <c r="L32" s="269"/>
      <c r="M32" s="18"/>
      <c r="N32" s="269"/>
      <c r="O32" s="269"/>
      <c r="P32" s="269"/>
      <c r="Q32" s="267"/>
      <c r="R32" s="264"/>
      <c r="V32" s="18"/>
      <c r="W32" s="18"/>
      <c r="X32" s="18"/>
      <c r="Y32" s="18"/>
    </row>
    <row r="33" spans="1:25" x14ac:dyDescent="0.25">
      <c r="A33" s="243" t="str">
        <f>'Data files'!A16</f>
        <v>1. test service</v>
      </c>
      <c r="B33" s="243"/>
      <c r="C33" s="16">
        <f ca="1">IF('Control Sheet'!A47&lt;='Data files'!$E$9,IF(ISNA(MATCH(1,OFFSET(#REF!,0,0,1,'Control Sheet'!H47)))=FALSE,1,IF(ISNA(MATCH(2,OFFSET(#REF!,0,0,1,'Control Sheet'!H47)))=FALSE,2,3)),0)</f>
        <v>0</v>
      </c>
      <c r="D33" s="16" t="str">
        <f>IF('Control Sheet'!I46=0,"--",'Control Sheet'!I46)</f>
        <v>New</v>
      </c>
      <c r="E33" s="62">
        <f>IF('WL Balance (hide)'!B4=0,"--",'WL Balance (hide)'!B4*0.95)</f>
        <v>40.434330285099513</v>
      </c>
      <c r="F33" s="62">
        <f>IF('WL Balance (hide)'!B4=0,"--",'WL Balance (hide)'!B4*1.05)</f>
        <v>44.69057557826789</v>
      </c>
      <c r="G33" s="62">
        <f>IF('WL Balance (hide)'!E4=0,"--",'WL Balance (hide)'!E4)</f>
        <v>56.78321678321678</v>
      </c>
      <c r="I33" s="16" t="str">
        <f>IF('Control Sheet'!F46=0,"",'Control Sheet'!J46)</f>
        <v/>
      </c>
      <c r="J33" s="138" t="s">
        <v>1295</v>
      </c>
      <c r="K33" s="78" t="s">
        <v>1295</v>
      </c>
      <c r="L33" s="78" t="s">
        <v>1295</v>
      </c>
      <c r="M33" s="18"/>
      <c r="N33" s="16" t="str">
        <f>IF('Control Sheet'!G46=0,"",'Control Sheet'!K46)</f>
        <v/>
      </c>
      <c r="O33" s="78" t="str">
        <f>IF('WL Balance (hide)'!D4=0,"--",0.95*'WL Balance (hide)'!D4)</f>
        <v>--</v>
      </c>
      <c r="P33" s="78" t="str">
        <f>IF('WL Balance (hide)'!D4=0,"--",1.05*'WL Balance (hide)'!D4)</f>
        <v>--</v>
      </c>
      <c r="Q33" s="78" t="str">
        <f>IF('WL Balance (hide)'!D4=0,"--",'WL Balance (hide)'!G4)</f>
        <v>--</v>
      </c>
      <c r="R33" s="158">
        <f>IF(G33&gt;F33,G33-F33,"-")</f>
        <v>12.09264120494889</v>
      </c>
      <c r="V33" s="18"/>
      <c r="W33" s="18"/>
      <c r="X33" s="18"/>
      <c r="Y33" s="18"/>
    </row>
    <row r="34" spans="1:25" hidden="1" x14ac:dyDescent="0.25">
      <c r="A34" s="243" t="str">
        <f>'Data files'!A17</f>
        <v xml:space="preserve">2. </v>
      </c>
      <c r="B34" s="243"/>
      <c r="C34" s="16">
        <f ca="1">IF('Control Sheet'!A48&lt;='Data files'!$E$9,IF(ISNA(MATCH(1,OFFSET(#REF!,0,0,1,'Control Sheet'!H48)))=FALSE,1,IF(ISNA(MATCH(2,OFFSET(#REF!,0,0,1,'Control Sheet'!H48)))=FALSE,2,3)),0)</f>
        <v>0</v>
      </c>
      <c r="D34" s="16" t="str">
        <f>IF('Control Sheet'!I47=0,"--",'Control Sheet'!I47)</f>
        <v>0</v>
      </c>
      <c r="E34" s="62" t="str">
        <f>IF('WL Balance (hide)'!B5=0,"--",'WL Balance (hide)'!B5*0.95)</f>
        <v>--</v>
      </c>
      <c r="F34" s="62" t="str">
        <f>IF('WL Balance (hide)'!B5=0,"--",'WL Balance (hide)'!B5*1.05)</f>
        <v>--</v>
      </c>
      <c r="G34" s="62" t="str">
        <f>IF('WL Balance (hide)'!E5=0,"--",'WL Balance (hide)'!E5)</f>
        <v>--</v>
      </c>
      <c r="I34" s="16" t="str">
        <f>IF('Control Sheet'!F47=0,"",'Control Sheet'!J47)</f>
        <v/>
      </c>
      <c r="J34" s="78" t="s">
        <v>1295</v>
      </c>
      <c r="K34" s="78" t="s">
        <v>1295</v>
      </c>
      <c r="L34" s="78" t="s">
        <v>1295</v>
      </c>
      <c r="M34" s="18"/>
      <c r="N34" s="16" t="str">
        <f>IF('Control Sheet'!G47=0,"",'Control Sheet'!K47)</f>
        <v/>
      </c>
      <c r="O34" s="78" t="str">
        <f>IF('WL Balance (hide)'!D5=0,"--",0.95*'WL Balance (hide)'!D5)</f>
        <v>--</v>
      </c>
      <c r="P34" s="78" t="str">
        <f>IF('WL Balance (hide)'!D5=0,"--",1.05*'WL Balance (hide)'!D5)</f>
        <v>--</v>
      </c>
      <c r="Q34" s="78" t="str">
        <f>IF('WL Balance (hide)'!D5=0,"--",'WL Balance (hide)'!G5)</f>
        <v>--</v>
      </c>
      <c r="R34" s="158" t="str">
        <f t="shared" ref="R34:R52" si="0">IF(G34&gt;F34,G34-F34,"-")</f>
        <v>-</v>
      </c>
      <c r="V34" s="18"/>
      <c r="W34" s="18"/>
      <c r="X34" s="18"/>
      <c r="Y34" s="18"/>
    </row>
    <row r="35" spans="1:25" hidden="1" x14ac:dyDescent="0.25">
      <c r="A35" s="243" t="str">
        <f>'Data files'!A18</f>
        <v xml:space="preserve">3. </v>
      </c>
      <c r="B35" s="243"/>
      <c r="C35" s="16">
        <f ca="1">IF('Control Sheet'!A49&lt;='Data files'!$E$9,IF(ISNA(MATCH(1,OFFSET(#REF!,0,0,1,'Control Sheet'!H49)))=FALSE,1,IF(ISNA(MATCH(2,OFFSET(#REF!,0,0,1,'Control Sheet'!H49)))=FALSE,2,3)),0)</f>
        <v>0</v>
      </c>
      <c r="D35" s="16" t="str">
        <f>IF('Control Sheet'!I48=0,"--",'Control Sheet'!I48)</f>
        <v>0</v>
      </c>
      <c r="E35" s="62" t="str">
        <f>IF('WL Balance (hide)'!B6=0,"--",'WL Balance (hide)'!B6*0.95)</f>
        <v>--</v>
      </c>
      <c r="F35" s="62" t="str">
        <f>IF('WL Balance (hide)'!B6=0,"--",'WL Balance (hide)'!B6*1.05)</f>
        <v>--</v>
      </c>
      <c r="G35" s="62" t="str">
        <f>IF('WL Balance (hide)'!E6=0,"--",'WL Balance (hide)'!E6)</f>
        <v>--</v>
      </c>
      <c r="I35" s="16" t="str">
        <f>IF('Control Sheet'!F48=0,"",'Control Sheet'!J48)</f>
        <v/>
      </c>
      <c r="J35" s="78" t="s">
        <v>1295</v>
      </c>
      <c r="K35" s="78" t="s">
        <v>1295</v>
      </c>
      <c r="L35" s="78" t="s">
        <v>1295</v>
      </c>
      <c r="M35" s="18"/>
      <c r="N35" s="16" t="str">
        <f>IF('Control Sheet'!G48=0,"",'Control Sheet'!K48)</f>
        <v/>
      </c>
      <c r="O35" s="78" t="str">
        <f>IF('WL Balance (hide)'!D6=0,"--",0.95*'WL Balance (hide)'!D6)</f>
        <v>--</v>
      </c>
      <c r="P35" s="78" t="str">
        <f>IF('WL Balance (hide)'!D6=0,"--",1.05*'WL Balance (hide)'!D6)</f>
        <v>--</v>
      </c>
      <c r="Q35" s="78" t="str">
        <f>IF('WL Balance (hide)'!D6=0,"--",'WL Balance (hide)'!G6)</f>
        <v>--</v>
      </c>
      <c r="R35" s="158" t="str">
        <f t="shared" si="0"/>
        <v>-</v>
      </c>
      <c r="V35" s="18"/>
      <c r="W35" s="18"/>
      <c r="X35" s="18"/>
      <c r="Y35" s="18"/>
    </row>
    <row r="36" spans="1:25" hidden="1" x14ac:dyDescent="0.25">
      <c r="A36" s="243" t="str">
        <f>'Data files'!A19</f>
        <v xml:space="preserve">4. </v>
      </c>
      <c r="B36" s="243"/>
      <c r="C36" s="16">
        <f ca="1">IF('Control Sheet'!A50&lt;='Data files'!$E$9,IF(ISNA(MATCH(1,OFFSET(#REF!,0,0,1,'Control Sheet'!H50)))=FALSE,1,IF(ISNA(MATCH(2,OFFSET(#REF!,0,0,1,'Control Sheet'!H50)))=FALSE,2,3)),0)</f>
        <v>0</v>
      </c>
      <c r="D36" s="16" t="str">
        <f>IF('Control Sheet'!I49=0,"--",'Control Sheet'!I49)</f>
        <v>0</v>
      </c>
      <c r="E36" s="62" t="str">
        <f>IF('WL Balance (hide)'!B7=0,"--",'WL Balance (hide)'!B7*0.95)</f>
        <v>--</v>
      </c>
      <c r="F36" s="62" t="str">
        <f>IF('WL Balance (hide)'!B7=0,"--",'WL Balance (hide)'!B7*1.05)</f>
        <v>--</v>
      </c>
      <c r="G36" s="62" t="str">
        <f>IF('WL Balance (hide)'!E7=0,"--",'WL Balance (hide)'!E7)</f>
        <v>--</v>
      </c>
      <c r="I36" s="16" t="str">
        <f>IF('Control Sheet'!F49=0,"",'Control Sheet'!J49)</f>
        <v/>
      </c>
      <c r="J36" s="78" t="s">
        <v>1295</v>
      </c>
      <c r="K36" s="78" t="s">
        <v>1295</v>
      </c>
      <c r="L36" s="78" t="s">
        <v>1295</v>
      </c>
      <c r="M36" s="18"/>
      <c r="N36" s="16" t="str">
        <f>IF('Control Sheet'!G49=0,"",'Control Sheet'!K49)</f>
        <v/>
      </c>
      <c r="O36" s="78" t="str">
        <f>IF('WL Balance (hide)'!D7=0,"--",0.95*'WL Balance (hide)'!D7)</f>
        <v>--</v>
      </c>
      <c r="P36" s="78" t="str">
        <f>IF('WL Balance (hide)'!D7=0,"--",1.05*'WL Balance (hide)'!D7)</f>
        <v>--</v>
      </c>
      <c r="Q36" s="78" t="str">
        <f>IF('WL Balance (hide)'!D7=0,"--",'WL Balance (hide)'!G7)</f>
        <v>--</v>
      </c>
      <c r="R36" s="158" t="str">
        <f t="shared" si="0"/>
        <v>-</v>
      </c>
      <c r="V36" s="18"/>
      <c r="W36" s="18"/>
      <c r="X36" s="18"/>
      <c r="Y36" s="18"/>
    </row>
    <row r="37" spans="1:25" hidden="1" x14ac:dyDescent="0.25">
      <c r="A37" s="243" t="str">
        <f>'Data files'!A20</f>
        <v xml:space="preserve">5. </v>
      </c>
      <c r="B37" s="243"/>
      <c r="C37" s="16">
        <f ca="1">IF('Control Sheet'!A51&lt;='Data files'!$E$9,IF(ISNA(MATCH(1,OFFSET(#REF!,0,0,1,'Control Sheet'!H51)))=FALSE,1,IF(ISNA(MATCH(2,OFFSET(#REF!,0,0,1,'Control Sheet'!H51)))=FALSE,2,3)),0)</f>
        <v>0</v>
      </c>
      <c r="D37" s="16" t="str">
        <f>IF('Control Sheet'!I50=0,"--",'Control Sheet'!I50)</f>
        <v>0</v>
      </c>
      <c r="E37" s="62" t="str">
        <f>IF('WL Balance (hide)'!B8=0,"--",'WL Balance (hide)'!B8*0.95)</f>
        <v>--</v>
      </c>
      <c r="F37" s="62" t="str">
        <f>IF('WL Balance (hide)'!B8=0,"--",'WL Balance (hide)'!B8*1.05)</f>
        <v>--</v>
      </c>
      <c r="G37" s="62" t="str">
        <f>IF('WL Balance (hide)'!E8=0,"--",'WL Balance (hide)'!E8)</f>
        <v>--</v>
      </c>
      <c r="I37" s="16" t="str">
        <f>IF('Control Sheet'!F50=0,"",'Control Sheet'!J50)</f>
        <v/>
      </c>
      <c r="J37" s="78" t="s">
        <v>1295</v>
      </c>
      <c r="K37" s="78" t="s">
        <v>1295</v>
      </c>
      <c r="L37" s="78" t="s">
        <v>1295</v>
      </c>
      <c r="M37" s="18"/>
      <c r="N37" s="16" t="str">
        <f>IF('Control Sheet'!G50=0,"",'Control Sheet'!K50)</f>
        <v/>
      </c>
      <c r="O37" s="78" t="str">
        <f>IF('WL Balance (hide)'!D8=0,"--",0.95*'WL Balance (hide)'!D8)</f>
        <v>--</v>
      </c>
      <c r="P37" s="78" t="str">
        <f>IF('WL Balance (hide)'!D8=0,"--",1.05*'WL Balance (hide)'!D8)</f>
        <v>--</v>
      </c>
      <c r="Q37" s="78" t="str">
        <f>IF('WL Balance (hide)'!D8=0,"--",'WL Balance (hide)'!G8)</f>
        <v>--</v>
      </c>
      <c r="R37" s="158" t="str">
        <f t="shared" si="0"/>
        <v>-</v>
      </c>
      <c r="V37" s="18"/>
      <c r="W37" s="18"/>
      <c r="X37" s="18"/>
      <c r="Y37" s="18"/>
    </row>
    <row r="38" spans="1:25" hidden="1" x14ac:dyDescent="0.25">
      <c r="A38" s="243" t="str">
        <f>'Data files'!A21</f>
        <v xml:space="preserve">6. </v>
      </c>
      <c r="B38" s="243"/>
      <c r="C38" s="16">
        <f ca="1">IF('Control Sheet'!A52&lt;='Data files'!$E$9,IF(ISNA(MATCH(1,OFFSET(#REF!,0,0,1,'Control Sheet'!H52)))=FALSE,1,IF(ISNA(MATCH(2,OFFSET(#REF!,0,0,1,'Control Sheet'!H52)))=FALSE,2,3)),0)</f>
        <v>0</v>
      </c>
      <c r="D38" s="16" t="str">
        <f>IF('Control Sheet'!I51=0,"--",'Control Sheet'!I51)</f>
        <v>0</v>
      </c>
      <c r="E38" s="62" t="str">
        <f>IF('WL Balance (hide)'!B9=0,"--",'WL Balance (hide)'!B9*0.95)</f>
        <v>--</v>
      </c>
      <c r="F38" s="62" t="str">
        <f>IF('WL Balance (hide)'!B9=0,"--",'WL Balance (hide)'!B9*1.05)</f>
        <v>--</v>
      </c>
      <c r="G38" s="62" t="str">
        <f>IF('WL Balance (hide)'!E9=0,"--",'WL Balance (hide)'!E9)</f>
        <v>--</v>
      </c>
      <c r="I38" s="16" t="str">
        <f>IF('Control Sheet'!F51=0,"",'Control Sheet'!J51)</f>
        <v/>
      </c>
      <c r="J38" s="78" t="s">
        <v>1295</v>
      </c>
      <c r="K38" s="78" t="s">
        <v>1295</v>
      </c>
      <c r="L38" s="78" t="s">
        <v>1295</v>
      </c>
      <c r="M38" s="18"/>
      <c r="N38" s="16" t="str">
        <f>IF('Control Sheet'!G51=0,"",'Control Sheet'!K51)</f>
        <v/>
      </c>
      <c r="O38" s="78" t="str">
        <f>IF('WL Balance (hide)'!D9=0,"--",0.95*'WL Balance (hide)'!D9)</f>
        <v>--</v>
      </c>
      <c r="P38" s="78" t="str">
        <f>IF('WL Balance (hide)'!D9=0,"--",1.05*'WL Balance (hide)'!D9)</f>
        <v>--</v>
      </c>
      <c r="Q38" s="78" t="str">
        <f>IF('WL Balance (hide)'!D9=0,"--",'WL Balance (hide)'!G9)</f>
        <v>--</v>
      </c>
      <c r="R38" s="158" t="str">
        <f t="shared" si="0"/>
        <v>-</v>
      </c>
      <c r="V38" s="18"/>
      <c r="W38" s="18"/>
      <c r="X38" s="18"/>
      <c r="Y38" s="18"/>
    </row>
    <row r="39" spans="1:25" hidden="1" x14ac:dyDescent="0.25">
      <c r="A39" s="243" t="str">
        <f>'Data files'!A22</f>
        <v xml:space="preserve">7. </v>
      </c>
      <c r="B39" s="243"/>
      <c r="C39" s="16">
        <f ca="1">IF('Control Sheet'!A53&lt;='Data files'!$E$9,IF(ISNA(MATCH(1,OFFSET(#REF!,0,0,1,'Control Sheet'!H53)))=FALSE,1,IF(ISNA(MATCH(2,OFFSET(#REF!,0,0,1,'Control Sheet'!H53)))=FALSE,2,3)),0)</f>
        <v>0</v>
      </c>
      <c r="D39" s="16" t="str">
        <f>IF('Control Sheet'!I52=0,"--",'Control Sheet'!I52)</f>
        <v>0</v>
      </c>
      <c r="E39" s="62" t="str">
        <f>IF('WL Balance (hide)'!B10=0,"--",'WL Balance (hide)'!B10*0.95)</f>
        <v>--</v>
      </c>
      <c r="F39" s="62" t="str">
        <f>IF('WL Balance (hide)'!B10=0,"--",'WL Balance (hide)'!B10*1.05)</f>
        <v>--</v>
      </c>
      <c r="G39" s="62" t="str">
        <f>IF('WL Balance (hide)'!E10=0,"--",'WL Balance (hide)'!E10)</f>
        <v>--</v>
      </c>
      <c r="I39" s="16" t="str">
        <f>IF('Control Sheet'!F52=0,"",'Control Sheet'!J52)</f>
        <v/>
      </c>
      <c r="J39" s="78" t="s">
        <v>1295</v>
      </c>
      <c r="K39" s="78" t="s">
        <v>1295</v>
      </c>
      <c r="L39" s="78" t="s">
        <v>1295</v>
      </c>
      <c r="M39" s="18"/>
      <c r="N39" s="16" t="str">
        <f>IF('Control Sheet'!G52=0,"",'Control Sheet'!K52)</f>
        <v/>
      </c>
      <c r="O39" s="78" t="str">
        <f>IF('WL Balance (hide)'!D10=0,"--",0.95*'WL Balance (hide)'!D10)</f>
        <v>--</v>
      </c>
      <c r="P39" s="78" t="str">
        <f>IF('WL Balance (hide)'!D10=0,"--",1.05*'WL Balance (hide)'!D10)</f>
        <v>--</v>
      </c>
      <c r="Q39" s="78" t="str">
        <f>IF('WL Balance (hide)'!D10=0,"--",'WL Balance (hide)'!G10)</f>
        <v>--</v>
      </c>
      <c r="R39" s="158" t="str">
        <f t="shared" si="0"/>
        <v>-</v>
      </c>
      <c r="V39" s="18"/>
      <c r="W39" s="18"/>
      <c r="X39" s="18"/>
      <c r="Y39" s="18"/>
    </row>
    <row r="40" spans="1:25" hidden="1" x14ac:dyDescent="0.25">
      <c r="A40" s="243" t="str">
        <f>'Data files'!A23</f>
        <v xml:space="preserve">8. </v>
      </c>
      <c r="B40" s="243"/>
      <c r="C40" s="16">
        <f ca="1">IF('Control Sheet'!A54&lt;='Data files'!$E$9,IF(ISNA(MATCH(1,OFFSET(#REF!,0,0,1,'Control Sheet'!H54)))=FALSE,1,IF(ISNA(MATCH(2,OFFSET(#REF!,0,0,1,'Control Sheet'!H54)))=FALSE,2,3)),0)</f>
        <v>0</v>
      </c>
      <c r="D40" s="16" t="str">
        <f>IF('Control Sheet'!I53=0,"--",'Control Sheet'!I53)</f>
        <v>0</v>
      </c>
      <c r="E40" s="62" t="str">
        <f>IF('WL Balance (hide)'!B11=0,"--",'WL Balance (hide)'!B11*0.95)</f>
        <v>--</v>
      </c>
      <c r="F40" s="62" t="str">
        <f>IF('WL Balance (hide)'!B11=0,"--",'WL Balance (hide)'!B11*1.05)</f>
        <v>--</v>
      </c>
      <c r="G40" s="62" t="str">
        <f>IF('WL Balance (hide)'!E11=0,"--",'WL Balance (hide)'!E11)</f>
        <v>--</v>
      </c>
      <c r="I40" s="16" t="str">
        <f>IF('Control Sheet'!F53=0,"",'Control Sheet'!J53)</f>
        <v/>
      </c>
      <c r="J40" s="78" t="s">
        <v>1295</v>
      </c>
      <c r="K40" s="78" t="s">
        <v>1295</v>
      </c>
      <c r="L40" s="78" t="s">
        <v>1295</v>
      </c>
      <c r="M40" s="18"/>
      <c r="N40" s="16" t="str">
        <f>IF('Control Sheet'!G53=0,"",'Control Sheet'!K53)</f>
        <v/>
      </c>
      <c r="O40" s="78" t="str">
        <f>IF('WL Balance (hide)'!D11=0,"--",0.95*'WL Balance (hide)'!D11)</f>
        <v>--</v>
      </c>
      <c r="P40" s="78" t="str">
        <f>IF('WL Balance (hide)'!D11=0,"--",1.05*'WL Balance (hide)'!D11)</f>
        <v>--</v>
      </c>
      <c r="Q40" s="78" t="str">
        <f>IF('WL Balance (hide)'!D11=0,"--",'WL Balance (hide)'!G11)</f>
        <v>--</v>
      </c>
      <c r="R40" s="158" t="str">
        <f t="shared" si="0"/>
        <v>-</v>
      </c>
      <c r="V40" s="18"/>
      <c r="W40" s="18"/>
      <c r="X40" s="18"/>
      <c r="Y40" s="18"/>
    </row>
    <row r="41" spans="1:25" hidden="1" x14ac:dyDescent="0.25">
      <c r="A41" s="243" t="str">
        <f>'Data files'!A24</f>
        <v xml:space="preserve">9. </v>
      </c>
      <c r="B41" s="243"/>
      <c r="C41" s="16">
        <f ca="1">IF('Control Sheet'!A55&lt;='Data files'!$E$9,IF(ISNA(MATCH(1,OFFSET(#REF!,0,0,1,'Control Sheet'!H55)))=FALSE,1,IF(ISNA(MATCH(2,OFFSET(#REF!,0,0,1,'Control Sheet'!H55)))=FALSE,2,3)),0)</f>
        <v>0</v>
      </c>
      <c r="D41" s="16" t="str">
        <f>IF('Control Sheet'!I54=0,"--",'Control Sheet'!I54)</f>
        <v>0</v>
      </c>
      <c r="E41" s="62" t="str">
        <f>IF('WL Balance (hide)'!B12=0,"--",'WL Balance (hide)'!B12*0.95)</f>
        <v>--</v>
      </c>
      <c r="F41" s="62" t="str">
        <f>IF('WL Balance (hide)'!B12=0,"--",'WL Balance (hide)'!B12*1.05)</f>
        <v>--</v>
      </c>
      <c r="G41" s="62" t="str">
        <f>IF('WL Balance (hide)'!E12=0,"--",'WL Balance (hide)'!E12)</f>
        <v>--</v>
      </c>
      <c r="I41" s="16" t="str">
        <f>IF('Control Sheet'!F54=0,"",'Control Sheet'!J54)</f>
        <v/>
      </c>
      <c r="J41" s="78" t="s">
        <v>1295</v>
      </c>
      <c r="K41" s="78" t="s">
        <v>1295</v>
      </c>
      <c r="L41" s="78" t="s">
        <v>1295</v>
      </c>
      <c r="M41" s="18"/>
      <c r="N41" s="16" t="str">
        <f>IF('Control Sheet'!G54=0,"",'Control Sheet'!K54)</f>
        <v/>
      </c>
      <c r="O41" s="78" t="str">
        <f>IF('WL Balance (hide)'!D12=0,"--",0.95*'WL Balance (hide)'!D12)</f>
        <v>--</v>
      </c>
      <c r="P41" s="78" t="str">
        <f>IF('WL Balance (hide)'!D12=0,"--",1.05*'WL Balance (hide)'!D12)</f>
        <v>--</v>
      </c>
      <c r="Q41" s="78" t="str">
        <f>IF('WL Balance (hide)'!D12=0,"--",'WL Balance (hide)'!G12)</f>
        <v>--</v>
      </c>
      <c r="R41" s="158" t="str">
        <f t="shared" si="0"/>
        <v>-</v>
      </c>
      <c r="V41" s="18"/>
      <c r="W41" s="18"/>
      <c r="X41" s="18"/>
      <c r="Y41" s="18"/>
    </row>
    <row r="42" spans="1:25" hidden="1" x14ac:dyDescent="0.25">
      <c r="A42" s="243" t="str">
        <f>'Data files'!A25</f>
        <v xml:space="preserve">10. </v>
      </c>
      <c r="B42" s="243"/>
      <c r="C42" s="16">
        <f ca="1">IF('Control Sheet'!A56&lt;='Data files'!$E$9,IF(ISNA(MATCH(1,OFFSET(#REF!,0,0,1,'Control Sheet'!H56)))=FALSE,1,IF(ISNA(MATCH(2,OFFSET(#REF!,0,0,1,'Control Sheet'!H56)))=FALSE,2,3)),0)</f>
        <v>0</v>
      </c>
      <c r="D42" s="16" t="str">
        <f>IF('Control Sheet'!I55=0,"--",'Control Sheet'!I55)</f>
        <v>0</v>
      </c>
      <c r="E42" s="62" t="str">
        <f>IF('WL Balance (hide)'!B13=0,"--",'WL Balance (hide)'!B13*0.95)</f>
        <v>--</v>
      </c>
      <c r="F42" s="62" t="str">
        <f>IF('WL Balance (hide)'!B13=0,"--",'WL Balance (hide)'!B13*1.05)</f>
        <v>--</v>
      </c>
      <c r="G42" s="62" t="str">
        <f>IF('WL Balance (hide)'!E13=0,"--",'WL Balance (hide)'!E13)</f>
        <v>--</v>
      </c>
      <c r="I42" s="16" t="str">
        <f>IF('Control Sheet'!F55=0,"",'Control Sheet'!J55)</f>
        <v/>
      </c>
      <c r="J42" s="78" t="s">
        <v>1295</v>
      </c>
      <c r="K42" s="78" t="s">
        <v>1295</v>
      </c>
      <c r="L42" s="78" t="s">
        <v>1295</v>
      </c>
      <c r="M42" s="18"/>
      <c r="N42" s="16" t="str">
        <f>IF('Control Sheet'!G55=0,"",'Control Sheet'!K55)</f>
        <v/>
      </c>
      <c r="O42" s="78" t="str">
        <f>IF('WL Balance (hide)'!D13=0,"--",0.95*'WL Balance (hide)'!D13)</f>
        <v>--</v>
      </c>
      <c r="P42" s="78" t="str">
        <f>IF('WL Balance (hide)'!D13=0,"--",1.05*'WL Balance (hide)'!D13)</f>
        <v>--</v>
      </c>
      <c r="Q42" s="78" t="str">
        <f>IF('WL Balance (hide)'!D13=0,"--",'WL Balance (hide)'!G13)</f>
        <v>--</v>
      </c>
      <c r="R42" s="158" t="str">
        <f t="shared" si="0"/>
        <v>-</v>
      </c>
      <c r="V42" s="18"/>
      <c r="W42" s="18"/>
      <c r="X42" s="18"/>
      <c r="Y42" s="18"/>
    </row>
    <row r="43" spans="1:25" hidden="1" x14ac:dyDescent="0.25">
      <c r="A43" s="243" t="str">
        <f>'Data files'!A26</f>
        <v xml:space="preserve">11. </v>
      </c>
      <c r="B43" s="243"/>
      <c r="C43" s="16">
        <f ca="1">IF('Control Sheet'!A57&lt;='Data files'!$E$9,IF(ISNA(MATCH(1,OFFSET(#REF!,0,0,1,'Control Sheet'!H57)))=FALSE,1,IF(ISNA(MATCH(2,OFFSET(#REF!,0,0,1,'Control Sheet'!H57)))=FALSE,2,3)),0)</f>
        <v>0</v>
      </c>
      <c r="D43" s="16" t="str">
        <f>IF('Control Sheet'!I56=0,"--",'Control Sheet'!I56)</f>
        <v>0</v>
      </c>
      <c r="E43" s="62" t="str">
        <f>IF('WL Balance (hide)'!B14=0,"--",'WL Balance (hide)'!B14*0.95)</f>
        <v>--</v>
      </c>
      <c r="F43" s="62" t="str">
        <f>IF('WL Balance (hide)'!B14=0,"--",'WL Balance (hide)'!B14*1.05)</f>
        <v>--</v>
      </c>
      <c r="G43" s="62" t="str">
        <f>IF('WL Balance (hide)'!E14=0,"--",'WL Balance (hide)'!E14)</f>
        <v>--</v>
      </c>
      <c r="I43" s="16" t="str">
        <f>IF('Control Sheet'!F56=0,"",'Control Sheet'!J56)</f>
        <v/>
      </c>
      <c r="J43" s="78" t="s">
        <v>1295</v>
      </c>
      <c r="K43" s="78" t="s">
        <v>1295</v>
      </c>
      <c r="L43" s="78" t="s">
        <v>1295</v>
      </c>
      <c r="M43" s="18"/>
      <c r="N43" s="16" t="str">
        <f>IF('Control Sheet'!G56=0,"",'Control Sheet'!K56)</f>
        <v/>
      </c>
      <c r="O43" s="78" t="str">
        <f>IF('WL Balance (hide)'!D14=0,"--",0.95*'WL Balance (hide)'!D14)</f>
        <v>--</v>
      </c>
      <c r="P43" s="78" t="str">
        <f>IF('WL Balance (hide)'!D14=0,"--",1.05*'WL Balance (hide)'!D14)</f>
        <v>--</v>
      </c>
      <c r="Q43" s="78" t="str">
        <f>IF('WL Balance (hide)'!D14=0,"--",'WL Balance (hide)'!G14)</f>
        <v>--</v>
      </c>
      <c r="R43" s="158" t="str">
        <f t="shared" si="0"/>
        <v>-</v>
      </c>
      <c r="V43" s="18"/>
      <c r="W43" s="18"/>
      <c r="X43" s="18"/>
      <c r="Y43" s="18"/>
    </row>
    <row r="44" spans="1:25" hidden="1" x14ac:dyDescent="0.25">
      <c r="A44" s="243" t="str">
        <f>'Data files'!A27</f>
        <v xml:space="preserve">12. </v>
      </c>
      <c r="B44" s="243"/>
      <c r="C44" s="16">
        <f ca="1">IF('Control Sheet'!A58&lt;='Data files'!$E$9,IF(ISNA(MATCH(1,OFFSET(#REF!,0,0,1,'Control Sheet'!H58)))=FALSE,1,IF(ISNA(MATCH(2,OFFSET(#REF!,0,0,1,'Control Sheet'!H58)))=FALSE,2,3)),0)</f>
        <v>0</v>
      </c>
      <c r="D44" s="16" t="str">
        <f>IF('Control Sheet'!I57=0,"--",'Control Sheet'!I57)</f>
        <v>0</v>
      </c>
      <c r="E44" s="62" t="str">
        <f>IF('WL Balance (hide)'!B15=0,"--",'WL Balance (hide)'!B15*0.95)</f>
        <v>--</v>
      </c>
      <c r="F44" s="62" t="str">
        <f>IF('WL Balance (hide)'!B15=0,"--",'WL Balance (hide)'!B15*1.05)</f>
        <v>--</v>
      </c>
      <c r="G44" s="62" t="str">
        <f>IF('WL Balance (hide)'!E15=0,"--",'WL Balance (hide)'!E15)</f>
        <v>--</v>
      </c>
      <c r="I44" s="16" t="str">
        <f>IF('Control Sheet'!F57=0,"",'Control Sheet'!J57)</f>
        <v/>
      </c>
      <c r="J44" s="78" t="s">
        <v>1295</v>
      </c>
      <c r="K44" s="78" t="s">
        <v>1295</v>
      </c>
      <c r="L44" s="78" t="s">
        <v>1295</v>
      </c>
      <c r="M44" s="18"/>
      <c r="N44" s="16" t="str">
        <f>IF('Control Sheet'!G57=0,"",'Control Sheet'!K57)</f>
        <v/>
      </c>
      <c r="O44" s="78" t="str">
        <f>IF('WL Balance (hide)'!D15=0,"--",0.95*'WL Balance (hide)'!D15)</f>
        <v>--</v>
      </c>
      <c r="P44" s="78" t="str">
        <f>IF('WL Balance (hide)'!D15=0,"--",1.05*'WL Balance (hide)'!D15)</f>
        <v>--</v>
      </c>
      <c r="Q44" s="78" t="str">
        <f>IF('WL Balance (hide)'!D15=0,"--",'WL Balance (hide)'!G15)</f>
        <v>--</v>
      </c>
      <c r="R44" s="158" t="str">
        <f t="shared" si="0"/>
        <v>-</v>
      </c>
      <c r="V44" s="18"/>
      <c r="W44" s="18"/>
      <c r="X44" s="18"/>
      <c r="Y44" s="18"/>
    </row>
    <row r="45" spans="1:25" hidden="1" x14ac:dyDescent="0.25">
      <c r="A45" s="243" t="str">
        <f>'Data files'!A28</f>
        <v xml:space="preserve">13. </v>
      </c>
      <c r="B45" s="243"/>
      <c r="C45" s="16">
        <f ca="1">IF('Control Sheet'!A59&lt;='Data files'!$E$9,IF(ISNA(MATCH(1,OFFSET(#REF!,0,0,1,'Control Sheet'!H59)))=FALSE,1,IF(ISNA(MATCH(2,OFFSET(#REF!,0,0,1,'Control Sheet'!H59)))=FALSE,2,3)),0)</f>
        <v>0</v>
      </c>
      <c r="D45" s="16" t="str">
        <f>IF('Control Sheet'!I58=0,"--",'Control Sheet'!I58)</f>
        <v>0</v>
      </c>
      <c r="E45" s="62" t="str">
        <f>IF('WL Balance (hide)'!B16=0,"--",'WL Balance (hide)'!B16*0.95)</f>
        <v>--</v>
      </c>
      <c r="F45" s="62" t="str">
        <f>IF('WL Balance (hide)'!B16=0,"--",'WL Balance (hide)'!B16*1.05)</f>
        <v>--</v>
      </c>
      <c r="G45" s="62" t="str">
        <f>IF('WL Balance (hide)'!E16=0,"--",'WL Balance (hide)'!E16)</f>
        <v>--</v>
      </c>
      <c r="I45" s="16" t="str">
        <f>IF('Control Sheet'!F58=0,"",'Control Sheet'!J58)</f>
        <v/>
      </c>
      <c r="J45" s="78" t="s">
        <v>1295</v>
      </c>
      <c r="K45" s="78" t="s">
        <v>1295</v>
      </c>
      <c r="L45" s="78" t="s">
        <v>1295</v>
      </c>
      <c r="M45" s="18"/>
      <c r="N45" s="16" t="str">
        <f>IF('Control Sheet'!G58=0,"",'Control Sheet'!K58)</f>
        <v/>
      </c>
      <c r="O45" s="78" t="str">
        <f>IF('WL Balance (hide)'!D16=0,"--",0.95*'WL Balance (hide)'!D16)</f>
        <v>--</v>
      </c>
      <c r="P45" s="78" t="str">
        <f>IF('WL Balance (hide)'!D16=0,"--",1.05*'WL Balance (hide)'!D16)</f>
        <v>--</v>
      </c>
      <c r="Q45" s="78" t="str">
        <f>IF('WL Balance (hide)'!D16=0,"--",'WL Balance (hide)'!G16)</f>
        <v>--</v>
      </c>
      <c r="R45" s="158" t="str">
        <f t="shared" si="0"/>
        <v>-</v>
      </c>
      <c r="V45" s="18"/>
      <c r="W45" s="18"/>
      <c r="X45" s="18"/>
      <c r="Y45" s="18"/>
    </row>
    <row r="46" spans="1:25" hidden="1" x14ac:dyDescent="0.25">
      <c r="A46" s="243" t="str">
        <f>'Data files'!A29</f>
        <v xml:space="preserve">14. </v>
      </c>
      <c r="B46" s="243"/>
      <c r="C46" s="16">
        <f ca="1">IF('Control Sheet'!A60&lt;='Data files'!$E$9,IF(ISNA(MATCH(1,OFFSET(#REF!,0,0,1,'Control Sheet'!H60)))=FALSE,1,IF(ISNA(MATCH(2,OFFSET(#REF!,0,0,1,'Control Sheet'!H60)))=FALSE,2,3)),0)</f>
        <v>0</v>
      </c>
      <c r="D46" s="16" t="str">
        <f>IF('Control Sheet'!I59=0,"--",'Control Sheet'!I59)</f>
        <v>0</v>
      </c>
      <c r="E46" s="62" t="str">
        <f>IF('WL Balance (hide)'!B17=0,"--",'WL Balance (hide)'!B17*0.95)</f>
        <v>--</v>
      </c>
      <c r="F46" s="62" t="str">
        <f>IF('WL Balance (hide)'!B17=0,"--",'WL Balance (hide)'!B17*1.05)</f>
        <v>--</v>
      </c>
      <c r="G46" s="62" t="str">
        <f>IF('WL Balance (hide)'!E17=0,"--",'WL Balance (hide)'!E17)</f>
        <v>--</v>
      </c>
      <c r="I46" s="16" t="str">
        <f>IF('Control Sheet'!F59=0,"",'Control Sheet'!J59)</f>
        <v/>
      </c>
      <c r="J46" s="78" t="s">
        <v>1295</v>
      </c>
      <c r="K46" s="78" t="s">
        <v>1295</v>
      </c>
      <c r="L46" s="78" t="s">
        <v>1295</v>
      </c>
      <c r="M46" s="18"/>
      <c r="N46" s="16" t="str">
        <f>IF('Control Sheet'!G59=0,"",'Control Sheet'!K59)</f>
        <v/>
      </c>
      <c r="O46" s="78" t="str">
        <f>IF('WL Balance (hide)'!D17=0,"--",0.95*'WL Balance (hide)'!D17)</f>
        <v>--</v>
      </c>
      <c r="P46" s="78" t="str">
        <f>IF('WL Balance (hide)'!D17=0,"--",1.05*'WL Balance (hide)'!D17)</f>
        <v>--</v>
      </c>
      <c r="Q46" s="78" t="str">
        <f>IF('WL Balance (hide)'!D17=0,"--",'WL Balance (hide)'!G17)</f>
        <v>--</v>
      </c>
      <c r="R46" s="158" t="str">
        <f t="shared" si="0"/>
        <v>-</v>
      </c>
      <c r="V46" s="18"/>
      <c r="W46" s="18"/>
      <c r="X46" s="18"/>
      <c r="Y46" s="18"/>
    </row>
    <row r="47" spans="1:25" hidden="1" x14ac:dyDescent="0.25">
      <c r="A47" s="243" t="str">
        <f>'Data files'!A30</f>
        <v xml:space="preserve">15. </v>
      </c>
      <c r="B47" s="243"/>
      <c r="C47" s="16">
        <f ca="1">IF('Control Sheet'!A61&lt;='Data files'!$E$9,IF(ISNA(MATCH(1,OFFSET(#REF!,0,0,1,'Control Sheet'!H61)))=FALSE,1,IF(ISNA(MATCH(2,OFFSET(#REF!,0,0,1,'Control Sheet'!H61)))=FALSE,2,3)),0)</f>
        <v>0</v>
      </c>
      <c r="D47" s="16" t="str">
        <f>IF('Control Sheet'!I60=0,"--",'Control Sheet'!I60)</f>
        <v>0</v>
      </c>
      <c r="E47" s="62" t="str">
        <f>IF('WL Balance (hide)'!B18=0,"--",'WL Balance (hide)'!B18*0.95)</f>
        <v>--</v>
      </c>
      <c r="F47" s="62" t="str">
        <f>IF('WL Balance (hide)'!B18=0,"--",'WL Balance (hide)'!B18*1.05)</f>
        <v>--</v>
      </c>
      <c r="G47" s="62" t="str">
        <f>IF('WL Balance (hide)'!E18=0,"--",'WL Balance (hide)'!E18)</f>
        <v>--</v>
      </c>
      <c r="I47" s="16" t="str">
        <f>IF('Control Sheet'!F60=0,"",'Control Sheet'!J60)</f>
        <v/>
      </c>
      <c r="J47" s="78" t="s">
        <v>1295</v>
      </c>
      <c r="K47" s="78" t="s">
        <v>1295</v>
      </c>
      <c r="L47" s="78" t="s">
        <v>1295</v>
      </c>
      <c r="M47" s="18"/>
      <c r="N47" s="16" t="str">
        <f>IF('Control Sheet'!G60=0,"",'Control Sheet'!K60)</f>
        <v/>
      </c>
      <c r="O47" s="78" t="str">
        <f>IF('WL Balance (hide)'!D18=0,"--",0.95*'WL Balance (hide)'!D18)</f>
        <v>--</v>
      </c>
      <c r="P47" s="78" t="str">
        <f>IF('WL Balance (hide)'!D18=0,"--",1.05*'WL Balance (hide)'!D18)</f>
        <v>--</v>
      </c>
      <c r="Q47" s="78" t="str">
        <f>IF('WL Balance (hide)'!D18=0,"--",'WL Balance (hide)'!G18)</f>
        <v>--</v>
      </c>
      <c r="R47" s="158" t="str">
        <f t="shared" si="0"/>
        <v>-</v>
      </c>
      <c r="V47" s="18"/>
      <c r="W47" s="18"/>
      <c r="X47" s="18"/>
      <c r="Y47" s="18"/>
    </row>
    <row r="48" spans="1:25" hidden="1" x14ac:dyDescent="0.25">
      <c r="A48" s="243" t="str">
        <f>'Data files'!A31</f>
        <v xml:space="preserve">16. </v>
      </c>
      <c r="B48" s="243"/>
      <c r="C48" s="16">
        <f ca="1">IF('Control Sheet'!A62&lt;='Data files'!$E$9,IF(ISNA(MATCH(1,OFFSET(#REF!,0,0,1,'Control Sheet'!H62)))=FALSE,1,IF(ISNA(MATCH(2,OFFSET(#REF!,0,0,1,'Control Sheet'!H62)))=FALSE,2,3)),0)</f>
        <v>0</v>
      </c>
      <c r="D48" s="16" t="str">
        <f>IF('Control Sheet'!I61=0,"--",'Control Sheet'!I61)</f>
        <v>0</v>
      </c>
      <c r="E48" s="62" t="str">
        <f>IF('WL Balance (hide)'!B19=0,"--",'WL Balance (hide)'!B19*0.95)</f>
        <v>--</v>
      </c>
      <c r="F48" s="62" t="str">
        <f>IF('WL Balance (hide)'!B19=0,"--",'WL Balance (hide)'!B19*1.05)</f>
        <v>--</v>
      </c>
      <c r="G48" s="62" t="str">
        <f>IF('WL Balance (hide)'!E19=0,"--",'WL Balance (hide)'!E19)</f>
        <v>--</v>
      </c>
      <c r="I48" s="16" t="str">
        <f>IF('Control Sheet'!F61=0,"",'Control Sheet'!J61)</f>
        <v/>
      </c>
      <c r="J48" s="78" t="s">
        <v>1295</v>
      </c>
      <c r="K48" s="78" t="s">
        <v>1295</v>
      </c>
      <c r="L48" s="78" t="s">
        <v>1295</v>
      </c>
      <c r="M48" s="18"/>
      <c r="N48" s="16" t="str">
        <f>IF('Control Sheet'!G61=0,"",'Control Sheet'!K61)</f>
        <v/>
      </c>
      <c r="O48" s="78" t="str">
        <f>IF('WL Balance (hide)'!D19=0,"--",0.95*'WL Balance (hide)'!D19)</f>
        <v>--</v>
      </c>
      <c r="P48" s="78" t="str">
        <f>IF('WL Balance (hide)'!D19=0,"--",1.05*'WL Balance (hide)'!D19)</f>
        <v>--</v>
      </c>
      <c r="Q48" s="78" t="str">
        <f>IF('WL Balance (hide)'!D19=0,"--",'WL Balance (hide)'!G19)</f>
        <v>--</v>
      </c>
      <c r="R48" s="158" t="str">
        <f t="shared" si="0"/>
        <v>-</v>
      </c>
      <c r="V48" s="18"/>
      <c r="W48" s="18"/>
      <c r="X48" s="18"/>
      <c r="Y48" s="18"/>
    </row>
    <row r="49" spans="1:25" hidden="1" x14ac:dyDescent="0.25">
      <c r="A49" s="243" t="str">
        <f>'Data files'!A32</f>
        <v xml:space="preserve">17. </v>
      </c>
      <c r="B49" s="243"/>
      <c r="C49" s="16">
        <f ca="1">IF('Control Sheet'!A63&lt;='Data files'!$E$9,IF(ISNA(MATCH(1,OFFSET(#REF!,0,0,1,'Control Sheet'!H63)))=FALSE,1,IF(ISNA(MATCH(2,OFFSET(#REF!,0,0,1,'Control Sheet'!H63)))=FALSE,2,3)),0)</f>
        <v>0</v>
      </c>
      <c r="D49" s="16" t="str">
        <f>IF('Control Sheet'!I62=0,"--",'Control Sheet'!I62)</f>
        <v>0</v>
      </c>
      <c r="E49" s="62" t="str">
        <f>IF('WL Balance (hide)'!B20=0,"--",'WL Balance (hide)'!B20*0.95)</f>
        <v>--</v>
      </c>
      <c r="F49" s="62" t="str">
        <f>IF('WL Balance (hide)'!B20=0,"--",'WL Balance (hide)'!B20*1.05)</f>
        <v>--</v>
      </c>
      <c r="G49" s="62" t="str">
        <f>IF('WL Balance (hide)'!E20=0,"--",'WL Balance (hide)'!E20)</f>
        <v>--</v>
      </c>
      <c r="I49" s="16" t="str">
        <f>IF('Control Sheet'!F62=0,"",'Control Sheet'!J62)</f>
        <v/>
      </c>
      <c r="J49" s="78" t="s">
        <v>1295</v>
      </c>
      <c r="K49" s="78" t="s">
        <v>1295</v>
      </c>
      <c r="L49" s="78" t="s">
        <v>1295</v>
      </c>
      <c r="M49" s="18"/>
      <c r="N49" s="16" t="str">
        <f>IF('Control Sheet'!G62=0,"",'Control Sheet'!K62)</f>
        <v/>
      </c>
      <c r="O49" s="78" t="str">
        <f>IF('WL Balance (hide)'!D20=0,"--",0.95*'WL Balance (hide)'!D20)</f>
        <v>--</v>
      </c>
      <c r="P49" s="78" t="str">
        <f>IF('WL Balance (hide)'!D20=0,"--",1.05*'WL Balance (hide)'!D20)</f>
        <v>--</v>
      </c>
      <c r="Q49" s="78" t="str">
        <f>IF('WL Balance (hide)'!D20=0,"--",'WL Balance (hide)'!G20)</f>
        <v>--</v>
      </c>
      <c r="R49" s="158" t="str">
        <f t="shared" si="0"/>
        <v>-</v>
      </c>
      <c r="V49" s="18"/>
      <c r="W49" s="18"/>
      <c r="X49" s="18"/>
      <c r="Y49" s="18"/>
    </row>
    <row r="50" spans="1:25" hidden="1" x14ac:dyDescent="0.25">
      <c r="A50" s="243" t="str">
        <f>'Data files'!A33</f>
        <v xml:space="preserve">18. </v>
      </c>
      <c r="B50" s="243"/>
      <c r="C50" s="16">
        <f ca="1">IF('Control Sheet'!A64&lt;='Data files'!$E$9,IF(ISNA(MATCH(1,OFFSET(#REF!,0,0,1,'Control Sheet'!H64)))=FALSE,1,IF(ISNA(MATCH(2,OFFSET(#REF!,0,0,1,'Control Sheet'!H64)))=FALSE,2,3)),0)</f>
        <v>0</v>
      </c>
      <c r="D50" s="16" t="str">
        <f>IF('Control Sheet'!I63=0,"--",'Control Sheet'!I63)</f>
        <v>0</v>
      </c>
      <c r="E50" s="62" t="str">
        <f>IF('WL Balance (hide)'!B21=0,"--",'WL Balance (hide)'!B21*0.95)</f>
        <v>--</v>
      </c>
      <c r="F50" s="62" t="str">
        <f>IF('WL Balance (hide)'!B21=0,"--",'WL Balance (hide)'!B21*1.05)</f>
        <v>--</v>
      </c>
      <c r="G50" s="62" t="str">
        <f>IF('WL Balance (hide)'!E21=0,"--",'WL Balance (hide)'!E21)</f>
        <v>--</v>
      </c>
      <c r="I50" s="16" t="str">
        <f>IF('Control Sheet'!F63=0,"",'Control Sheet'!J63)</f>
        <v/>
      </c>
      <c r="J50" s="78" t="s">
        <v>1295</v>
      </c>
      <c r="K50" s="78" t="s">
        <v>1295</v>
      </c>
      <c r="L50" s="78" t="s">
        <v>1295</v>
      </c>
      <c r="M50" s="18"/>
      <c r="N50" s="16" t="str">
        <f>IF('Control Sheet'!G63=0,"",'Control Sheet'!K63)</f>
        <v/>
      </c>
      <c r="O50" s="78" t="str">
        <f>IF('WL Balance (hide)'!D21=0,"--",0.95*'WL Balance (hide)'!D21)</f>
        <v>--</v>
      </c>
      <c r="P50" s="78" t="str">
        <f>IF('WL Balance (hide)'!D21=0,"--",1.05*'WL Balance (hide)'!D21)</f>
        <v>--</v>
      </c>
      <c r="Q50" s="78" t="str">
        <f>IF('WL Balance (hide)'!D21=0,"--",'WL Balance (hide)'!G21)</f>
        <v>--</v>
      </c>
      <c r="R50" s="158" t="str">
        <f t="shared" si="0"/>
        <v>-</v>
      </c>
      <c r="V50" s="18"/>
      <c r="W50" s="18"/>
      <c r="X50" s="18"/>
      <c r="Y50" s="18"/>
    </row>
    <row r="51" spans="1:25" hidden="1" x14ac:dyDescent="0.25">
      <c r="A51" s="243" t="str">
        <f>'Data files'!A34</f>
        <v xml:space="preserve">19. </v>
      </c>
      <c r="B51" s="243"/>
      <c r="C51" s="16">
        <f ca="1">IF('Control Sheet'!A65&lt;='Data files'!$E$9,IF(ISNA(MATCH(1,OFFSET(#REF!,0,0,1,'Control Sheet'!H65)))=FALSE,1,IF(ISNA(MATCH(2,OFFSET(#REF!,0,0,1,'Control Sheet'!H65)))=FALSE,2,3)),0)</f>
        <v>0</v>
      </c>
      <c r="D51" s="16" t="str">
        <f>IF('Control Sheet'!I64=0,"--",'Control Sheet'!I64)</f>
        <v>0</v>
      </c>
      <c r="E51" s="62" t="str">
        <f>IF('WL Balance (hide)'!B22=0,"--",'WL Balance (hide)'!B22*0.95)</f>
        <v>--</v>
      </c>
      <c r="F51" s="62" t="str">
        <f>IF('WL Balance (hide)'!B22=0,"--",'WL Balance (hide)'!B22*1.05)</f>
        <v>--</v>
      </c>
      <c r="G51" s="62" t="str">
        <f>IF('WL Balance (hide)'!E22=0,"--",'WL Balance (hide)'!E22)</f>
        <v>--</v>
      </c>
      <c r="I51" s="16" t="str">
        <f>IF('Control Sheet'!F64=0,"",'Control Sheet'!J64)</f>
        <v/>
      </c>
      <c r="J51" s="78" t="s">
        <v>1295</v>
      </c>
      <c r="K51" s="78" t="s">
        <v>1295</v>
      </c>
      <c r="L51" s="78" t="s">
        <v>1295</v>
      </c>
      <c r="M51" s="18"/>
      <c r="N51" s="16" t="str">
        <f>IF('Control Sheet'!G64=0,"",'Control Sheet'!K64)</f>
        <v/>
      </c>
      <c r="O51" s="78" t="str">
        <f>IF('WL Balance (hide)'!D22=0,"--",0.95*'WL Balance (hide)'!D22)</f>
        <v>--</v>
      </c>
      <c r="P51" s="78" t="str">
        <f>IF('WL Balance (hide)'!D22=0,"--",1.05*'WL Balance (hide)'!D22)</f>
        <v>--</v>
      </c>
      <c r="Q51" s="78" t="str">
        <f>IF('WL Balance (hide)'!D22=0,"--",'WL Balance (hide)'!G22)</f>
        <v>--</v>
      </c>
      <c r="R51" s="158" t="str">
        <f t="shared" si="0"/>
        <v>-</v>
      </c>
      <c r="V51" s="18"/>
      <c r="W51" s="18"/>
      <c r="X51" s="18"/>
      <c r="Y51" s="18"/>
    </row>
    <row r="52" spans="1:25" hidden="1" x14ac:dyDescent="0.25">
      <c r="A52" s="243" t="str">
        <f>'Data files'!A35</f>
        <v xml:space="preserve">20. </v>
      </c>
      <c r="B52" s="243"/>
      <c r="D52" s="16" t="str">
        <f>IF('Control Sheet'!I65=0,"--",'Control Sheet'!I65)</f>
        <v>0</v>
      </c>
      <c r="E52" s="62" t="str">
        <f>IF('WL Balance (hide)'!B23=0,"--",'WL Balance (hide)'!B23*0.95)</f>
        <v>--</v>
      </c>
      <c r="F52" s="62" t="str">
        <f>IF('WL Balance (hide)'!B23=0,"--",'WL Balance (hide)'!B23*1.05)</f>
        <v>--</v>
      </c>
      <c r="G52" s="62" t="str">
        <f>IF('WL Balance (hide)'!E23=0,"--",'WL Balance (hide)'!E23)</f>
        <v>--</v>
      </c>
      <c r="I52" s="16" t="str">
        <f>IF('Control Sheet'!F65=0,"",'Control Sheet'!J65)</f>
        <v/>
      </c>
      <c r="J52" s="78" t="s">
        <v>1295</v>
      </c>
      <c r="K52" s="78" t="s">
        <v>1295</v>
      </c>
      <c r="L52" s="78" t="s">
        <v>1295</v>
      </c>
      <c r="M52" s="18"/>
      <c r="N52" s="16" t="str">
        <f>IF('Control Sheet'!G65=0,"",'Control Sheet'!K65)</f>
        <v/>
      </c>
      <c r="O52" s="78" t="str">
        <f>IF('WL Balance (hide)'!D23=0,"--",0.95*'WL Balance (hide)'!D23)</f>
        <v>--</v>
      </c>
      <c r="P52" s="78" t="str">
        <f>IF('WL Balance (hide)'!D23=0,"--",1.05*'WL Balance (hide)'!D23)</f>
        <v>--</v>
      </c>
      <c r="Q52" s="78" t="str">
        <f>IF('WL Balance (hide)'!D23=0,"--",'WL Balance (hide)'!G23)</f>
        <v>--</v>
      </c>
      <c r="R52" s="158" t="str">
        <f t="shared" si="0"/>
        <v>-</v>
      </c>
    </row>
  </sheetData>
  <mergeCells count="38">
    <mergeCell ref="A52:B52"/>
    <mergeCell ref="J31:J32"/>
    <mergeCell ref="K31:K32"/>
    <mergeCell ref="L31:L32"/>
    <mergeCell ref="I31:I32"/>
    <mergeCell ref="A48:B48"/>
    <mergeCell ref="A49:B49"/>
    <mergeCell ref="A50:B50"/>
    <mergeCell ref="A51:B51"/>
    <mergeCell ref="A37:B37"/>
    <mergeCell ref="A38:B38"/>
    <mergeCell ref="A39:B39"/>
    <mergeCell ref="A40:B40"/>
    <mergeCell ref="A41:B41"/>
    <mergeCell ref="A42:B42"/>
    <mergeCell ref="A43:B43"/>
    <mergeCell ref="A47:B47"/>
    <mergeCell ref="E4:H4"/>
    <mergeCell ref="A31:B32"/>
    <mergeCell ref="C31:C32"/>
    <mergeCell ref="D31:D32"/>
    <mergeCell ref="D29:F29"/>
    <mergeCell ref="A33:B33"/>
    <mergeCell ref="A34:B34"/>
    <mergeCell ref="A35:B35"/>
    <mergeCell ref="A36:B36"/>
    <mergeCell ref="E31:E32"/>
    <mergeCell ref="F31:F32"/>
    <mergeCell ref="G31:G32"/>
    <mergeCell ref="R31:R32"/>
    <mergeCell ref="AB4:AC4"/>
    <mergeCell ref="A44:B44"/>
    <mergeCell ref="A45:B45"/>
    <mergeCell ref="A46:B46"/>
    <mergeCell ref="Q31:Q32"/>
    <mergeCell ref="O31:O32"/>
    <mergeCell ref="P31:P32"/>
    <mergeCell ref="N31:N32"/>
  </mergeCells>
  <conditionalFormatting sqref="E33:G52">
    <cfRule type="expression" dxfId="27" priority="8">
      <formula>IF(AND($G33&gt;$F33,$G33&lt;&gt;"--"),TRUE,FALSE)</formula>
    </cfRule>
    <cfRule type="expression" dxfId="26" priority="9">
      <formula>IF(AND($G33&lt;&gt;"--",$G33&gt;=$E33,$G33&lt;=$F33),TRUE,FALSE)</formula>
    </cfRule>
  </conditionalFormatting>
  <conditionalFormatting sqref="J33:L52">
    <cfRule type="expression" dxfId="25" priority="6">
      <formula>IF(AND($L33&lt;&gt;"--",$L33&gt;$K33),TRUE,FALSE)</formula>
    </cfRule>
    <cfRule type="expression" dxfId="24" priority="7">
      <formula>IF(AND($L33&gt;=$J33,$L33&lt;=$K33,$L33&lt;&gt;"--"),TRUE,FALSE)</formula>
    </cfRule>
  </conditionalFormatting>
  <conditionalFormatting sqref="O33:Q52">
    <cfRule type="expression" dxfId="23" priority="4">
      <formula>IF(AND($Q33&lt;&gt;"--",$Q33&gt;$P33),TRUE,FALSE)</formula>
    </cfRule>
    <cfRule type="expression" dxfId="22" priority="5">
      <formula>IF(AND($Q33&gt;=$O33,$Q33&lt;=$P33,$Q33&lt;&gt;"--"),TRUE,FALSE)</formula>
    </cfRule>
  </conditionalFormatting>
  <conditionalFormatting sqref="I31:Q52">
    <cfRule type="expression" dxfId="21" priority="3">
      <formula>IF($G$29="Show",0,1)</formula>
    </cfRule>
  </conditionalFormatting>
  <conditionalFormatting sqref="R33:R52">
    <cfRule type="expression" dxfId="20" priority="1">
      <formula>IF(AND($G33&gt;$F33,$G33&lt;&gt;"--"),TRUE,FALSE)</formula>
    </cfRule>
    <cfRule type="expression" dxfId="19" priority="2">
      <formula>IF(AND($G33&lt;&gt;"--",$G33&gt;=$E33,$G33&lt;=$F33),TRUE,FALSE)</formula>
    </cfRule>
  </conditionalFormatting>
  <pageMargins left="0.7" right="0.7" top="0.75" bottom="0.75" header="0.3" footer="0.3"/>
  <pageSetup paperSize="9" orientation="portrait" horizontalDpi="90" verticalDpi="9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900-000000000000}">
          <x14:formula1>
            <xm:f>OFFSET('Data files'!$A$15,0,0,var_Service_Components+1,1)</xm:f>
          </x14:formula1>
          <xm:sqref>E4</xm:sqref>
        </x14:dataValidation>
        <x14:dataValidation type="list" allowBlank="1" showInputMessage="1" showErrorMessage="1" xr:uid="{00000000-0002-0000-0900-000001000000}">
          <x14:formula1>
            <xm:f>'Control Sheet'!$B$15:$B$16</xm:f>
          </x14:formula1>
          <xm:sqref>G29</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7A651-4422-4EF8-A10C-982C6DEC7D95}">
  <sheetPr codeName="Sheet39"/>
  <dimension ref="A1:AA54"/>
  <sheetViews>
    <sheetView showGridLines="0" showRowColHeaders="0" zoomScaleNormal="100" workbookViewId="0">
      <selection activeCell="H3" sqref="H3:J3"/>
    </sheetView>
  </sheetViews>
  <sheetFormatPr defaultRowHeight="13.8" x14ac:dyDescent="0.25"/>
  <cols>
    <col min="2" max="2" width="27.8984375" customWidth="1"/>
    <col min="3" max="3" width="9" customWidth="1"/>
    <col min="4" max="6" width="9" hidden="1" customWidth="1"/>
    <col min="7" max="7" width="1.59765625" customWidth="1"/>
    <col min="8" max="8" width="14.09765625" customWidth="1"/>
    <col min="9" max="9" width="10.796875" customWidth="1"/>
    <col min="12" max="12" width="1.59765625" customWidth="1"/>
    <col min="13" max="13" width="14.09765625" customWidth="1"/>
    <col min="14" max="16" width="9" customWidth="1"/>
    <col min="17" max="17" width="1.59765625" customWidth="1"/>
    <col min="18" max="18" width="14.09765625" customWidth="1"/>
    <col min="19" max="21" width="9" customWidth="1"/>
  </cols>
  <sheetData>
    <row r="1" spans="1:27" x14ac:dyDescent="0.25">
      <c r="A1" s="18"/>
      <c r="B1" s="18"/>
      <c r="C1" s="18"/>
      <c r="D1" s="18"/>
      <c r="E1" s="18"/>
      <c r="F1" s="18"/>
      <c r="G1" s="18"/>
      <c r="H1" s="18"/>
      <c r="I1" s="18"/>
      <c r="J1" s="18"/>
      <c r="K1" s="18"/>
      <c r="L1" s="18"/>
      <c r="M1" s="18"/>
      <c r="N1" s="18"/>
      <c r="O1" s="18"/>
      <c r="P1" s="18"/>
      <c r="Q1" s="18"/>
      <c r="R1" s="18"/>
      <c r="S1" s="18"/>
    </row>
    <row r="2" spans="1:27" x14ac:dyDescent="0.25">
      <c r="A2" s="17" t="str">
        <f>'Data files'!D4&amp;IF('Data files'!D4&lt;&gt;"",", ","")&amp;'Data files'!D7&amp;IF(ISERROR(FIND("SERVICE",UPPER('Data files'!D7),1))=FALSE,""," Service")</f>
        <v>Test Trust, Test service</v>
      </c>
      <c r="B2" s="34"/>
      <c r="C2" s="34"/>
      <c r="D2" s="34"/>
      <c r="E2" s="34"/>
      <c r="F2" s="34"/>
      <c r="G2" s="34"/>
      <c r="H2" s="34"/>
      <c r="I2" s="34"/>
      <c r="J2" s="34"/>
      <c r="K2" s="34"/>
      <c r="L2" s="34"/>
      <c r="M2" s="34"/>
      <c r="N2" s="34"/>
      <c r="O2" s="34"/>
      <c r="P2" s="34"/>
      <c r="Q2" s="34"/>
      <c r="R2" s="34"/>
      <c r="S2" s="34"/>
      <c r="T2" s="34"/>
      <c r="U2" s="34"/>
      <c r="V2" s="86"/>
      <c r="W2" s="65"/>
      <c r="X2" s="65"/>
      <c r="Y2" s="65"/>
      <c r="Z2" s="65"/>
      <c r="AA2" s="65"/>
    </row>
    <row r="3" spans="1:27" x14ac:dyDescent="0.25">
      <c r="A3" s="1" t="s">
        <v>1265</v>
      </c>
      <c r="H3" s="259" t="s">
        <v>1323</v>
      </c>
      <c r="I3" s="277"/>
      <c r="J3" s="260"/>
    </row>
    <row r="4" spans="1:27" x14ac:dyDescent="0.25">
      <c r="A4" s="254" t="s">
        <v>1042</v>
      </c>
      <c r="B4" s="254"/>
      <c r="C4" s="254"/>
      <c r="D4" s="254"/>
      <c r="H4" s="279" t="s">
        <v>982</v>
      </c>
      <c r="I4" s="280"/>
      <c r="J4" s="281"/>
      <c r="S4" s="282"/>
      <c r="T4" s="282"/>
    </row>
    <row r="5" spans="1:27" x14ac:dyDescent="0.25">
      <c r="S5" s="283"/>
      <c r="T5" s="283"/>
    </row>
    <row r="6" spans="1:27" x14ac:dyDescent="0.25">
      <c r="S6" s="126"/>
      <c r="T6" s="126"/>
    </row>
    <row r="7" spans="1:27" x14ac:dyDescent="0.25">
      <c r="S7" s="127"/>
      <c r="T7" s="128"/>
    </row>
    <row r="8" spans="1:27" x14ac:dyDescent="0.25">
      <c r="S8" s="284"/>
      <c r="T8" s="284"/>
    </row>
    <row r="9" spans="1:27" x14ac:dyDescent="0.25">
      <c r="S9" s="126"/>
      <c r="T9" s="126"/>
    </row>
    <row r="10" spans="1:27" x14ac:dyDescent="0.25">
      <c r="S10" s="129"/>
      <c r="T10" s="126"/>
    </row>
    <row r="11" spans="1:27" x14ac:dyDescent="0.25">
      <c r="S11" s="285"/>
      <c r="T11" s="285"/>
    </row>
    <row r="12" spans="1:27" x14ac:dyDescent="0.25">
      <c r="S12" s="126"/>
      <c r="T12" s="126"/>
    </row>
    <row r="13" spans="1:27" x14ac:dyDescent="0.25">
      <c r="S13" s="126"/>
      <c r="T13" s="126"/>
    </row>
    <row r="14" spans="1:27" x14ac:dyDescent="0.25">
      <c r="S14" s="126"/>
      <c r="T14" s="126"/>
    </row>
    <row r="15" spans="1:27" x14ac:dyDescent="0.25">
      <c r="S15" s="126"/>
      <c r="T15" s="126"/>
    </row>
    <row r="16" spans="1:27" x14ac:dyDescent="0.25">
      <c r="S16" s="126"/>
      <c r="T16" s="126"/>
    </row>
    <row r="17" spans="1:25" x14ac:dyDescent="0.25">
      <c r="S17" s="126"/>
      <c r="T17" s="126"/>
    </row>
    <row r="18" spans="1:25" x14ac:dyDescent="0.25">
      <c r="S18" s="126"/>
      <c r="T18" s="126"/>
    </row>
    <row r="19" spans="1:25" x14ac:dyDescent="0.25">
      <c r="S19" s="126"/>
      <c r="T19" s="126"/>
    </row>
    <row r="20" spans="1:25" x14ac:dyDescent="0.25">
      <c r="S20" s="126"/>
      <c r="T20" s="126"/>
    </row>
    <row r="21" spans="1:25" x14ac:dyDescent="0.25">
      <c r="S21" s="126"/>
      <c r="T21" s="126"/>
    </row>
    <row r="22" spans="1:25" x14ac:dyDescent="0.25">
      <c r="S22" s="126"/>
      <c r="T22" s="126"/>
    </row>
    <row r="23" spans="1:25" x14ac:dyDescent="0.25">
      <c r="S23" s="126"/>
      <c r="T23" s="126"/>
    </row>
    <row r="24" spans="1:25" x14ac:dyDescent="0.25">
      <c r="S24" s="126"/>
      <c r="T24" s="126"/>
    </row>
    <row r="25" spans="1:25" x14ac:dyDescent="0.25">
      <c r="S25" s="126"/>
      <c r="T25" s="126"/>
    </row>
    <row r="26" spans="1:25" x14ac:dyDescent="0.25">
      <c r="A26" s="19" t="s">
        <v>993</v>
      </c>
      <c r="B26" s="18"/>
      <c r="C26" s="18"/>
      <c r="D26" s="18"/>
      <c r="E26" s="18"/>
      <c r="F26" s="18"/>
      <c r="G26" s="18"/>
      <c r="H26" s="258" t="s">
        <v>1011</v>
      </c>
      <c r="I26" s="258"/>
      <c r="J26" s="278"/>
      <c r="K26" s="15" t="s">
        <v>1013</v>
      </c>
      <c r="L26" s="18"/>
      <c r="M26" s="18"/>
      <c r="N26" s="18"/>
      <c r="O26" s="18"/>
      <c r="P26" s="18"/>
      <c r="Q26" s="18"/>
      <c r="R26" s="18"/>
      <c r="S26" s="18"/>
      <c r="T26" s="18"/>
      <c r="U26" s="18"/>
      <c r="V26" s="18"/>
      <c r="W26" s="18"/>
      <c r="X26" s="18"/>
      <c r="Y26" s="18"/>
    </row>
    <row r="27" spans="1:25" x14ac:dyDescent="0.25">
      <c r="A27" s="61" t="s">
        <v>1029</v>
      </c>
      <c r="B27" s="29"/>
      <c r="C27" s="29"/>
      <c r="D27" s="29"/>
      <c r="E27" s="29"/>
      <c r="F27" s="29"/>
      <c r="G27" s="29"/>
      <c r="H27" s="248" t="s">
        <v>1014</v>
      </c>
      <c r="I27" s="248"/>
      <c r="J27" s="248"/>
      <c r="K27" s="18"/>
      <c r="L27" s="18"/>
      <c r="M27" s="18"/>
      <c r="N27" s="18"/>
      <c r="O27" s="18"/>
      <c r="P27" s="18"/>
      <c r="Q27" s="18"/>
      <c r="R27" s="18"/>
      <c r="S27" s="18"/>
      <c r="T27" s="18"/>
      <c r="U27" s="18"/>
      <c r="V27" s="18"/>
      <c r="W27" s="18"/>
      <c r="X27" s="18"/>
      <c r="Y27" s="18"/>
    </row>
    <row r="28" spans="1:25" x14ac:dyDescent="0.25">
      <c r="A28" s="19"/>
      <c r="B28" s="18"/>
      <c r="C28" s="18"/>
      <c r="D28" s="18"/>
      <c r="E28" s="18"/>
      <c r="F28" s="18"/>
      <c r="G28" s="18"/>
      <c r="H28" s="18"/>
      <c r="I28" s="18"/>
      <c r="J28" s="18"/>
      <c r="K28" s="18"/>
      <c r="L28" s="18"/>
      <c r="M28" s="18"/>
      <c r="N28" s="18"/>
      <c r="O28" s="18"/>
      <c r="P28" s="18"/>
      <c r="Q28" s="18"/>
      <c r="R28" s="18"/>
      <c r="S28" s="18"/>
      <c r="T28" s="18"/>
      <c r="U28" s="18"/>
      <c r="V28" s="18"/>
      <c r="W28" s="18"/>
      <c r="X28" s="18"/>
      <c r="Y28" s="18"/>
    </row>
    <row r="29" spans="1:25" x14ac:dyDescent="0.25">
      <c r="A29" s="18"/>
      <c r="B29" s="18"/>
      <c r="C29" s="18"/>
      <c r="D29" s="18"/>
      <c r="E29" s="18"/>
      <c r="F29" s="18"/>
      <c r="G29" s="18"/>
      <c r="H29" s="130" t="s">
        <v>996</v>
      </c>
      <c r="I29" s="18"/>
      <c r="J29" s="18"/>
      <c r="K29" s="18"/>
      <c r="L29" s="18"/>
      <c r="M29" s="19" t="s">
        <v>997</v>
      </c>
      <c r="N29" s="18"/>
      <c r="O29" s="18"/>
      <c r="P29" s="18"/>
      <c r="Q29" s="18"/>
      <c r="R29" s="19" t="s">
        <v>998</v>
      </c>
      <c r="S29" s="18"/>
      <c r="T29" s="18"/>
      <c r="U29" s="18"/>
      <c r="V29" s="18"/>
      <c r="W29" s="18"/>
      <c r="X29" s="18"/>
      <c r="Y29" s="18"/>
    </row>
    <row r="30" spans="1:25" ht="13.95" customHeight="1" x14ac:dyDescent="0.25">
      <c r="A30" s="249" t="s">
        <v>994</v>
      </c>
      <c r="B30" s="249"/>
      <c r="C30" s="18"/>
      <c r="D30" s="18"/>
      <c r="E30" s="18"/>
      <c r="F30" s="18"/>
      <c r="G30" s="18"/>
      <c r="H30" s="135" t="s">
        <v>995</v>
      </c>
      <c r="I30" s="246" t="str">
        <f>"% "&amp;INDEX('Dependency (hide)'!$P$24:$S$24,MATCH('Parameter check'!$H$3,'Dependency (hide)'!$P$23:$S$23,0))</f>
        <v>% NASL (DC)</v>
      </c>
      <c r="J30" s="18"/>
      <c r="L30" s="18"/>
      <c r="M30" s="246" t="s">
        <v>995</v>
      </c>
      <c r="N30" s="246" t="str">
        <f>"% "&amp;INDEX('Dependency (hide)'!$P$24:$S$24,MATCH('Parameter check'!$H$3,'Dependency (hide)'!$P$23:$S$23,0))</f>
        <v>% NASL (DC)</v>
      </c>
      <c r="O30" s="18"/>
      <c r="Q30" s="18"/>
      <c r="R30" s="246" t="s">
        <v>995</v>
      </c>
      <c r="S30" s="246" t="str">
        <f>"% "&amp;INDEX('Dependency (hide)'!$P$24:$S$24,MATCH('Parameter check'!$H$3,'Dependency (hide)'!$P$23:$S$23,0))</f>
        <v>% NASL (DC)</v>
      </c>
      <c r="T30" s="18"/>
      <c r="V30" s="18"/>
      <c r="W30" s="18"/>
      <c r="X30" s="18"/>
      <c r="Y30" s="18"/>
    </row>
    <row r="31" spans="1:25" x14ac:dyDescent="0.25">
      <c r="A31" s="249"/>
      <c r="B31" s="249"/>
      <c r="C31" s="18"/>
      <c r="D31" s="18"/>
      <c r="E31" s="18"/>
      <c r="F31" s="18"/>
      <c r="G31" s="18"/>
      <c r="H31" s="136"/>
      <c r="I31" s="247"/>
      <c r="J31" s="18"/>
      <c r="L31" s="18"/>
      <c r="M31" s="247"/>
      <c r="N31" s="247"/>
      <c r="O31" s="18"/>
      <c r="Q31" s="18"/>
      <c r="R31" s="247"/>
      <c r="S31" s="247"/>
      <c r="T31" s="18"/>
      <c r="V31" s="18"/>
      <c r="W31" s="18"/>
      <c r="X31" s="18"/>
      <c r="Y31" s="18"/>
    </row>
    <row r="32" spans="1:25" x14ac:dyDescent="0.25">
      <c r="A32" s="243" t="str">
        <f>'Data files'!A16</f>
        <v>1. test service</v>
      </c>
      <c r="B32" s="243"/>
      <c r="C32" s="18"/>
      <c r="D32" s="18"/>
      <c r="E32" s="18"/>
      <c r="F32" s="18"/>
      <c r="G32" s="18"/>
      <c r="H32" s="16" t="str">
        <f>IF('Control Sheet'!I46=0,"--",'Control Sheet'!I46)</f>
        <v>New</v>
      </c>
      <c r="I32" s="131">
        <f ca="1">INDEX('DC Balance (hide)'!Parameter_Table,ROW(A1),1)</f>
        <v>0.20000000000000004</v>
      </c>
      <c r="J32" s="18"/>
      <c r="L32" s="18"/>
      <c r="M32" s="16" t="str">
        <f>IF('Control Sheet'!F46=0,"",'Control Sheet'!J46)</f>
        <v/>
      </c>
      <c r="N32" s="131">
        <f ca="1">INDEX('DC Balance (hide)'!Parameter_Table,ROW(F1),2)</f>
        <v>0</v>
      </c>
      <c r="O32" s="18"/>
      <c r="Q32" s="18"/>
      <c r="R32" s="16" t="str">
        <f>IF('Control Sheet'!G46=0,"",'Control Sheet'!K46)</f>
        <v/>
      </c>
      <c r="S32" s="131">
        <f ca="1">INDEX('DC Balance (hide)'!Parameter_Table,ROW(K1),3)</f>
        <v>0</v>
      </c>
      <c r="T32" s="18"/>
      <c r="V32" s="18"/>
      <c r="W32" s="18"/>
      <c r="X32" s="18"/>
      <c r="Y32" s="18"/>
    </row>
    <row r="33" spans="1:25" hidden="1" x14ac:dyDescent="0.25">
      <c r="A33" s="243" t="str">
        <f>'Data files'!A17</f>
        <v xml:space="preserve">2. </v>
      </c>
      <c r="B33" s="243"/>
      <c r="C33" s="18"/>
      <c r="D33" s="18"/>
      <c r="E33" s="18"/>
      <c r="F33" s="18"/>
      <c r="G33" s="18"/>
      <c r="H33" s="16" t="str">
        <f>IF('Control Sheet'!I47=0,"--",'Control Sheet'!I47)</f>
        <v>0</v>
      </c>
      <c r="I33" s="131">
        <f ca="1">INDEX('DC Balance (hide)'!Parameter_Table,ROW(A2),1)</f>
        <v>0</v>
      </c>
      <c r="J33" s="18"/>
      <c r="L33" s="18"/>
      <c r="M33" s="16" t="str">
        <f>IF('Control Sheet'!F47=0,"",'Control Sheet'!J47)</f>
        <v/>
      </c>
      <c r="N33" s="132">
        <f ca="1">INDEX('DC Balance (hide)'!Parameter_Table,ROW(F2),2)</f>
        <v>0</v>
      </c>
      <c r="O33" s="18"/>
      <c r="Q33" s="18"/>
      <c r="R33" s="16" t="str">
        <f>IF('Control Sheet'!G47=0,"",'Control Sheet'!K47)</f>
        <v/>
      </c>
      <c r="S33" s="132">
        <f ca="1">INDEX('DC Balance (hide)'!Parameter_Table,ROW(K2),3)</f>
        <v>0</v>
      </c>
      <c r="T33" s="18"/>
      <c r="V33" s="18"/>
      <c r="W33" s="18"/>
      <c r="X33" s="18"/>
      <c r="Y33" s="18"/>
    </row>
    <row r="34" spans="1:25" hidden="1" x14ac:dyDescent="0.25">
      <c r="A34" s="243" t="str">
        <f>'Data files'!A18</f>
        <v xml:space="preserve">3. </v>
      </c>
      <c r="B34" s="243"/>
      <c r="C34" s="18"/>
      <c r="D34" s="18"/>
      <c r="E34" s="18"/>
      <c r="F34" s="18"/>
      <c r="G34" s="18"/>
      <c r="H34" s="16" t="str">
        <f>IF('Control Sheet'!I48=0,"--",'Control Sheet'!I48)</f>
        <v>0</v>
      </c>
      <c r="I34" s="131">
        <f ca="1">INDEX('DC Balance (hide)'!Parameter_Table,ROW(A3),1)</f>
        <v>0</v>
      </c>
      <c r="J34" s="18"/>
      <c r="L34" s="18"/>
      <c r="M34" s="16" t="str">
        <f>IF('Control Sheet'!F48=0,"",'Control Sheet'!J48)</f>
        <v/>
      </c>
      <c r="N34" s="132">
        <f ca="1">INDEX('DC Balance (hide)'!Parameter_Table,ROW(F3),2)</f>
        <v>0</v>
      </c>
      <c r="O34" s="18"/>
      <c r="Q34" s="18"/>
      <c r="R34" s="16" t="str">
        <f>IF('Control Sheet'!G48=0,"",'Control Sheet'!K48)</f>
        <v/>
      </c>
      <c r="S34" s="132">
        <f ca="1">INDEX('DC Balance (hide)'!Parameter_Table,ROW(K3),3)</f>
        <v>0</v>
      </c>
      <c r="T34" s="18"/>
      <c r="V34" s="18"/>
      <c r="W34" s="18"/>
      <c r="X34" s="18"/>
      <c r="Y34" s="18"/>
    </row>
    <row r="35" spans="1:25" hidden="1" x14ac:dyDescent="0.25">
      <c r="A35" s="243" t="str">
        <f>'Data files'!A19</f>
        <v xml:space="preserve">4. </v>
      </c>
      <c r="B35" s="243"/>
      <c r="C35" s="18"/>
      <c r="D35" s="18"/>
      <c r="E35" s="18"/>
      <c r="F35" s="18"/>
      <c r="G35" s="18"/>
      <c r="H35" s="16" t="str">
        <f>IF('Control Sheet'!I49=0,"--",'Control Sheet'!I49)</f>
        <v>0</v>
      </c>
      <c r="I35" s="131">
        <f ca="1">INDEX('DC Balance (hide)'!Parameter_Table,ROW(A4),1)</f>
        <v>0</v>
      </c>
      <c r="J35" s="18"/>
      <c r="L35" s="18"/>
      <c r="M35" s="16" t="str">
        <f>IF('Control Sheet'!F49=0,"",'Control Sheet'!J49)</f>
        <v/>
      </c>
      <c r="N35" s="132">
        <f ca="1">INDEX('DC Balance (hide)'!Parameter_Table,ROW(F4),2)</f>
        <v>0</v>
      </c>
      <c r="O35" s="18"/>
      <c r="Q35" s="18"/>
      <c r="R35" s="16" t="str">
        <f>IF('Control Sheet'!G49=0,"",'Control Sheet'!K49)</f>
        <v/>
      </c>
      <c r="S35" s="132">
        <f ca="1">INDEX('DC Balance (hide)'!Parameter_Table,ROW(K4),3)</f>
        <v>0</v>
      </c>
      <c r="T35" s="18"/>
      <c r="V35" s="18"/>
      <c r="W35" s="18"/>
      <c r="X35" s="18"/>
      <c r="Y35" s="18"/>
    </row>
    <row r="36" spans="1:25" ht="13.95" hidden="1" customHeight="1" x14ac:dyDescent="0.25">
      <c r="A36" s="243" t="str">
        <f>'Data files'!A20</f>
        <v xml:space="preserve">5. </v>
      </c>
      <c r="B36" s="243"/>
      <c r="C36" s="18"/>
      <c r="D36" s="18"/>
      <c r="E36" s="18"/>
      <c r="F36" s="18"/>
      <c r="G36" s="18"/>
      <c r="H36" s="16" t="str">
        <f>IF('Control Sheet'!I50=0,"--",'Control Sheet'!I50)</f>
        <v>0</v>
      </c>
      <c r="I36" s="131">
        <f ca="1">INDEX('DC Balance (hide)'!Parameter_Table,ROW(A5),1)</f>
        <v>0</v>
      </c>
      <c r="J36" s="18"/>
      <c r="L36" s="18"/>
      <c r="M36" s="16" t="str">
        <f>IF('Control Sheet'!F50=0,"",'Control Sheet'!J50)</f>
        <v/>
      </c>
      <c r="N36" s="132">
        <f ca="1">INDEX('DC Balance (hide)'!Parameter_Table,ROW(F5),2)</f>
        <v>0</v>
      </c>
      <c r="O36" s="18"/>
      <c r="Q36" s="18"/>
      <c r="R36" s="16" t="str">
        <f>IF('Control Sheet'!G50=0,"",'Control Sheet'!K50)</f>
        <v/>
      </c>
      <c r="S36" s="132">
        <f ca="1">INDEX('DC Balance (hide)'!Parameter_Table,ROW(K5),3)</f>
        <v>0</v>
      </c>
      <c r="T36" s="18"/>
      <c r="V36" s="18"/>
      <c r="W36" s="18"/>
      <c r="X36" s="18"/>
      <c r="Y36" s="18"/>
    </row>
    <row r="37" spans="1:25" ht="13.95" hidden="1" customHeight="1" x14ac:dyDescent="0.25">
      <c r="A37" s="243" t="str">
        <f>'Data files'!A21</f>
        <v xml:space="preserve">6. </v>
      </c>
      <c r="B37" s="243"/>
      <c r="C37" s="18"/>
      <c r="D37" s="18"/>
      <c r="E37" s="18"/>
      <c r="F37" s="18"/>
      <c r="G37" s="18"/>
      <c r="H37" s="16" t="str">
        <f>IF('Control Sheet'!I51=0,"--",'Control Sheet'!I51)</f>
        <v>0</v>
      </c>
      <c r="I37" s="131">
        <f ca="1">INDEX('DC Balance (hide)'!Parameter_Table,ROW(A6),1)</f>
        <v>0</v>
      </c>
      <c r="J37" s="18"/>
      <c r="L37" s="18"/>
      <c r="M37" s="16" t="str">
        <f>IF('Control Sheet'!F51=0,"",'Control Sheet'!J51)</f>
        <v/>
      </c>
      <c r="N37" s="132">
        <f ca="1">INDEX('DC Balance (hide)'!Parameter_Table,ROW(F6),2)</f>
        <v>0</v>
      </c>
      <c r="O37" s="18"/>
      <c r="Q37" s="18"/>
      <c r="R37" s="16" t="str">
        <f>IF('Control Sheet'!G51=0,"",'Control Sheet'!K51)</f>
        <v/>
      </c>
      <c r="S37" s="132">
        <f ca="1">INDEX('DC Balance (hide)'!Parameter_Table,ROW(K6),3)</f>
        <v>0</v>
      </c>
      <c r="T37" s="18"/>
      <c r="V37" s="18"/>
      <c r="W37" s="18"/>
      <c r="X37" s="18"/>
      <c r="Y37" s="18"/>
    </row>
    <row r="38" spans="1:25" ht="13.95" hidden="1" customHeight="1" x14ac:dyDescent="0.25">
      <c r="A38" s="243" t="str">
        <f>'Data files'!A22</f>
        <v xml:space="preserve">7. </v>
      </c>
      <c r="B38" s="243"/>
      <c r="C38" s="18"/>
      <c r="D38" s="18"/>
      <c r="E38" s="18"/>
      <c r="F38" s="18"/>
      <c r="G38" s="18"/>
      <c r="H38" s="16" t="str">
        <f>IF('Control Sheet'!I52=0,"--",'Control Sheet'!I52)</f>
        <v>0</v>
      </c>
      <c r="I38" s="131">
        <f ca="1">INDEX('DC Balance (hide)'!Parameter_Table,ROW(A7),1)</f>
        <v>0</v>
      </c>
      <c r="J38" s="18"/>
      <c r="L38" s="18"/>
      <c r="M38" s="16" t="str">
        <f>IF('Control Sheet'!F52=0,"",'Control Sheet'!J52)</f>
        <v/>
      </c>
      <c r="N38" s="132">
        <f ca="1">INDEX('DC Balance (hide)'!Parameter_Table,ROW(F7),2)</f>
        <v>0</v>
      </c>
      <c r="O38" s="18"/>
      <c r="Q38" s="18"/>
      <c r="R38" s="16" t="str">
        <f>IF('Control Sheet'!G52=0,"",'Control Sheet'!K52)</f>
        <v/>
      </c>
      <c r="S38" s="132">
        <f ca="1">INDEX('DC Balance (hide)'!Parameter_Table,ROW(K7),3)</f>
        <v>0</v>
      </c>
      <c r="T38" s="18"/>
      <c r="V38" s="18"/>
      <c r="W38" s="18"/>
      <c r="X38" s="18"/>
      <c r="Y38" s="18"/>
    </row>
    <row r="39" spans="1:25" ht="13.95" hidden="1" customHeight="1" x14ac:dyDescent="0.25">
      <c r="A39" s="243" t="str">
        <f>'Data files'!A23</f>
        <v xml:space="preserve">8. </v>
      </c>
      <c r="B39" s="243"/>
      <c r="C39" s="18"/>
      <c r="D39" s="18"/>
      <c r="E39" s="18"/>
      <c r="F39" s="18"/>
      <c r="G39" s="18"/>
      <c r="H39" s="16" t="str">
        <f>IF('Control Sheet'!I53=0,"--",'Control Sheet'!I53)</f>
        <v>0</v>
      </c>
      <c r="I39" s="131">
        <f ca="1">INDEX('DC Balance (hide)'!Parameter_Table,ROW(A8),1)</f>
        <v>0</v>
      </c>
      <c r="J39" s="18"/>
      <c r="L39" s="18"/>
      <c r="M39" s="16" t="str">
        <f>IF('Control Sheet'!F53=0,"",'Control Sheet'!J53)</f>
        <v/>
      </c>
      <c r="N39" s="132">
        <f ca="1">INDEX('DC Balance (hide)'!Parameter_Table,ROW(F8),2)</f>
        <v>0</v>
      </c>
      <c r="O39" s="18"/>
      <c r="Q39" s="18"/>
      <c r="R39" s="16" t="str">
        <f>IF('Control Sheet'!G53=0,"",'Control Sheet'!K53)</f>
        <v/>
      </c>
      <c r="S39" s="132">
        <f ca="1">INDEX('DC Balance (hide)'!Parameter_Table,ROW(K8),3)</f>
        <v>0</v>
      </c>
      <c r="T39" s="18"/>
      <c r="V39" s="18"/>
      <c r="W39" s="18"/>
      <c r="X39" s="18"/>
      <c r="Y39" s="18"/>
    </row>
    <row r="40" spans="1:25" ht="13.95" hidden="1" customHeight="1" x14ac:dyDescent="0.25">
      <c r="A40" s="243" t="str">
        <f>'Data files'!A24</f>
        <v xml:space="preserve">9. </v>
      </c>
      <c r="B40" s="243"/>
      <c r="C40" s="18"/>
      <c r="D40" s="18"/>
      <c r="E40" s="18"/>
      <c r="F40" s="18"/>
      <c r="G40" s="18"/>
      <c r="H40" s="16" t="str">
        <f>IF('Control Sheet'!I54=0,"--",'Control Sheet'!I54)</f>
        <v>0</v>
      </c>
      <c r="I40" s="131">
        <f ca="1">INDEX('DC Balance (hide)'!Parameter_Table,ROW(A9),1)</f>
        <v>0</v>
      </c>
      <c r="J40" s="18"/>
      <c r="L40" s="18"/>
      <c r="M40" s="16" t="str">
        <f>IF('Control Sheet'!F54=0,"",'Control Sheet'!J54)</f>
        <v/>
      </c>
      <c r="N40" s="132">
        <f ca="1">INDEX('DC Balance (hide)'!Parameter_Table,ROW(F9),2)</f>
        <v>0</v>
      </c>
      <c r="O40" s="18"/>
      <c r="Q40" s="18"/>
      <c r="R40" s="16" t="str">
        <f>IF('Control Sheet'!G54=0,"",'Control Sheet'!K54)</f>
        <v/>
      </c>
      <c r="S40" s="132">
        <f ca="1">INDEX('DC Balance (hide)'!Parameter_Table,ROW(K9),3)</f>
        <v>0</v>
      </c>
      <c r="T40" s="18"/>
      <c r="V40" s="18"/>
      <c r="W40" s="18"/>
      <c r="X40" s="18"/>
      <c r="Y40" s="18"/>
    </row>
    <row r="41" spans="1:25" ht="13.95" hidden="1" customHeight="1" x14ac:dyDescent="0.25">
      <c r="A41" s="243" t="str">
        <f>'Data files'!A25</f>
        <v xml:space="preserve">10. </v>
      </c>
      <c r="B41" s="243"/>
      <c r="C41" s="18"/>
      <c r="D41" s="18"/>
      <c r="E41" s="18"/>
      <c r="F41" s="18"/>
      <c r="G41" s="18"/>
      <c r="H41" s="16" t="str">
        <f>IF('Control Sheet'!I55=0,"--",'Control Sheet'!I55)</f>
        <v>0</v>
      </c>
      <c r="I41" s="131">
        <f ca="1">INDEX('DC Balance (hide)'!Parameter_Table,ROW(A10),1)</f>
        <v>0</v>
      </c>
      <c r="J41" s="18"/>
      <c r="L41" s="18"/>
      <c r="M41" s="16" t="str">
        <f>IF('Control Sheet'!F55=0,"",'Control Sheet'!J55)</f>
        <v/>
      </c>
      <c r="N41" s="132">
        <f ca="1">INDEX('DC Balance (hide)'!Parameter_Table,ROW(F10),2)</f>
        <v>0</v>
      </c>
      <c r="O41" s="18"/>
      <c r="Q41" s="18"/>
      <c r="R41" s="16" t="str">
        <f>IF('Control Sheet'!G55=0,"",'Control Sheet'!K55)</f>
        <v/>
      </c>
      <c r="S41" s="132">
        <f ca="1">INDEX('DC Balance (hide)'!Parameter_Table,ROW(K10),3)</f>
        <v>0</v>
      </c>
      <c r="T41" s="18"/>
      <c r="V41" s="18"/>
      <c r="W41" s="18"/>
      <c r="X41" s="18"/>
      <c r="Y41" s="18"/>
    </row>
    <row r="42" spans="1:25" ht="13.95" hidden="1" customHeight="1" x14ac:dyDescent="0.25">
      <c r="A42" s="243" t="str">
        <f>'Data files'!A26</f>
        <v xml:space="preserve">11. </v>
      </c>
      <c r="B42" s="243"/>
      <c r="C42" s="18"/>
      <c r="D42" s="18"/>
      <c r="E42" s="18"/>
      <c r="F42" s="18"/>
      <c r="G42" s="18"/>
      <c r="H42" s="16" t="str">
        <f>IF('Control Sheet'!I56=0,"--",'Control Sheet'!I56)</f>
        <v>0</v>
      </c>
      <c r="I42" s="131">
        <f ca="1">INDEX('DC Balance (hide)'!Parameter_Table,ROW(A11),1)</f>
        <v>0</v>
      </c>
      <c r="J42" s="18"/>
      <c r="L42" s="18"/>
      <c r="M42" s="16" t="str">
        <f>IF('Control Sheet'!F56=0,"",'Control Sheet'!J56)</f>
        <v/>
      </c>
      <c r="N42" s="132">
        <f ca="1">INDEX('DC Balance (hide)'!Parameter_Table,ROW(F11),2)</f>
        <v>0</v>
      </c>
      <c r="O42" s="18"/>
      <c r="Q42" s="18"/>
      <c r="R42" s="16" t="str">
        <f>IF('Control Sheet'!G56=0,"",'Control Sheet'!K56)</f>
        <v/>
      </c>
      <c r="S42" s="132">
        <f ca="1">INDEX('DC Balance (hide)'!Parameter_Table,ROW(K11),3)</f>
        <v>0</v>
      </c>
      <c r="T42" s="18"/>
      <c r="V42" s="18"/>
      <c r="W42" s="18"/>
      <c r="X42" s="18"/>
      <c r="Y42" s="18"/>
    </row>
    <row r="43" spans="1:25" ht="13.95" hidden="1" customHeight="1" x14ac:dyDescent="0.25">
      <c r="A43" s="243" t="str">
        <f>'Data files'!A27</f>
        <v xml:space="preserve">12. </v>
      </c>
      <c r="B43" s="243"/>
      <c r="C43" s="18"/>
      <c r="D43" s="18"/>
      <c r="E43" s="18"/>
      <c r="F43" s="18"/>
      <c r="G43" s="18"/>
      <c r="H43" s="16" t="str">
        <f>IF('Control Sheet'!I57=0,"--",'Control Sheet'!I57)</f>
        <v>0</v>
      </c>
      <c r="I43" s="131">
        <f ca="1">INDEX('DC Balance (hide)'!Parameter_Table,ROW(A12),1)</f>
        <v>0</v>
      </c>
      <c r="J43" s="18"/>
      <c r="L43" s="18"/>
      <c r="M43" s="16" t="str">
        <f>IF('Control Sheet'!F57=0,"",'Control Sheet'!J57)</f>
        <v/>
      </c>
      <c r="N43" s="132">
        <f ca="1">INDEX('DC Balance (hide)'!Parameter_Table,ROW(F12),2)</f>
        <v>0</v>
      </c>
      <c r="O43" s="18"/>
      <c r="Q43" s="18"/>
      <c r="R43" s="16" t="str">
        <f>IF('Control Sheet'!G57=0,"",'Control Sheet'!K57)</f>
        <v/>
      </c>
      <c r="S43" s="132">
        <f ca="1">INDEX('DC Balance (hide)'!Parameter_Table,ROW(K12),3)</f>
        <v>0</v>
      </c>
      <c r="T43" s="18"/>
      <c r="V43" s="18"/>
      <c r="W43" s="18"/>
      <c r="X43" s="18"/>
      <c r="Y43" s="18"/>
    </row>
    <row r="44" spans="1:25" ht="13.95" hidden="1" customHeight="1" x14ac:dyDescent="0.25">
      <c r="A44" s="243" t="str">
        <f>'Data files'!A28</f>
        <v xml:space="preserve">13. </v>
      </c>
      <c r="B44" s="243"/>
      <c r="C44" s="18"/>
      <c r="D44" s="18"/>
      <c r="E44" s="18"/>
      <c r="F44" s="18"/>
      <c r="G44" s="18"/>
      <c r="H44" s="16" t="str">
        <f>IF('Control Sheet'!I58=0,"--",'Control Sheet'!I58)</f>
        <v>0</v>
      </c>
      <c r="I44" s="131">
        <f ca="1">INDEX('DC Balance (hide)'!Parameter_Table,ROW(A13),1)</f>
        <v>0</v>
      </c>
      <c r="J44" s="18"/>
      <c r="L44" s="18"/>
      <c r="M44" s="16" t="str">
        <f>IF('Control Sheet'!F58=0,"",'Control Sheet'!J58)</f>
        <v/>
      </c>
      <c r="N44" s="132">
        <f ca="1">INDEX('DC Balance (hide)'!Parameter_Table,ROW(F13),2)</f>
        <v>0</v>
      </c>
      <c r="O44" s="18"/>
      <c r="Q44" s="18"/>
      <c r="R44" s="16" t="str">
        <f>IF('Control Sheet'!G58=0,"",'Control Sheet'!K58)</f>
        <v/>
      </c>
      <c r="S44" s="132">
        <f ca="1">INDEX('DC Balance (hide)'!Parameter_Table,ROW(K13),3)</f>
        <v>0</v>
      </c>
      <c r="T44" s="18"/>
      <c r="V44" s="18"/>
      <c r="W44" s="18"/>
      <c r="X44" s="18"/>
      <c r="Y44" s="18"/>
    </row>
    <row r="45" spans="1:25" ht="13.95" hidden="1" customHeight="1" x14ac:dyDescent="0.25">
      <c r="A45" s="243" t="str">
        <f>'Data files'!A29</f>
        <v xml:space="preserve">14. </v>
      </c>
      <c r="B45" s="243"/>
      <c r="C45" s="18"/>
      <c r="D45" s="18"/>
      <c r="E45" s="18"/>
      <c r="F45" s="18"/>
      <c r="G45" s="18"/>
      <c r="H45" s="16" t="str">
        <f>IF('Control Sheet'!I59=0,"--",'Control Sheet'!I59)</f>
        <v>0</v>
      </c>
      <c r="I45" s="131">
        <f ca="1">INDEX('DC Balance (hide)'!Parameter_Table,ROW(A14),1)</f>
        <v>0</v>
      </c>
      <c r="J45" s="18"/>
      <c r="L45" s="18"/>
      <c r="M45" s="16" t="str">
        <f>IF('Control Sheet'!F59=0,"",'Control Sheet'!J59)</f>
        <v/>
      </c>
      <c r="N45" s="132">
        <f ca="1">INDEX('DC Balance (hide)'!Parameter_Table,ROW(F14),2)</f>
        <v>0</v>
      </c>
      <c r="O45" s="18"/>
      <c r="Q45" s="18"/>
      <c r="R45" s="16" t="str">
        <f>IF('Control Sheet'!G59=0,"",'Control Sheet'!K59)</f>
        <v/>
      </c>
      <c r="S45" s="132">
        <f ca="1">INDEX('DC Balance (hide)'!Parameter_Table,ROW(K14),3)</f>
        <v>0</v>
      </c>
      <c r="T45" s="18"/>
      <c r="V45" s="18"/>
      <c r="W45" s="18"/>
      <c r="X45" s="18"/>
      <c r="Y45" s="18"/>
    </row>
    <row r="46" spans="1:25" ht="13.95" hidden="1" customHeight="1" x14ac:dyDescent="0.25">
      <c r="A46" s="243" t="str">
        <f>'Data files'!A30</f>
        <v xml:space="preserve">15. </v>
      </c>
      <c r="B46" s="243"/>
      <c r="C46" s="18"/>
      <c r="D46" s="18"/>
      <c r="E46" s="18"/>
      <c r="F46" s="18"/>
      <c r="G46" s="18"/>
      <c r="H46" s="16" t="str">
        <f>IF('Control Sheet'!I60=0,"--",'Control Sheet'!I60)</f>
        <v>0</v>
      </c>
      <c r="I46" s="131">
        <f ca="1">INDEX('DC Balance (hide)'!Parameter_Table,ROW(A15),1)</f>
        <v>0</v>
      </c>
      <c r="J46" s="18"/>
      <c r="L46" s="18"/>
      <c r="M46" s="16" t="str">
        <f>IF('Control Sheet'!F60=0,"",'Control Sheet'!J60)</f>
        <v/>
      </c>
      <c r="N46" s="132">
        <f ca="1">INDEX('DC Balance (hide)'!Parameter_Table,ROW(F15),2)</f>
        <v>0</v>
      </c>
      <c r="O46" s="18"/>
      <c r="Q46" s="18"/>
      <c r="R46" s="16" t="str">
        <f>IF('Control Sheet'!G60=0,"",'Control Sheet'!K60)</f>
        <v/>
      </c>
      <c r="S46" s="132">
        <f ca="1">INDEX('DC Balance (hide)'!Parameter_Table,ROW(K15),3)</f>
        <v>0</v>
      </c>
      <c r="T46" s="18"/>
      <c r="V46" s="18"/>
      <c r="W46" s="18"/>
      <c r="X46" s="18"/>
      <c r="Y46" s="18"/>
    </row>
    <row r="47" spans="1:25" ht="13.95" hidden="1" customHeight="1" x14ac:dyDescent="0.25">
      <c r="A47" s="243" t="str">
        <f>'Data files'!A31</f>
        <v xml:space="preserve">16. </v>
      </c>
      <c r="B47" s="243"/>
      <c r="C47" s="18"/>
      <c r="D47" s="18"/>
      <c r="E47" s="18"/>
      <c r="F47" s="18"/>
      <c r="G47" s="18"/>
      <c r="H47" s="16" t="str">
        <f>IF('Control Sheet'!I61=0,"--",'Control Sheet'!I61)</f>
        <v>0</v>
      </c>
      <c r="I47" s="131">
        <f ca="1">INDEX('DC Balance (hide)'!Parameter_Table,ROW(A16),1)</f>
        <v>0</v>
      </c>
      <c r="J47" s="18"/>
      <c r="L47" s="18"/>
      <c r="M47" s="16" t="str">
        <f>IF('Control Sheet'!F61=0,"",'Control Sheet'!J61)</f>
        <v/>
      </c>
      <c r="N47" s="132">
        <f ca="1">INDEX('DC Balance (hide)'!Parameter_Table,ROW(F16),2)</f>
        <v>0</v>
      </c>
      <c r="O47" s="18"/>
      <c r="Q47" s="18"/>
      <c r="R47" s="16" t="str">
        <f>IF('Control Sheet'!G61=0,"",'Control Sheet'!K61)</f>
        <v/>
      </c>
      <c r="S47" s="132">
        <f ca="1">INDEX('DC Balance (hide)'!Parameter_Table,ROW(K16),3)</f>
        <v>0</v>
      </c>
      <c r="T47" s="18"/>
      <c r="V47" s="18"/>
      <c r="W47" s="18"/>
      <c r="X47" s="18"/>
      <c r="Y47" s="18"/>
    </row>
    <row r="48" spans="1:25" ht="13.95" hidden="1" customHeight="1" x14ac:dyDescent="0.25">
      <c r="A48" s="243" t="str">
        <f>'Data files'!A32</f>
        <v xml:space="preserve">17. </v>
      </c>
      <c r="B48" s="243"/>
      <c r="C48" s="18"/>
      <c r="D48" s="18"/>
      <c r="E48" s="18"/>
      <c r="F48" s="18"/>
      <c r="G48" s="18"/>
      <c r="H48" s="16" t="str">
        <f>IF('Control Sheet'!I62=0,"--",'Control Sheet'!I62)</f>
        <v>0</v>
      </c>
      <c r="I48" s="131">
        <f ca="1">INDEX('DC Balance (hide)'!Parameter_Table,ROW(A17),1)</f>
        <v>0</v>
      </c>
      <c r="J48" s="18"/>
      <c r="L48" s="18"/>
      <c r="M48" s="16" t="str">
        <f>IF('Control Sheet'!F62=0,"",'Control Sheet'!J62)</f>
        <v/>
      </c>
      <c r="N48" s="132">
        <f ca="1">INDEX('DC Balance (hide)'!Parameter_Table,ROW(F17),2)</f>
        <v>0</v>
      </c>
      <c r="O48" s="18"/>
      <c r="Q48" s="18"/>
      <c r="R48" s="16" t="str">
        <f>IF('Control Sheet'!G62=0,"",'Control Sheet'!K62)</f>
        <v/>
      </c>
      <c r="S48" s="132">
        <f ca="1">INDEX('DC Balance (hide)'!Parameter_Table,ROW(K17),3)</f>
        <v>0</v>
      </c>
      <c r="T48" s="18"/>
      <c r="V48" s="18"/>
      <c r="W48" s="18"/>
      <c r="X48" s="18"/>
      <c r="Y48" s="18"/>
    </row>
    <row r="49" spans="1:25" ht="13.95" hidden="1" customHeight="1" x14ac:dyDescent="0.25">
      <c r="A49" s="243" t="str">
        <f>'Data files'!A33</f>
        <v xml:space="preserve">18. </v>
      </c>
      <c r="B49" s="243"/>
      <c r="C49" s="18"/>
      <c r="D49" s="18"/>
      <c r="E49" s="18"/>
      <c r="F49" s="18"/>
      <c r="G49" s="18"/>
      <c r="H49" s="16" t="str">
        <f>IF('Control Sheet'!I63=0,"--",'Control Sheet'!I63)</f>
        <v>0</v>
      </c>
      <c r="I49" s="131">
        <f ca="1">INDEX('DC Balance (hide)'!Parameter_Table,ROW(A18),1)</f>
        <v>0</v>
      </c>
      <c r="J49" s="18"/>
      <c r="L49" s="18"/>
      <c r="M49" s="16" t="str">
        <f>IF('Control Sheet'!F63=0,"",'Control Sheet'!J63)</f>
        <v/>
      </c>
      <c r="N49" s="132">
        <f ca="1">INDEX('DC Balance (hide)'!Parameter_Table,ROW(F18),2)</f>
        <v>0</v>
      </c>
      <c r="O49" s="18"/>
      <c r="Q49" s="18"/>
      <c r="R49" s="16" t="str">
        <f>IF('Control Sheet'!G63=0,"",'Control Sheet'!K63)</f>
        <v/>
      </c>
      <c r="S49" s="132">
        <f ca="1">INDEX('DC Balance (hide)'!Parameter_Table,ROW(K18),3)</f>
        <v>0</v>
      </c>
      <c r="T49" s="18"/>
      <c r="V49" s="18"/>
      <c r="W49" s="18"/>
      <c r="X49" s="18"/>
      <c r="Y49" s="18"/>
    </row>
    <row r="50" spans="1:25" ht="13.95" hidden="1" customHeight="1" x14ac:dyDescent="0.25">
      <c r="A50" s="243" t="str">
        <f>'Data files'!A34</f>
        <v xml:space="preserve">19. </v>
      </c>
      <c r="B50" s="243"/>
      <c r="C50" s="18"/>
      <c r="D50" s="18"/>
      <c r="E50" s="18"/>
      <c r="F50" s="18"/>
      <c r="G50" s="18"/>
      <c r="H50" s="16" t="str">
        <f>IF('Control Sheet'!I64=0,"--",'Control Sheet'!I64)</f>
        <v>0</v>
      </c>
      <c r="I50" s="131">
        <f ca="1">INDEX('DC Balance (hide)'!Parameter_Table,ROW(A19),1)</f>
        <v>0</v>
      </c>
      <c r="J50" s="18"/>
      <c r="L50" s="18"/>
      <c r="M50" s="16" t="str">
        <f>IF('Control Sheet'!F64=0,"",'Control Sheet'!J64)</f>
        <v/>
      </c>
      <c r="N50" s="132">
        <f ca="1">INDEX('DC Balance (hide)'!Parameter_Table,ROW(F19),2)</f>
        <v>0</v>
      </c>
      <c r="O50" s="18"/>
      <c r="Q50" s="18"/>
      <c r="R50" s="16" t="str">
        <f>IF('Control Sheet'!G64=0,"",'Control Sheet'!K64)</f>
        <v/>
      </c>
      <c r="S50" s="132">
        <f ca="1">INDEX('DC Balance (hide)'!Parameter_Table,ROW(K19),3)</f>
        <v>0</v>
      </c>
      <c r="T50" s="18"/>
      <c r="V50" s="18"/>
      <c r="W50" s="18"/>
      <c r="X50" s="18"/>
      <c r="Y50" s="18"/>
    </row>
    <row r="51" spans="1:25" ht="13.95" hidden="1" customHeight="1" x14ac:dyDescent="0.25">
      <c r="A51" s="243" t="str">
        <f>'Data files'!A35</f>
        <v xml:space="preserve">20. </v>
      </c>
      <c r="B51" s="243"/>
      <c r="C51" s="18"/>
      <c r="D51" s="18"/>
      <c r="E51" s="18"/>
      <c r="F51" s="18"/>
      <c r="G51" s="18"/>
      <c r="H51" s="16" t="str">
        <f>IF('Control Sheet'!I65=0,"--",'Control Sheet'!I65)</f>
        <v>0</v>
      </c>
      <c r="I51" s="131">
        <f ca="1">INDEX('DC Balance (hide)'!Parameter_Table,ROW(A20),1)</f>
        <v>0</v>
      </c>
      <c r="J51" s="18"/>
      <c r="L51" s="18"/>
      <c r="M51" s="16" t="str">
        <f>IF('Control Sheet'!F65=0,"",'Control Sheet'!J65)</f>
        <v/>
      </c>
      <c r="N51" s="132">
        <f ca="1">INDEX('DC Balance (hide)'!Parameter_Table,ROW(F20),2)</f>
        <v>0</v>
      </c>
      <c r="O51" s="18"/>
      <c r="Q51" s="18"/>
      <c r="R51" s="16" t="str">
        <f>IF('Control Sheet'!G65=0,"",'Control Sheet'!K65)</f>
        <v/>
      </c>
      <c r="S51" s="132">
        <f ca="1">INDEX('DC Balance (hide)'!Parameter_Table,ROW(K20),3)</f>
        <v>0</v>
      </c>
      <c r="T51" s="18"/>
      <c r="V51" s="18"/>
      <c r="W51" s="18"/>
      <c r="X51" s="18"/>
      <c r="Y51" s="18"/>
    </row>
    <row r="52" spans="1:25" x14ac:dyDescent="0.25">
      <c r="A52" s="18"/>
      <c r="B52" s="18"/>
      <c r="C52" s="18"/>
      <c r="D52" s="18"/>
      <c r="E52" s="18"/>
      <c r="F52" s="18"/>
      <c r="G52" s="18"/>
      <c r="H52" s="18"/>
      <c r="I52" s="18"/>
      <c r="J52" s="18"/>
      <c r="L52" s="18"/>
      <c r="M52" s="18"/>
      <c r="N52" s="18"/>
      <c r="O52" s="18"/>
      <c r="Q52" s="18"/>
      <c r="R52" s="18"/>
      <c r="S52" s="18"/>
      <c r="T52" s="18"/>
      <c r="V52" s="18"/>
      <c r="W52" s="18"/>
      <c r="X52" s="18"/>
      <c r="Y52" s="18"/>
    </row>
    <row r="53" spans="1:25" x14ac:dyDescent="0.25">
      <c r="A53" s="18"/>
      <c r="B53" s="18"/>
      <c r="C53" s="18"/>
      <c r="D53" s="18"/>
      <c r="E53" s="18"/>
      <c r="F53" s="18"/>
      <c r="G53" s="18"/>
      <c r="H53" s="18"/>
      <c r="I53" s="18"/>
      <c r="J53" s="18"/>
      <c r="L53" s="18"/>
      <c r="M53" s="18"/>
      <c r="N53" s="18"/>
      <c r="O53" s="18"/>
      <c r="Q53" s="18"/>
      <c r="R53" s="18"/>
      <c r="S53" s="18"/>
      <c r="T53" s="18"/>
      <c r="V53" s="18"/>
      <c r="W53" s="18"/>
      <c r="X53" s="18"/>
      <c r="Y53" s="18"/>
    </row>
    <row r="54" spans="1:25" x14ac:dyDescent="0.25">
      <c r="D54" s="18"/>
      <c r="E54" s="18"/>
      <c r="F54" s="18"/>
    </row>
  </sheetData>
  <mergeCells count="35">
    <mergeCell ref="S4:T4"/>
    <mergeCell ref="S5:T5"/>
    <mergeCell ref="S8:T8"/>
    <mergeCell ref="S11:T11"/>
    <mergeCell ref="S30:S31"/>
    <mergeCell ref="R30:R31"/>
    <mergeCell ref="A30:B31"/>
    <mergeCell ref="I30:I31"/>
    <mergeCell ref="A51:B51"/>
    <mergeCell ref="A41:B41"/>
    <mergeCell ref="A42:B42"/>
    <mergeCell ref="A43:B43"/>
    <mergeCell ref="A44:B44"/>
    <mergeCell ref="A45:B45"/>
    <mergeCell ref="A46:B46"/>
    <mergeCell ref="A32:B32"/>
    <mergeCell ref="A33:B33"/>
    <mergeCell ref="A34:B34"/>
    <mergeCell ref="M30:M31"/>
    <mergeCell ref="N30:N31"/>
    <mergeCell ref="H3:J3"/>
    <mergeCell ref="A47:B47"/>
    <mergeCell ref="A48:B48"/>
    <mergeCell ref="A49:B49"/>
    <mergeCell ref="A50:B50"/>
    <mergeCell ref="A35:B35"/>
    <mergeCell ref="A36:B36"/>
    <mergeCell ref="A37:B37"/>
    <mergeCell ref="A38:B38"/>
    <mergeCell ref="A39:B39"/>
    <mergeCell ref="A40:B40"/>
    <mergeCell ref="H26:J26"/>
    <mergeCell ref="H27:J27"/>
    <mergeCell ref="A4:D4"/>
    <mergeCell ref="H4:J4"/>
  </mergeCells>
  <conditionalFormatting sqref="N32:N51 S32:S51">
    <cfRule type="expression" dxfId="18" priority="2">
      <formula>IF(N32=0,TRUE,FALSE)</formula>
    </cfRule>
  </conditionalFormatting>
  <conditionalFormatting sqref="M29:S51">
    <cfRule type="expression" dxfId="17" priority="1">
      <formula>IF($K$26="Show",FALSE, TRUE)</formula>
    </cfRule>
  </conditionalFormatting>
  <dataValidations count="1">
    <dataValidation type="list" allowBlank="1" showInputMessage="1" showErrorMessage="1" sqref="H4" xr:uid="{B1ABDF15-E033-494B-82C4-C6C0321FBE9A}">
      <formula1>Range_Process_Select</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21857" r:id="rId4" name="Scroll Bar 1">
              <controlPr defaultSize="0" autoPict="0">
                <anchor moveWithCells="1">
                  <from>
                    <xdr:col>0</xdr:col>
                    <xdr:colOff>0</xdr:colOff>
                    <xdr:row>24</xdr:row>
                    <xdr:rowOff>0</xdr:rowOff>
                  </from>
                  <to>
                    <xdr:col>17</xdr:col>
                    <xdr:colOff>922020</xdr:colOff>
                    <xdr:row>25</xdr:row>
                    <xdr:rowOff>0</xdr:rowOff>
                  </to>
                </anchor>
              </controlPr>
            </control>
          </mc:Choice>
        </mc:AlternateContent>
        <mc:AlternateContent xmlns:mc="http://schemas.openxmlformats.org/markup-compatibility/2006">
          <mc:Choice Requires="x14">
            <control shapeId="121858" r:id="rId5" name="Button_ShowAnimation">
              <controlPr defaultSize="0" print="0" autoFill="0" autoPict="0" macro="[0]!Sheet36.animate_DC_Balance_Chart">
                <anchor moveWithCells="1" sizeWithCells="1">
                  <from>
                    <xdr:col>18</xdr:col>
                    <xdr:colOff>0</xdr:colOff>
                    <xdr:row>12</xdr:row>
                    <xdr:rowOff>0</xdr:rowOff>
                  </from>
                  <to>
                    <xdr:col>20</xdr:col>
                    <xdr:colOff>0</xdr:colOff>
                    <xdr:row>14</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DA9343AA-E275-436F-800D-646FC6844264}">
          <x14:formula1>
            <xm:f>'Control Sheet'!$B$15:$B$16</xm:f>
          </x14:formula1>
          <xm:sqref>K26</xm:sqref>
        </x14:dataValidation>
        <x14:dataValidation type="list" allowBlank="1" showInputMessage="1" showErrorMessage="1" xr:uid="{AC27394A-A569-4C52-BA64-CE93D5A687EA}">
          <x14:formula1>
            <xm:f>'Dependency (hide)'!$P$23:$S$23</xm:f>
          </x14:formula1>
          <xm:sqref>H3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9"/>
  <dimension ref="A2:J122"/>
  <sheetViews>
    <sheetView workbookViewId="0">
      <selection activeCell="B4" sqref="B4"/>
    </sheetView>
  </sheetViews>
  <sheetFormatPr defaultRowHeight="13.8" x14ac:dyDescent="0.25"/>
  <sheetData>
    <row r="2" spans="1:10" x14ac:dyDescent="0.25">
      <c r="B2" s="44" t="s">
        <v>1291</v>
      </c>
      <c r="C2" s="44"/>
      <c r="D2" s="44"/>
      <c r="E2" s="74" t="s">
        <v>1292</v>
      </c>
      <c r="F2" s="73"/>
      <c r="G2" s="73"/>
    </row>
    <row r="3" spans="1:10" x14ac:dyDescent="0.25">
      <c r="B3" s="44"/>
      <c r="C3" s="44" t="s">
        <v>1293</v>
      </c>
      <c r="D3" s="44" t="s">
        <v>1294</v>
      </c>
      <c r="E3" s="74"/>
      <c r="F3" s="74" t="s">
        <v>1293</v>
      </c>
      <c r="G3" s="74" t="s">
        <v>1294</v>
      </c>
      <c r="H3" s="1"/>
      <c r="I3" s="1"/>
      <c r="J3" s="1"/>
    </row>
    <row r="4" spans="1:10" x14ac:dyDescent="0.25">
      <c r="A4">
        <v>1</v>
      </c>
      <c r="B4" s="66">
        <f>'File 1'!WL_Ideal</f>
        <v>42.562452931683701</v>
      </c>
      <c r="C4" s="137" t="e">
        <f>NA()</f>
        <v>#N/A</v>
      </c>
      <c r="D4" s="66">
        <f>'File 1'!WL_Ideal_IP</f>
        <v>0</v>
      </c>
      <c r="E4" s="77">
        <f>'File 1'!WL_Current</f>
        <v>56.78321678321678</v>
      </c>
      <c r="F4" s="77" t="e">
        <v>#N/A</v>
      </c>
      <c r="G4" s="77">
        <f>'File 1'!WL_Current_IP</f>
        <v>0</v>
      </c>
    </row>
    <row r="5" spans="1:10" x14ac:dyDescent="0.25">
      <c r="A5">
        <v>2</v>
      </c>
      <c r="B5" s="66">
        <f>'File 2'!WL_Ideal</f>
        <v>0</v>
      </c>
      <c r="C5" s="66" t="e">
        <v>#N/A</v>
      </c>
      <c r="D5" s="66">
        <f>'File 2'!WL_Ideal_IP</f>
        <v>0</v>
      </c>
      <c r="E5" s="77">
        <f>'File 2'!WL_Current</f>
        <v>0</v>
      </c>
      <c r="F5" s="77" t="e">
        <v>#N/A</v>
      </c>
      <c r="G5" s="77">
        <f>'File 2'!WL_Current_IP</f>
        <v>0</v>
      </c>
    </row>
    <row r="6" spans="1:10" x14ac:dyDescent="0.25">
      <c r="A6">
        <v>3</v>
      </c>
      <c r="B6" s="66">
        <f>'File 3'!WL_Ideal</f>
        <v>0</v>
      </c>
      <c r="C6" s="66" t="e">
        <v>#N/A</v>
      </c>
      <c r="D6" s="66">
        <f>'File 3'!WL_Ideal_IP</f>
        <v>0</v>
      </c>
      <c r="E6" s="77">
        <f>'File 3'!WL_Current</f>
        <v>0</v>
      </c>
      <c r="F6" s="77" t="e">
        <v>#N/A</v>
      </c>
      <c r="G6" s="77">
        <f>'File 3'!WL_Current_IP</f>
        <v>0</v>
      </c>
    </row>
    <row r="7" spans="1:10" x14ac:dyDescent="0.25">
      <c r="A7">
        <v>4</v>
      </c>
      <c r="B7" s="66">
        <f>'File 4'!WL_Ideal</f>
        <v>0</v>
      </c>
      <c r="C7" s="66" t="e">
        <v>#N/A</v>
      </c>
      <c r="D7" s="66">
        <f>'File 4'!WL_Ideal_IP</f>
        <v>0</v>
      </c>
      <c r="E7" s="77">
        <f>'File 4'!WL_Current</f>
        <v>0</v>
      </c>
      <c r="F7" s="77" t="e">
        <v>#N/A</v>
      </c>
      <c r="G7" s="77">
        <f>'File 4'!WL_Current_IP</f>
        <v>0</v>
      </c>
    </row>
    <row r="8" spans="1:10" x14ac:dyDescent="0.25">
      <c r="A8">
        <v>5</v>
      </c>
      <c r="B8" s="66">
        <f>'File 5'!WL_Ideal</f>
        <v>0</v>
      </c>
      <c r="C8" s="66" t="e">
        <v>#N/A</v>
      </c>
      <c r="D8" s="66">
        <f>'File 5'!WL_Ideal_IP</f>
        <v>0</v>
      </c>
      <c r="E8" s="77">
        <f>'File 5'!WL_Current</f>
        <v>0</v>
      </c>
      <c r="F8" s="77" t="e">
        <v>#N/A</v>
      </c>
      <c r="G8" s="77">
        <f>'File 5'!WL_Current_IP</f>
        <v>0</v>
      </c>
    </row>
    <row r="9" spans="1:10" x14ac:dyDescent="0.25">
      <c r="A9">
        <v>6</v>
      </c>
      <c r="B9" s="66">
        <f>'File 6'!WL_Ideal</f>
        <v>0</v>
      </c>
      <c r="C9" s="66" t="e">
        <v>#N/A</v>
      </c>
      <c r="D9" s="66">
        <f>'File 6'!WL_Ideal_IP</f>
        <v>0</v>
      </c>
      <c r="E9" s="77">
        <f>'File 6'!WL_Current</f>
        <v>0</v>
      </c>
      <c r="F9" s="77" t="e">
        <v>#N/A</v>
      </c>
      <c r="G9" s="77">
        <f>'File 6'!WL_Current_IP</f>
        <v>0</v>
      </c>
    </row>
    <row r="10" spans="1:10" x14ac:dyDescent="0.25">
      <c r="A10">
        <v>7</v>
      </c>
      <c r="B10" s="66">
        <f>'File 7'!WL_Ideal</f>
        <v>0</v>
      </c>
      <c r="C10" s="66" t="e">
        <v>#N/A</v>
      </c>
      <c r="D10" s="66">
        <f>'File 7'!WL_Ideal_IP</f>
        <v>0</v>
      </c>
      <c r="E10" s="77">
        <f>'File 7'!WL_Current</f>
        <v>0</v>
      </c>
      <c r="F10" s="77" t="e">
        <v>#N/A</v>
      </c>
      <c r="G10" s="77">
        <f>'File 7'!WL_Current_IP</f>
        <v>0</v>
      </c>
    </row>
    <row r="11" spans="1:10" x14ac:dyDescent="0.25">
      <c r="A11">
        <v>8</v>
      </c>
      <c r="B11" s="66">
        <f>'File 8'!WL_Ideal</f>
        <v>0</v>
      </c>
      <c r="C11" s="66" t="e">
        <v>#N/A</v>
      </c>
      <c r="D11" s="66">
        <f>'File 8'!WL_Ideal_IP</f>
        <v>0</v>
      </c>
      <c r="E11" s="77">
        <f>'File 8'!WL_Current</f>
        <v>0</v>
      </c>
      <c r="F11" s="77" t="e">
        <v>#N/A</v>
      </c>
      <c r="G11" s="77">
        <f>'File 8'!WL_Current_IP</f>
        <v>0</v>
      </c>
    </row>
    <row r="12" spans="1:10" x14ac:dyDescent="0.25">
      <c r="A12">
        <v>9</v>
      </c>
      <c r="B12" s="66">
        <f>'File 9'!WL_Ideal</f>
        <v>0</v>
      </c>
      <c r="C12" s="66" t="e">
        <v>#N/A</v>
      </c>
      <c r="D12" s="66">
        <f>'File 9'!WL_Ideal_IP</f>
        <v>0</v>
      </c>
      <c r="E12" s="77">
        <f>'File 9'!WL_Current</f>
        <v>0</v>
      </c>
      <c r="F12" s="77" t="e">
        <v>#N/A</v>
      </c>
      <c r="G12" s="77">
        <f>'File 9'!WL_Current_IP</f>
        <v>0</v>
      </c>
    </row>
    <row r="13" spans="1:10" x14ac:dyDescent="0.25">
      <c r="A13">
        <v>10</v>
      </c>
      <c r="B13" s="66">
        <f>'File 10'!WL_Ideal</f>
        <v>0</v>
      </c>
      <c r="C13" s="66" t="e">
        <v>#N/A</v>
      </c>
      <c r="D13" s="66">
        <f>'File 10'!WL_Ideal_IP</f>
        <v>0</v>
      </c>
      <c r="E13" s="77">
        <f>'File 10'!WL_Current</f>
        <v>0</v>
      </c>
      <c r="F13" s="77" t="e">
        <v>#N/A</v>
      </c>
      <c r="G13" s="77">
        <f>'File 10'!WL_Current_IP</f>
        <v>0</v>
      </c>
    </row>
    <row r="14" spans="1:10" x14ac:dyDescent="0.25">
      <c r="A14">
        <v>11</v>
      </c>
      <c r="B14" s="66">
        <f>'File 11'!WL_Ideal</f>
        <v>0</v>
      </c>
      <c r="C14" s="66" t="e">
        <v>#N/A</v>
      </c>
      <c r="D14" s="66">
        <f>'File 11'!WL_Ideal_IP</f>
        <v>0</v>
      </c>
      <c r="E14" s="77">
        <f>'File 11'!WL_Current</f>
        <v>0</v>
      </c>
      <c r="F14" s="77" t="e">
        <v>#N/A</v>
      </c>
      <c r="G14" s="77">
        <f>'File 11'!WL_Current_IP</f>
        <v>0</v>
      </c>
    </row>
    <row r="15" spans="1:10" x14ac:dyDescent="0.25">
      <c r="A15">
        <v>12</v>
      </c>
      <c r="B15" s="66">
        <f>'File 12'!WL_Ideal</f>
        <v>0</v>
      </c>
      <c r="C15" s="66" t="e">
        <v>#N/A</v>
      </c>
      <c r="D15" s="66">
        <f>'File 12'!WL_Ideal_IP</f>
        <v>0</v>
      </c>
      <c r="E15" s="77">
        <f>'File 12'!WL_Current</f>
        <v>0</v>
      </c>
      <c r="F15" s="77" t="e">
        <v>#N/A</v>
      </c>
      <c r="G15" s="77">
        <f>'File 12'!WL_Current_IP</f>
        <v>0</v>
      </c>
    </row>
    <row r="16" spans="1:10" x14ac:dyDescent="0.25">
      <c r="A16">
        <v>13</v>
      </c>
      <c r="B16" s="66">
        <f>'File 13'!WL_Ideal</f>
        <v>0</v>
      </c>
      <c r="C16" s="66" t="e">
        <v>#N/A</v>
      </c>
      <c r="D16" s="66">
        <f>'File 13'!WL_Ideal_IP</f>
        <v>0</v>
      </c>
      <c r="E16" s="77">
        <f>'File 13'!WL_Current</f>
        <v>0</v>
      </c>
      <c r="F16" s="77" t="e">
        <v>#N/A</v>
      </c>
      <c r="G16" s="77">
        <f>'File 13'!WL_Current_IP</f>
        <v>0</v>
      </c>
    </row>
    <row r="17" spans="1:9" x14ac:dyDescent="0.25">
      <c r="A17">
        <v>14</v>
      </c>
      <c r="B17" s="66">
        <f>'File 14'!WL_Ideal</f>
        <v>0</v>
      </c>
      <c r="C17" s="66" t="e">
        <v>#N/A</v>
      </c>
      <c r="D17" s="66">
        <f>'File 14'!WL_Ideal_IP</f>
        <v>0</v>
      </c>
      <c r="E17" s="77">
        <f>'File 14'!WL_Current</f>
        <v>0</v>
      </c>
      <c r="F17" s="77" t="e">
        <v>#N/A</v>
      </c>
      <c r="G17" s="77">
        <f>'File 14'!WL_Current_IP</f>
        <v>0</v>
      </c>
    </row>
    <row r="18" spans="1:9" x14ac:dyDescent="0.25">
      <c r="A18">
        <v>15</v>
      </c>
      <c r="B18" s="66">
        <f>'File 15'!WL_Ideal</f>
        <v>0</v>
      </c>
      <c r="C18" s="66" t="e">
        <v>#N/A</v>
      </c>
      <c r="D18" s="66">
        <f>'File 15'!WL_Ideal_IP</f>
        <v>0</v>
      </c>
      <c r="E18" s="77">
        <f>'File 15'!WL_Current</f>
        <v>0</v>
      </c>
      <c r="F18" s="77" t="e">
        <v>#N/A</v>
      </c>
      <c r="G18" s="77">
        <f>'File 15'!WL_Current_IP</f>
        <v>0</v>
      </c>
    </row>
    <row r="19" spans="1:9" x14ac:dyDescent="0.25">
      <c r="A19">
        <v>16</v>
      </c>
      <c r="B19" s="66">
        <f>'File 16'!WL_Ideal</f>
        <v>0</v>
      </c>
      <c r="C19" s="66" t="e">
        <v>#N/A</v>
      </c>
      <c r="D19" s="66">
        <f>'File 16'!WL_Ideal_IP</f>
        <v>0</v>
      </c>
      <c r="E19" s="77">
        <f>'File 16'!WL_Current</f>
        <v>0</v>
      </c>
      <c r="F19" s="77" t="e">
        <v>#N/A</v>
      </c>
      <c r="G19" s="77">
        <f>'File 16'!WL_Current_IP</f>
        <v>0</v>
      </c>
    </row>
    <row r="20" spans="1:9" x14ac:dyDescent="0.25">
      <c r="A20">
        <v>17</v>
      </c>
      <c r="B20" s="66">
        <f>'File 17'!WL_Ideal</f>
        <v>0</v>
      </c>
      <c r="C20" s="66" t="e">
        <v>#N/A</v>
      </c>
      <c r="D20" s="66">
        <f>'File 17'!WL_Ideal_IP</f>
        <v>0</v>
      </c>
      <c r="E20" s="77">
        <f>'File 17'!WL_Current</f>
        <v>0</v>
      </c>
      <c r="F20" s="77" t="e">
        <v>#N/A</v>
      </c>
      <c r="G20" s="77">
        <f>'File 17'!WL_Current_IP</f>
        <v>0</v>
      </c>
    </row>
    <row r="21" spans="1:9" x14ac:dyDescent="0.25">
      <c r="A21">
        <v>18</v>
      </c>
      <c r="B21" s="66">
        <f>'File 18'!WL_Ideal</f>
        <v>0</v>
      </c>
      <c r="C21" s="66" t="e">
        <v>#N/A</v>
      </c>
      <c r="D21" s="66">
        <f>'File 18'!WL_Ideal_IP</f>
        <v>0</v>
      </c>
      <c r="E21" s="77">
        <f>'File 18'!WL_Current</f>
        <v>0</v>
      </c>
      <c r="F21" s="77" t="e">
        <v>#N/A</v>
      </c>
      <c r="G21" s="77">
        <f>'File 18'!WL_Current_IP</f>
        <v>0</v>
      </c>
    </row>
    <row r="22" spans="1:9" x14ac:dyDescent="0.25">
      <c r="A22">
        <v>19</v>
      </c>
      <c r="B22" s="66">
        <f>'File 19'!WL_Ideal</f>
        <v>0</v>
      </c>
      <c r="C22" s="66" t="e">
        <v>#N/A</v>
      </c>
      <c r="D22" s="66">
        <f>'File 19'!WL_Ideal_IP</f>
        <v>0</v>
      </c>
      <c r="E22" s="77">
        <f>'File 19'!WL_Current</f>
        <v>0</v>
      </c>
      <c r="F22" s="77" t="e">
        <v>#N/A</v>
      </c>
      <c r="G22" s="77">
        <f>'File 19'!WL_Current_IP</f>
        <v>0</v>
      </c>
    </row>
    <row r="23" spans="1:9" x14ac:dyDescent="0.25">
      <c r="A23">
        <v>20</v>
      </c>
      <c r="B23" s="66">
        <f>'File 20'!WL_Ideal</f>
        <v>0</v>
      </c>
      <c r="C23" s="66" t="e">
        <v>#N/A</v>
      </c>
      <c r="D23" s="66">
        <f>'File 20'!WL_Ideal_IP</f>
        <v>0</v>
      </c>
      <c r="E23" s="77">
        <f>'File 20'!WL_Current</f>
        <v>0</v>
      </c>
      <c r="F23" s="77" t="e">
        <v>#N/A</v>
      </c>
      <c r="G23" s="77">
        <f>'File 20'!WL_Current_IP</f>
        <v>0</v>
      </c>
    </row>
    <row r="25" spans="1:9" x14ac:dyDescent="0.25">
      <c r="B25" s="1" t="s">
        <v>1041</v>
      </c>
      <c r="D25" s="1" t="s">
        <v>1084</v>
      </c>
    </row>
    <row r="26" spans="1:9" x14ac:dyDescent="0.25">
      <c r="B26">
        <f>MATCH('WL Balance'!$E$4,'Data files'!$A$15:$A$35,0)-1</f>
        <v>0</v>
      </c>
      <c r="D26" s="57" t="str">
        <f>"Waiting list status for "&amp;IF(B26=0,"all processes",'WL Balance'!$E$4)</f>
        <v>Waiting list status for all processes</v>
      </c>
    </row>
    <row r="27" spans="1:9" x14ac:dyDescent="0.25">
      <c r="A27" s="1" t="s">
        <v>1091</v>
      </c>
      <c r="B27" s="1" t="s">
        <v>963</v>
      </c>
      <c r="C27" s="1" t="s">
        <v>1097</v>
      </c>
      <c r="D27" s="1" t="s">
        <v>1098</v>
      </c>
      <c r="E27" s="1" t="s">
        <v>1095</v>
      </c>
      <c r="F27" s="1" t="s">
        <v>1099</v>
      </c>
      <c r="G27" s="1" t="s">
        <v>1100</v>
      </c>
      <c r="H27" s="1" t="s">
        <v>1101</v>
      </c>
      <c r="I27" s="1" t="s">
        <v>1096</v>
      </c>
    </row>
    <row r="28" spans="1:9" x14ac:dyDescent="0.25">
      <c r="A28">
        <f ca="1">OFFSET('Control Sheet'!$H$45,B28,0,1,1)</f>
        <v>1</v>
      </c>
      <c r="B28">
        <v>1</v>
      </c>
      <c r="C28" t="str">
        <f ca="1">IF('Data files'!$E$9&lt;=8,OFFSET('Control Sheet'!$B$45,B28,0,1,1),B28)</f>
        <v>test service</v>
      </c>
      <c r="D28" t="str">
        <f ca="1">IF(A28=1,"",OFFSET('Control Sheet'!$H$45,B28,1,1,1))</f>
        <v/>
      </c>
      <c r="E28" s="8" t="e">
        <f ca="1">IF($A28=1,NA(),INDEX(WL_Ideal,B28,1))</f>
        <v>#N/A</v>
      </c>
      <c r="F28" s="8" t="e">
        <f ca="1">E28*0.95</f>
        <v>#N/A</v>
      </c>
      <c r="G28" s="8" t="e">
        <f ca="1">E28*1.05</f>
        <v>#N/A</v>
      </c>
      <c r="H28" s="8" t="e">
        <f ca="1">G28-F28</f>
        <v>#N/A</v>
      </c>
      <c r="I28" s="8" t="e">
        <f ca="1">IF(A28=1,NA(),INDEX(WL_Current,B28,1))</f>
        <v>#N/A</v>
      </c>
    </row>
    <row r="29" spans="1:9" x14ac:dyDescent="0.25">
      <c r="A29">
        <f ca="1">OFFSET('Control Sheet'!$H$45,B29,0,1,1)</f>
        <v>1</v>
      </c>
      <c r="B29">
        <v>1</v>
      </c>
      <c r="D29" t="str">
        <f ca="1">OFFSET('Control Sheet'!$H$45,B29,IF(A29=1,1,2),1,1)</f>
        <v>New</v>
      </c>
      <c r="E29" s="8">
        <f ca="1">INDEX(WL_Ideal,B29,IF(A29=1,1,2))</f>
        <v>42.562452931683701</v>
      </c>
      <c r="F29" s="8">
        <f t="shared" ref="F29:F92" ca="1" si="0">E29*0.95</f>
        <v>40.434330285099513</v>
      </c>
      <c r="G29" s="8">
        <f t="shared" ref="G29:G92" ca="1" si="1">E29*1.05</f>
        <v>44.69057557826789</v>
      </c>
      <c r="H29" s="8">
        <f ca="1">G29-F29</f>
        <v>4.2562452931683765</v>
      </c>
      <c r="I29" s="8">
        <f ca="1">INDEX(WL_Current,B29,IF(A29=1,1,2))</f>
        <v>56.78321678321678</v>
      </c>
    </row>
    <row r="30" spans="1:9" x14ac:dyDescent="0.25">
      <c r="A30">
        <f ca="1">OFFSET('Control Sheet'!$H$45,B30,0,1,1)</f>
        <v>1</v>
      </c>
      <c r="B30">
        <v>1</v>
      </c>
      <c r="D30" t="str">
        <f ca="1">IF(A30&lt;3,"",OFFSET('Control Sheet'!$D$45,B30,3,1,1))</f>
        <v/>
      </c>
      <c r="E30" s="8" t="e">
        <f ca="1">IF(A30=1,NA(),INDEX(WL_Ideal,B30,3))</f>
        <v>#N/A</v>
      </c>
      <c r="F30" s="8" t="e">
        <f t="shared" ca="1" si="0"/>
        <v>#N/A</v>
      </c>
      <c r="G30" s="8" t="e">
        <f t="shared" ca="1" si="1"/>
        <v>#N/A</v>
      </c>
      <c r="H30" s="8" t="e">
        <f ca="1">G30-F30</f>
        <v>#N/A</v>
      </c>
      <c r="I30" s="8" t="e">
        <f ca="1">IF(A30=1,NA(),INDEX(WL_Current,B30,3))</f>
        <v>#N/A</v>
      </c>
    </row>
    <row r="31" spans="1:9" x14ac:dyDescent="0.25">
      <c r="C31" t="s">
        <v>1032</v>
      </c>
      <c r="E31" s="8"/>
      <c r="F31" s="8"/>
      <c r="G31" s="8"/>
      <c r="I31" s="8"/>
    </row>
    <row r="32" spans="1:9" x14ac:dyDescent="0.25">
      <c r="A32">
        <f ca="1">OFFSET('Control Sheet'!$H$45,B32,0,1,1)</f>
        <v>0</v>
      </c>
      <c r="B32">
        <v>2</v>
      </c>
      <c r="C32">
        <f ca="1">IF('Data files'!$E$9&lt;=8,OFFSET('Control Sheet'!$B$45,B32,0,1,1),B32)</f>
        <v>0</v>
      </c>
      <c r="D32" t="str">
        <f ca="1">IF(A32=1,"",OFFSET('Control Sheet'!$H$45,B32,1,1,1))</f>
        <v>0</v>
      </c>
      <c r="E32" s="8">
        <f ca="1">IF($A32=1,NA(),INDEX(WL_Ideal,B32,1))</f>
        <v>0</v>
      </c>
      <c r="F32" s="8">
        <f t="shared" ca="1" si="0"/>
        <v>0</v>
      </c>
      <c r="G32" s="8">
        <f t="shared" ca="1" si="1"/>
        <v>0</v>
      </c>
      <c r="H32" s="8">
        <f ca="1">G32-F32</f>
        <v>0</v>
      </c>
      <c r="I32" s="8">
        <f ca="1">IF(A32=1,NA(),INDEX(WL_Current,B32,1))</f>
        <v>0</v>
      </c>
    </row>
    <row r="33" spans="1:9" x14ac:dyDescent="0.25">
      <c r="A33">
        <f ca="1">OFFSET('Control Sheet'!$H$45,B33,0,1,1)</f>
        <v>0</v>
      </c>
      <c r="B33">
        <v>2</v>
      </c>
      <c r="D33">
        <f ca="1">OFFSET('Control Sheet'!$H$45,B33,IF(A33=1,1,2),1,1)</f>
        <v>0</v>
      </c>
      <c r="E33" s="8" t="e">
        <f ca="1">INDEX(WL_Ideal,B33,IF(A33=1,1,2))</f>
        <v>#N/A</v>
      </c>
      <c r="F33" s="8" t="e">
        <f t="shared" ca="1" si="0"/>
        <v>#N/A</v>
      </c>
      <c r="G33" s="8" t="e">
        <f t="shared" ca="1" si="1"/>
        <v>#N/A</v>
      </c>
      <c r="H33" s="8" t="e">
        <f ca="1">G33-F33</f>
        <v>#N/A</v>
      </c>
      <c r="I33" s="8" t="e">
        <f ca="1">INDEX(WL_Current,B33,IF(A33=1,1,2))</f>
        <v>#N/A</v>
      </c>
    </row>
    <row r="34" spans="1:9" x14ac:dyDescent="0.25">
      <c r="A34">
        <f ca="1">OFFSET('Control Sheet'!$H$45,B34,0,1,1)</f>
        <v>0</v>
      </c>
      <c r="B34">
        <v>2</v>
      </c>
      <c r="D34" t="str">
        <f ca="1">IF(A34&lt;3,"",OFFSET('Control Sheet'!$D$45,B34,3,1,1))</f>
        <v/>
      </c>
      <c r="E34" s="8">
        <f ca="1">IF(A34=1,NA(),INDEX(WL_Ideal,B34,3))</f>
        <v>0</v>
      </c>
      <c r="F34" s="8">
        <f t="shared" ca="1" si="0"/>
        <v>0</v>
      </c>
      <c r="G34" s="8">
        <f t="shared" ca="1" si="1"/>
        <v>0</v>
      </c>
      <c r="H34" s="8">
        <f ca="1">G34-F34</f>
        <v>0</v>
      </c>
      <c r="I34" s="8">
        <f ca="1">IF(A34=1,NA(),INDEX(WL_Current,B34,3))</f>
        <v>0</v>
      </c>
    </row>
    <row r="35" spans="1:9" x14ac:dyDescent="0.25">
      <c r="C35" t="s">
        <v>1032</v>
      </c>
      <c r="E35" s="8"/>
      <c r="F35" s="8"/>
      <c r="G35" s="8"/>
      <c r="I35" s="8"/>
    </row>
    <row r="36" spans="1:9" x14ac:dyDescent="0.25">
      <c r="A36">
        <f ca="1">OFFSET('Control Sheet'!$H$45,B36,0,1,1)</f>
        <v>0</v>
      </c>
      <c r="B36">
        <v>3</v>
      </c>
      <c r="C36">
        <f ca="1">IF('Data files'!$E$9&lt;=8,OFFSET('Control Sheet'!$B$45,B36,0,1,1),B36)</f>
        <v>0</v>
      </c>
      <c r="D36" t="str">
        <f ca="1">IF(A36=1,"",OFFSET('Control Sheet'!$H$45,B36,1,1,1))</f>
        <v>0</v>
      </c>
      <c r="E36" s="8">
        <f ca="1">IF($A36=1,NA(),INDEX(WL_Ideal,B36,1))</f>
        <v>0</v>
      </c>
      <c r="F36" s="8">
        <f t="shared" ca="1" si="0"/>
        <v>0</v>
      </c>
      <c r="G36" s="8">
        <f t="shared" ca="1" si="1"/>
        <v>0</v>
      </c>
      <c r="H36" s="8">
        <f ca="1">G36-F36</f>
        <v>0</v>
      </c>
      <c r="I36" s="8">
        <f ca="1">IF(A36=1,NA(),INDEX(WL_Current,B36,1))</f>
        <v>0</v>
      </c>
    </row>
    <row r="37" spans="1:9" x14ac:dyDescent="0.25">
      <c r="A37">
        <f ca="1">OFFSET('Control Sheet'!$H$45,B37,0,1,1)</f>
        <v>0</v>
      </c>
      <c r="B37">
        <v>3</v>
      </c>
      <c r="D37">
        <f ca="1">OFFSET('Control Sheet'!$H$45,B37,IF(A37=1,1,2),1,1)</f>
        <v>0</v>
      </c>
      <c r="E37" s="8" t="e">
        <f ca="1">INDEX(WL_Ideal,B37,IF(A37=1,1,2))</f>
        <v>#N/A</v>
      </c>
      <c r="F37" s="8" t="e">
        <f t="shared" ca="1" si="0"/>
        <v>#N/A</v>
      </c>
      <c r="G37" s="8" t="e">
        <f t="shared" ca="1" si="1"/>
        <v>#N/A</v>
      </c>
      <c r="H37" s="8" t="e">
        <f ca="1">G37-F37</f>
        <v>#N/A</v>
      </c>
      <c r="I37" s="8" t="e">
        <f ca="1">INDEX(WL_Current,B37,IF(A37=1,1,2))</f>
        <v>#N/A</v>
      </c>
    </row>
    <row r="38" spans="1:9" x14ac:dyDescent="0.25">
      <c r="A38">
        <f ca="1">OFFSET('Control Sheet'!$H$45,B38,0,1,1)</f>
        <v>0</v>
      </c>
      <c r="B38">
        <v>3</v>
      </c>
      <c r="D38" t="str">
        <f ca="1">IF(A38&lt;3,"",OFFSET('Control Sheet'!$D$45,B38,3,1,1))</f>
        <v/>
      </c>
      <c r="E38" s="8">
        <f ca="1">IF(A38=1,NA(),INDEX(WL_Ideal,B38,3))</f>
        <v>0</v>
      </c>
      <c r="F38" s="8">
        <f t="shared" ca="1" si="0"/>
        <v>0</v>
      </c>
      <c r="G38" s="8">
        <f t="shared" ca="1" si="1"/>
        <v>0</v>
      </c>
      <c r="H38" s="8">
        <f ca="1">G38-F38</f>
        <v>0</v>
      </c>
      <c r="I38" s="8">
        <f ca="1">IF(A38=1,NA(),INDEX(WL_Current,B38,3))</f>
        <v>0</v>
      </c>
    </row>
    <row r="39" spans="1:9" x14ac:dyDescent="0.25">
      <c r="C39" t="s">
        <v>1032</v>
      </c>
      <c r="E39" s="8"/>
      <c r="F39" s="8"/>
      <c r="G39" s="8"/>
      <c r="I39" s="8"/>
    </row>
    <row r="40" spans="1:9" x14ac:dyDescent="0.25">
      <c r="A40">
        <f ca="1">OFFSET('Control Sheet'!$H$45,B40,0,1,1)</f>
        <v>0</v>
      </c>
      <c r="B40">
        <v>4</v>
      </c>
      <c r="C40">
        <f ca="1">IF('Data files'!$E$9&lt;=8,OFFSET('Control Sheet'!$B$45,B40,0,1,1),B40)</f>
        <v>0</v>
      </c>
      <c r="D40" t="str">
        <f ca="1">IF(A40=1,"",OFFSET('Control Sheet'!$H$45,B40,1,1,1))</f>
        <v>0</v>
      </c>
      <c r="E40" s="8">
        <f ca="1">IF($A40=1,NA(),INDEX(WL_Ideal,B40,1))</f>
        <v>0</v>
      </c>
      <c r="F40" s="8">
        <f t="shared" ca="1" si="0"/>
        <v>0</v>
      </c>
      <c r="G40" s="8">
        <f t="shared" ca="1" si="1"/>
        <v>0</v>
      </c>
      <c r="H40" s="8">
        <f ca="1">G40-F40</f>
        <v>0</v>
      </c>
      <c r="I40" s="8">
        <f ca="1">IF(A40=1,NA(),INDEX(WL_Current,B40,1))</f>
        <v>0</v>
      </c>
    </row>
    <row r="41" spans="1:9" x14ac:dyDescent="0.25">
      <c r="A41">
        <f ca="1">OFFSET('Control Sheet'!$H$45,B41,0,1,1)</f>
        <v>0</v>
      </c>
      <c r="B41">
        <v>4</v>
      </c>
      <c r="D41">
        <f ca="1">OFFSET('Control Sheet'!$H$45,B41,IF(A41=1,1,2),1,1)</f>
        <v>0</v>
      </c>
      <c r="E41" s="8" t="e">
        <f ca="1">INDEX(WL_Ideal,B41,IF(A41=1,1,2))</f>
        <v>#N/A</v>
      </c>
      <c r="F41" s="8" t="e">
        <f t="shared" ca="1" si="0"/>
        <v>#N/A</v>
      </c>
      <c r="G41" s="8" t="e">
        <f t="shared" ca="1" si="1"/>
        <v>#N/A</v>
      </c>
      <c r="H41" s="8" t="e">
        <f ca="1">G41-F41</f>
        <v>#N/A</v>
      </c>
      <c r="I41" s="8" t="e">
        <f ca="1">INDEX(WL_Current,B41,IF(A41=1,1,2))</f>
        <v>#N/A</v>
      </c>
    </row>
    <row r="42" spans="1:9" x14ac:dyDescent="0.25">
      <c r="A42">
        <f ca="1">OFFSET('Control Sheet'!$H$45,B42,0,1,1)</f>
        <v>0</v>
      </c>
      <c r="B42">
        <v>4</v>
      </c>
      <c r="D42" t="str">
        <f ca="1">IF(A42&lt;3,"",OFFSET('Control Sheet'!$D$45,B42,3,1,1))</f>
        <v/>
      </c>
      <c r="E42" s="8">
        <f ca="1">IF(A42=1,NA(),INDEX(WL_Ideal,B42,3))</f>
        <v>0</v>
      </c>
      <c r="F42" s="8">
        <f t="shared" ca="1" si="0"/>
        <v>0</v>
      </c>
      <c r="G42" s="8">
        <f t="shared" ca="1" si="1"/>
        <v>0</v>
      </c>
      <c r="H42" s="8">
        <f ca="1">G42-F42</f>
        <v>0</v>
      </c>
      <c r="I42" s="8">
        <f ca="1">IF(A42=1,NA(),INDEX(WL_Current,B42,3))</f>
        <v>0</v>
      </c>
    </row>
    <row r="43" spans="1:9" x14ac:dyDescent="0.25">
      <c r="C43" t="s">
        <v>1032</v>
      </c>
      <c r="E43" s="8"/>
      <c r="F43" s="8"/>
      <c r="G43" s="8"/>
      <c r="I43" s="8"/>
    </row>
    <row r="44" spans="1:9" x14ac:dyDescent="0.25">
      <c r="A44">
        <f ca="1">OFFSET('Control Sheet'!$H$45,B44,0,1,1)</f>
        <v>0</v>
      </c>
      <c r="B44">
        <v>5</v>
      </c>
      <c r="C44">
        <f ca="1">IF('Data files'!$E$9&lt;=8,OFFSET('Control Sheet'!$B$45,B44,0,1,1),B44)</f>
        <v>0</v>
      </c>
      <c r="D44" t="str">
        <f ca="1">IF(A44=1,"",OFFSET('Control Sheet'!$H$45,B44,1,1,1))</f>
        <v>0</v>
      </c>
      <c r="E44" s="8">
        <f ca="1">IF($A44=1,NA(),INDEX(WL_Ideal,B44,1))</f>
        <v>0</v>
      </c>
      <c r="F44" s="8">
        <f t="shared" ca="1" si="0"/>
        <v>0</v>
      </c>
      <c r="G44" s="8">
        <f t="shared" ca="1" si="1"/>
        <v>0</v>
      </c>
      <c r="H44" s="8">
        <f ca="1">G44-F44</f>
        <v>0</v>
      </c>
      <c r="I44" s="8">
        <f ca="1">IF(A44=1,NA(),INDEX(WL_Current,B44,1))</f>
        <v>0</v>
      </c>
    </row>
    <row r="45" spans="1:9" x14ac:dyDescent="0.25">
      <c r="A45">
        <f ca="1">OFFSET('Control Sheet'!$H$45,B45,0,1,1)</f>
        <v>0</v>
      </c>
      <c r="B45">
        <v>5</v>
      </c>
      <c r="D45">
        <f ca="1">OFFSET('Control Sheet'!$H$45,B45,IF(A45=1,1,2),1,1)</f>
        <v>0</v>
      </c>
      <c r="E45" s="8" t="e">
        <f ca="1">INDEX(WL_Ideal,B45,IF(A45=1,1,2))</f>
        <v>#N/A</v>
      </c>
      <c r="F45" s="8" t="e">
        <f t="shared" ca="1" si="0"/>
        <v>#N/A</v>
      </c>
      <c r="G45" s="8" t="e">
        <f t="shared" ca="1" si="1"/>
        <v>#N/A</v>
      </c>
      <c r="H45" s="8" t="e">
        <f ca="1">G45-F45</f>
        <v>#N/A</v>
      </c>
      <c r="I45" s="8" t="e">
        <f ca="1">INDEX(WL_Current,B45,IF(A45=1,1,2))</f>
        <v>#N/A</v>
      </c>
    </row>
    <row r="46" spans="1:9" x14ac:dyDescent="0.25">
      <c r="A46">
        <f ca="1">OFFSET('Control Sheet'!$H$45,B46,0,1,1)</f>
        <v>0</v>
      </c>
      <c r="B46">
        <v>5</v>
      </c>
      <c r="D46" t="str">
        <f ca="1">IF(A46&lt;3,"",OFFSET('Control Sheet'!$D$45,B46,3,1,1))</f>
        <v/>
      </c>
      <c r="E46" s="8">
        <f ca="1">IF(A46=1,NA(),INDEX(WL_Ideal,B46,3))</f>
        <v>0</v>
      </c>
      <c r="F46" s="8">
        <f t="shared" ca="1" si="0"/>
        <v>0</v>
      </c>
      <c r="G46" s="8">
        <f t="shared" ca="1" si="1"/>
        <v>0</v>
      </c>
      <c r="H46" s="8">
        <f ca="1">G46-F46</f>
        <v>0</v>
      </c>
      <c r="I46" s="8">
        <f ca="1">IF(A46=1,NA(),INDEX(WL_Current,B46,3))</f>
        <v>0</v>
      </c>
    </row>
    <row r="47" spans="1:9" x14ac:dyDescent="0.25">
      <c r="C47" t="s">
        <v>1032</v>
      </c>
      <c r="E47" s="8"/>
      <c r="F47" s="8"/>
      <c r="G47" s="8"/>
      <c r="I47" s="8"/>
    </row>
    <row r="48" spans="1:9" x14ac:dyDescent="0.25">
      <c r="A48">
        <f ca="1">OFFSET('Control Sheet'!$H$45,B48,0,1,1)</f>
        <v>0</v>
      </c>
      <c r="B48">
        <v>6</v>
      </c>
      <c r="C48">
        <f ca="1">IF('Data files'!$E$9&lt;=8,OFFSET('Control Sheet'!$B$45,B48,0,1,1),B48)</f>
        <v>0</v>
      </c>
      <c r="D48" t="str">
        <f ca="1">IF(A48=1,"",OFFSET('Control Sheet'!$H$45,B48,1,1,1))</f>
        <v>0</v>
      </c>
      <c r="E48" s="8">
        <f ca="1">IF($A48=1,NA(),INDEX(WL_Ideal,B48,1))</f>
        <v>0</v>
      </c>
      <c r="F48" s="8">
        <f t="shared" ca="1" si="0"/>
        <v>0</v>
      </c>
      <c r="G48" s="8">
        <f t="shared" ca="1" si="1"/>
        <v>0</v>
      </c>
      <c r="H48" s="8">
        <f ca="1">G48-F48</f>
        <v>0</v>
      </c>
      <c r="I48" s="8">
        <f ca="1">IF(A48=1,NA(),INDEX(WL_Current,B48,1))</f>
        <v>0</v>
      </c>
    </row>
    <row r="49" spans="1:9" x14ac:dyDescent="0.25">
      <c r="A49">
        <f ca="1">OFFSET('Control Sheet'!$H$45,B49,0,1,1)</f>
        <v>0</v>
      </c>
      <c r="B49">
        <v>6</v>
      </c>
      <c r="D49">
        <f ca="1">OFFSET('Control Sheet'!$H$45,B49,IF(A49=1,1,2),1,1)</f>
        <v>0</v>
      </c>
      <c r="E49" s="8" t="e">
        <f ca="1">INDEX(WL_Ideal,B49,IF(A49=1,1,2))</f>
        <v>#N/A</v>
      </c>
      <c r="F49" s="8" t="e">
        <f t="shared" ca="1" si="0"/>
        <v>#N/A</v>
      </c>
      <c r="G49" s="8" t="e">
        <f t="shared" ca="1" si="1"/>
        <v>#N/A</v>
      </c>
      <c r="H49" s="8" t="e">
        <f ca="1">G49-F49</f>
        <v>#N/A</v>
      </c>
      <c r="I49" s="8" t="e">
        <f ca="1">INDEX(WL_Current,B49,IF(A49=1,1,2))</f>
        <v>#N/A</v>
      </c>
    </row>
    <row r="50" spans="1:9" x14ac:dyDescent="0.25">
      <c r="A50">
        <f ca="1">OFFSET('Control Sheet'!$H$45,B50,0,1,1)</f>
        <v>0</v>
      </c>
      <c r="B50">
        <v>6</v>
      </c>
      <c r="D50" t="str">
        <f ca="1">IF(A50&lt;3,"",OFFSET('Control Sheet'!$D$45,B50,3,1,1))</f>
        <v/>
      </c>
      <c r="E50" s="8">
        <f ca="1">IF(A50=1,NA(),INDEX(WL_Ideal,B50,3))</f>
        <v>0</v>
      </c>
      <c r="F50" s="8">
        <f t="shared" ca="1" si="0"/>
        <v>0</v>
      </c>
      <c r="G50" s="8">
        <f t="shared" ca="1" si="1"/>
        <v>0</v>
      </c>
      <c r="H50" s="8">
        <f ca="1">G50-F50</f>
        <v>0</v>
      </c>
      <c r="I50" s="8">
        <f ca="1">IF(A50=1,NA(),INDEX(WL_Current,B50,3))</f>
        <v>0</v>
      </c>
    </row>
    <row r="51" spans="1:9" x14ac:dyDescent="0.25">
      <c r="C51" t="s">
        <v>1032</v>
      </c>
      <c r="E51" s="8"/>
      <c r="F51" s="8"/>
      <c r="G51" s="8"/>
      <c r="I51" s="8"/>
    </row>
    <row r="52" spans="1:9" x14ac:dyDescent="0.25">
      <c r="A52">
        <f ca="1">OFFSET('Control Sheet'!$H$45,B52,0,1,1)</f>
        <v>0</v>
      </c>
      <c r="B52">
        <v>7</v>
      </c>
      <c r="C52">
        <f ca="1">IF('Data files'!$E$9&lt;=8,OFFSET('Control Sheet'!$B$45,B52,0,1,1),B52)</f>
        <v>0</v>
      </c>
      <c r="D52" t="str">
        <f ca="1">IF(A52=1,"",OFFSET('Control Sheet'!$H$45,B52,1,1,1))</f>
        <v>0</v>
      </c>
      <c r="E52" s="8">
        <f ca="1">IF($A52=1,NA(),INDEX(WL_Ideal,B52,1))</f>
        <v>0</v>
      </c>
      <c r="F52" s="8">
        <f t="shared" ca="1" si="0"/>
        <v>0</v>
      </c>
      <c r="G52" s="8">
        <f t="shared" ca="1" si="1"/>
        <v>0</v>
      </c>
      <c r="H52" s="8">
        <f ca="1">G52-F52</f>
        <v>0</v>
      </c>
      <c r="I52" s="8">
        <f ca="1">IF(A52=1,NA(),INDEX(WL_Current,B52,1))</f>
        <v>0</v>
      </c>
    </row>
    <row r="53" spans="1:9" x14ac:dyDescent="0.25">
      <c r="A53">
        <f ca="1">OFFSET('Control Sheet'!$H$45,B53,0,1,1)</f>
        <v>0</v>
      </c>
      <c r="B53">
        <v>7</v>
      </c>
      <c r="D53">
        <f ca="1">OFFSET('Control Sheet'!$H$45,B53,IF(A53=1,1,2),1,1)</f>
        <v>0</v>
      </c>
      <c r="E53" s="8" t="e">
        <f ca="1">INDEX(WL_Ideal,B53,IF(A53=1,1,2))</f>
        <v>#N/A</v>
      </c>
      <c r="F53" s="8" t="e">
        <f t="shared" ca="1" si="0"/>
        <v>#N/A</v>
      </c>
      <c r="G53" s="8" t="e">
        <f t="shared" ca="1" si="1"/>
        <v>#N/A</v>
      </c>
      <c r="H53" s="8" t="e">
        <f ca="1">G53-F53</f>
        <v>#N/A</v>
      </c>
      <c r="I53" s="8" t="e">
        <f ca="1">INDEX(WL_Current,B53,IF(A53=1,1,2))</f>
        <v>#N/A</v>
      </c>
    </row>
    <row r="54" spans="1:9" x14ac:dyDescent="0.25">
      <c r="A54">
        <f ca="1">OFFSET('Control Sheet'!$H$45,B54,0,1,1)</f>
        <v>0</v>
      </c>
      <c r="B54">
        <v>7</v>
      </c>
      <c r="D54" t="str">
        <f ca="1">IF(A54&lt;3,"",OFFSET('Control Sheet'!$D$45,B54,3,1,1))</f>
        <v/>
      </c>
      <c r="E54" s="8">
        <f ca="1">IF(A54=1,NA(),INDEX(WL_Ideal,B54,3))</f>
        <v>0</v>
      </c>
      <c r="F54" s="8">
        <f t="shared" ca="1" si="0"/>
        <v>0</v>
      </c>
      <c r="G54" s="8">
        <f t="shared" ca="1" si="1"/>
        <v>0</v>
      </c>
      <c r="H54" s="8">
        <f ca="1">G54-F54</f>
        <v>0</v>
      </c>
      <c r="I54" s="8">
        <f ca="1">IF(A54=1,NA(),INDEX(WL_Current,B54,3))</f>
        <v>0</v>
      </c>
    </row>
    <row r="55" spans="1:9" x14ac:dyDescent="0.25">
      <c r="C55" t="s">
        <v>1032</v>
      </c>
      <c r="E55" s="8"/>
      <c r="F55" s="8"/>
      <c r="G55" s="8"/>
      <c r="I55" s="8"/>
    </row>
    <row r="56" spans="1:9" x14ac:dyDescent="0.25">
      <c r="A56">
        <f ca="1">OFFSET('Control Sheet'!$H$45,B56,0,1,1)</f>
        <v>0</v>
      </c>
      <c r="B56">
        <v>8</v>
      </c>
      <c r="C56">
        <f ca="1">IF('Data files'!$E$9&lt;=8,OFFSET('Control Sheet'!$B$45,B56,0,1,1),B56)</f>
        <v>0</v>
      </c>
      <c r="D56" t="str">
        <f ca="1">IF(A56=1,"",OFFSET('Control Sheet'!$H$45,B56,1,1,1))</f>
        <v>0</v>
      </c>
      <c r="E56" s="8">
        <f ca="1">IF($A56=1,NA(),INDEX(WL_Ideal,B56,1))</f>
        <v>0</v>
      </c>
      <c r="F56" s="8">
        <f t="shared" ca="1" si="0"/>
        <v>0</v>
      </c>
      <c r="G56" s="8">
        <f t="shared" ca="1" si="1"/>
        <v>0</v>
      </c>
      <c r="H56" s="8">
        <f ca="1">G56-F56</f>
        <v>0</v>
      </c>
      <c r="I56" s="8">
        <f ca="1">IF(A56=1,NA(),INDEX(WL_Current,B56,1))</f>
        <v>0</v>
      </c>
    </row>
    <row r="57" spans="1:9" x14ac:dyDescent="0.25">
      <c r="A57">
        <f ca="1">OFFSET('Control Sheet'!$H$45,B57,0,1,1)</f>
        <v>0</v>
      </c>
      <c r="B57">
        <v>8</v>
      </c>
      <c r="D57">
        <f ca="1">OFFSET('Control Sheet'!$H$45,B57,IF(A57=1,1,2),1,1)</f>
        <v>0</v>
      </c>
      <c r="E57" s="8" t="e">
        <f ca="1">INDEX(WL_Ideal,B57,IF(A57=1,1,2))</f>
        <v>#N/A</v>
      </c>
      <c r="F57" s="8" t="e">
        <f t="shared" ca="1" si="0"/>
        <v>#N/A</v>
      </c>
      <c r="G57" s="8" t="e">
        <f t="shared" ca="1" si="1"/>
        <v>#N/A</v>
      </c>
      <c r="H57" s="8" t="e">
        <f ca="1">G57-F57</f>
        <v>#N/A</v>
      </c>
      <c r="I57" s="8" t="e">
        <f ca="1">INDEX(WL_Current,B57,IF(A57=1,1,2))</f>
        <v>#N/A</v>
      </c>
    </row>
    <row r="58" spans="1:9" x14ac:dyDescent="0.25">
      <c r="A58">
        <f ca="1">OFFSET('Control Sheet'!$H$45,B58,0,1,1)</f>
        <v>0</v>
      </c>
      <c r="B58">
        <v>8</v>
      </c>
      <c r="D58" t="str">
        <f ca="1">IF(A58&lt;3,"",OFFSET('Control Sheet'!$D$45,B58,3,1,1))</f>
        <v/>
      </c>
      <c r="E58" s="8">
        <f ca="1">IF(A58=1,NA(),INDEX(WL_Ideal,B58,3))</f>
        <v>0</v>
      </c>
      <c r="F58" s="8">
        <f t="shared" ca="1" si="0"/>
        <v>0</v>
      </c>
      <c r="G58" s="8">
        <f t="shared" ca="1" si="1"/>
        <v>0</v>
      </c>
      <c r="H58" s="8">
        <f ca="1">G58-F58</f>
        <v>0</v>
      </c>
      <c r="I58" s="8">
        <f ca="1">IF(A58=1,NA(),INDEX(WL_Current,B58,3))</f>
        <v>0</v>
      </c>
    </row>
    <row r="59" spans="1:9" x14ac:dyDescent="0.25">
      <c r="C59" t="s">
        <v>1032</v>
      </c>
      <c r="E59" s="8"/>
      <c r="F59" s="8"/>
      <c r="G59" s="8"/>
      <c r="I59" s="8"/>
    </row>
    <row r="60" spans="1:9" x14ac:dyDescent="0.25">
      <c r="A60">
        <f ca="1">OFFSET('Control Sheet'!$H$45,B60,0,1,1)</f>
        <v>0</v>
      </c>
      <c r="B60">
        <v>9</v>
      </c>
      <c r="C60">
        <f ca="1">IF('Data files'!$E$9&lt;=8,OFFSET('Control Sheet'!$B$45,B60,0,1,1),B60)</f>
        <v>0</v>
      </c>
      <c r="D60" t="str">
        <f ca="1">IF(A60=1,"",OFFSET('Control Sheet'!$H$45,B60,1,1,1))</f>
        <v>0</v>
      </c>
      <c r="E60" s="8">
        <f ca="1">IF($A60=1,NA(),INDEX(WL_Ideal,B60,1))</f>
        <v>0</v>
      </c>
      <c r="F60" s="8">
        <f t="shared" ca="1" si="0"/>
        <v>0</v>
      </c>
      <c r="G60" s="8">
        <f t="shared" ca="1" si="1"/>
        <v>0</v>
      </c>
      <c r="H60" s="8">
        <f ca="1">G60-F60</f>
        <v>0</v>
      </c>
      <c r="I60" s="8">
        <f ca="1">IF(A60=1,NA(),INDEX(WL_Current,B60,1))</f>
        <v>0</v>
      </c>
    </row>
    <row r="61" spans="1:9" x14ac:dyDescent="0.25">
      <c r="A61">
        <f ca="1">OFFSET('Control Sheet'!$H$45,B61,0,1,1)</f>
        <v>0</v>
      </c>
      <c r="B61">
        <v>9</v>
      </c>
      <c r="D61">
        <f ca="1">OFFSET('Control Sheet'!$H$45,B61,IF(A61=1,1,2),1,1)</f>
        <v>0</v>
      </c>
      <c r="E61" s="8" t="e">
        <f ca="1">INDEX(WL_Ideal,B61,IF(A61=1,1,2))</f>
        <v>#N/A</v>
      </c>
      <c r="F61" s="8" t="e">
        <f t="shared" ca="1" si="0"/>
        <v>#N/A</v>
      </c>
      <c r="G61" s="8" t="e">
        <f t="shared" ca="1" si="1"/>
        <v>#N/A</v>
      </c>
      <c r="H61" s="8" t="e">
        <f ca="1">G61-F61</f>
        <v>#N/A</v>
      </c>
      <c r="I61" s="8" t="e">
        <f ca="1">INDEX(WL_Current,B61,IF(A61=1,1,2))</f>
        <v>#N/A</v>
      </c>
    </row>
    <row r="62" spans="1:9" x14ac:dyDescent="0.25">
      <c r="A62">
        <f ca="1">OFFSET('Control Sheet'!$H$45,B62,0,1,1)</f>
        <v>0</v>
      </c>
      <c r="B62">
        <v>9</v>
      </c>
      <c r="D62" t="str">
        <f ca="1">IF(A62&lt;3,"",OFFSET('Control Sheet'!$D$45,B62,3,1,1))</f>
        <v/>
      </c>
      <c r="E62" s="8">
        <f ca="1">IF(A62=1,NA(),INDEX(WL_Ideal,B62,3))</f>
        <v>0</v>
      </c>
      <c r="F62" s="8">
        <f t="shared" ca="1" si="0"/>
        <v>0</v>
      </c>
      <c r="G62" s="8">
        <f t="shared" ca="1" si="1"/>
        <v>0</v>
      </c>
      <c r="H62" s="8">
        <f ca="1">G62-F62</f>
        <v>0</v>
      </c>
      <c r="I62" s="8">
        <f ca="1">IF(A62=1,NA(),INDEX(WL_Current,B62,3))</f>
        <v>0</v>
      </c>
    </row>
    <row r="63" spans="1:9" x14ac:dyDescent="0.25">
      <c r="C63" t="s">
        <v>1032</v>
      </c>
      <c r="E63" s="8"/>
      <c r="F63" s="8"/>
      <c r="G63" s="8"/>
      <c r="I63" s="8"/>
    </row>
    <row r="64" spans="1:9" x14ac:dyDescent="0.25">
      <c r="A64">
        <f ca="1">OFFSET('Control Sheet'!$H$45,B64,0,1,1)</f>
        <v>0</v>
      </c>
      <c r="B64">
        <v>10</v>
      </c>
      <c r="C64">
        <f ca="1">IF('Data files'!$E$9&lt;=8,OFFSET('Control Sheet'!$B$45,B64,0,1,1),B64)</f>
        <v>0</v>
      </c>
      <c r="D64" t="str">
        <f ca="1">IF(A64=1,"",OFFSET('Control Sheet'!$H$45,B64,1,1,1))</f>
        <v>0</v>
      </c>
      <c r="E64" s="8">
        <f ca="1">IF($A64=1,NA(),INDEX(WL_Ideal,B64,1))</f>
        <v>0</v>
      </c>
      <c r="F64" s="8">
        <f t="shared" ca="1" si="0"/>
        <v>0</v>
      </c>
      <c r="G64" s="8">
        <f t="shared" ca="1" si="1"/>
        <v>0</v>
      </c>
      <c r="H64" s="8">
        <f ca="1">G64-F64</f>
        <v>0</v>
      </c>
      <c r="I64" s="8">
        <f ca="1">IF(A64=1,NA(),INDEX(WL_Current,B64,1))</f>
        <v>0</v>
      </c>
    </row>
    <row r="65" spans="1:9" x14ac:dyDescent="0.25">
      <c r="A65">
        <f ca="1">OFFSET('Control Sheet'!$H$45,B65,0,1,1)</f>
        <v>0</v>
      </c>
      <c r="B65">
        <v>10</v>
      </c>
      <c r="D65">
        <f ca="1">OFFSET('Control Sheet'!$H$45,B65,IF(A65=1,1,2),1,1)</f>
        <v>0</v>
      </c>
      <c r="E65" s="8" t="e">
        <f ca="1">INDEX(WL_Ideal,B65,IF(A65=1,1,2))</f>
        <v>#N/A</v>
      </c>
      <c r="F65" s="8" t="e">
        <f t="shared" ca="1" si="0"/>
        <v>#N/A</v>
      </c>
      <c r="G65" s="8" t="e">
        <f t="shared" ca="1" si="1"/>
        <v>#N/A</v>
      </c>
      <c r="H65" s="8" t="e">
        <f ca="1">G65-F65</f>
        <v>#N/A</v>
      </c>
      <c r="I65" s="8" t="e">
        <f ca="1">INDEX(WL_Current,B65,IF(A65=1,1,2))</f>
        <v>#N/A</v>
      </c>
    </row>
    <row r="66" spans="1:9" x14ac:dyDescent="0.25">
      <c r="A66">
        <f ca="1">OFFSET('Control Sheet'!$H$45,B66,0,1,1)</f>
        <v>0</v>
      </c>
      <c r="B66">
        <v>10</v>
      </c>
      <c r="D66" t="str">
        <f ca="1">IF(A66&lt;3,"",OFFSET('Control Sheet'!$D$45,B66,3,1,1))</f>
        <v/>
      </c>
      <c r="E66" s="8">
        <f ca="1">IF(A66=1,NA(),INDEX(WL_Ideal,B66,3))</f>
        <v>0</v>
      </c>
      <c r="F66" s="8">
        <f t="shared" ca="1" si="0"/>
        <v>0</v>
      </c>
      <c r="G66" s="8">
        <f t="shared" ca="1" si="1"/>
        <v>0</v>
      </c>
      <c r="H66" s="8">
        <f ca="1">G66-F66</f>
        <v>0</v>
      </c>
      <c r="I66" s="8">
        <f ca="1">IF(A66=1,NA(),INDEX(WL_Current,B66,3))</f>
        <v>0</v>
      </c>
    </row>
    <row r="67" spans="1:9" x14ac:dyDescent="0.25">
      <c r="C67" t="s">
        <v>1032</v>
      </c>
      <c r="E67" s="8"/>
      <c r="F67" s="8"/>
      <c r="G67" s="8"/>
      <c r="I67" s="8"/>
    </row>
    <row r="68" spans="1:9" x14ac:dyDescent="0.25">
      <c r="A68">
        <f ca="1">OFFSET('Control Sheet'!$H$45,B68,0,1,1)</f>
        <v>0</v>
      </c>
      <c r="B68">
        <v>11</v>
      </c>
      <c r="C68">
        <f ca="1">IF('Data files'!$E$9&lt;=8,OFFSET('Control Sheet'!$B$45,B68,0,1,1),B68)</f>
        <v>0</v>
      </c>
      <c r="D68" t="str">
        <f ca="1">IF(A68=1,"",OFFSET('Control Sheet'!$H$45,B68,1,1,1))</f>
        <v>0</v>
      </c>
      <c r="E68" s="8">
        <f ca="1">IF($A68=1,NA(),INDEX(WL_Ideal,B68,1))</f>
        <v>0</v>
      </c>
      <c r="F68" s="8">
        <f t="shared" ca="1" si="0"/>
        <v>0</v>
      </c>
      <c r="G68" s="8">
        <f t="shared" ca="1" si="1"/>
        <v>0</v>
      </c>
      <c r="H68" s="8">
        <f ca="1">G68-F68</f>
        <v>0</v>
      </c>
      <c r="I68" s="8">
        <f ca="1">IF(A68=1,NA(),INDEX(WL_Current,B68,1))</f>
        <v>0</v>
      </c>
    </row>
    <row r="69" spans="1:9" x14ac:dyDescent="0.25">
      <c r="A69">
        <f ca="1">OFFSET('Control Sheet'!$H$45,B69,0,1,1)</f>
        <v>0</v>
      </c>
      <c r="B69">
        <v>11</v>
      </c>
      <c r="D69">
        <f ca="1">OFFSET('Control Sheet'!$H$45,B69,IF(A69=1,1,2),1,1)</f>
        <v>0</v>
      </c>
      <c r="E69" s="8" t="e">
        <f ca="1">INDEX(WL_Ideal,B69,IF(A69=1,1,2))</f>
        <v>#N/A</v>
      </c>
      <c r="F69" s="8" t="e">
        <f t="shared" ca="1" si="0"/>
        <v>#N/A</v>
      </c>
      <c r="G69" s="8" t="e">
        <f t="shared" ca="1" si="1"/>
        <v>#N/A</v>
      </c>
      <c r="H69" s="8" t="e">
        <f ca="1">G69-F69</f>
        <v>#N/A</v>
      </c>
      <c r="I69" s="8" t="e">
        <f ca="1">INDEX(WL_Current,B69,IF(A69=1,1,2))</f>
        <v>#N/A</v>
      </c>
    </row>
    <row r="70" spans="1:9" x14ac:dyDescent="0.25">
      <c r="A70">
        <f ca="1">OFFSET('Control Sheet'!$H$45,B70,0,1,1)</f>
        <v>0</v>
      </c>
      <c r="B70">
        <v>11</v>
      </c>
      <c r="D70" t="str">
        <f ca="1">IF(A70&lt;3,"",OFFSET('Control Sheet'!$D$45,B70,3,1,1))</f>
        <v/>
      </c>
      <c r="E70" s="8">
        <f ca="1">IF(A70=1,NA(),INDEX(WL_Ideal,B70,3))</f>
        <v>0</v>
      </c>
      <c r="F70" s="8">
        <f t="shared" ca="1" si="0"/>
        <v>0</v>
      </c>
      <c r="G70" s="8">
        <f t="shared" ca="1" si="1"/>
        <v>0</v>
      </c>
      <c r="H70" s="8">
        <f ca="1">G70-F70</f>
        <v>0</v>
      </c>
      <c r="I70" s="8">
        <f ca="1">IF(A70=1,NA(),INDEX(WL_Current,B70,3))</f>
        <v>0</v>
      </c>
    </row>
    <row r="71" spans="1:9" x14ac:dyDescent="0.25">
      <c r="C71" t="s">
        <v>1032</v>
      </c>
      <c r="E71" s="8"/>
      <c r="F71" s="8"/>
      <c r="G71" s="8"/>
      <c r="I71" s="8"/>
    </row>
    <row r="72" spans="1:9" x14ac:dyDescent="0.25">
      <c r="A72">
        <f ca="1">OFFSET('Control Sheet'!$H$45,B72,0,1,1)</f>
        <v>0</v>
      </c>
      <c r="B72">
        <v>12</v>
      </c>
      <c r="C72">
        <f ca="1">IF('Data files'!$E$9&lt;=8,OFFSET('Control Sheet'!$B$45,B72,0,1,1),B72)</f>
        <v>0</v>
      </c>
      <c r="D72" t="str">
        <f ca="1">IF(A72=1,"",OFFSET('Control Sheet'!$H$45,B72,1,1,1))</f>
        <v>0</v>
      </c>
      <c r="E72" s="8">
        <f ca="1">IF($A72=1,NA(),INDEX(WL_Ideal,B72,1))</f>
        <v>0</v>
      </c>
      <c r="F72" s="8">
        <f t="shared" ca="1" si="0"/>
        <v>0</v>
      </c>
      <c r="G72" s="8">
        <f t="shared" ca="1" si="1"/>
        <v>0</v>
      </c>
      <c r="H72" s="8">
        <f ca="1">G72-F72</f>
        <v>0</v>
      </c>
      <c r="I72" s="8">
        <f ca="1">IF(A72=1,NA(),INDEX(WL_Current,B72,1))</f>
        <v>0</v>
      </c>
    </row>
    <row r="73" spans="1:9" x14ac:dyDescent="0.25">
      <c r="A73">
        <f ca="1">OFFSET('Control Sheet'!$H$45,B73,0,1,1)</f>
        <v>0</v>
      </c>
      <c r="B73">
        <v>12</v>
      </c>
      <c r="D73">
        <f ca="1">OFFSET('Control Sheet'!$H$45,B73,IF(A73=1,1,2),1,1)</f>
        <v>0</v>
      </c>
      <c r="E73" s="8" t="e">
        <f ca="1">INDEX(WL_Ideal,B73,IF(A73=1,1,2))</f>
        <v>#N/A</v>
      </c>
      <c r="F73" s="8" t="e">
        <f t="shared" ca="1" si="0"/>
        <v>#N/A</v>
      </c>
      <c r="G73" s="8" t="e">
        <f t="shared" ca="1" si="1"/>
        <v>#N/A</v>
      </c>
      <c r="H73" s="8" t="e">
        <f ca="1">G73-F73</f>
        <v>#N/A</v>
      </c>
      <c r="I73" s="8" t="e">
        <f ca="1">INDEX(WL_Current,B73,IF(A73=1,1,2))</f>
        <v>#N/A</v>
      </c>
    </row>
    <row r="74" spans="1:9" x14ac:dyDescent="0.25">
      <c r="A74">
        <f ca="1">OFFSET('Control Sheet'!$H$45,B74,0,1,1)</f>
        <v>0</v>
      </c>
      <c r="B74">
        <v>12</v>
      </c>
      <c r="D74" t="str">
        <f ca="1">IF(A74&lt;3,"",OFFSET('Control Sheet'!$D$45,B74,3,1,1))</f>
        <v/>
      </c>
      <c r="E74" s="8">
        <f ca="1">IF(A74=1,NA(),INDEX(WL_Ideal,B74,3))</f>
        <v>0</v>
      </c>
      <c r="F74" s="8">
        <f t="shared" ca="1" si="0"/>
        <v>0</v>
      </c>
      <c r="G74" s="8">
        <f t="shared" ca="1" si="1"/>
        <v>0</v>
      </c>
      <c r="H74" s="8">
        <f ca="1">G74-F74</f>
        <v>0</v>
      </c>
      <c r="I74" s="8">
        <f ca="1">IF(A74=1,NA(),INDEX(WL_Current,B74,3))</f>
        <v>0</v>
      </c>
    </row>
    <row r="75" spans="1:9" x14ac:dyDescent="0.25">
      <c r="C75" t="s">
        <v>1032</v>
      </c>
      <c r="E75" s="8"/>
      <c r="F75" s="8"/>
      <c r="G75" s="8"/>
      <c r="I75" s="8"/>
    </row>
    <row r="76" spans="1:9" x14ac:dyDescent="0.25">
      <c r="A76">
        <f ca="1">OFFSET('Control Sheet'!$H$45,B76,0,1,1)</f>
        <v>0</v>
      </c>
      <c r="B76">
        <v>13</v>
      </c>
      <c r="C76">
        <f ca="1">IF('Data files'!$E$9&lt;=8,OFFSET('Control Sheet'!$B$45,B76,0,1,1),B76)</f>
        <v>0</v>
      </c>
      <c r="D76" t="str">
        <f ca="1">IF(A76=1,"",OFFSET('Control Sheet'!$H$45,B76,1,1,1))</f>
        <v>0</v>
      </c>
      <c r="E76" s="8">
        <f ca="1">IF($A76=1,NA(),INDEX(WL_Ideal,B76,1))</f>
        <v>0</v>
      </c>
      <c r="F76" s="8">
        <f t="shared" ca="1" si="0"/>
        <v>0</v>
      </c>
      <c r="G76" s="8">
        <f t="shared" ca="1" si="1"/>
        <v>0</v>
      </c>
      <c r="H76" s="8">
        <f ca="1">G76-F76</f>
        <v>0</v>
      </c>
      <c r="I76" s="8">
        <f ca="1">IF(A76=1,NA(),INDEX(WL_Current,B76,1))</f>
        <v>0</v>
      </c>
    </row>
    <row r="77" spans="1:9" x14ac:dyDescent="0.25">
      <c r="A77">
        <f ca="1">OFFSET('Control Sheet'!$H$45,B77,0,1,1)</f>
        <v>0</v>
      </c>
      <c r="B77">
        <v>13</v>
      </c>
      <c r="D77">
        <f ca="1">OFFSET('Control Sheet'!$H$45,B77,IF(A77=1,1,2),1,1)</f>
        <v>0</v>
      </c>
      <c r="E77" s="8" t="e">
        <f ca="1">INDEX(WL_Ideal,B77,IF(A77=1,1,2))</f>
        <v>#N/A</v>
      </c>
      <c r="F77" s="8" t="e">
        <f t="shared" ca="1" si="0"/>
        <v>#N/A</v>
      </c>
      <c r="G77" s="8" t="e">
        <f t="shared" ca="1" si="1"/>
        <v>#N/A</v>
      </c>
      <c r="H77" s="8" t="e">
        <f ca="1">G77-F77</f>
        <v>#N/A</v>
      </c>
      <c r="I77" s="8" t="e">
        <f ca="1">INDEX(WL_Current,B77,IF(A77=1,1,2))</f>
        <v>#N/A</v>
      </c>
    </row>
    <row r="78" spans="1:9" x14ac:dyDescent="0.25">
      <c r="A78">
        <f ca="1">OFFSET('Control Sheet'!$H$45,B78,0,1,1)</f>
        <v>0</v>
      </c>
      <c r="B78">
        <v>13</v>
      </c>
      <c r="D78" t="str">
        <f ca="1">IF(A78&lt;3,"",OFFSET('Control Sheet'!$D$45,B78,3,1,1))</f>
        <v/>
      </c>
      <c r="E78" s="8">
        <f ca="1">IF(A78=1,NA(),INDEX(WL_Ideal,B78,3))</f>
        <v>0</v>
      </c>
      <c r="F78" s="8">
        <f t="shared" ca="1" si="0"/>
        <v>0</v>
      </c>
      <c r="G78" s="8">
        <f t="shared" ca="1" si="1"/>
        <v>0</v>
      </c>
      <c r="H78" s="8">
        <f ca="1">G78-F78</f>
        <v>0</v>
      </c>
      <c r="I78" s="8">
        <f ca="1">IF(A78=1,NA(),INDEX(WL_Current,B78,3))</f>
        <v>0</v>
      </c>
    </row>
    <row r="79" spans="1:9" x14ac:dyDescent="0.25">
      <c r="C79" t="s">
        <v>1032</v>
      </c>
      <c r="E79" s="8"/>
      <c r="F79" s="8"/>
      <c r="G79" s="8"/>
      <c r="I79" s="8"/>
    </row>
    <row r="80" spans="1:9" x14ac:dyDescent="0.25">
      <c r="A80">
        <f ca="1">OFFSET('Control Sheet'!$H$45,B80,0,1,1)</f>
        <v>0</v>
      </c>
      <c r="B80">
        <v>14</v>
      </c>
      <c r="C80">
        <f ca="1">IF('Data files'!$E$9&lt;=8,OFFSET('Control Sheet'!$B$45,B80,0,1,1),B80)</f>
        <v>0</v>
      </c>
      <c r="D80" t="str">
        <f ca="1">IF(A80=1,"",OFFSET('Control Sheet'!$H$45,B80,1,1,1))</f>
        <v>0</v>
      </c>
      <c r="E80" s="8">
        <f ca="1">IF($A80=1,NA(),INDEX(WL_Ideal,B80,1))</f>
        <v>0</v>
      </c>
      <c r="F80" s="8">
        <f t="shared" ca="1" si="0"/>
        <v>0</v>
      </c>
      <c r="G80" s="8">
        <f t="shared" ca="1" si="1"/>
        <v>0</v>
      </c>
      <c r="H80" s="8">
        <f ca="1">G80-F80</f>
        <v>0</v>
      </c>
      <c r="I80" s="8">
        <f ca="1">IF(A80=1,NA(),INDEX(WL_Current,B80,1))</f>
        <v>0</v>
      </c>
    </row>
    <row r="81" spans="1:9" x14ac:dyDescent="0.25">
      <c r="A81">
        <f ca="1">OFFSET('Control Sheet'!$H$45,B81,0,1,1)</f>
        <v>0</v>
      </c>
      <c r="B81">
        <v>14</v>
      </c>
      <c r="D81">
        <f ca="1">OFFSET('Control Sheet'!$H$45,B81,IF(A81=1,1,2),1,1)</f>
        <v>0</v>
      </c>
      <c r="E81" s="8" t="e">
        <f ca="1">INDEX(WL_Ideal,B81,IF(A81=1,1,2))</f>
        <v>#N/A</v>
      </c>
      <c r="F81" s="8" t="e">
        <f t="shared" ca="1" si="0"/>
        <v>#N/A</v>
      </c>
      <c r="G81" s="8" t="e">
        <f t="shared" ca="1" si="1"/>
        <v>#N/A</v>
      </c>
      <c r="H81" s="8" t="e">
        <f ca="1">G81-F81</f>
        <v>#N/A</v>
      </c>
      <c r="I81" s="8" t="e">
        <f ca="1">INDEX(WL_Current,B81,IF(A81=1,1,2))</f>
        <v>#N/A</v>
      </c>
    </row>
    <row r="82" spans="1:9" x14ac:dyDescent="0.25">
      <c r="A82">
        <f ca="1">OFFSET('Control Sheet'!$H$45,B82,0,1,1)</f>
        <v>0</v>
      </c>
      <c r="B82">
        <v>14</v>
      </c>
      <c r="D82" t="str">
        <f ca="1">IF(A82&lt;3,"",OFFSET('Control Sheet'!$D$45,B82,3,1,1))</f>
        <v/>
      </c>
      <c r="E82" s="8">
        <f ca="1">IF(A82=1,NA(),INDEX(WL_Ideal,B82,3))</f>
        <v>0</v>
      </c>
      <c r="F82" s="8">
        <f t="shared" ca="1" si="0"/>
        <v>0</v>
      </c>
      <c r="G82" s="8">
        <f t="shared" ca="1" si="1"/>
        <v>0</v>
      </c>
      <c r="H82" s="8">
        <f ca="1">G82-F82</f>
        <v>0</v>
      </c>
      <c r="I82" s="8">
        <f ca="1">IF(A82=1,NA(),INDEX(WL_Current,B82,3))</f>
        <v>0</v>
      </c>
    </row>
    <row r="83" spans="1:9" x14ac:dyDescent="0.25">
      <c r="C83" t="s">
        <v>1032</v>
      </c>
      <c r="E83" s="8"/>
      <c r="F83" s="8"/>
      <c r="G83" s="8"/>
      <c r="I83" s="8"/>
    </row>
    <row r="84" spans="1:9" x14ac:dyDescent="0.25">
      <c r="A84">
        <f ca="1">OFFSET('Control Sheet'!$H$45,B84,0,1,1)</f>
        <v>0</v>
      </c>
      <c r="B84">
        <v>15</v>
      </c>
      <c r="C84">
        <f ca="1">IF('Data files'!$E$9&lt;=8,OFFSET('Control Sheet'!$B$45,B84,0,1,1),B84)</f>
        <v>0</v>
      </c>
      <c r="D84" t="str">
        <f ca="1">IF(A84=1,"",OFFSET('Control Sheet'!$H$45,B84,1,1,1))</f>
        <v>0</v>
      </c>
      <c r="E84" s="8">
        <f ca="1">IF($A84=1,NA(),INDEX(WL_Ideal,B84,1))</f>
        <v>0</v>
      </c>
      <c r="F84" s="8">
        <f t="shared" ca="1" si="0"/>
        <v>0</v>
      </c>
      <c r="G84" s="8">
        <f t="shared" ca="1" si="1"/>
        <v>0</v>
      </c>
      <c r="H84" s="8">
        <f ca="1">G84-F84</f>
        <v>0</v>
      </c>
      <c r="I84" s="8">
        <f ca="1">IF(A84=1,NA(),INDEX(WL_Current,B84,1))</f>
        <v>0</v>
      </c>
    </row>
    <row r="85" spans="1:9" x14ac:dyDescent="0.25">
      <c r="A85">
        <f ca="1">OFFSET('Control Sheet'!$H$45,B85,0,1,1)</f>
        <v>0</v>
      </c>
      <c r="B85">
        <v>15</v>
      </c>
      <c r="D85">
        <f ca="1">OFFSET('Control Sheet'!$H$45,B85,IF(A85=1,1,2),1,1)</f>
        <v>0</v>
      </c>
      <c r="E85" s="8" t="e">
        <f ca="1">INDEX(WL_Ideal,B85,IF(A85=1,1,2))</f>
        <v>#N/A</v>
      </c>
      <c r="F85" s="8" t="e">
        <f t="shared" ca="1" si="0"/>
        <v>#N/A</v>
      </c>
      <c r="G85" s="8" t="e">
        <f t="shared" ca="1" si="1"/>
        <v>#N/A</v>
      </c>
      <c r="H85" s="8" t="e">
        <f ca="1">G85-F85</f>
        <v>#N/A</v>
      </c>
      <c r="I85" s="8" t="e">
        <f ca="1">INDEX(WL_Current,B85,IF(A85=1,1,2))</f>
        <v>#N/A</v>
      </c>
    </row>
    <row r="86" spans="1:9" x14ac:dyDescent="0.25">
      <c r="A86">
        <f ca="1">OFFSET('Control Sheet'!$H$45,B86,0,1,1)</f>
        <v>0</v>
      </c>
      <c r="B86">
        <v>15</v>
      </c>
      <c r="D86" t="str">
        <f ca="1">IF(A86&lt;3,"",OFFSET('Control Sheet'!$D$45,B86,3,1,1))</f>
        <v/>
      </c>
      <c r="E86" s="8">
        <f ca="1">IF(A86=1,NA(),INDEX(WL_Ideal,B86,3))</f>
        <v>0</v>
      </c>
      <c r="F86" s="8">
        <f t="shared" ca="1" si="0"/>
        <v>0</v>
      </c>
      <c r="G86" s="8">
        <f t="shared" ca="1" si="1"/>
        <v>0</v>
      </c>
      <c r="H86" s="8">
        <f ca="1">G86-F86</f>
        <v>0</v>
      </c>
      <c r="I86" s="8">
        <f ca="1">IF(A86=1,NA(),INDEX(WL_Current,B86,3))</f>
        <v>0</v>
      </c>
    </row>
    <row r="87" spans="1:9" x14ac:dyDescent="0.25">
      <c r="C87" t="s">
        <v>1032</v>
      </c>
      <c r="E87" s="8"/>
      <c r="F87" s="8"/>
      <c r="G87" s="8"/>
      <c r="I87" s="8"/>
    </row>
    <row r="88" spans="1:9" x14ac:dyDescent="0.25">
      <c r="A88">
        <f ca="1">OFFSET('Control Sheet'!$H$45,B88,0,1,1)</f>
        <v>0</v>
      </c>
      <c r="B88">
        <v>16</v>
      </c>
      <c r="C88">
        <f ca="1">IF('Data files'!$E$9&lt;=8,OFFSET('Control Sheet'!$B$45,B88,0,1,1),B88)</f>
        <v>0</v>
      </c>
      <c r="D88" t="str">
        <f ca="1">IF(A88=1,"",OFFSET('Control Sheet'!$H$45,B88,1,1,1))</f>
        <v>0</v>
      </c>
      <c r="E88" s="8">
        <f ca="1">IF($A88=1,NA(),INDEX(WL_Ideal,B88,1))</f>
        <v>0</v>
      </c>
      <c r="F88" s="8">
        <f t="shared" ca="1" si="0"/>
        <v>0</v>
      </c>
      <c r="G88" s="8">
        <f t="shared" ca="1" si="1"/>
        <v>0</v>
      </c>
      <c r="H88" s="8">
        <f ca="1">G88-F88</f>
        <v>0</v>
      </c>
      <c r="I88" s="8">
        <f ca="1">IF(A88=1,NA(),INDEX(WL_Current,B88,1))</f>
        <v>0</v>
      </c>
    </row>
    <row r="89" spans="1:9" x14ac:dyDescent="0.25">
      <c r="A89">
        <f ca="1">OFFSET('Control Sheet'!$H$45,B89,0,1,1)</f>
        <v>0</v>
      </c>
      <c r="B89">
        <v>16</v>
      </c>
      <c r="D89">
        <f ca="1">OFFSET('Control Sheet'!$H$45,B89,IF(A89=1,1,2),1,1)</f>
        <v>0</v>
      </c>
      <c r="E89" s="8" t="e">
        <f ca="1">INDEX(WL_Ideal,B89,IF(A89=1,1,2))</f>
        <v>#N/A</v>
      </c>
      <c r="F89" s="8" t="e">
        <f t="shared" ca="1" si="0"/>
        <v>#N/A</v>
      </c>
      <c r="G89" s="8" t="e">
        <f t="shared" ca="1" si="1"/>
        <v>#N/A</v>
      </c>
      <c r="H89" s="8" t="e">
        <f ca="1">G89-F89</f>
        <v>#N/A</v>
      </c>
      <c r="I89" s="8" t="e">
        <f ca="1">INDEX(WL_Current,B89,IF(A89=1,1,2))</f>
        <v>#N/A</v>
      </c>
    </row>
    <row r="90" spans="1:9" x14ac:dyDescent="0.25">
      <c r="A90">
        <f ca="1">OFFSET('Control Sheet'!$H$45,B90,0,1,1)</f>
        <v>0</v>
      </c>
      <c r="B90">
        <v>16</v>
      </c>
      <c r="D90" t="str">
        <f ca="1">IF(A90&lt;3,"",OFFSET('Control Sheet'!$D$45,B90,3,1,1))</f>
        <v/>
      </c>
      <c r="E90" s="8">
        <f ca="1">IF(A90=1,NA(),INDEX(WL_Ideal,B90,3))</f>
        <v>0</v>
      </c>
      <c r="F90" s="8">
        <f t="shared" ca="1" si="0"/>
        <v>0</v>
      </c>
      <c r="G90" s="8">
        <f t="shared" ca="1" si="1"/>
        <v>0</v>
      </c>
      <c r="H90" s="8">
        <f ca="1">G90-F90</f>
        <v>0</v>
      </c>
      <c r="I90" s="8">
        <f ca="1">IF(A90=1,NA(),INDEX(WL_Current,B90,3))</f>
        <v>0</v>
      </c>
    </row>
    <row r="91" spans="1:9" x14ac:dyDescent="0.25">
      <c r="C91" t="s">
        <v>1032</v>
      </c>
      <c r="E91" s="8"/>
      <c r="F91" s="8"/>
      <c r="G91" s="8"/>
      <c r="I91" s="8"/>
    </row>
    <row r="92" spans="1:9" x14ac:dyDescent="0.25">
      <c r="A92">
        <f ca="1">OFFSET('Control Sheet'!$H$45,B92,0,1,1)</f>
        <v>0</v>
      </c>
      <c r="B92">
        <v>17</v>
      </c>
      <c r="C92">
        <f ca="1">IF('Data files'!$E$9&lt;=8,OFFSET('Control Sheet'!$B$45,B92,0,1,1),B92)</f>
        <v>0</v>
      </c>
      <c r="D92" t="str">
        <f ca="1">IF(A92=1,"",OFFSET('Control Sheet'!$H$45,B92,1,1,1))</f>
        <v>0</v>
      </c>
      <c r="E92" s="8">
        <f ca="1">IF($A92=1,NA(),INDEX(WL_Ideal,B92,1))</f>
        <v>0</v>
      </c>
      <c r="F92" s="8">
        <f t="shared" ca="1" si="0"/>
        <v>0</v>
      </c>
      <c r="G92" s="8">
        <f t="shared" ca="1" si="1"/>
        <v>0</v>
      </c>
      <c r="H92" s="8">
        <f ca="1">G92-F92</f>
        <v>0</v>
      </c>
      <c r="I92" s="8">
        <f ca="1">IF(A92=1,NA(),INDEX(WL_Current,B92,1))</f>
        <v>0</v>
      </c>
    </row>
    <row r="93" spans="1:9" x14ac:dyDescent="0.25">
      <c r="A93">
        <f ca="1">OFFSET('Control Sheet'!$H$45,B93,0,1,1)</f>
        <v>0</v>
      </c>
      <c r="B93">
        <v>17</v>
      </c>
      <c r="D93">
        <f ca="1">OFFSET('Control Sheet'!$H$45,B93,IF(A93=1,1,2),1,1)</f>
        <v>0</v>
      </c>
      <c r="E93" s="8" t="e">
        <f ca="1">INDEX(WL_Ideal,B93,IF(A93=1,1,2))</f>
        <v>#N/A</v>
      </c>
      <c r="F93" s="8" t="e">
        <f t="shared" ref="F93:F106" ca="1" si="2">E93*0.95</f>
        <v>#N/A</v>
      </c>
      <c r="G93" s="8" t="e">
        <f t="shared" ref="G93:G106" ca="1" si="3">E93*1.05</f>
        <v>#N/A</v>
      </c>
      <c r="H93" s="8" t="e">
        <f ca="1">G93-F93</f>
        <v>#N/A</v>
      </c>
      <c r="I93" s="8" t="e">
        <f ca="1">INDEX(WL_Current,B93,IF(A93=1,1,2))</f>
        <v>#N/A</v>
      </c>
    </row>
    <row r="94" spans="1:9" x14ac:dyDescent="0.25">
      <c r="A94">
        <f ca="1">OFFSET('Control Sheet'!$H$45,B94,0,1,1)</f>
        <v>0</v>
      </c>
      <c r="B94">
        <v>17</v>
      </c>
      <c r="D94" t="str">
        <f ca="1">IF(A94&lt;3,"",OFFSET('Control Sheet'!$D$45,B94,3,1,1))</f>
        <v/>
      </c>
      <c r="E94" s="8">
        <f ca="1">IF(A94=1,NA(),INDEX(WL_Ideal,B94,3))</f>
        <v>0</v>
      </c>
      <c r="F94" s="8">
        <f t="shared" ca="1" si="2"/>
        <v>0</v>
      </c>
      <c r="G94" s="8">
        <f t="shared" ca="1" si="3"/>
        <v>0</v>
      </c>
      <c r="H94" s="8">
        <f ca="1">G94-F94</f>
        <v>0</v>
      </c>
      <c r="I94" s="8">
        <f ca="1">IF(A94=1,NA(),INDEX(WL_Current,B94,3))</f>
        <v>0</v>
      </c>
    </row>
    <row r="95" spans="1:9" x14ac:dyDescent="0.25">
      <c r="C95" t="s">
        <v>1032</v>
      </c>
      <c r="E95" s="8"/>
      <c r="F95" s="8"/>
      <c r="G95" s="8"/>
      <c r="I95" s="8"/>
    </row>
    <row r="96" spans="1:9" x14ac:dyDescent="0.25">
      <c r="A96">
        <f ca="1">OFFSET('Control Sheet'!$H$45,B96,0,1,1)</f>
        <v>0</v>
      </c>
      <c r="B96">
        <v>18</v>
      </c>
      <c r="C96">
        <f ca="1">IF('Data files'!$E$9&lt;=8,OFFSET('Control Sheet'!$B$45,B96,0,1,1),B96)</f>
        <v>0</v>
      </c>
      <c r="D96" t="str">
        <f ca="1">IF(A96=1,"",OFFSET('Control Sheet'!$H$45,B96,1,1,1))</f>
        <v>0</v>
      </c>
      <c r="E96" s="8">
        <f ca="1">IF($A96=1,NA(),INDEX(WL_Ideal,B96,1))</f>
        <v>0</v>
      </c>
      <c r="F96" s="8">
        <f t="shared" ca="1" si="2"/>
        <v>0</v>
      </c>
      <c r="G96" s="8">
        <f t="shared" ca="1" si="3"/>
        <v>0</v>
      </c>
      <c r="H96" s="8">
        <f ca="1">G96-F96</f>
        <v>0</v>
      </c>
      <c r="I96" s="8">
        <f ca="1">IF(A96=1,NA(),INDEX(WL_Current,B96,1))</f>
        <v>0</v>
      </c>
    </row>
    <row r="97" spans="1:9" x14ac:dyDescent="0.25">
      <c r="A97">
        <f ca="1">OFFSET('Control Sheet'!$H$45,B97,0,1,1)</f>
        <v>0</v>
      </c>
      <c r="B97">
        <v>18</v>
      </c>
      <c r="D97">
        <f ca="1">OFFSET('Control Sheet'!$H$45,B97,IF(A97=1,1,2),1,1)</f>
        <v>0</v>
      </c>
      <c r="E97" s="8" t="e">
        <f ca="1">INDEX(WL_Ideal,B97,IF(A97=1,1,2))</f>
        <v>#N/A</v>
      </c>
      <c r="F97" s="8" t="e">
        <f t="shared" ca="1" si="2"/>
        <v>#N/A</v>
      </c>
      <c r="G97" s="8" t="e">
        <f t="shared" ca="1" si="3"/>
        <v>#N/A</v>
      </c>
      <c r="H97" s="8" t="e">
        <f ca="1">G97-F97</f>
        <v>#N/A</v>
      </c>
      <c r="I97" s="8" t="e">
        <f ca="1">INDEX(WL_Current,B97,IF(A97=1,1,2))</f>
        <v>#N/A</v>
      </c>
    </row>
    <row r="98" spans="1:9" x14ac:dyDescent="0.25">
      <c r="A98">
        <f ca="1">OFFSET('Control Sheet'!$H$45,B98,0,1,1)</f>
        <v>0</v>
      </c>
      <c r="B98">
        <v>18</v>
      </c>
      <c r="D98" t="str">
        <f ca="1">IF(A98&lt;3,"",OFFSET('Control Sheet'!$D$45,B98,3,1,1))</f>
        <v/>
      </c>
      <c r="E98" s="8">
        <f ca="1">IF(A98=1,NA(),INDEX(WL_Ideal,B98,3))</f>
        <v>0</v>
      </c>
      <c r="F98" s="8">
        <f t="shared" ca="1" si="2"/>
        <v>0</v>
      </c>
      <c r="G98" s="8">
        <f t="shared" ca="1" si="3"/>
        <v>0</v>
      </c>
      <c r="H98" s="8">
        <f ca="1">G98-F98</f>
        <v>0</v>
      </c>
      <c r="I98" s="8">
        <f ca="1">IF(A98=1,NA(),INDEX(WL_Current,B98,3))</f>
        <v>0</v>
      </c>
    </row>
    <row r="99" spans="1:9" x14ac:dyDescent="0.25">
      <c r="C99" t="s">
        <v>1032</v>
      </c>
      <c r="E99" s="8"/>
      <c r="F99" s="8"/>
      <c r="G99" s="8"/>
      <c r="I99" s="8"/>
    </row>
    <row r="100" spans="1:9" x14ac:dyDescent="0.25">
      <c r="A100">
        <f ca="1">OFFSET('Control Sheet'!$H$45,B100,0,1,1)</f>
        <v>0</v>
      </c>
      <c r="B100">
        <v>19</v>
      </c>
      <c r="C100">
        <f ca="1">IF('Data files'!$E$9&lt;=8,OFFSET('Control Sheet'!$B$45,B100,0,1,1),B100)</f>
        <v>0</v>
      </c>
      <c r="D100" t="str">
        <f ca="1">IF(A100=1,"",OFFSET('Control Sheet'!$H$45,B100,1,1,1))</f>
        <v>0</v>
      </c>
      <c r="E100" s="8">
        <f ca="1">IF($A100=1,NA(),INDEX(WL_Ideal,B100,1))</f>
        <v>0</v>
      </c>
      <c r="F100" s="8">
        <f t="shared" ca="1" si="2"/>
        <v>0</v>
      </c>
      <c r="G100" s="8">
        <f t="shared" ca="1" si="3"/>
        <v>0</v>
      </c>
      <c r="H100" s="8">
        <f ca="1">G100-F100</f>
        <v>0</v>
      </c>
      <c r="I100" s="8">
        <f ca="1">IF(A100=1,NA(),INDEX(WL_Current,B100,1))</f>
        <v>0</v>
      </c>
    </row>
    <row r="101" spans="1:9" x14ac:dyDescent="0.25">
      <c r="A101">
        <f ca="1">OFFSET('Control Sheet'!$H$45,B101,0,1,1)</f>
        <v>0</v>
      </c>
      <c r="B101">
        <v>19</v>
      </c>
      <c r="D101">
        <f ca="1">OFFSET('Control Sheet'!$H$45,B101,IF(A101=1,1,2),1,1)</f>
        <v>0</v>
      </c>
      <c r="E101" s="8" t="e">
        <f ca="1">INDEX(WL_Ideal,B101,IF(A101=1,1,2))</f>
        <v>#N/A</v>
      </c>
      <c r="F101" s="8" t="e">
        <f t="shared" ca="1" si="2"/>
        <v>#N/A</v>
      </c>
      <c r="G101" s="8" t="e">
        <f t="shared" ca="1" si="3"/>
        <v>#N/A</v>
      </c>
      <c r="H101" s="8" t="e">
        <f ca="1">G101-F101</f>
        <v>#N/A</v>
      </c>
      <c r="I101" s="8" t="e">
        <f ca="1">INDEX(WL_Current,B101,IF(A101=1,1,2))</f>
        <v>#N/A</v>
      </c>
    </row>
    <row r="102" spans="1:9" x14ac:dyDescent="0.25">
      <c r="A102">
        <f ca="1">OFFSET('Control Sheet'!$H$45,B102,0,1,1)</f>
        <v>0</v>
      </c>
      <c r="B102">
        <v>19</v>
      </c>
      <c r="D102" t="str">
        <f ca="1">IF(A102&lt;3,"",OFFSET('Control Sheet'!$D$45,B102,3,1,1))</f>
        <v/>
      </c>
      <c r="E102" s="8">
        <f ca="1">IF(A102=1,NA(),INDEX(WL_Ideal,B102,3))</f>
        <v>0</v>
      </c>
      <c r="F102" s="8">
        <f t="shared" ca="1" si="2"/>
        <v>0</v>
      </c>
      <c r="G102" s="8">
        <f t="shared" ca="1" si="3"/>
        <v>0</v>
      </c>
      <c r="H102" s="8">
        <f ca="1">G102-F102</f>
        <v>0</v>
      </c>
      <c r="I102" s="8">
        <f ca="1">IF(A102=1,NA(),INDEX(WL_Current,B102,3))</f>
        <v>0</v>
      </c>
    </row>
    <row r="103" spans="1:9" x14ac:dyDescent="0.25">
      <c r="C103" t="s">
        <v>1032</v>
      </c>
      <c r="E103" s="8"/>
      <c r="F103" s="8"/>
      <c r="G103" s="8"/>
      <c r="I103" s="8"/>
    </row>
    <row r="104" spans="1:9" x14ac:dyDescent="0.25">
      <c r="A104">
        <f ca="1">OFFSET('Control Sheet'!$H$45,B104,0,1,1)</f>
        <v>0</v>
      </c>
      <c r="B104">
        <v>20</v>
      </c>
      <c r="C104">
        <f ca="1">IF('Data files'!$E$9&lt;=8,OFFSET('Control Sheet'!$B$45,B104,0,1,1),B104)</f>
        <v>0</v>
      </c>
      <c r="D104" t="str">
        <f ca="1">IF(A104=1,"",OFFSET('Control Sheet'!$H$45,B104,1,1,1))</f>
        <v>0</v>
      </c>
      <c r="E104" s="8">
        <f ca="1">IF($A104=1,NA(),INDEX(WL_Ideal,B104,1))</f>
        <v>0</v>
      </c>
      <c r="F104" s="8">
        <f t="shared" ca="1" si="2"/>
        <v>0</v>
      </c>
      <c r="G104" s="8">
        <f t="shared" ca="1" si="3"/>
        <v>0</v>
      </c>
      <c r="H104" s="8">
        <f ca="1">G104-F104</f>
        <v>0</v>
      </c>
      <c r="I104" s="8">
        <f ca="1">IF(A104=1,NA(),INDEX(WL_Current,B104,1))</f>
        <v>0</v>
      </c>
    </row>
    <row r="105" spans="1:9" x14ac:dyDescent="0.25">
      <c r="A105">
        <f ca="1">OFFSET('Control Sheet'!$H$45,B105,0,1,1)</f>
        <v>0</v>
      </c>
      <c r="B105">
        <v>20</v>
      </c>
      <c r="D105">
        <f ca="1">OFFSET('Control Sheet'!$H$45,B105,IF(A105=1,1,2),1,1)</f>
        <v>0</v>
      </c>
      <c r="E105" s="8" t="e">
        <f ca="1">INDEX(WL_Ideal,B105,IF(A105=1,1,2))</f>
        <v>#N/A</v>
      </c>
      <c r="F105" s="8" t="e">
        <f t="shared" ca="1" si="2"/>
        <v>#N/A</v>
      </c>
      <c r="G105" s="8" t="e">
        <f t="shared" ca="1" si="3"/>
        <v>#N/A</v>
      </c>
      <c r="H105" s="8" t="e">
        <f ca="1">G105-F105</f>
        <v>#N/A</v>
      </c>
      <c r="I105" s="8" t="e">
        <f ca="1">INDEX(WL_Current,B105,IF(A105=1,1,2))</f>
        <v>#N/A</v>
      </c>
    </row>
    <row r="106" spans="1:9" x14ac:dyDescent="0.25">
      <c r="A106">
        <f ca="1">OFFSET('Control Sheet'!$H$45,B106,0,1,1)</f>
        <v>0</v>
      </c>
      <c r="B106">
        <v>20</v>
      </c>
      <c r="D106" t="str">
        <f ca="1">IF(A106&lt;3,"",OFFSET('Control Sheet'!$D$45,B106,3,1,1))</f>
        <v/>
      </c>
      <c r="E106" s="8">
        <f ca="1">IF(A106=1,NA(),INDEX(WL_Ideal,B106,3))</f>
        <v>0</v>
      </c>
      <c r="F106" s="8">
        <f t="shared" ca="1" si="2"/>
        <v>0</v>
      </c>
      <c r="G106" s="8">
        <f t="shared" ca="1" si="3"/>
        <v>0</v>
      </c>
      <c r="H106" s="8">
        <f ca="1">G106-F106</f>
        <v>0</v>
      </c>
      <c r="I106" s="8">
        <f ca="1">IF(A106=1,NA(),INDEX(WL_Current,B106,3))</f>
        <v>0</v>
      </c>
    </row>
    <row r="107" spans="1:9" x14ac:dyDescent="0.25">
      <c r="E107" s="8"/>
      <c r="I107" s="8"/>
    </row>
    <row r="108" spans="1:9" x14ac:dyDescent="0.25">
      <c r="H108" s="8"/>
    </row>
    <row r="109" spans="1:9" x14ac:dyDescent="0.25">
      <c r="H109" s="8"/>
    </row>
    <row r="110" spans="1:9" x14ac:dyDescent="0.25">
      <c r="H110" s="8"/>
    </row>
    <row r="112" spans="1:9" x14ac:dyDescent="0.25">
      <c r="H112" s="8"/>
    </row>
    <row r="113" spans="8:8" x14ac:dyDescent="0.25">
      <c r="H113" s="8"/>
    </row>
    <row r="114" spans="8:8" x14ac:dyDescent="0.25">
      <c r="H114" s="8"/>
    </row>
    <row r="116" spans="8:8" x14ac:dyDescent="0.25">
      <c r="H116" s="8"/>
    </row>
    <row r="117" spans="8:8" x14ac:dyDescent="0.25">
      <c r="H117" s="8"/>
    </row>
    <row r="118" spans="8:8" x14ac:dyDescent="0.25">
      <c r="H118" s="8"/>
    </row>
    <row r="120" spans="8:8" x14ac:dyDescent="0.25">
      <c r="H120" s="8"/>
    </row>
    <row r="121" spans="8:8" x14ac:dyDescent="0.25">
      <c r="H121" s="8"/>
    </row>
    <row r="122" spans="8:8" x14ac:dyDescent="0.25">
      <c r="H122" s="8"/>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7"/>
  <dimension ref="A1:Y57"/>
  <sheetViews>
    <sheetView showGridLines="0" showRowColHeaders="0" zoomScaleNormal="100" zoomScaleSheetLayoutView="100" workbookViewId="0">
      <selection activeCell="N55" sqref="N55"/>
    </sheetView>
  </sheetViews>
  <sheetFormatPr defaultRowHeight="13.8" x14ac:dyDescent="0.25"/>
  <cols>
    <col min="2" max="2" width="27.8984375" customWidth="1"/>
    <col min="3" max="3" width="1.59765625" customWidth="1"/>
    <col min="4" max="4" width="14.09765625" customWidth="1"/>
    <col min="7" max="7" width="9" customWidth="1"/>
    <col min="8" max="8" width="1.59765625" customWidth="1"/>
    <col min="9" max="9" width="14.09765625" customWidth="1"/>
    <col min="10" max="12" width="9" customWidth="1"/>
    <col min="13" max="13" width="1.59765625" customWidth="1"/>
    <col min="14" max="14" width="14.09765625" customWidth="1"/>
    <col min="15" max="17" width="9" customWidth="1"/>
  </cols>
  <sheetData>
    <row r="1" spans="1:25" x14ac:dyDescent="0.25">
      <c r="A1" s="18"/>
      <c r="B1" s="18"/>
      <c r="C1" s="18"/>
      <c r="D1" s="18"/>
      <c r="E1" s="18"/>
      <c r="F1" s="18"/>
      <c r="G1" s="18"/>
      <c r="H1" s="18"/>
      <c r="I1" s="18"/>
      <c r="J1" s="18"/>
      <c r="K1" s="18"/>
      <c r="L1" s="18"/>
      <c r="M1" s="18"/>
      <c r="N1" s="18"/>
      <c r="O1" s="18"/>
    </row>
    <row r="2" spans="1:25" x14ac:dyDescent="0.25">
      <c r="A2" s="58" t="str">
        <f>'Data files'!D4&amp;IF('Data files'!D4&lt;&gt;"",", ","")&amp;'Data files'!D7&amp;IF(ISERROR(FIND("SERVICE",UPPER('Data files'!D7),1))=FALSE,""," Service")</f>
        <v>Test Trust, Test service</v>
      </c>
      <c r="B2" s="59"/>
      <c r="C2" s="59"/>
      <c r="D2" s="59"/>
      <c r="E2" s="59"/>
      <c r="F2" s="59"/>
      <c r="G2" s="59"/>
      <c r="H2" s="59"/>
      <c r="I2" s="59"/>
      <c r="J2" s="59"/>
      <c r="K2" s="59"/>
      <c r="L2" s="59"/>
      <c r="M2" s="59"/>
      <c r="N2" s="59"/>
      <c r="O2" s="59"/>
      <c r="P2" s="59"/>
      <c r="Q2" s="59"/>
      <c r="R2" s="86"/>
      <c r="S2" s="65"/>
      <c r="T2" s="65"/>
      <c r="U2" s="65"/>
      <c r="V2" s="65"/>
      <c r="W2" s="65"/>
      <c r="X2" s="65"/>
      <c r="Y2" s="65"/>
    </row>
    <row r="4" spans="1:25" x14ac:dyDescent="0.25">
      <c r="A4" s="254" t="s">
        <v>1042</v>
      </c>
      <c r="B4" s="254"/>
      <c r="D4" s="255" t="s">
        <v>982</v>
      </c>
      <c r="E4" s="256"/>
      <c r="F4" s="257"/>
    </row>
    <row r="26" spans="1:21" x14ac:dyDescent="0.25">
      <c r="A26" s="19" t="s">
        <v>993</v>
      </c>
      <c r="B26" s="18"/>
      <c r="C26" s="18"/>
      <c r="D26" s="258" t="s">
        <v>1011</v>
      </c>
      <c r="E26" s="258"/>
      <c r="F26" s="258"/>
      <c r="G26" s="15" t="s">
        <v>1012</v>
      </c>
      <c r="H26" s="18"/>
      <c r="I26" s="18" t="s">
        <v>1089</v>
      </c>
      <c r="J26" s="18"/>
      <c r="K26" s="18"/>
      <c r="L26" s="18"/>
      <c r="M26" s="18"/>
      <c r="N26" s="18"/>
      <c r="O26" s="18"/>
      <c r="P26" s="18"/>
      <c r="Q26" s="18"/>
      <c r="T26" s="18"/>
      <c r="U26" s="18"/>
    </row>
    <row r="27" spans="1:21" x14ac:dyDescent="0.25">
      <c r="A27" s="61" t="s">
        <v>1029</v>
      </c>
      <c r="B27" s="29"/>
      <c r="C27" s="29"/>
      <c r="D27" s="248"/>
      <c r="E27" s="248"/>
      <c r="F27" s="248"/>
      <c r="G27" s="18"/>
      <c r="H27" s="18"/>
      <c r="I27" s="64"/>
      <c r="J27" s="23" t="s">
        <v>1087</v>
      </c>
      <c r="K27" s="18"/>
      <c r="L27" s="18"/>
      <c r="M27" s="18"/>
      <c r="N27" s="18"/>
      <c r="O27" s="18"/>
      <c r="P27" s="18"/>
      <c r="Q27" s="18"/>
      <c r="T27" s="18"/>
      <c r="U27" s="18"/>
    </row>
    <row r="28" spans="1:21" x14ac:dyDescent="0.25">
      <c r="A28" s="60"/>
      <c r="B28" s="18"/>
      <c r="C28" s="18"/>
      <c r="D28" s="18"/>
      <c r="E28" s="18"/>
      <c r="F28" s="18"/>
      <c r="G28" s="18"/>
      <c r="H28" s="18"/>
      <c r="I28" s="63"/>
      <c r="J28" s="23" t="s">
        <v>1088</v>
      </c>
      <c r="K28" s="18"/>
      <c r="L28" s="18"/>
      <c r="M28" s="18"/>
      <c r="N28" s="18"/>
      <c r="O28" s="18"/>
      <c r="P28" s="18"/>
      <c r="Q28" s="18"/>
      <c r="T28" s="18"/>
      <c r="U28" s="18"/>
    </row>
    <row r="29" spans="1:21" x14ac:dyDescent="0.25">
      <c r="A29" s="18"/>
      <c r="B29" s="18"/>
      <c r="C29" s="18"/>
      <c r="D29" s="19" t="s">
        <v>996</v>
      </c>
      <c r="E29" s="18"/>
      <c r="F29" s="18"/>
      <c r="G29" s="18"/>
      <c r="H29" s="18"/>
      <c r="I29" s="19" t="s">
        <v>997</v>
      </c>
      <c r="J29" s="18"/>
      <c r="K29" s="18"/>
      <c r="L29" s="18"/>
      <c r="M29" s="18"/>
      <c r="N29" s="19" t="s">
        <v>998</v>
      </c>
      <c r="O29" s="18"/>
      <c r="P29" s="18"/>
      <c r="Q29" s="18"/>
      <c r="R29" s="18"/>
      <c r="S29" s="18"/>
      <c r="T29" s="18"/>
      <c r="U29" s="18"/>
    </row>
    <row r="30" spans="1:21" ht="14.25" customHeight="1" x14ac:dyDescent="0.25">
      <c r="A30" s="290" t="s">
        <v>994</v>
      </c>
      <c r="B30" s="290"/>
      <c r="C30" s="18"/>
      <c r="D30" s="288" t="s">
        <v>995</v>
      </c>
      <c r="E30" s="288" t="s">
        <v>938</v>
      </c>
      <c r="F30" s="288" t="s">
        <v>939</v>
      </c>
      <c r="G30" s="288" t="s">
        <v>1031</v>
      </c>
      <c r="H30" s="18"/>
      <c r="I30" s="286" t="s">
        <v>995</v>
      </c>
      <c r="J30" s="286" t="s">
        <v>938</v>
      </c>
      <c r="K30" s="286" t="s">
        <v>939</v>
      </c>
      <c r="L30" s="286" t="s">
        <v>1031</v>
      </c>
      <c r="M30" s="18"/>
      <c r="N30" s="286" t="s">
        <v>995</v>
      </c>
      <c r="O30" s="286" t="s">
        <v>938</v>
      </c>
      <c r="P30" s="286" t="s">
        <v>939</v>
      </c>
      <c r="Q30" s="286" t="s">
        <v>1031</v>
      </c>
      <c r="T30" s="18"/>
      <c r="U30" s="18"/>
    </row>
    <row r="31" spans="1:21" x14ac:dyDescent="0.25">
      <c r="A31" s="290"/>
      <c r="B31" s="290"/>
      <c r="C31" s="18"/>
      <c r="D31" s="289"/>
      <c r="E31" s="289"/>
      <c r="F31" s="289"/>
      <c r="G31" s="289"/>
      <c r="H31" s="18"/>
      <c r="I31" s="287"/>
      <c r="J31" s="287"/>
      <c r="K31" s="287"/>
      <c r="L31" s="287"/>
      <c r="M31" s="18"/>
      <c r="N31" s="287"/>
      <c r="O31" s="287"/>
      <c r="P31" s="287"/>
      <c r="Q31" s="287"/>
      <c r="T31" s="18"/>
      <c r="U31" s="18"/>
    </row>
    <row r="32" spans="1:21" x14ac:dyDescent="0.25">
      <c r="A32" s="243" t="str">
        <f>'Data files'!A16</f>
        <v>1. test service</v>
      </c>
      <c r="B32" s="243"/>
      <c r="C32" s="18"/>
      <c r="D32" s="16" t="str">
        <f>IF('Control Sheet'!E46=0,"--",'Control Sheet'!I46)</f>
        <v>New</v>
      </c>
      <c r="E32" s="62">
        <f ca="1">IF($D32="--","--",0.95*'Dependency (hide)'!$Z25)</f>
        <v>595.4114627804189</v>
      </c>
      <c r="F32" s="62">
        <f ca="1">IF($D32="--","--",1.05*'Dependency (hide)'!$Z25)</f>
        <v>658.08635359941047</v>
      </c>
      <c r="G32" s="180">
        <f>IF($D32="--","--",'Dependency (hide)'!$AA25)</f>
        <v>626.74890818991469</v>
      </c>
      <c r="H32" s="18"/>
      <c r="I32" s="16" t="str">
        <f>IF('Control Sheet'!F46=0,"",'Control Sheet'!J46)</f>
        <v/>
      </c>
      <c r="J32" s="62" t="str">
        <f>IF($I32="","--",0.95*'Dependency (hide)'!$Z26)</f>
        <v>--</v>
      </c>
      <c r="K32" s="62" t="str">
        <f>IF($I32="","--",1.05*'Dependency (hide)'!$Z26)</f>
        <v>--</v>
      </c>
      <c r="L32" s="62" t="str">
        <f>IF($I32="","--",'Dependency (hide)'!$AA26)</f>
        <v>--</v>
      </c>
      <c r="M32" s="18"/>
      <c r="N32" s="16" t="str">
        <f>IF('Control Sheet'!G46=0,"",'Control Sheet'!K46)</f>
        <v/>
      </c>
      <c r="O32" s="62" t="str">
        <f>IF($N32="","--",0.95*'Dependency (hide)'!$Z27)</f>
        <v>--</v>
      </c>
      <c r="P32" s="62" t="str">
        <f>IF($N32="","--",1.05*'Dependency (hide)'!$Z27)</f>
        <v>--</v>
      </c>
      <c r="Q32" s="62" t="str">
        <f>IF($N32="","--",'Dependency (hide)'!$AA27)</f>
        <v>--</v>
      </c>
      <c r="R32" s="18"/>
      <c r="S32" s="18"/>
      <c r="T32" s="18"/>
      <c r="U32" s="18"/>
    </row>
    <row r="33" spans="1:21" hidden="1" x14ac:dyDescent="0.25">
      <c r="A33" s="243" t="str">
        <f>'Data files'!A17</f>
        <v xml:space="preserve">2. </v>
      </c>
      <c r="B33" s="243"/>
      <c r="C33" s="18"/>
      <c r="D33" s="16" t="str">
        <f>IF('Control Sheet'!E47=0,"--",'Control Sheet'!I47)</f>
        <v>--</v>
      </c>
      <c r="E33" s="62" t="str">
        <f>IF($D33="--","--",0.95*'Dependency (hide)'!$Z29)</f>
        <v>--</v>
      </c>
      <c r="F33" s="62" t="str">
        <f>IF($D33="--","--",1.05*'Dependency (hide)'!$Z29)</f>
        <v>--</v>
      </c>
      <c r="G33" s="180" t="str">
        <f>IF($D33="--","--",'Dependency (hide)'!$AA29)</f>
        <v>--</v>
      </c>
      <c r="H33" s="18"/>
      <c r="I33" s="16" t="str">
        <f>IF('Control Sheet'!F47=0,"",'Control Sheet'!J47)</f>
        <v/>
      </c>
      <c r="J33" s="62" t="str">
        <f>IF($I33="","--",0.95*'Dependency (hide)'!$Z30)</f>
        <v>--</v>
      </c>
      <c r="K33" s="62" t="str">
        <f>IF($I33="","--",1.05*'Dependency (hide)'!$Z30)</f>
        <v>--</v>
      </c>
      <c r="L33" s="62" t="str">
        <f>IF($I33="","--",'Dependency (hide)'!$AA30)</f>
        <v>--</v>
      </c>
      <c r="M33" s="18"/>
      <c r="N33" s="16" t="str">
        <f>IF('Control Sheet'!G47=0,"",'Control Sheet'!K47)</f>
        <v/>
      </c>
      <c r="O33" s="62" t="str">
        <f>IF($N33="","--",0.95*'Dependency (hide)'!$Z31)</f>
        <v>--</v>
      </c>
      <c r="P33" s="62" t="str">
        <f>IF($N33="","--",1.05*'Dependency (hide)'!$Z31)</f>
        <v>--</v>
      </c>
      <c r="Q33" s="62" t="str">
        <f>IF($N33="","--",'Dependency (hide)'!$AA31)</f>
        <v>--</v>
      </c>
      <c r="R33" s="18"/>
      <c r="S33" s="18"/>
      <c r="T33" s="18"/>
      <c r="U33" s="18"/>
    </row>
    <row r="34" spans="1:21" hidden="1" x14ac:dyDescent="0.25">
      <c r="A34" s="243" t="str">
        <f>'Data files'!A18</f>
        <v xml:space="preserve">3. </v>
      </c>
      <c r="B34" s="243"/>
      <c r="C34" s="18"/>
      <c r="D34" s="16" t="str">
        <f>IF('Control Sheet'!E48=0,"--",'Control Sheet'!I48)</f>
        <v>--</v>
      </c>
      <c r="E34" s="62" t="str">
        <f>IF($D34="--","--",0.95*'Dependency (hide)'!$Z33)</f>
        <v>--</v>
      </c>
      <c r="F34" s="62" t="str">
        <f>IF($D34="--","--",1.05*'Dependency (hide)'!$Z33)</f>
        <v>--</v>
      </c>
      <c r="G34" s="180" t="str">
        <f>IF($D34="--","--",'Dependency (hide)'!$AA33)</f>
        <v>--</v>
      </c>
      <c r="H34" s="18"/>
      <c r="I34" s="16" t="str">
        <f>IF('Control Sheet'!F48=0,"",'Control Sheet'!J48)</f>
        <v/>
      </c>
      <c r="J34" s="62" t="str">
        <f>IF($I34="","--",0.95*'Dependency (hide)'!$Z34)</f>
        <v>--</v>
      </c>
      <c r="K34" s="62" t="str">
        <f>IF($I34="","--",1.05*'Dependency (hide)'!$Z34)</f>
        <v>--</v>
      </c>
      <c r="L34" s="62" t="str">
        <f>IF($I34="","--",'Dependency (hide)'!$AA34)</f>
        <v>--</v>
      </c>
      <c r="M34" s="18"/>
      <c r="N34" s="16" t="str">
        <f>IF('Control Sheet'!G48=0,"",'Control Sheet'!K48)</f>
        <v/>
      </c>
      <c r="O34" s="62" t="str">
        <f>IF($N34="","--",0.95*'Dependency (hide)'!$Z35)</f>
        <v>--</v>
      </c>
      <c r="P34" s="62" t="str">
        <f>IF($N34="","--",1.05*'Dependency (hide)'!$Z35)</f>
        <v>--</v>
      </c>
      <c r="Q34" s="62" t="str">
        <f>IF($N34="","--",'Dependency (hide)'!$AA35)</f>
        <v>--</v>
      </c>
      <c r="R34" s="18"/>
      <c r="S34" s="18"/>
      <c r="T34" s="18"/>
      <c r="U34" s="18"/>
    </row>
    <row r="35" spans="1:21" hidden="1" x14ac:dyDescent="0.25">
      <c r="A35" s="243" t="str">
        <f>'Data files'!A19</f>
        <v xml:space="preserve">4. </v>
      </c>
      <c r="B35" s="243"/>
      <c r="C35" s="18"/>
      <c r="D35" s="16" t="str">
        <f>IF('Control Sheet'!E49=0,"--",'Control Sheet'!I49)</f>
        <v>--</v>
      </c>
      <c r="E35" s="62" t="str">
        <f>IF($D35="--","--",0.95*'Dependency (hide)'!$Z37)</f>
        <v>--</v>
      </c>
      <c r="F35" s="62" t="str">
        <f>IF($D35="--","--",1.05*'Dependency (hide)'!$Z37)</f>
        <v>--</v>
      </c>
      <c r="G35" s="180" t="str">
        <f>IF($D35="--","--",'Dependency (hide)'!$AA37)</f>
        <v>--</v>
      </c>
      <c r="H35" s="18"/>
      <c r="I35" s="16" t="str">
        <f>IF('Control Sheet'!F49=0,"",'Control Sheet'!J49)</f>
        <v/>
      </c>
      <c r="J35" s="62" t="str">
        <f>IF($I35="","--",0.95*'Dependency (hide)'!$Z38)</f>
        <v>--</v>
      </c>
      <c r="K35" s="62" t="str">
        <f>IF($I35="","--",1.05*'Dependency (hide)'!$Z38)</f>
        <v>--</v>
      </c>
      <c r="L35" s="62" t="str">
        <f>IF($I35="","--",'Dependency (hide)'!$AA38)</f>
        <v>--</v>
      </c>
      <c r="M35" s="18"/>
      <c r="N35" s="16" t="str">
        <f>IF('Control Sheet'!G49=0,"",'Control Sheet'!K49)</f>
        <v/>
      </c>
      <c r="O35" s="62" t="str">
        <f>IF($N35="","--",0.95*'Dependency (hide)'!$Z39)</f>
        <v>--</v>
      </c>
      <c r="P35" s="62" t="str">
        <f>IF($N35="","--",1.05*'Dependency (hide)'!$Z39)</f>
        <v>--</v>
      </c>
      <c r="Q35" s="62" t="str">
        <f>IF($N35="","--",'Dependency (hide)'!$AA39)</f>
        <v>--</v>
      </c>
      <c r="R35" s="18"/>
      <c r="S35" s="18"/>
      <c r="T35" s="18"/>
      <c r="U35" s="18"/>
    </row>
    <row r="36" spans="1:21" hidden="1" x14ac:dyDescent="0.25">
      <c r="A36" s="243" t="str">
        <f>'Data files'!A20</f>
        <v xml:space="preserve">5. </v>
      </c>
      <c r="B36" s="243"/>
      <c r="C36" s="18"/>
      <c r="D36" s="16" t="str">
        <f>IF('Control Sheet'!E50=0,"--",'Control Sheet'!I50)</f>
        <v>--</v>
      </c>
      <c r="E36" s="62" t="str">
        <f>IF($D36="--","--",0.95*'Dependency (hide)'!$Z41)</f>
        <v>--</v>
      </c>
      <c r="F36" s="62" t="str">
        <f>IF($D36="--","--",1.05*'Dependency (hide)'!$Z41)</f>
        <v>--</v>
      </c>
      <c r="G36" s="180" t="str">
        <f>IF($D36="--","--",'Dependency (hide)'!$AA41)</f>
        <v>--</v>
      </c>
      <c r="H36" s="18"/>
      <c r="I36" s="16" t="str">
        <f>IF('Control Sheet'!F50=0,"",'Control Sheet'!J50)</f>
        <v/>
      </c>
      <c r="J36" s="62" t="str">
        <f>IF($I36="","--",0.95*'Dependency (hide)'!$Z42)</f>
        <v>--</v>
      </c>
      <c r="K36" s="62" t="str">
        <f>IF($I36="","--",1.05*'Dependency (hide)'!$Z42)</f>
        <v>--</v>
      </c>
      <c r="L36" s="62" t="str">
        <f>IF($I36="","--",'Dependency (hide)'!$AA42)</f>
        <v>--</v>
      </c>
      <c r="M36" s="18"/>
      <c r="N36" s="16" t="str">
        <f>IF('Control Sheet'!G50=0,"",'Control Sheet'!K50)</f>
        <v/>
      </c>
      <c r="O36" s="62" t="str">
        <f>IF($N36="","--",0.95*'Dependency (hide)'!$Z43)</f>
        <v>--</v>
      </c>
      <c r="P36" s="62" t="str">
        <f>IF($N36="","--",1.05*'Dependency (hide)'!$Z43)</f>
        <v>--</v>
      </c>
      <c r="Q36" s="62" t="str">
        <f>IF($N36="","--",'Dependency (hide)'!$AA43)</f>
        <v>--</v>
      </c>
      <c r="R36" s="18"/>
      <c r="S36" s="18"/>
      <c r="T36" s="18"/>
      <c r="U36" s="18"/>
    </row>
    <row r="37" spans="1:21" hidden="1" x14ac:dyDescent="0.25">
      <c r="A37" s="243" t="str">
        <f>'Data files'!A21</f>
        <v xml:space="preserve">6. </v>
      </c>
      <c r="B37" s="243"/>
      <c r="C37" s="18"/>
      <c r="D37" s="16" t="str">
        <f>IF('Control Sheet'!E51=0,"--",'Control Sheet'!I51)</f>
        <v>--</v>
      </c>
      <c r="E37" s="62" t="str">
        <f>IF($D37="--","--",0.95*'Dependency (hide)'!$Z45)</f>
        <v>--</v>
      </c>
      <c r="F37" s="62" t="str">
        <f>IF($D37="--","--",1.05*'Dependency (hide)'!$Z45)</f>
        <v>--</v>
      </c>
      <c r="G37" s="180" t="str">
        <f>IF($D37="--","--",'Dependency (hide)'!$AA45)</f>
        <v>--</v>
      </c>
      <c r="H37" s="18"/>
      <c r="I37" s="16" t="str">
        <f>IF('Control Sheet'!F51=0,"",'Control Sheet'!J51)</f>
        <v/>
      </c>
      <c r="J37" s="62" t="str">
        <f>IF($I37="","--",0.95*'Dependency (hide)'!$Z46)</f>
        <v>--</v>
      </c>
      <c r="K37" s="62" t="str">
        <f>IF($I37="","--",1.05*'Dependency (hide)'!$Z46)</f>
        <v>--</v>
      </c>
      <c r="L37" s="62" t="str">
        <f>IF($I37="","--",'Dependency (hide)'!$AA46)</f>
        <v>--</v>
      </c>
      <c r="M37" s="18"/>
      <c r="N37" s="16" t="str">
        <f>IF('Control Sheet'!G51=0,"",'Control Sheet'!K51)</f>
        <v/>
      </c>
      <c r="O37" s="62" t="str">
        <f>IF($N37="","--",0.95*'Dependency (hide)'!$Z47)</f>
        <v>--</v>
      </c>
      <c r="P37" s="62" t="str">
        <f>IF($N37="","--",1.05*'Dependency (hide)'!$Z47)</f>
        <v>--</v>
      </c>
      <c r="Q37" s="62" t="str">
        <f>IF($N37="","--",'Dependency (hide)'!$AA47)</f>
        <v>--</v>
      </c>
      <c r="R37" s="18"/>
      <c r="S37" s="18"/>
      <c r="T37" s="18"/>
      <c r="U37" s="18"/>
    </row>
    <row r="38" spans="1:21" hidden="1" x14ac:dyDescent="0.25">
      <c r="A38" s="243" t="str">
        <f>'Data files'!A22</f>
        <v xml:space="preserve">7. </v>
      </c>
      <c r="B38" s="243"/>
      <c r="C38" s="18"/>
      <c r="D38" s="16" t="str">
        <f>IF('Control Sheet'!E52=0,"--",'Control Sheet'!I52)</f>
        <v>--</v>
      </c>
      <c r="E38" s="62" t="str">
        <f>IF($D38="--","--",0.95*'Dependency (hide)'!$Z49)</f>
        <v>--</v>
      </c>
      <c r="F38" s="62" t="str">
        <f>IF($D38="--","--",1.05*'Dependency (hide)'!$Z49)</f>
        <v>--</v>
      </c>
      <c r="G38" s="180" t="str">
        <f>IF($D38="--","--",'Dependency (hide)'!$AA49)</f>
        <v>--</v>
      </c>
      <c r="H38" s="18"/>
      <c r="I38" s="16" t="str">
        <f>IF('Control Sheet'!F52=0,"",'Control Sheet'!J52)</f>
        <v/>
      </c>
      <c r="J38" s="62" t="str">
        <f>IF($I38="","--",0.95*'Dependency (hide)'!$Z50)</f>
        <v>--</v>
      </c>
      <c r="K38" s="62" t="str">
        <f>IF($I38="","--",1.05*'Dependency (hide)'!$Z50)</f>
        <v>--</v>
      </c>
      <c r="L38" s="62" t="str">
        <f>IF($I38="","--",'Dependency (hide)'!$AA50)</f>
        <v>--</v>
      </c>
      <c r="M38" s="18"/>
      <c r="N38" s="16" t="str">
        <f>IF('Control Sheet'!G52=0,"",'Control Sheet'!K52)</f>
        <v/>
      </c>
      <c r="O38" s="62" t="str">
        <f>IF($N38="","--",0.95*'Dependency (hide)'!$Z51)</f>
        <v>--</v>
      </c>
      <c r="P38" s="62" t="str">
        <f>IF($N38="","--",1.05*'Dependency (hide)'!$Z51)</f>
        <v>--</v>
      </c>
      <c r="Q38" s="62" t="str">
        <f>IF($N38="","--",'Dependency (hide)'!$AA51)</f>
        <v>--</v>
      </c>
      <c r="R38" s="18"/>
      <c r="S38" s="18"/>
      <c r="T38" s="18"/>
      <c r="U38" s="18"/>
    </row>
    <row r="39" spans="1:21" hidden="1" x14ac:dyDescent="0.25">
      <c r="A39" s="243" t="str">
        <f>'Data files'!A23</f>
        <v xml:space="preserve">8. </v>
      </c>
      <c r="B39" s="243"/>
      <c r="C39" s="18"/>
      <c r="D39" s="16" t="str">
        <f>IF('Control Sheet'!E53=0,"--",'Control Sheet'!I53)</f>
        <v>--</v>
      </c>
      <c r="E39" s="62" t="str">
        <f>IF($D39="--","--",0.95*'Dependency (hide)'!$Z53)</f>
        <v>--</v>
      </c>
      <c r="F39" s="62" t="str">
        <f>IF($D39="--","--",1.05*'Dependency (hide)'!$Z53)</f>
        <v>--</v>
      </c>
      <c r="G39" s="180" t="str">
        <f>IF($D39="--","--",'Dependency (hide)'!$AA53)</f>
        <v>--</v>
      </c>
      <c r="H39" s="18"/>
      <c r="I39" s="16" t="str">
        <f>IF('Control Sheet'!F53=0,"",'Control Sheet'!J53)</f>
        <v/>
      </c>
      <c r="J39" s="62" t="str">
        <f>IF($I39="","--",0.95*'Dependency (hide)'!$Z54)</f>
        <v>--</v>
      </c>
      <c r="K39" s="62" t="str">
        <f>IF($I39="","--",1.05*'Dependency (hide)'!$Z54)</f>
        <v>--</v>
      </c>
      <c r="L39" s="62" t="str">
        <f>IF($I39="","--",'Dependency (hide)'!$AA54)</f>
        <v>--</v>
      </c>
      <c r="M39" s="18"/>
      <c r="N39" s="16" t="str">
        <f>IF('Control Sheet'!G53=0,"",'Control Sheet'!K53)</f>
        <v/>
      </c>
      <c r="O39" s="62" t="str">
        <f>IF($N39="","--",0.95*'Dependency (hide)'!$Z55)</f>
        <v>--</v>
      </c>
      <c r="P39" s="62" t="str">
        <f>IF($N39="","--",1.05*'Dependency (hide)'!$Z55)</f>
        <v>--</v>
      </c>
      <c r="Q39" s="62" t="str">
        <f>IF($N39="","--",'Dependency (hide)'!$AA55)</f>
        <v>--</v>
      </c>
      <c r="R39" s="18"/>
      <c r="S39" s="18"/>
      <c r="T39" s="18"/>
      <c r="U39" s="18"/>
    </row>
    <row r="40" spans="1:21" hidden="1" x14ac:dyDescent="0.25">
      <c r="A40" s="243" t="str">
        <f>'Data files'!A24</f>
        <v xml:space="preserve">9. </v>
      </c>
      <c r="B40" s="243"/>
      <c r="C40" s="18"/>
      <c r="D40" s="16" t="str">
        <f>IF('Control Sheet'!E54=0,"--",'Control Sheet'!I54)</f>
        <v>--</v>
      </c>
      <c r="E40" s="62" t="str">
        <f>IF($D40="--","--",0.95*'Dependency (hide)'!$Z57)</f>
        <v>--</v>
      </c>
      <c r="F40" s="62" t="str">
        <f>IF($D40="--","--",1.05*'Dependency (hide)'!$Z57)</f>
        <v>--</v>
      </c>
      <c r="G40" s="180" t="str">
        <f>IF($D40="--","--",'Dependency (hide)'!$AA57)</f>
        <v>--</v>
      </c>
      <c r="H40" s="18"/>
      <c r="I40" s="16" t="str">
        <f>IF('Control Sheet'!F54=0,"",'Control Sheet'!J54)</f>
        <v/>
      </c>
      <c r="J40" s="62" t="str">
        <f>IF($I40="","--",0.95*'Dependency (hide)'!$Z58)</f>
        <v>--</v>
      </c>
      <c r="K40" s="62" t="str">
        <f>IF($I40="","--",1.05*'Dependency (hide)'!$Z58)</f>
        <v>--</v>
      </c>
      <c r="L40" s="62" t="str">
        <f>IF($I40="","--",'Dependency (hide)'!$AA58)</f>
        <v>--</v>
      </c>
      <c r="M40" s="18"/>
      <c r="N40" s="16" t="str">
        <f>IF('Control Sheet'!G54=0,"",'Control Sheet'!K54)</f>
        <v/>
      </c>
      <c r="O40" s="62" t="str">
        <f>IF($N40="","--",0.95*'Dependency (hide)'!$Z59)</f>
        <v>--</v>
      </c>
      <c r="P40" s="62" t="str">
        <f>IF($N40="","--",1.05*'Dependency (hide)'!$Z59)</f>
        <v>--</v>
      </c>
      <c r="Q40" s="62" t="str">
        <f>IF($N40="","--",'Dependency (hide)'!$AA59)</f>
        <v>--</v>
      </c>
      <c r="R40" s="18"/>
      <c r="S40" s="18"/>
      <c r="T40" s="18"/>
      <c r="U40" s="18"/>
    </row>
    <row r="41" spans="1:21" hidden="1" x14ac:dyDescent="0.25">
      <c r="A41" s="243" t="str">
        <f>'Data files'!A25</f>
        <v xml:space="preserve">10. </v>
      </c>
      <c r="B41" s="243"/>
      <c r="C41" s="18"/>
      <c r="D41" s="16" t="str">
        <f>IF('Control Sheet'!E55=0,"--",'Control Sheet'!I55)</f>
        <v>--</v>
      </c>
      <c r="E41" s="62" t="str">
        <f>IF($D41="--","--",0.95*'Dependency (hide)'!$Z61)</f>
        <v>--</v>
      </c>
      <c r="F41" s="62" t="str">
        <f>IF($D41="--","--",1.05*'Dependency (hide)'!$Z61)</f>
        <v>--</v>
      </c>
      <c r="G41" s="180" t="str">
        <f>IF($D41="--","--",'Dependency (hide)'!$AA61)</f>
        <v>--</v>
      </c>
      <c r="H41" s="18"/>
      <c r="I41" s="16" t="str">
        <f>IF('Control Sheet'!F55=0,"",'Control Sheet'!J55)</f>
        <v/>
      </c>
      <c r="J41" s="62" t="str">
        <f>IF($I41="","--",0.95*'Dependency (hide)'!$Z62)</f>
        <v>--</v>
      </c>
      <c r="K41" s="62" t="str">
        <f>IF($I41="","--",1.05*'Dependency (hide)'!$Z62)</f>
        <v>--</v>
      </c>
      <c r="L41" s="62" t="str">
        <f>IF($I41="","--",'Dependency (hide)'!$AA62)</f>
        <v>--</v>
      </c>
      <c r="M41" s="18"/>
      <c r="N41" s="16" t="str">
        <f>IF('Control Sheet'!G55=0,"",'Control Sheet'!K55)</f>
        <v/>
      </c>
      <c r="O41" s="62" t="str">
        <f>IF($N41="","--",0.95*'Dependency (hide)'!$Z63)</f>
        <v>--</v>
      </c>
      <c r="P41" s="62" t="str">
        <f>IF($N41="","--",1.05*'Dependency (hide)'!$Z63)</f>
        <v>--</v>
      </c>
      <c r="Q41" s="62" t="str">
        <f>IF($N41="","--",'Dependency (hide)'!$AA63)</f>
        <v>--</v>
      </c>
      <c r="R41" s="18"/>
      <c r="S41" s="18"/>
      <c r="T41" s="18"/>
      <c r="U41" s="18"/>
    </row>
    <row r="42" spans="1:21" hidden="1" x14ac:dyDescent="0.25">
      <c r="A42" s="243" t="str">
        <f>'Data files'!A26</f>
        <v xml:space="preserve">11. </v>
      </c>
      <c r="B42" s="243"/>
      <c r="C42" s="18"/>
      <c r="D42" s="16" t="str">
        <f>IF('Control Sheet'!E56=0,"--",'Control Sheet'!I56)</f>
        <v>--</v>
      </c>
      <c r="E42" s="62" t="str">
        <f>IF($D42="--","--",0.95*'Dependency (hide)'!$Z65)</f>
        <v>--</v>
      </c>
      <c r="F42" s="62" t="str">
        <f>IF($D42="--","--",1.05*'Dependency (hide)'!$Z65)</f>
        <v>--</v>
      </c>
      <c r="G42" s="180" t="str">
        <f>IF($D42="--","--",'Dependency (hide)'!$AA65)</f>
        <v>--</v>
      </c>
      <c r="H42" s="18"/>
      <c r="I42" s="16" t="str">
        <f>IF('Control Sheet'!F56=0,"",'Control Sheet'!J56)</f>
        <v/>
      </c>
      <c r="J42" s="62" t="str">
        <f>IF($I42="","--",0.95*'Dependency (hide)'!$Z66)</f>
        <v>--</v>
      </c>
      <c r="K42" s="62" t="str">
        <f>IF($I42="","--",1.05*'Dependency (hide)'!$Z66)</f>
        <v>--</v>
      </c>
      <c r="L42" s="62" t="str">
        <f>IF($I42="","--",'Dependency (hide)'!$AA66)</f>
        <v>--</v>
      </c>
      <c r="M42" s="18"/>
      <c r="N42" s="16" t="str">
        <f>IF('Control Sheet'!G56=0,"",'Control Sheet'!K56)</f>
        <v/>
      </c>
      <c r="O42" s="62" t="str">
        <f>IF($N42="","--",0.95*'Dependency (hide)'!$Z67)</f>
        <v>--</v>
      </c>
      <c r="P42" s="62" t="str">
        <f>IF($N42="","--",1.05*'Dependency (hide)'!$Z67)</f>
        <v>--</v>
      </c>
      <c r="Q42" s="62" t="str">
        <f>IF($N42="","--",'Dependency (hide)'!$AA67)</f>
        <v>--</v>
      </c>
      <c r="R42" s="18"/>
      <c r="S42" s="18"/>
      <c r="T42" s="18"/>
      <c r="U42" s="18"/>
    </row>
    <row r="43" spans="1:21" hidden="1" x14ac:dyDescent="0.25">
      <c r="A43" s="243" t="str">
        <f>'Data files'!A27</f>
        <v xml:space="preserve">12. </v>
      </c>
      <c r="B43" s="243"/>
      <c r="C43" s="18"/>
      <c r="D43" s="16" t="str">
        <f>IF('Control Sheet'!E57=0,"--",'Control Sheet'!I57)</f>
        <v>--</v>
      </c>
      <c r="E43" s="62" t="str">
        <f>IF($D43="--","--",0.95*'Dependency (hide)'!$Z69)</f>
        <v>--</v>
      </c>
      <c r="F43" s="62" t="str">
        <f>IF($D43="--","--",1.05*'Dependency (hide)'!$Z69)</f>
        <v>--</v>
      </c>
      <c r="G43" s="180" t="str">
        <f>IF($D43="--","--",'Dependency (hide)'!$AA69)</f>
        <v>--</v>
      </c>
      <c r="H43" s="18"/>
      <c r="I43" s="16" t="str">
        <f>IF('Control Sheet'!F57=0,"",'Control Sheet'!J57)</f>
        <v/>
      </c>
      <c r="J43" s="62" t="str">
        <f>IF($I43="","--",0.95*'Dependency (hide)'!$Z70)</f>
        <v>--</v>
      </c>
      <c r="K43" s="62" t="str">
        <f>IF($I43="","--",1.05*'Dependency (hide)'!$Z70)</f>
        <v>--</v>
      </c>
      <c r="L43" s="62" t="str">
        <f>IF($I43="","--",'Dependency (hide)'!$AA70)</f>
        <v>--</v>
      </c>
      <c r="M43" s="18"/>
      <c r="N43" s="16" t="str">
        <f>IF('Control Sheet'!G57=0,"",'Control Sheet'!K57)</f>
        <v/>
      </c>
      <c r="O43" s="62" t="str">
        <f>IF($N43="","--",0.95*'Dependency (hide)'!$Z71)</f>
        <v>--</v>
      </c>
      <c r="P43" s="62" t="str">
        <f>IF($N43="","--",1.05*'Dependency (hide)'!$Z71)</f>
        <v>--</v>
      </c>
      <c r="Q43" s="62" t="str">
        <f>IF($N43="","--",'Dependency (hide)'!$AA71)</f>
        <v>--</v>
      </c>
      <c r="R43" s="18"/>
      <c r="S43" s="18"/>
      <c r="T43" s="18"/>
      <c r="U43" s="18"/>
    </row>
    <row r="44" spans="1:21" hidden="1" x14ac:dyDescent="0.25">
      <c r="A44" s="243" t="str">
        <f>'Data files'!A28</f>
        <v xml:space="preserve">13. </v>
      </c>
      <c r="B44" s="243"/>
      <c r="C44" s="18"/>
      <c r="D44" s="16" t="str">
        <f>IF('Control Sheet'!E58=0,"--",'Control Sheet'!I58)</f>
        <v>--</v>
      </c>
      <c r="E44" s="62" t="str">
        <f>IF($D44="--","--",0.95*'Dependency (hide)'!$Z73)</f>
        <v>--</v>
      </c>
      <c r="F44" s="62" t="str">
        <f>IF($D44="--","--",1.05*'Dependency (hide)'!$Z73)</f>
        <v>--</v>
      </c>
      <c r="G44" s="180" t="str">
        <f>IF($D44="--","--",'Dependency (hide)'!$AA73)</f>
        <v>--</v>
      </c>
      <c r="H44" s="18"/>
      <c r="I44" s="16" t="str">
        <f>IF('Control Sheet'!F58=0,"",'Control Sheet'!J58)</f>
        <v/>
      </c>
      <c r="J44" s="62" t="str">
        <f>IF($I44="","--",0.95*'Dependency (hide)'!$Z74)</f>
        <v>--</v>
      </c>
      <c r="K44" s="62" t="str">
        <f>IF($I44="","--",1.05*'Dependency (hide)'!$Z74)</f>
        <v>--</v>
      </c>
      <c r="L44" s="62" t="str">
        <f>IF($I44="","--",'Dependency (hide)'!$AA74)</f>
        <v>--</v>
      </c>
      <c r="M44" s="18"/>
      <c r="N44" s="16" t="str">
        <f>IF('Control Sheet'!G58=0,"",'Control Sheet'!K58)</f>
        <v/>
      </c>
      <c r="O44" s="62" t="str">
        <f>IF($N44="","--",0.95*'Dependency (hide)'!$Z75)</f>
        <v>--</v>
      </c>
      <c r="P44" s="62" t="str">
        <f>IF($N44="","--",1.05*'Dependency (hide)'!$Z75)</f>
        <v>--</v>
      </c>
      <c r="Q44" s="62" t="str">
        <f>IF($N44="","--",'Dependency (hide)'!$AA75)</f>
        <v>--</v>
      </c>
      <c r="R44" s="18"/>
      <c r="S44" s="18"/>
      <c r="T44" s="18"/>
      <c r="U44" s="18"/>
    </row>
    <row r="45" spans="1:21" hidden="1" x14ac:dyDescent="0.25">
      <c r="A45" s="243" t="str">
        <f>'Data files'!A29</f>
        <v xml:space="preserve">14. </v>
      </c>
      <c r="B45" s="243"/>
      <c r="C45" s="18"/>
      <c r="D45" s="16" t="str">
        <f>IF('Control Sheet'!E59=0,"--",'Control Sheet'!I59)</f>
        <v>--</v>
      </c>
      <c r="E45" s="62" t="str">
        <f>IF($D45="--","--",0.95*'Dependency (hide)'!$Z77)</f>
        <v>--</v>
      </c>
      <c r="F45" s="62" t="str">
        <f>IF($D45="--","--",1.05*'Dependency (hide)'!$Z77)</f>
        <v>--</v>
      </c>
      <c r="G45" s="180" t="str">
        <f>IF($D45="--","--",'Dependency (hide)'!$AA77)</f>
        <v>--</v>
      </c>
      <c r="H45" s="18"/>
      <c r="I45" s="16" t="str">
        <f>IF('Control Sheet'!F59=0,"",'Control Sheet'!J59)</f>
        <v/>
      </c>
      <c r="J45" s="62" t="str">
        <f>IF($I45="","--",0.95*'Dependency (hide)'!$Z78)</f>
        <v>--</v>
      </c>
      <c r="K45" s="62" t="str">
        <f>IF($I45="","--",1.05*'Dependency (hide)'!$Z78)</f>
        <v>--</v>
      </c>
      <c r="L45" s="62" t="str">
        <f>IF($I45="","--",'Dependency (hide)'!$AA78)</f>
        <v>--</v>
      </c>
      <c r="M45" s="18"/>
      <c r="N45" s="16" t="str">
        <f>IF('Control Sheet'!G59=0,"",'Control Sheet'!K59)</f>
        <v/>
      </c>
      <c r="O45" s="62" t="str">
        <f>IF($N45="","--",0.95*'Dependency (hide)'!$Z79)</f>
        <v>--</v>
      </c>
      <c r="P45" s="62" t="str">
        <f>IF($N45="","--",1.05*'Dependency (hide)'!$Z79)</f>
        <v>--</v>
      </c>
      <c r="Q45" s="62" t="str">
        <f>IF($N45="","--",'Dependency (hide)'!$AA79)</f>
        <v>--</v>
      </c>
      <c r="R45" s="18"/>
      <c r="S45" s="18"/>
      <c r="T45" s="18"/>
      <c r="U45" s="18"/>
    </row>
    <row r="46" spans="1:21" hidden="1" x14ac:dyDescent="0.25">
      <c r="A46" s="243" t="str">
        <f>'Data files'!A30</f>
        <v xml:space="preserve">15. </v>
      </c>
      <c r="B46" s="243"/>
      <c r="C46" s="18"/>
      <c r="D46" s="16" t="str">
        <f>IF('Control Sheet'!E60=0,"--",'Control Sheet'!I60)</f>
        <v>--</v>
      </c>
      <c r="E46" s="62" t="str">
        <f>IF($D46="--","--",0.95*'Dependency (hide)'!$Z81)</f>
        <v>--</v>
      </c>
      <c r="F46" s="62" t="str">
        <f>IF($D46="--","--",1.05*'Dependency (hide)'!$Z81)</f>
        <v>--</v>
      </c>
      <c r="G46" s="180" t="str">
        <f>IF($D46="--","--",'Dependency (hide)'!$AA81)</f>
        <v>--</v>
      </c>
      <c r="H46" s="18"/>
      <c r="I46" s="16" t="str">
        <f>IF('Control Sheet'!F60=0,"",'Control Sheet'!J60)</f>
        <v/>
      </c>
      <c r="J46" s="62" t="str">
        <f>IF($I46="","--",0.95*'Dependency (hide)'!$Z82)</f>
        <v>--</v>
      </c>
      <c r="K46" s="62" t="str">
        <f>IF($I46="","--",1.05*'Dependency (hide)'!$Z82)</f>
        <v>--</v>
      </c>
      <c r="L46" s="62" t="str">
        <f>IF($I46="","--",'Dependency (hide)'!$AA82)</f>
        <v>--</v>
      </c>
      <c r="M46" s="18"/>
      <c r="N46" s="16" t="str">
        <f>IF('Control Sheet'!G60=0,"",'Control Sheet'!K60)</f>
        <v/>
      </c>
      <c r="O46" s="62" t="str">
        <f>IF($N46="","--",0.95*'Dependency (hide)'!$Z83)</f>
        <v>--</v>
      </c>
      <c r="P46" s="62" t="str">
        <f>IF($N46="","--",1.05*'Dependency (hide)'!$Z83)</f>
        <v>--</v>
      </c>
      <c r="Q46" s="62" t="str">
        <f>IF($N46="","--",'Dependency (hide)'!$AA83)</f>
        <v>--</v>
      </c>
      <c r="R46" s="18"/>
      <c r="S46" s="18"/>
      <c r="T46" s="18"/>
      <c r="U46" s="18"/>
    </row>
    <row r="47" spans="1:21" hidden="1" x14ac:dyDescent="0.25">
      <c r="A47" s="243" t="str">
        <f>'Data files'!A31</f>
        <v xml:space="preserve">16. </v>
      </c>
      <c r="B47" s="243"/>
      <c r="C47" s="18"/>
      <c r="D47" s="16" t="str">
        <f>IF('Control Sheet'!E61=0,"--",'Control Sheet'!I61)</f>
        <v>--</v>
      </c>
      <c r="E47" s="62" t="str">
        <f>IF($D47="--","--",0.95*'Dependency (hide)'!$Z85)</f>
        <v>--</v>
      </c>
      <c r="F47" s="62" t="str">
        <f>IF($D47="--","--",1.05*'Dependency (hide)'!$Z85)</f>
        <v>--</v>
      </c>
      <c r="G47" s="180" t="str">
        <f>IF($D47="--","--",'Dependency (hide)'!$AA85)</f>
        <v>--</v>
      </c>
      <c r="H47" s="18"/>
      <c r="I47" s="16" t="str">
        <f>IF('Control Sheet'!F61=0,"",'Control Sheet'!J61)</f>
        <v/>
      </c>
      <c r="J47" s="62" t="str">
        <f>IF($I47="","--",0.95*'Dependency (hide)'!$Z86)</f>
        <v>--</v>
      </c>
      <c r="K47" s="62" t="str">
        <f>IF($I47="","--",1.05*'Dependency (hide)'!$Z86)</f>
        <v>--</v>
      </c>
      <c r="L47" s="62" t="str">
        <f>IF($I47="","--",'Dependency (hide)'!$AA86)</f>
        <v>--</v>
      </c>
      <c r="M47" s="18"/>
      <c r="N47" s="16" t="str">
        <f>IF('Control Sheet'!G61=0,"",'Control Sheet'!K61)</f>
        <v/>
      </c>
      <c r="O47" s="62" t="str">
        <f>IF($N47="","--",0.95*'Dependency (hide)'!$Z87)</f>
        <v>--</v>
      </c>
      <c r="P47" s="62" t="str">
        <f>IF($N47="","--",1.05*'Dependency (hide)'!$Z87)</f>
        <v>--</v>
      </c>
      <c r="Q47" s="62" t="str">
        <f>IF($N47="","--",'Dependency (hide)'!$AA87)</f>
        <v>--</v>
      </c>
      <c r="R47" s="18"/>
      <c r="S47" s="18"/>
      <c r="T47" s="18"/>
      <c r="U47" s="18"/>
    </row>
    <row r="48" spans="1:21" hidden="1" x14ac:dyDescent="0.25">
      <c r="A48" s="243" t="str">
        <f>'Data files'!A32</f>
        <v xml:space="preserve">17. </v>
      </c>
      <c r="B48" s="243"/>
      <c r="C48" s="18"/>
      <c r="D48" s="16" t="str">
        <f>IF('Control Sheet'!E62=0,"--",'Control Sheet'!I62)</f>
        <v>--</v>
      </c>
      <c r="E48" s="62" t="str">
        <f>IF($D48="--","--",0.95*'Dependency (hide)'!$Z89)</f>
        <v>--</v>
      </c>
      <c r="F48" s="62" t="str">
        <f>IF($D48="--","--",1.05*'Dependency (hide)'!$Z89)</f>
        <v>--</v>
      </c>
      <c r="G48" s="180" t="str">
        <f>IF($D48="--","--",'Dependency (hide)'!$AA89)</f>
        <v>--</v>
      </c>
      <c r="H48" s="18"/>
      <c r="I48" s="16" t="str">
        <f>IF('Control Sheet'!F62=0,"",'Control Sheet'!J62)</f>
        <v/>
      </c>
      <c r="J48" s="62" t="str">
        <f>IF($I48="","--",0.95*'Dependency (hide)'!$Z90)</f>
        <v>--</v>
      </c>
      <c r="K48" s="62" t="str">
        <f>IF($I48="","--",1.05*'Dependency (hide)'!$Z90)</f>
        <v>--</v>
      </c>
      <c r="L48" s="62" t="str">
        <f>IF($I48="","--",'Dependency (hide)'!$AA90)</f>
        <v>--</v>
      </c>
      <c r="M48" s="18"/>
      <c r="N48" s="16" t="str">
        <f>IF('Control Sheet'!G62=0,"",'Control Sheet'!K62)</f>
        <v/>
      </c>
      <c r="O48" s="62" t="str">
        <f>IF($N48="","--",0.95*'Dependency (hide)'!$Z91)</f>
        <v>--</v>
      </c>
      <c r="P48" s="62" t="str">
        <f>IF($N48="","--",1.05*'Dependency (hide)'!$Z91)</f>
        <v>--</v>
      </c>
      <c r="Q48" s="62" t="str">
        <f>IF($N48="","--",'Dependency (hide)'!$AA91)</f>
        <v>--</v>
      </c>
      <c r="R48" s="18"/>
      <c r="S48" s="18"/>
      <c r="T48" s="18"/>
      <c r="U48" s="18"/>
    </row>
    <row r="49" spans="1:21" hidden="1" x14ac:dyDescent="0.25">
      <c r="A49" s="243" t="str">
        <f>'Data files'!A33</f>
        <v xml:space="preserve">18. </v>
      </c>
      <c r="B49" s="243"/>
      <c r="C49" s="18"/>
      <c r="D49" s="16" t="str">
        <f>IF('Control Sheet'!E63=0,"--",'Control Sheet'!I63)</f>
        <v>--</v>
      </c>
      <c r="E49" s="62" t="str">
        <f>IF($D49="--","--",0.95*'Dependency (hide)'!$Z93)</f>
        <v>--</v>
      </c>
      <c r="F49" s="62" t="str">
        <f>IF($D49="--","--",1.05*'Dependency (hide)'!$Z93)</f>
        <v>--</v>
      </c>
      <c r="G49" s="180" t="str">
        <f>IF($D49="--","--",'Dependency (hide)'!$AA93)</f>
        <v>--</v>
      </c>
      <c r="H49" s="18"/>
      <c r="I49" s="16" t="str">
        <f>IF('Control Sheet'!F63=0,"",'Control Sheet'!J63)</f>
        <v/>
      </c>
      <c r="J49" s="62" t="str">
        <f>IF($I49="","--",0.95*'Dependency (hide)'!$Z94)</f>
        <v>--</v>
      </c>
      <c r="K49" s="62" t="str">
        <f>IF($I49="","--",1.05*'Dependency (hide)'!$Z94)</f>
        <v>--</v>
      </c>
      <c r="L49" s="62" t="str">
        <f>IF($I49="","--",'Dependency (hide)'!$AA94)</f>
        <v>--</v>
      </c>
      <c r="M49" s="18"/>
      <c r="N49" s="16" t="str">
        <f>IF('Control Sheet'!G63=0,"",'Control Sheet'!K63)</f>
        <v/>
      </c>
      <c r="O49" s="62" t="str">
        <f>IF($N49="","--",0.95*'Dependency (hide)'!$Z95)</f>
        <v>--</v>
      </c>
      <c r="P49" s="62" t="str">
        <f>IF($N49="","--",1.05*'Dependency (hide)'!$Z95)</f>
        <v>--</v>
      </c>
      <c r="Q49" s="62" t="str">
        <f>IF($N49="","--",'Dependency (hide)'!$AA95)</f>
        <v>--</v>
      </c>
      <c r="R49" s="18"/>
      <c r="S49" s="18"/>
      <c r="T49" s="18"/>
      <c r="U49" s="18"/>
    </row>
    <row r="50" spans="1:21" hidden="1" x14ac:dyDescent="0.25">
      <c r="A50" s="243" t="str">
        <f>'Data files'!A34</f>
        <v xml:space="preserve">19. </v>
      </c>
      <c r="B50" s="243"/>
      <c r="C50" s="18"/>
      <c r="D50" s="16" t="str">
        <f>IF('Control Sheet'!E64=0,"--",'Control Sheet'!I64)</f>
        <v>--</v>
      </c>
      <c r="E50" s="62" t="str">
        <f>IF($D50="--","--",0.95*'Dependency (hide)'!$Z97)</f>
        <v>--</v>
      </c>
      <c r="F50" s="62" t="str">
        <f>IF($D50="--","--",1.05*'Dependency (hide)'!$Z97)</f>
        <v>--</v>
      </c>
      <c r="G50" s="180" t="str">
        <f>IF($D50="--","--",'Dependency (hide)'!$AA97)</f>
        <v>--</v>
      </c>
      <c r="H50" s="18"/>
      <c r="I50" s="16" t="str">
        <f>IF('Control Sheet'!F64=0,"",'Control Sheet'!J64)</f>
        <v/>
      </c>
      <c r="J50" s="62" t="str">
        <f>IF($I50="","--",0.95*'Dependency (hide)'!$Z98)</f>
        <v>--</v>
      </c>
      <c r="K50" s="62" t="str">
        <f>IF($I50="","--",1.05*'Dependency (hide)'!$Z98)</f>
        <v>--</v>
      </c>
      <c r="L50" s="62" t="str">
        <f>IF($I50="","--",'Dependency (hide)'!$AA98)</f>
        <v>--</v>
      </c>
      <c r="M50" s="18"/>
      <c r="N50" s="16" t="str">
        <f>IF('Control Sheet'!G64=0,"",'Control Sheet'!K64)</f>
        <v/>
      </c>
      <c r="O50" s="62" t="str">
        <f>IF($N50="","--",0.95*'Dependency (hide)'!$Z99)</f>
        <v>--</v>
      </c>
      <c r="P50" s="62" t="str">
        <f>IF($N50="","--",1.05*'Dependency (hide)'!$Z99)</f>
        <v>--</v>
      </c>
      <c r="Q50" s="62" t="str">
        <f>IF($N50="","--",'Dependency (hide)'!$AA99)</f>
        <v>--</v>
      </c>
      <c r="R50" s="18"/>
      <c r="S50" s="18"/>
      <c r="T50" s="18"/>
      <c r="U50" s="18"/>
    </row>
    <row r="51" spans="1:21" hidden="1" x14ac:dyDescent="0.25">
      <c r="A51" s="243" t="str">
        <f>'Data files'!A35</f>
        <v xml:space="preserve">20. </v>
      </c>
      <c r="B51" s="243"/>
      <c r="C51" s="18"/>
      <c r="D51" s="16" t="str">
        <f>IF('Control Sheet'!E65=0,"--",'Control Sheet'!I65)</f>
        <v>--</v>
      </c>
      <c r="E51" s="62" t="str">
        <f>IF($D51="--","--",0.95*'Dependency (hide)'!$Z101)</f>
        <v>--</v>
      </c>
      <c r="F51" s="62" t="str">
        <f>IF($D51="--","--",1.05*'Dependency (hide)'!$Z101)</f>
        <v>--</v>
      </c>
      <c r="G51" s="180" t="str">
        <f>IF($D51="--","--",'Dependency (hide)'!$AA101)</f>
        <v>--</v>
      </c>
      <c r="H51" s="18"/>
      <c r="I51" s="16" t="str">
        <f>IF('Control Sheet'!F65=0,"",'Control Sheet'!J65)</f>
        <v/>
      </c>
      <c r="J51" s="62" t="str">
        <f>IF($I51="","--",0.95*'Dependency (hide)'!$Z102)</f>
        <v>--</v>
      </c>
      <c r="K51" s="62" t="str">
        <f>IF($I51="","--",1.05*'Dependency (hide)'!$Z102)</f>
        <v>--</v>
      </c>
      <c r="L51" s="62" t="str">
        <f>IF($I51="","--",'Dependency (hide)'!$AA102)</f>
        <v>--</v>
      </c>
      <c r="M51" s="18"/>
      <c r="N51" s="16" t="str">
        <f>IF('Control Sheet'!G65=0,"",'Control Sheet'!K65)</f>
        <v/>
      </c>
      <c r="O51" s="62" t="str">
        <f>IF($N51="","--",0.95*'Dependency (hide)'!$Z103)</f>
        <v>--</v>
      </c>
      <c r="P51" s="62" t="str">
        <f>IF($N51="","--",1.05*'Dependency (hide)'!$Z103)</f>
        <v>--</v>
      </c>
      <c r="Q51" s="62" t="str">
        <f>IF($N51="","--",'Dependency (hide)'!$AA103)</f>
        <v>--</v>
      </c>
      <c r="R51" s="18"/>
      <c r="S51" s="18"/>
      <c r="T51" s="18"/>
      <c r="U51" s="18"/>
    </row>
    <row r="52" spans="1:21" x14ac:dyDescent="0.25">
      <c r="A52" s="18"/>
      <c r="B52" s="18"/>
      <c r="C52" s="18"/>
      <c r="D52" s="18"/>
      <c r="E52" s="18"/>
      <c r="F52" s="18"/>
      <c r="G52" s="18"/>
      <c r="H52" s="18"/>
      <c r="I52" s="18"/>
      <c r="J52" s="18"/>
      <c r="K52" s="18"/>
      <c r="L52" s="18"/>
      <c r="M52" s="18"/>
      <c r="N52" s="18"/>
      <c r="O52" s="18"/>
      <c r="P52" s="18"/>
      <c r="Q52" s="18"/>
      <c r="R52" s="18"/>
      <c r="S52" s="18"/>
      <c r="T52" s="18"/>
      <c r="U52" s="18"/>
    </row>
    <row r="53" spans="1:21" x14ac:dyDescent="0.25">
      <c r="A53" s="18"/>
      <c r="B53" s="18"/>
      <c r="C53" s="18"/>
      <c r="D53" s="18"/>
      <c r="E53" s="18"/>
      <c r="F53" s="18"/>
      <c r="G53" s="18"/>
      <c r="H53" s="18"/>
      <c r="I53" s="18"/>
      <c r="J53" s="18"/>
      <c r="K53" s="18"/>
      <c r="L53" s="18"/>
      <c r="M53" s="18"/>
      <c r="N53" s="18"/>
      <c r="O53" s="18"/>
      <c r="P53" s="18"/>
      <c r="Q53" s="18"/>
      <c r="R53" s="18"/>
      <c r="S53" s="18"/>
      <c r="T53" s="18"/>
      <c r="U53" s="18"/>
    </row>
    <row r="54" spans="1:21" x14ac:dyDescent="0.25">
      <c r="A54" s="18"/>
      <c r="B54" s="18"/>
      <c r="C54" s="18"/>
      <c r="D54" s="18"/>
      <c r="E54" s="18"/>
      <c r="F54" s="18"/>
      <c r="G54" s="18"/>
      <c r="H54" s="18"/>
      <c r="I54" s="18"/>
      <c r="J54" s="18"/>
      <c r="K54" s="18"/>
      <c r="L54" s="18"/>
      <c r="M54" s="18"/>
      <c r="N54" s="18"/>
      <c r="O54" s="18"/>
      <c r="P54" s="18"/>
      <c r="Q54" s="18"/>
      <c r="R54" s="18"/>
      <c r="S54" s="18"/>
      <c r="T54" s="18"/>
      <c r="U54" s="18"/>
    </row>
    <row r="55" spans="1:21" x14ac:dyDescent="0.25">
      <c r="A55" s="18"/>
      <c r="B55" s="18"/>
      <c r="C55" s="18"/>
      <c r="D55" s="18"/>
      <c r="E55" s="18"/>
      <c r="F55" s="18"/>
      <c r="G55" s="18"/>
      <c r="H55" s="18"/>
      <c r="I55" s="18"/>
      <c r="J55" s="18"/>
      <c r="K55" s="18"/>
      <c r="L55" s="18"/>
      <c r="M55" s="18"/>
      <c r="N55" s="18"/>
      <c r="O55" s="18"/>
      <c r="P55" s="18"/>
      <c r="Q55" s="18"/>
      <c r="R55" s="18"/>
      <c r="S55" s="18"/>
      <c r="T55" s="18"/>
      <c r="U55" s="18"/>
    </row>
    <row r="56" spans="1:21" x14ac:dyDescent="0.25">
      <c r="A56" s="18"/>
      <c r="B56" s="18"/>
      <c r="C56" s="18"/>
      <c r="D56" s="18"/>
      <c r="E56" s="18"/>
      <c r="F56" s="18"/>
      <c r="G56" s="18"/>
      <c r="H56" s="18"/>
      <c r="I56" s="18"/>
      <c r="J56" s="18"/>
      <c r="K56" s="18"/>
      <c r="L56" s="18"/>
      <c r="M56" s="18"/>
      <c r="N56" s="18"/>
      <c r="O56" s="18"/>
      <c r="P56" s="18"/>
      <c r="Q56" s="18"/>
      <c r="R56" s="18"/>
      <c r="S56" s="18"/>
      <c r="T56" s="18"/>
      <c r="U56" s="18"/>
    </row>
    <row r="57" spans="1:21" x14ac:dyDescent="0.25">
      <c r="A57" s="18"/>
      <c r="B57" s="18"/>
      <c r="C57" s="18"/>
      <c r="D57" s="18"/>
      <c r="E57" s="18"/>
      <c r="F57" s="18"/>
      <c r="G57" s="18"/>
      <c r="H57" s="18"/>
      <c r="I57" s="18"/>
      <c r="J57" s="18"/>
      <c r="K57" s="18"/>
      <c r="L57" s="18"/>
      <c r="M57" s="18"/>
      <c r="N57" s="18"/>
      <c r="O57" s="18"/>
      <c r="P57" s="18"/>
      <c r="Q57" s="18"/>
      <c r="R57" s="18"/>
      <c r="S57" s="18"/>
      <c r="T57" s="18"/>
      <c r="U57" s="18"/>
    </row>
  </sheetData>
  <mergeCells count="37">
    <mergeCell ref="Q30:Q31"/>
    <mergeCell ref="A4:B4"/>
    <mergeCell ref="D4:F4"/>
    <mergeCell ref="D26:F26"/>
    <mergeCell ref="D27:F27"/>
    <mergeCell ref="A30:B31"/>
    <mergeCell ref="D30:D31"/>
    <mergeCell ref="E30:E31"/>
    <mergeCell ref="F30:F31"/>
    <mergeCell ref="O30:O31"/>
    <mergeCell ref="P30:P31"/>
    <mergeCell ref="K30:K31"/>
    <mergeCell ref="N30:N31"/>
    <mergeCell ref="L30:L31"/>
    <mergeCell ref="A32:B32"/>
    <mergeCell ref="A33:B33"/>
    <mergeCell ref="A34:B34"/>
    <mergeCell ref="I30:I31"/>
    <mergeCell ref="J30:J31"/>
    <mergeCell ref="G30:G31"/>
    <mergeCell ref="A46:B46"/>
    <mergeCell ref="A35:B35"/>
    <mergeCell ref="A36:B36"/>
    <mergeCell ref="A37:B37"/>
    <mergeCell ref="A38:B38"/>
    <mergeCell ref="A39:B39"/>
    <mergeCell ref="A40:B40"/>
    <mergeCell ref="A41:B41"/>
    <mergeCell ref="A42:B42"/>
    <mergeCell ref="A43:B43"/>
    <mergeCell ref="A44:B44"/>
    <mergeCell ref="A45:B45"/>
    <mergeCell ref="A47:B47"/>
    <mergeCell ref="A48:B48"/>
    <mergeCell ref="A49:B49"/>
    <mergeCell ref="A50:B50"/>
    <mergeCell ref="A51:B51"/>
  </mergeCells>
  <conditionalFormatting sqref="E32:G51">
    <cfRule type="expression" dxfId="16" priority="5">
      <formula>IF(OR($G32&lt;$E32,$G32&gt;$F32),TRUE,FALSE)</formula>
    </cfRule>
    <cfRule type="expression" dxfId="15" priority="6">
      <formula>IF(AND($G32&gt;=$E32,$G32&lt;=$F32,$G32&lt;&gt;"--"),TRUE,FALSE)</formula>
    </cfRule>
  </conditionalFormatting>
  <conditionalFormatting sqref="J32:L51">
    <cfRule type="expression" dxfId="14" priority="3">
      <formula>IF(OR($L32&lt;$J32,$L32&gt;$K32),TRUE,FALSE)</formula>
    </cfRule>
    <cfRule type="expression" dxfId="13" priority="4">
      <formula>IF(AND($L32&gt;=$J32,$L32&lt;=$K32,$L32&lt;&gt;"--"),TRUE,FALSE)</formula>
    </cfRule>
  </conditionalFormatting>
  <conditionalFormatting sqref="O32:Q51">
    <cfRule type="expression" dxfId="12" priority="1">
      <formula>IF(OR($Q32&lt;$O32,$Q32&gt;$P32),TRUE,FALSE)</formula>
    </cfRule>
    <cfRule type="expression" dxfId="11" priority="2">
      <formula>IF(AND($Q32&gt;=$O32,$Q32&lt;=$P32,$Q32&lt;&gt;"--"),TRUE,FALSE)</formula>
    </cfRule>
  </conditionalFormatting>
  <pageMargins left="0.7" right="0.7" top="0.75" bottom="0.75" header="0.3" footer="0.3"/>
  <pageSetup paperSize="9" scale="46" orientation="portrait" horizontalDpi="90" verticalDpi="9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0000000}">
          <x14:formula1>
            <xm:f>'Control Sheet'!$B$15:$B$16</xm:f>
          </x14:formula1>
          <xm:sqref>G26</xm:sqref>
        </x14:dataValidation>
        <x14:dataValidation type="list" allowBlank="1" showInputMessage="1" showErrorMessage="1" xr:uid="{00000000-0002-0000-0A00-000001000000}">
          <x14:formula1>
            <xm:f>OFFSET('Data files'!$A$15,0,0,'Data files'!$E$9+1,1)</xm:f>
          </x14:formula1>
          <xm:sqref>D4</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7"/>
  <dimension ref="A1:CH237"/>
  <sheetViews>
    <sheetView workbookViewId="0">
      <selection activeCell="B2" sqref="B2"/>
    </sheetView>
  </sheetViews>
  <sheetFormatPr defaultRowHeight="13.8" x14ac:dyDescent="0.25"/>
  <cols>
    <col min="1" max="1" width="9.69921875" customWidth="1"/>
    <col min="4" max="4" width="15.796875" customWidth="1"/>
    <col min="5" max="5" width="9" customWidth="1"/>
    <col min="6" max="6" width="18.19921875" customWidth="1"/>
    <col min="9" max="9" width="18.19921875" customWidth="1"/>
    <col min="10" max="10" width="14" customWidth="1"/>
    <col min="12" max="13" width="9" customWidth="1"/>
  </cols>
  <sheetData>
    <row r="1" spans="1:12" x14ac:dyDescent="0.25">
      <c r="A1" s="1" t="s">
        <v>1461</v>
      </c>
      <c r="D1" t="s">
        <v>1462</v>
      </c>
    </row>
    <row r="2" spans="1:12" x14ac:dyDescent="0.25">
      <c r="A2" t="str">
        <f ca="1">"Estimated aggregate activity by "&amp;IF(Aggregate_PODProcess_Switch=0,"POD","Process")&amp;IF($G$18=0,", overall"," for "&amp;INDEX($C$25:$C$103,$H$18))&amp;B2</f>
        <v>Estimated aggregate activity by Process, overall, Jan - Dec 2020</v>
      </c>
      <c r="B2" t="str">
        <f>IFERROR(", "&amp;CHOOSE($G$19,"Week starting "&amp;TEXT(INDEX('Reference dates (hide)'!$N$43:$N$95,$G$20),"dd/mm/yyyy"),TEXT(INDEX(Current_Months,$G$20),"MMM yyyy"),'Data files'!$G$12),"")</f>
        <v>, Jan - Dec 2020</v>
      </c>
      <c r="D2" t="str">
        <f ca="1">"Estimated aggregate activity by "&amp;IF(Aggregate_PODProcess_Switch=0,"POD","Process")&amp;IF($G$18=0,", overall"," for "&amp;INDEX($C$25:$C$103,$H$18)&amp;": "&amp;E2)</f>
        <v>Estimated aggregate activity by Process, overall</v>
      </c>
      <c r="E2" t="e">
        <f ca="1">IF(Aggregate_PODProcess_Switch=1,INDEX($D$25:$D$103,H18+IF(IFERROR(INDEX($A$25:$A$103,$H$18),0)=1,1,Aggregate_POD_Select-1)),INDEX('Control Sheet'!$H$7:$H$11,Aggregate_POD_Select))</f>
        <v>#VALUE!</v>
      </c>
    </row>
    <row r="3" spans="1:12" x14ac:dyDescent="0.25">
      <c r="B3" t="s">
        <v>1086</v>
      </c>
      <c r="C3" t="s">
        <v>951</v>
      </c>
      <c r="D3" t="s">
        <v>1311</v>
      </c>
      <c r="E3" t="s">
        <v>1372</v>
      </c>
      <c r="F3" t="s">
        <v>1090</v>
      </c>
      <c r="G3" t="s">
        <v>1250</v>
      </c>
    </row>
    <row r="4" spans="1:12" x14ac:dyDescent="0.25">
      <c r="B4" s="8"/>
      <c r="C4" s="124"/>
      <c r="D4" s="124"/>
      <c r="E4" s="124"/>
      <c r="G4" s="65"/>
      <c r="K4" t="s">
        <v>1383</v>
      </c>
    </row>
    <row r="5" spans="1:12" x14ac:dyDescent="0.25">
      <c r="A5" t="s">
        <v>815</v>
      </c>
      <c r="B5" s="8">
        <f ca="1">INDEX('Reference dates (hide)'!Demand_Activity_Final,$G5,$G$19)</f>
        <v>20573.086296004381</v>
      </c>
      <c r="C5" s="123">
        <f ca="1">INDEX('Reference dates (hide)'!Capacity_Activity_Final,$G5,$G$19)</f>
        <v>1271.8674450322542</v>
      </c>
      <c r="D5" s="123">
        <f ca="1">INDEX('Reference dates (hide)'!CapacityCore_Activity_Final,$G5,$G$19)</f>
        <v>1093.6439813971613</v>
      </c>
      <c r="E5" s="123">
        <f ca="1">INDEX('Reference dates (hide)'!WLBasic_Activity_Final,$G5,$G$19)</f>
        <v>0</v>
      </c>
      <c r="F5" s="123">
        <f ca="1">INDEX('Reference dates (hide)'!WLFlow_Activity_Final,$G5,$G$19)</f>
        <v>0</v>
      </c>
      <c r="G5">
        <v>1</v>
      </c>
      <c r="K5" t="s">
        <v>1382</v>
      </c>
    </row>
    <row r="6" spans="1:12" x14ac:dyDescent="0.25">
      <c r="B6" s="8" t="e">
        <f>NA()</f>
        <v>#N/A</v>
      </c>
      <c r="C6" s="123" t="e">
        <v>#N/A</v>
      </c>
      <c r="D6" s="123" t="e">
        <v>#N/A</v>
      </c>
      <c r="E6" s="123" t="e">
        <v>#N/A</v>
      </c>
      <c r="F6" s="123" t="e">
        <v>#N/A</v>
      </c>
      <c r="G6" t="e">
        <f>NA()</f>
        <v>#N/A</v>
      </c>
      <c r="K6">
        <f>IF(LEFT('Aggregate activity'!Show_By,3)="Lin",1,0)</f>
        <v>1</v>
      </c>
      <c r="L6">
        <f>IF(K6=1,IF(OR('Aggregate activity'!Group_By="Week",RIGHT('Aggregate activity'!Show_By,5)="week)"),1,2),0)</f>
        <v>2</v>
      </c>
    </row>
    <row r="7" spans="1:12" x14ac:dyDescent="0.25">
      <c r="A7" t="s">
        <v>841</v>
      </c>
      <c r="B7" s="8">
        <f ca="1">INDEX('Reference dates (hide)'!Demand_Activity_Final,$G7,$G$19)</f>
        <v>0</v>
      </c>
      <c r="C7" s="123">
        <f ca="1">INDEX('Reference dates (hide)'!Capacity_Activity_Final,$G7,$G$19)</f>
        <v>0</v>
      </c>
      <c r="D7" s="123">
        <f ca="1">INDEX('Reference dates (hide)'!CapacityCore_Activity_Final,$G7,$G$19)</f>
        <v>0</v>
      </c>
      <c r="E7" s="123">
        <f ca="1">INDEX('Reference dates (hide)'!CapacityCore_Activity_Final,$G7,$G$19)</f>
        <v>0</v>
      </c>
      <c r="F7" s="123">
        <f ca="1">INDEX('Reference dates (hide)'!CapacityCore_Activity_Final,$G7,$G$19)</f>
        <v>0</v>
      </c>
      <c r="G7">
        <v>2</v>
      </c>
    </row>
    <row r="8" spans="1:12" x14ac:dyDescent="0.25">
      <c r="B8" s="8" t="e">
        <f>NA()</f>
        <v>#N/A</v>
      </c>
      <c r="C8" s="123" t="e">
        <v>#N/A</v>
      </c>
      <c r="D8" s="123" t="e">
        <v>#N/A</v>
      </c>
      <c r="E8" s="123" t="e">
        <v>#N/A</v>
      </c>
      <c r="F8" s="123" t="e">
        <v>#N/A</v>
      </c>
      <c r="G8" t="e">
        <f>NA()</f>
        <v>#N/A</v>
      </c>
    </row>
    <row r="9" spans="1:12" x14ac:dyDescent="0.25">
      <c r="A9" t="s">
        <v>818</v>
      </c>
      <c r="B9" s="8">
        <f ca="1">INDEX('Reference dates (hide)'!Demand_Activity_Final,$G9,$G$19)</f>
        <v>0</v>
      </c>
      <c r="C9" s="123">
        <f ca="1">INDEX('Reference dates (hide)'!Capacity_Activity_Final,$G9,$G$19)</f>
        <v>0</v>
      </c>
      <c r="D9" s="123">
        <f ca="1">INDEX('Reference dates (hide)'!CapacityCore_Activity_Final,$G9,$G$19)</f>
        <v>0</v>
      </c>
      <c r="E9" s="123">
        <f ca="1">INDEX('Reference dates (hide)'!WLBasic_Activity_Final,$G9,$G$19)</f>
        <v>0</v>
      </c>
      <c r="F9" s="123">
        <f ca="1">INDEX('Reference dates (hide)'!WLFlow_Activity_Final,$G9,$G$19)</f>
        <v>0</v>
      </c>
      <c r="G9">
        <v>3</v>
      </c>
    </row>
    <row r="10" spans="1:12" x14ac:dyDescent="0.25">
      <c r="B10" s="8" t="e">
        <f>NA()</f>
        <v>#N/A</v>
      </c>
      <c r="C10" s="123" t="e">
        <v>#N/A</v>
      </c>
      <c r="D10" s="123" t="e">
        <v>#N/A</v>
      </c>
      <c r="E10" s="123" t="e">
        <v>#N/A</v>
      </c>
      <c r="F10" s="123" t="e">
        <v>#N/A</v>
      </c>
      <c r="G10" t="e">
        <f>NA()</f>
        <v>#N/A</v>
      </c>
    </row>
    <row r="11" spans="1:12" x14ac:dyDescent="0.25">
      <c r="A11" t="s">
        <v>842</v>
      </c>
      <c r="B11" s="8">
        <f ca="1">INDEX('Reference dates (hide)'!Demand_Activity_Final,$G11,$G$19)</f>
        <v>0</v>
      </c>
      <c r="C11" s="123">
        <f ca="1">INDEX('Reference dates (hide)'!Capacity_Activity_Final,$G11,$G$19)</f>
        <v>0</v>
      </c>
      <c r="D11" s="123">
        <f ca="1">INDEX('Reference dates (hide)'!CapacityCore_Activity_Final,$G11,$G$19)</f>
        <v>0</v>
      </c>
      <c r="E11" s="123">
        <f ca="1">INDEX('Reference dates (hide)'!CapacityCore_Activity_Final,$G11,$G$19)</f>
        <v>0</v>
      </c>
      <c r="F11" s="123">
        <f ca="1">INDEX('Reference dates (hide)'!CapacityCore_Activity_Final,$G11,$G$19)</f>
        <v>0</v>
      </c>
      <c r="G11">
        <v>4</v>
      </c>
    </row>
    <row r="12" spans="1:12" x14ac:dyDescent="0.25">
      <c r="B12" s="8" t="e">
        <f>NA()</f>
        <v>#N/A</v>
      </c>
      <c r="C12" s="123" t="e">
        <v>#N/A</v>
      </c>
      <c r="D12" s="123" t="e">
        <v>#N/A</v>
      </c>
      <c r="E12" s="123" t="e">
        <v>#N/A</v>
      </c>
      <c r="F12" s="123" t="e">
        <v>#N/A</v>
      </c>
      <c r="G12" t="e">
        <f>NA()</f>
        <v>#N/A</v>
      </c>
    </row>
    <row r="13" spans="1:12" x14ac:dyDescent="0.25">
      <c r="A13" t="s">
        <v>839</v>
      </c>
      <c r="B13" s="8">
        <f ca="1">INDEX('Reference dates (hide)'!Demand_Activity_Final,$G13,$G$19)</f>
        <v>0</v>
      </c>
      <c r="C13" s="123">
        <f ca="1">INDEX('Reference dates (hide)'!Capacity_Activity_Final,$G13,$G$19)</f>
        <v>0</v>
      </c>
      <c r="D13" s="123">
        <f ca="1">INDEX('Reference dates (hide)'!CapacityCore_Activity_Final,$G13,$G$19)</f>
        <v>0</v>
      </c>
      <c r="E13" s="123">
        <f ca="1">INDEX('Reference dates (hide)'!WLBasic_Activity_Final,$G13,$G$19)</f>
        <v>0</v>
      </c>
      <c r="F13" s="123">
        <f ca="1">INDEX('Reference dates (hide)'!WLFlow_Activity_Final,$G13,$G$19)</f>
        <v>0</v>
      </c>
      <c r="G13">
        <v>5</v>
      </c>
    </row>
    <row r="14" spans="1:12" x14ac:dyDescent="0.25">
      <c r="B14" s="8"/>
      <c r="C14" s="8"/>
      <c r="D14" s="8"/>
      <c r="E14" s="8"/>
    </row>
    <row r="15" spans="1:12" x14ac:dyDescent="0.25">
      <c r="H15" t="s">
        <v>1286</v>
      </c>
    </row>
    <row r="17" spans="1:86" x14ac:dyDescent="0.25">
      <c r="F17" t="s">
        <v>1252</v>
      </c>
      <c r="G17">
        <f>MATCH('Aggregate activity'!O4,'Control Sheet'!B26:B27,0)-1</f>
        <v>1</v>
      </c>
      <c r="H17">
        <f ca="1">OFFSET('Reference dates (hide)'!$AH$100,$G$19,0,1,1)</f>
        <v>25000</v>
      </c>
    </row>
    <row r="18" spans="1:86" x14ac:dyDescent="0.25">
      <c r="A18" s="1" t="s">
        <v>1246</v>
      </c>
      <c r="F18" t="s">
        <v>1105</v>
      </c>
      <c r="G18">
        <f ca="1">MATCH('Aggregate activity'!O5,Range_Process_Select,0)-1</f>
        <v>0</v>
      </c>
      <c r="H18">
        <f ca="1">IFERROR(1+(Aggregate_Process_Select-1)*4,"")</f>
        <v>-3</v>
      </c>
      <c r="K18" s="1" t="s">
        <v>1082</v>
      </c>
      <c r="O18" t="str">
        <f ca="1">"Parameter: "&amp;OFFSET($O$24,0,$O$21,1,1)&amp;", for "&amp;IF('Parameter check'!$H$4="Total","all processes",'Parameter check'!$H$4)</f>
        <v>Parameter: NASL (DC), for all processes</v>
      </c>
    </row>
    <row r="19" spans="1:86" x14ac:dyDescent="0.25">
      <c r="F19" t="s">
        <v>1331</v>
      </c>
      <c r="G19">
        <f>MATCH('Aggregate activity'!O6,'Control Sheet'!H19:H21,0)</f>
        <v>3</v>
      </c>
      <c r="J19" t="e">
        <f>MATCH('Aggregate activity'!Show_By,'Control Sheet'!$I$19:$I$21,0)</f>
        <v>#N/A</v>
      </c>
      <c r="K19" t="s">
        <v>1084</v>
      </c>
      <c r="L19" t="str">
        <f>"Sense check - comparison of measured vs expected demand: "&amp;IF('Sense check'!$D$4="Total","all processes",'Sense check'!$D$4)</f>
        <v>Sense check - comparison of measured vs expected demand: all processes</v>
      </c>
      <c r="V19" t="s">
        <v>1384</v>
      </c>
    </row>
    <row r="20" spans="1:86" x14ac:dyDescent="0.25">
      <c r="F20" t="s">
        <v>1245</v>
      </c>
      <c r="G20">
        <f>IF(LEFT('Aggregate activity'!Show_By,3)="Bar",'Aggregate activity'!$T$16,IF('Dependency (hide)'!G19=1,56,14))</f>
        <v>14</v>
      </c>
      <c r="N20" t="s">
        <v>1263</v>
      </c>
      <c r="O20">
        <f>MATCH('Parameter check'!$H$4,'Data files'!$A$15:$A$35,0)-1</f>
        <v>0</v>
      </c>
      <c r="P20" t="s">
        <v>1264</v>
      </c>
      <c r="V20" t="s">
        <v>1395</v>
      </c>
    </row>
    <row r="21" spans="1:86" x14ac:dyDescent="0.25">
      <c r="F21" t="s">
        <v>1251</v>
      </c>
      <c r="G21">
        <f>CHOOSE(G19,52,12,1)</f>
        <v>1</v>
      </c>
      <c r="K21" t="s">
        <v>1085</v>
      </c>
      <c r="L21">
        <f>MATCH('Sense check'!$D$4,'Data files'!$A$15:$A$35,0)-1</f>
        <v>0</v>
      </c>
      <c r="N21" t="s">
        <v>1262</v>
      </c>
      <c r="O21">
        <f>MATCH('Parameter check'!$H$3,'Dependency (hide)'!$P$23:$S$23,0)</f>
        <v>4</v>
      </c>
    </row>
    <row r="22" spans="1:86" x14ac:dyDescent="0.25">
      <c r="A22" s="57" t="s">
        <v>1083</v>
      </c>
      <c r="F22" t="s">
        <v>1303</v>
      </c>
      <c r="G22">
        <f ca="1">MATCH('Aggregate activity'!$T$12,IF(OR(Aggregate_PODProcess_Switch=0,Aggregate_Process_Select=0),'Control Sheet'!H7:H11,Aggregate_ProcessPOD_Picks),0)</f>
        <v>1</v>
      </c>
    </row>
    <row r="23" spans="1:86" x14ac:dyDescent="0.25">
      <c r="A23" s="1"/>
      <c r="B23" s="1"/>
      <c r="C23" s="1"/>
      <c r="D23" s="1"/>
      <c r="F23" s="69" t="s">
        <v>1298</v>
      </c>
      <c r="G23" s="67"/>
      <c r="H23" s="147"/>
      <c r="I23" s="71"/>
      <c r="J23" s="71"/>
      <c r="K23" s="174" t="s">
        <v>1377</v>
      </c>
      <c r="L23" s="69"/>
      <c r="M23" s="45" t="s">
        <v>1378</v>
      </c>
      <c r="N23" s="69"/>
      <c r="P23" t="s">
        <v>1325</v>
      </c>
      <c r="Q23" t="s">
        <v>1324</v>
      </c>
      <c r="R23" t="s">
        <v>1322</v>
      </c>
      <c r="S23" t="s">
        <v>1323</v>
      </c>
    </row>
    <row r="24" spans="1:86" x14ac:dyDescent="0.25">
      <c r="A24" s="1" t="s">
        <v>1091</v>
      </c>
      <c r="B24" s="1" t="s">
        <v>1092</v>
      </c>
      <c r="C24" s="1" t="s">
        <v>10</v>
      </c>
      <c r="D24" s="1" t="s">
        <v>1038</v>
      </c>
      <c r="E24" s="1" t="s">
        <v>960</v>
      </c>
      <c r="F24" s="69" t="s">
        <v>1031</v>
      </c>
      <c r="G24" s="67" t="s">
        <v>951</v>
      </c>
      <c r="H24" s="67" t="s">
        <v>1311</v>
      </c>
      <c r="I24" s="72" t="s">
        <v>1372</v>
      </c>
      <c r="J24" s="72" t="s">
        <v>1369</v>
      </c>
      <c r="K24" s="69" t="s">
        <v>984</v>
      </c>
      <c r="L24" s="69" t="s">
        <v>985</v>
      </c>
      <c r="M24" s="44" t="s">
        <v>985</v>
      </c>
      <c r="N24" s="69" t="s">
        <v>947</v>
      </c>
      <c r="P24" s="1" t="s">
        <v>862</v>
      </c>
      <c r="Q24" s="1" t="s">
        <v>1260</v>
      </c>
      <c r="R24" s="1" t="s">
        <v>855</v>
      </c>
      <c r="S24" s="1" t="s">
        <v>1261</v>
      </c>
      <c r="V24" t="s">
        <v>1156</v>
      </c>
      <c r="W24" t="s">
        <v>960</v>
      </c>
      <c r="X24" t="s">
        <v>1404</v>
      </c>
      <c r="Y24" t="s">
        <v>1406</v>
      </c>
      <c r="Z24" t="s">
        <v>1407</v>
      </c>
      <c r="AA24" t="s">
        <v>1405</v>
      </c>
    </row>
    <row r="25" spans="1:86" x14ac:dyDescent="0.25">
      <c r="A25">
        <f ca="1">IF(B25&lt;=No_Components,OFFSET('Control Sheet'!$H$45,B25,0,1,1),0)</f>
        <v>1</v>
      </c>
      <c r="B25">
        <v>1</v>
      </c>
      <c r="C25" t="str">
        <f ca="1">OFFSET('Control Sheet'!$B$45,B25,0,1,1)</f>
        <v>test service</v>
      </c>
      <c r="D25" t="str">
        <f ca="1">IF(A25=1,"",OFFSET('Control Sheet'!$H$45,B25,1,1,1))</f>
        <v/>
      </c>
      <c r="E25" t="str">
        <f ca="1">IF(A25=0,"",IF(A25=1,"",OFFSET('Control Sheet'!$D$45,B25,1,1,1)))</f>
        <v/>
      </c>
      <c r="F25" s="70" t="e">
        <f ca="1">IF($A25=1,NA(),CHOOSE($G$19,OFFSET('Reference dates (hide)'!$Y$42,$G$20,$B25*3,1,1),OFFSET('Reference dates (hide)'!$N$120,$B25*3,$G$20,1,1),OFFSET('Reference dates (hide)'!$AA$120,$B25*3,0,1,1)))</f>
        <v>#N/A</v>
      </c>
      <c r="G25" s="68" t="e">
        <f ca="1">IF($A25=1,NA(),CHOOSE($G$19,OFFSET('Reference dates (hide)'!$CM$42,$G$20,$B25*3,1,1),OFFSET('Reference dates (hide)'!$N$181,$B25*3,$G$20,1,1),OFFSET('Reference dates (hide)'!$AA$181,$B25*3,0,1,1)))</f>
        <v>#N/A</v>
      </c>
      <c r="H25" s="68" t="e">
        <f ca="1">IF($A25=1,NA(),CHOOSE($G$19,OFFSET('Reference dates (hide)'!$HO$42,$G$20,$B25*3,1,1),OFFSET('Reference dates (hide)'!$N$242,$B25*3,$G$20,1,1),OFFSET('Reference dates (hide)'!$AA$242,$B25*3,0,1,1)))</f>
        <v>#N/A</v>
      </c>
      <c r="I25" s="75" t="e">
        <f ca="1">IF($A25=1,NA(),CHOOSE($G$19,OFFSET('Reference dates (hide)'!$FA$42,$G$20,$B25*3,1,1),OFFSET('Reference dates (hide)'!$N$318,$B25*3,$G$20,1,1),OFFSET('Reference dates (hide)'!$AA$318,$B25*3,0,1,1)))</f>
        <v>#N/A</v>
      </c>
      <c r="J25" s="75" t="e">
        <f ca="1">IF($A25=1,NA(),CHOOSE($G$19,OFFSET('Reference dates (hide)'!$KC$42,$G$20,$B25*3,1,1),OFFSET('Reference dates (hide)'!$N$379,$B25*3,$G$20,1,1),OFFSET('Reference dates (hide)'!$AA$379,$B25*3,0,1,1)))</f>
        <v>#N/A</v>
      </c>
      <c r="K25" s="70" t="e">
        <f ca="1">IF($A25&lt;&gt;0,IF($A25=1,NA(),0.95*$Z25),NA())</f>
        <v>#N/A</v>
      </c>
      <c r="L25" s="70" t="e">
        <f ca="1">IF($A25&lt;&gt;0,IF($A25=1,NA(),1.05*$Z25),NA())</f>
        <v>#N/A</v>
      </c>
      <c r="M25" s="66" t="e">
        <f ca="1">L25-K25</f>
        <v>#N/A</v>
      </c>
      <c r="N25" s="70" t="e">
        <f ca="1">IF($A25&lt;&gt;0,IF($A25=1,NA(),$AA25),NA())</f>
        <v>#N/A</v>
      </c>
      <c r="P25" s="125" t="e">
        <f ca="1">IF(OR($A25=0, $A25=1),NA(),INDIRECT("'File "&amp;$B25&amp;"'!ROTT"))</f>
        <v>#N/A</v>
      </c>
      <c r="Q25" s="125" t="e">
        <f ca="1">IF(OR($A25=0, $A25=1),NA(),INDIRECT("'File "&amp;$B25&amp;"'!NASRDC_Overall"))</f>
        <v>#N/A</v>
      </c>
      <c r="R25" s="125" t="e">
        <f ca="1">IF(OR($A25=0, $A25=1),NA(),INDIRECT("'File "&amp;$B25&amp;"'!NASL"))</f>
        <v>#N/A</v>
      </c>
      <c r="S25" s="125" t="e">
        <f ca="1">IF(OR($A25=0, $A25=1),NA(),INDIRECT("'File "&amp;$B25&amp;"'!NASLDC"))</f>
        <v>#N/A</v>
      </c>
      <c r="V25">
        <v>1</v>
      </c>
      <c r="W25">
        <v>1</v>
      </c>
      <c r="X25" s="8">
        <f>SUMIFS(S$113:S$172,C$113:C$172,V25,D$113:D$172,W25)</f>
        <v>0</v>
      </c>
      <c r="Y25" s="8">
        <f ca="1">IF(AND(V25&lt;=No_Components,X25=0),INDIRECT("'File "&amp;V25&amp;"'!D5"),0)</f>
        <v>626.74890818991469</v>
      </c>
      <c r="Z25" s="8">
        <f ca="1">SUM(X25:Y25)</f>
        <v>626.74890818991469</v>
      </c>
      <c r="AA25" s="8">
        <f>'File 1'!D5</f>
        <v>626.74890818991469</v>
      </c>
    </row>
    <row r="26" spans="1:86" x14ac:dyDescent="0.25">
      <c r="A26">
        <f ca="1">IF(B26&lt;=No_Components,OFFSET('Control Sheet'!$H$45,B26,0,1,1),0)</f>
        <v>1</v>
      </c>
      <c r="B26">
        <v>1</v>
      </c>
      <c r="D26" t="str">
        <f ca="1">OFFSET('Control Sheet'!$H$45,B26,IF(A26=1,1,2),1,1)</f>
        <v>New</v>
      </c>
      <c r="E26" t="str">
        <f ca="1">IF(A26=0,"",OFFSET('Control Sheet'!$D$45,B26,IF(A26=1,1,2),1,1))</f>
        <v>New</v>
      </c>
      <c r="F26" s="70">
        <f ca="1">CHOOSE($G$19,OFFSET('Reference dates (hide)'!$Z$42,$G$20,$B26*3-MOD($A26,3),1,1),OFFSET('Reference dates (hide)'!$N$121,$B26*3-MOD($A26,3),$G$20,1,1),OFFSET('Reference dates (hide)'!$AA$121,$B26*3-MOD($A26,3),0,1,1))</f>
        <v>20573.086296004381</v>
      </c>
      <c r="G26" s="68">
        <f ca="1">CHOOSE($G$19,OFFSET('Reference dates (hide)'!$CN$42,$G$20,$B26*3-MOD($A26,3),1,1),OFFSET('Reference dates (hide)'!$N$182,$B26*3-MOD($A26,3),$G$20,1,1),OFFSET('Reference dates (hide)'!$AA$182,$B26*3-MOD($A26,3),0,1,1))</f>
        <v>1271.8674450322542</v>
      </c>
      <c r="H26" s="68">
        <f ca="1">CHOOSE($G$19,OFFSET('Reference dates (hide)'!$HP$42,$G$20,$B26*3-MOD($A26,3),1,1),OFFSET('Reference dates (hide)'!$N$243,$B26*3-MOD($A26,3),$G$20,1,1),OFFSET('Reference dates (hide)'!$AA$243,$B26*3-MOD($A26,3),0,1,1))</f>
        <v>1093.6439813971613</v>
      </c>
      <c r="I26" s="165">
        <f ca="1">CHOOSE($G$19,OFFSET('Reference dates (hide)'!$FB$42,$G$20,$B26*3-MOD($A26,3),1,1),OFFSET('Reference dates (hide)'!$N$319,$B26*3-MOD($A26,3),$G$20,1,1),OFFSET('Reference dates (hide)'!$AA$319,$B26*3-MOD($A26,3),0,1,1))</f>
        <v>0</v>
      </c>
      <c r="J26" s="75">
        <f ca="1">CHOOSE($G$19,OFFSET('Reference dates (hide)'!$KD$42,$G$20,$B26*3-MOD($A26,3),1,1),OFFSET('Reference dates (hide)'!$N$380,$B26*3-MOD($A26,3),$G$20,1,1),OFFSET('Reference dates (hide)'!$AA$380,$B26*3-MOD($A26,3),0,1,1))</f>
        <v>0</v>
      </c>
      <c r="K26" s="70">
        <f ca="1">IF($A26&lt;&gt;0,0.95*IF($A26=1,$Z25,$Z26),NA())</f>
        <v>595.4114627804189</v>
      </c>
      <c r="L26" s="70">
        <f ca="1">IF($A26&lt;&gt;0,1.05*IF($A26=1,$Z25,$Z26),NA())</f>
        <v>658.08635359941047</v>
      </c>
      <c r="M26" s="66">
        <f ca="1">L26-K26</f>
        <v>62.674890818991571</v>
      </c>
      <c r="N26" s="70">
        <f ca="1">IF($A26&lt;&gt;0,IF($A26=1,$AA25,$AA26),NA())</f>
        <v>626.74890818991469</v>
      </c>
      <c r="P26" s="125">
        <f ca="1">IF($A26=0,NA(),INDIRECT("'File "&amp;$B26&amp;"'!"&amp;IF($A26=1,"ROTT","FU_ROTT")))</f>
        <v>1.0999999999999999E-2</v>
      </c>
      <c r="Q26" s="125">
        <f ca="1">IF($A26=0,NA(),INDIRECT("'File "&amp;$B26&amp;"'!"&amp;IF($A26=1,"NASRDC_Overall","FU_NASRDC_Overall")))</f>
        <v>0.1134830082198503</v>
      </c>
      <c r="R26" s="125">
        <f ca="1">IF($A26=0,NA(),INDIRECT("'File "&amp;$B26&amp;"'!"&amp;IF($A26=1,"NASL","FU_NASL")))</f>
        <v>2.9999999999999992E-2</v>
      </c>
      <c r="S26" s="125">
        <f ca="1">IF($A26=0,NA(),INDIRECT("'File "&amp;$B26&amp;"'!"&amp;IF($A26=1,"NASLDC","FU_NASLDC")))</f>
        <v>0.20000000000000004</v>
      </c>
      <c r="V26">
        <v>1</v>
      </c>
      <c r="W26">
        <v>2</v>
      </c>
      <c r="X26" s="8">
        <f>SUMIFS(S$113:S$172,C$113:C$172,V26,D$113:D$172,W26)</f>
        <v>0</v>
      </c>
      <c r="Y26" s="8">
        <f>'File 1'!H22</f>
        <v>0</v>
      </c>
      <c r="Z26" s="8">
        <f>SUM(X26:Y26)</f>
        <v>0</v>
      </c>
      <c r="AA26" s="8">
        <f>'File 1'!G5</f>
        <v>0</v>
      </c>
    </row>
    <row r="27" spans="1:86" x14ac:dyDescent="0.25">
      <c r="A27">
        <f ca="1">IF(B27&lt;=No_Components,OFFSET('Control Sheet'!$H$45,B27,0,1,1),0)</f>
        <v>1</v>
      </c>
      <c r="B27">
        <v>1</v>
      </c>
      <c r="D27" t="str">
        <f ca="1">IF(A27=1," ",OFFSET('Control Sheet'!$H$45,B27,3,1,1))</f>
        <v xml:space="preserve"> </v>
      </c>
      <c r="E27" t="str">
        <f ca="1">IF(A27=0,"",IF(A27=1,"",OFFSET('Control Sheet'!$D$45,B27,3,1,1)))</f>
        <v/>
      </c>
      <c r="F27" s="70" t="e">
        <f ca="1">IF($A27=1,NA(),CHOOSE($G$19,OFFSET('Reference dates (hide)'!$AA$42,$G$20,$B27*3,1,1),OFFSET('Reference dates (hide)'!$N$122,$B27*3,$G$20,1,1),OFFSET('Reference dates (hide)'!$AA$122,$B27*3,0,1,1)))</f>
        <v>#N/A</v>
      </c>
      <c r="G27" s="68" t="e">
        <f ca="1">IF($A27=1,NA(),CHOOSE($G$19,OFFSET('Reference dates (hide)'!$CO$42,$G$20,$B27*3,1,1),OFFSET('Reference dates (hide)'!$N$183,$B27*3,$G$20,1,1),OFFSET('Reference dates (hide)'!$AA$183,$B27*3,0,1,1)))</f>
        <v>#N/A</v>
      </c>
      <c r="H27" s="68" t="e">
        <f ca="1">IF($A27=1,NA(),CHOOSE($G$19,OFFSET('Reference dates (hide)'!$HQ$42,$G$20,$B27*3,1,1),OFFSET('Reference dates (hide)'!$N$244,$B27*3,$G$20,1,1),OFFSET('Reference dates (hide)'!$AA$244,$B27*3,0,1,1)))</f>
        <v>#N/A</v>
      </c>
      <c r="I27" s="75" t="e">
        <f ca="1">IF($A27=1,NA(),CHOOSE($G$19,OFFSET('Reference dates (hide)'!$FC$42,$G$20,$B27*3,1,1),OFFSET('Reference dates (hide)'!$N$320,$B27*3,$G$20,1,1),OFFSET('Reference dates (hide)'!$AA$320,$B27*3,0,1,1)))</f>
        <v>#N/A</v>
      </c>
      <c r="J27" s="75" t="e">
        <f ca="1">IF($A27=1,NA(),CHOOSE($G$19,OFFSET('Reference dates (hide)'!$KE$42,$G$20,$B27*3,1,1),OFFSET('Reference dates (hide)'!$N$381,$B27*3,$G$20,1,1),OFFSET('Reference dates (hide)'!$AA$381,$B27*3,0,1,1)))</f>
        <v>#N/A</v>
      </c>
      <c r="K27" s="70" t="e">
        <f ca="1">IF($A27&lt;&gt;0,0.95*IF($A27=1,NA(),$Z27),NA())</f>
        <v>#N/A</v>
      </c>
      <c r="L27" s="70" t="e">
        <f ca="1">IF($A27&lt;&gt;0,1.05*IF($A27=1,NA(),$Z27),NA())</f>
        <v>#N/A</v>
      </c>
      <c r="M27" s="66" t="e">
        <f ca="1">L27-K27</f>
        <v>#N/A</v>
      </c>
      <c r="N27" s="70" t="e">
        <f ca="1">IF($A27&lt;&gt;0,IF($A27=1,NA(),$AA27),NA())</f>
        <v>#N/A</v>
      </c>
      <c r="P27" s="125" t="e">
        <f ca="1">IF(OR($A27=1, $A27=0),NA(),INDIRECT("'File "&amp;$B27&amp;"'!IP_ROTT"))</f>
        <v>#N/A</v>
      </c>
      <c r="Q27" s="125" t="e">
        <f ca="1">IF(OR($A27=1, $A27=0),NA(),INDIRECT("'File "&amp;$B27&amp;"'!IP_NASRDC_Overall"))</f>
        <v>#N/A</v>
      </c>
      <c r="R27" s="125" t="e">
        <f ca="1">IF(OR($A27=1, $A27=0),NA(),INDIRECT("'File "&amp;$B27&amp;"'!IP_NASL"))</f>
        <v>#N/A</v>
      </c>
      <c r="S27" s="125" t="e">
        <f ca="1">IF(OR($A27=1, $A27=0),NA(),INDIRECT("'File "&amp;$B27&amp;"'!IP_NASLDC"))</f>
        <v>#N/A</v>
      </c>
      <c r="V27">
        <v>1</v>
      </c>
      <c r="W27">
        <v>3</v>
      </c>
      <c r="X27" s="8">
        <f>SUMIFS(S$113:S$172,C$113:C$172,V27,D$113:D$172,W27)</f>
        <v>0</v>
      </c>
      <c r="Y27" s="8">
        <f>'File 1'!L22</f>
        <v>0</v>
      </c>
      <c r="Z27" s="8">
        <f>SUM(X27:Y27)</f>
        <v>0</v>
      </c>
      <c r="AA27" s="8">
        <f>'File 1'!K5</f>
        <v>0</v>
      </c>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row>
    <row r="28" spans="1:86" x14ac:dyDescent="0.25">
      <c r="C28" t="s">
        <v>1032</v>
      </c>
      <c r="F28" s="70"/>
      <c r="G28" s="68"/>
      <c r="H28" s="68"/>
      <c r="I28" s="75"/>
      <c r="J28" s="75"/>
      <c r="K28" s="70"/>
      <c r="L28" s="70"/>
      <c r="M28" s="66"/>
      <c r="N28" s="70"/>
      <c r="P28" s="125"/>
      <c r="Q28" s="125"/>
      <c r="R28" s="125"/>
      <c r="S28" s="125"/>
      <c r="X28" s="8"/>
      <c r="Y28" s="8"/>
      <c r="Z28" s="8"/>
      <c r="AA28" s="8"/>
    </row>
    <row r="29" spans="1:86" x14ac:dyDescent="0.25">
      <c r="A29">
        <f ca="1">IF(B29&lt;=No_Components,OFFSET('Control Sheet'!$H$45,B29,0,1,1),0)</f>
        <v>0</v>
      </c>
      <c r="B29">
        <v>2</v>
      </c>
      <c r="C29">
        <f ca="1">OFFSET('Control Sheet'!$B$45,B29,0,1,1)</f>
        <v>0</v>
      </c>
      <c r="D29" t="str">
        <f ca="1">IF(A29=1,"",OFFSET('Control Sheet'!$H$45,B29,1,1,1))</f>
        <v>0</v>
      </c>
      <c r="E29" t="str">
        <f ca="1">IF(A29=0,"",IF(A29=1,"",OFFSET('Control Sheet'!$D$45,B29,1,1,1)))</f>
        <v/>
      </c>
      <c r="F29" s="70">
        <f ca="1">IF($A29=1,NA(),CHOOSE($G$19,OFFSET('Reference dates (hide)'!$Y$42,$G$20,$B29*3,1,1),OFFSET('Reference dates (hide)'!$N$120,$B29*3,$G$20,1,1),OFFSET('Reference dates (hide)'!$AA$120,$B29*3,0,1,1)))</f>
        <v>0</v>
      </c>
      <c r="G29" s="68">
        <f ca="1">IF($A29=1,NA(),CHOOSE($G$19,OFFSET('Reference dates (hide)'!$CM$42,$G$20,$B29*3,1,1),OFFSET('Reference dates (hide)'!$N$181,$B29*3,$G$20,1,1),OFFSET('Reference dates (hide)'!$AA$181,$B29*3,0,1,1)))</f>
        <v>0</v>
      </c>
      <c r="H29" s="68">
        <f ca="1">IF($A29=1,NA(),CHOOSE($G$19,OFFSET('Reference dates (hide)'!$HO$42,$G$20,$B29*3,1,1),OFFSET('Reference dates (hide)'!$N$242,$B29*3,$G$20,1,1),OFFSET('Reference dates (hide)'!$AA$242,$B29*3,0,1,1)))</f>
        <v>0</v>
      </c>
      <c r="I29" s="75">
        <f ca="1">IF($A29=1,NA(),CHOOSE($G$19,OFFSET('Reference dates (hide)'!$FA$42,$G$20,$B29*3,1,1),OFFSET('Reference dates (hide)'!$N$318,$B29*3,$G$20,1,1),OFFSET('Reference dates (hide)'!$AA$318,$B29*3,0,1,1)))</f>
        <v>0</v>
      </c>
      <c r="J29" s="75">
        <f ca="1">IF($A29=1,NA(),CHOOSE($G$19,OFFSET('Reference dates (hide)'!$KC$42,$G$20,$B29*3,1,1),OFFSET('Reference dates (hide)'!$N$379,$B29*3,$G$20,1,1),OFFSET('Reference dates (hide)'!$AA$379,$B29*3,0,1,1)))</f>
        <v>0</v>
      </c>
      <c r="K29" s="70" t="e">
        <f ca="1">IF($A29&lt;&gt;0,IF($A29=1,NA(),0.95*$Z29),NA())</f>
        <v>#N/A</v>
      </c>
      <c r="L29" s="70" t="e">
        <f ca="1">IF($A29&lt;&gt;0,IF($A29=1,NA(),1.05*$Z29),NA())</f>
        <v>#N/A</v>
      </c>
      <c r="M29" s="66" t="e">
        <f ca="1">L29-K29</f>
        <v>#N/A</v>
      </c>
      <c r="N29" s="70" t="e">
        <f ca="1">IF($A29&lt;&gt;0,IF($A29=1,NA(),$AA29),NA())</f>
        <v>#N/A</v>
      </c>
      <c r="P29" s="125" t="e">
        <f ca="1">IF(OR($A29=0, $A29=1),NA(),INDIRECT("'File "&amp;$B29&amp;"'!ROTT"))</f>
        <v>#N/A</v>
      </c>
      <c r="Q29" s="125" t="e">
        <f ca="1">IF(OR($A29=0, $A29=1),NA(),INDIRECT("'File "&amp;$B29&amp;"'!NASRDC_Overall"))</f>
        <v>#N/A</v>
      </c>
      <c r="R29" s="125" t="e">
        <f ca="1">IF(OR($A29=0, $A29=1),NA(),INDIRECT("'File "&amp;$B29&amp;"'!NASL"))</f>
        <v>#N/A</v>
      </c>
      <c r="S29" s="125" t="e">
        <f ca="1">IF(OR($A29=0, $A29=1),NA(),INDIRECT("'File "&amp;$B29&amp;"'!NASLDC"))</f>
        <v>#N/A</v>
      </c>
      <c r="V29">
        <v>2</v>
      </c>
      <c r="W29">
        <v>1</v>
      </c>
      <c r="X29" s="8">
        <f>SUMIFS(S$113:S$172,C$113:C$172,V29,D$113:D$172,W29)</f>
        <v>0</v>
      </c>
      <c r="Y29" s="8">
        <f ca="1">IF(AND(V29&lt;=No_Components,X29=0),INDIRECT("'File "&amp;V29&amp;"'!D5"),0)</f>
        <v>0</v>
      </c>
      <c r="Z29" s="8">
        <f t="shared" ref="Z29:Z91" ca="1" si="0">SUM(X29:Y29)</f>
        <v>0</v>
      </c>
      <c r="AA29" s="8">
        <f>'File 2'!D5</f>
        <v>0</v>
      </c>
    </row>
    <row r="30" spans="1:86" x14ac:dyDescent="0.25">
      <c r="A30">
        <f ca="1">IF(B30&lt;=No_Components,OFFSET('Control Sheet'!$H$45,B30,0,1,1),0)</f>
        <v>0</v>
      </c>
      <c r="B30">
        <v>2</v>
      </c>
      <c r="D30">
        <f ca="1">OFFSET('Control Sheet'!$H$45,B30,IF(A30=1,1,2),1,1)</f>
        <v>0</v>
      </c>
      <c r="E30" t="str">
        <f ca="1">IF(A30=0,"",OFFSET('Control Sheet'!$D$45,B30,IF(A30=1,1,2),1,1))</f>
        <v/>
      </c>
      <c r="F30" s="70">
        <f ca="1">CHOOSE($G$19,OFFSET('Reference dates (hide)'!$Z$42,$G$20,$B30*3-MOD($A30,3),1,1),OFFSET('Reference dates (hide)'!$N$121,$B30*3-MOD($A30,3),$G$20,1,1),OFFSET('Reference dates (hide)'!$AA$121,$B30*3-MOD($A30,3),0,1,1))</f>
        <v>0</v>
      </c>
      <c r="G30" s="68">
        <f ca="1">CHOOSE($G$19,OFFSET('Reference dates (hide)'!$CN$42,$G$20,$B30*3-MOD($A30,3),1,1),OFFSET('Reference dates (hide)'!$N$182,$B30*3-MOD($A30,3),$G$20,1,1),OFFSET('Reference dates (hide)'!$AA$182,$B30*3-MOD($A30,3),0,1,1))</f>
        <v>0</v>
      </c>
      <c r="H30" s="68">
        <f ca="1">CHOOSE($G$19,OFFSET('Reference dates (hide)'!$HP$42,$G$20,$B30*3-MOD($A30,3),1,1),OFFSET('Reference dates (hide)'!$N$243,$B30*3-MOD($A30,3),$G$20,1,1),OFFSET('Reference dates (hide)'!$AA$243,$B30*3-MOD($A30,3),0,1,1))</f>
        <v>0</v>
      </c>
      <c r="I30" s="165">
        <f ca="1">CHOOSE($G$19,OFFSET('Reference dates (hide)'!$FB$42,$G$20,$B30*3-MOD($A30,3),1,1),OFFSET('Reference dates (hide)'!$N$319,$B30*3-MOD($A30,3),$G$20,1,1),OFFSET('Reference dates (hide)'!$AA$319,$B30*3-MOD($A30,3),0,1,1))</f>
        <v>0</v>
      </c>
      <c r="J30" s="75">
        <f ca="1">CHOOSE($G$19,OFFSET('Reference dates (hide)'!$KD$42,$G$20,$B30*3-MOD($A30,3),1,1),OFFSET('Reference dates (hide)'!$N$380,$B30*3-MOD($A30,3),$G$20,1,1),OFFSET('Reference dates (hide)'!$AA$380,$B30*3-MOD($A30,3),0,1,1))</f>
        <v>0</v>
      </c>
      <c r="K30" s="70" t="e">
        <f ca="1">IF($A30&lt;&gt;0,0.95*IF($A30=1,$Z29,$Z30),NA())</f>
        <v>#N/A</v>
      </c>
      <c r="L30" s="70" t="e">
        <f ca="1">IF($A30&lt;&gt;0,1.05*IF($A30=1,$Z29,$Z30),NA())</f>
        <v>#N/A</v>
      </c>
      <c r="M30" s="66" t="e">
        <f ca="1">L30-K30</f>
        <v>#N/A</v>
      </c>
      <c r="N30" s="70" t="e">
        <f ca="1">IF($A30&lt;&gt;0,IF($A30=1,$AA29,$AA30),NA())</f>
        <v>#N/A</v>
      </c>
      <c r="P30" s="125" t="e">
        <f ca="1">IF($A30=0,NA(),INDIRECT("'File "&amp;$B30&amp;"'!"&amp;IF($A30=1,"ROTT","FU_ROTT")))</f>
        <v>#N/A</v>
      </c>
      <c r="Q30" s="125" t="e">
        <f ca="1">IF($A30=0,NA(),INDIRECT("'File "&amp;$B30&amp;"'!"&amp;IF($A30=1,"NASRDC_Overall","FU_NASRDC_Overall")))</f>
        <v>#N/A</v>
      </c>
      <c r="R30" s="125" t="e">
        <f ca="1">IF($A30=0,NA(),INDIRECT("'File "&amp;$B30&amp;"'!"&amp;IF($A30=1,"NASL","FU_NASL")))</f>
        <v>#N/A</v>
      </c>
      <c r="S30" s="125" t="e">
        <f ca="1">IF($A30=0,NA(),INDIRECT("'File "&amp;$B30&amp;"'!"&amp;IF($A30=1,"NASLDC","FU_NASLDC")))</f>
        <v>#N/A</v>
      </c>
      <c r="V30">
        <v>2</v>
      </c>
      <c r="W30">
        <v>2</v>
      </c>
      <c r="X30" s="8">
        <f>SUMIFS(S$113:S$172,C$113:C$172,V30,D$113:D$172,W30)</f>
        <v>0</v>
      </c>
      <c r="Y30" s="8">
        <f>'File 2'!H22</f>
        <v>0</v>
      </c>
      <c r="Z30" s="8">
        <f t="shared" si="0"/>
        <v>0</v>
      </c>
      <c r="AA30" s="8">
        <f>'File 2'!G5</f>
        <v>0</v>
      </c>
    </row>
    <row r="31" spans="1:86" x14ac:dyDescent="0.25">
      <c r="A31">
        <f ca="1">IF(B31&lt;=No_Components,OFFSET('Control Sheet'!$H$45,B31,0,1,1),0)</f>
        <v>0</v>
      </c>
      <c r="B31">
        <v>2</v>
      </c>
      <c r="D31">
        <f ca="1">IF(A31=1," ",OFFSET('Control Sheet'!$H$45,B31,3,1,1))</f>
        <v>0</v>
      </c>
      <c r="E31" t="str">
        <f ca="1">IF(A31=0,"",IF(A31=1,"",OFFSET('Control Sheet'!$D$45,B31,3,1,1)))</f>
        <v/>
      </c>
      <c r="F31" s="70">
        <f ca="1">IF($A31=1,NA(),CHOOSE($G$19,OFFSET('Reference dates (hide)'!$AA$42,$G$20,$B31*3,1,1),OFFSET('Reference dates (hide)'!$N$122,$B31*3,$G$20,1,1),OFFSET('Reference dates (hide)'!$AA$122,$B31*3,0,1,1)))</f>
        <v>0</v>
      </c>
      <c r="G31" s="68">
        <f ca="1">IF($A31=1,NA(),CHOOSE($G$19,OFFSET('Reference dates (hide)'!$CO$42,$G$20,$B31*3,1,1),OFFSET('Reference dates (hide)'!$N$183,$B31*3,$G$20,1,1),OFFSET('Reference dates (hide)'!$AA$183,$B31*3,0,1,1)))</f>
        <v>0</v>
      </c>
      <c r="H31" s="68">
        <f ca="1">IF($A31=1,NA(),CHOOSE($G$19,OFFSET('Reference dates (hide)'!$HQ$42,$G$20,$B31*3,1,1),OFFSET('Reference dates (hide)'!$N$244,$B31*3,$G$20,1,1),OFFSET('Reference dates (hide)'!$AA$244,$B31*3,0,1,1)))</f>
        <v>0</v>
      </c>
      <c r="I31" s="75">
        <f ca="1">IF($A31=1,NA(),CHOOSE($G$19,OFFSET('Reference dates (hide)'!$FC$42,$G$20,$B31*3,1,1),OFFSET('Reference dates (hide)'!$N$320,$B31*3,$G$20,1,1),OFFSET('Reference dates (hide)'!$AA$320,$B31*3,0,1,1)))</f>
        <v>0</v>
      </c>
      <c r="J31" s="75">
        <f ca="1">IF($A31=1,NA(),CHOOSE($G$19,OFFSET('Reference dates (hide)'!$KE$42,$G$20,$B31*3,1,1),OFFSET('Reference dates (hide)'!$N$381,$B31*3,$G$20,1,1),OFFSET('Reference dates (hide)'!$AA$381,$B31*3,0,1,1)))</f>
        <v>0</v>
      </c>
      <c r="K31" s="70" t="e">
        <f ca="1">IF($A31&lt;&gt;0,0.95*IF($A31=1,NA(),$Z31),NA())</f>
        <v>#N/A</v>
      </c>
      <c r="L31" s="70" t="e">
        <f ca="1">IF($A31&lt;&gt;0,1.05*IF($A31=1,NA(),$Z31),NA())</f>
        <v>#N/A</v>
      </c>
      <c r="M31" s="66" t="e">
        <f ca="1">L31-K31</f>
        <v>#N/A</v>
      </c>
      <c r="N31" s="70" t="e">
        <f ca="1">IF($A31&lt;&gt;0,IF($A31=1,NA(),$AA31),NA())</f>
        <v>#N/A</v>
      </c>
      <c r="P31" s="125" t="e">
        <f ca="1">IF(OR($A31=1, $A31=0),NA(),INDIRECT("'File "&amp;$B31&amp;"'!IP_ROTT"))</f>
        <v>#N/A</v>
      </c>
      <c r="Q31" s="125" t="e">
        <f ca="1">IF(OR($A31=1, $A31=0),NA(),INDIRECT("'File "&amp;$B31&amp;"'!IP_NASRDC_Overall"))</f>
        <v>#N/A</v>
      </c>
      <c r="R31" s="125" t="e">
        <f ca="1">IF(OR($A31=1, $A31=0),NA(),INDIRECT("'File "&amp;$B31&amp;"'!IP_NASL"))</f>
        <v>#N/A</v>
      </c>
      <c r="S31" s="125" t="e">
        <f ca="1">IF(OR($A31=1, $A31=0),NA(),INDIRECT("'File "&amp;$B31&amp;"'!IP_NASLDC"))</f>
        <v>#N/A</v>
      </c>
      <c r="V31">
        <v>2</v>
      </c>
      <c r="W31">
        <v>3</v>
      </c>
      <c r="X31" s="8">
        <f>SUMIFS(S$113:S$172,C$113:C$172,V31,D$113:D$172,W31)</f>
        <v>0</v>
      </c>
      <c r="Y31" s="8">
        <f>'File 2'!L22</f>
        <v>0</v>
      </c>
      <c r="Z31" s="8">
        <f t="shared" si="0"/>
        <v>0</v>
      </c>
      <c r="AA31" s="8">
        <f>'File 2'!K5</f>
        <v>0</v>
      </c>
    </row>
    <row r="32" spans="1:86" x14ac:dyDescent="0.25">
      <c r="C32" t="s">
        <v>1032</v>
      </c>
      <c r="F32" s="70"/>
      <c r="G32" s="68"/>
      <c r="H32" s="68"/>
      <c r="I32" s="75"/>
      <c r="J32" s="75"/>
      <c r="K32" s="70"/>
      <c r="L32" s="70"/>
      <c r="M32" s="66"/>
      <c r="N32" s="70"/>
      <c r="P32" s="125"/>
      <c r="Q32" s="125"/>
      <c r="R32" s="125"/>
      <c r="S32" s="125"/>
      <c r="X32" s="8"/>
      <c r="Y32" s="8"/>
      <c r="Z32" s="8"/>
      <c r="AA32" s="8"/>
    </row>
    <row r="33" spans="1:27" x14ac:dyDescent="0.25">
      <c r="A33">
        <f ca="1">IF(B33&lt;=No_Components,OFFSET('Control Sheet'!$H$45,B33,0,1,1),0)</f>
        <v>0</v>
      </c>
      <c r="B33">
        <v>3</v>
      </c>
      <c r="C33">
        <f ca="1">OFFSET('Control Sheet'!$B$45,B33,0,1,1)</f>
        <v>0</v>
      </c>
      <c r="D33" t="str">
        <f ca="1">IF(A33=1,"",OFFSET('Control Sheet'!$H$45,B33,1,1,1))</f>
        <v>0</v>
      </c>
      <c r="E33" t="str">
        <f ca="1">IF(A33=0,"",IF(A33=1,"",OFFSET('Control Sheet'!$D$45,B33,1,1,1)))</f>
        <v/>
      </c>
      <c r="F33" s="70">
        <f ca="1">IF($A33=1,NA(),CHOOSE($G$19,OFFSET('Reference dates (hide)'!$Y$42,$G$20,$B33*3,1,1),OFFSET('Reference dates (hide)'!$N$120,$B33*3,$G$20,1,1),OFFSET('Reference dates (hide)'!$AA$120,$B33*3,0,1,1)))</f>
        <v>0</v>
      </c>
      <c r="G33" s="68">
        <f ca="1">IF($A33=1,NA(),CHOOSE($G$19,OFFSET('Reference dates (hide)'!$CM$42,$G$20,$B33*3,1,1),OFFSET('Reference dates (hide)'!$N$181,$B33*3,$G$20,1,1),OFFSET('Reference dates (hide)'!$AA$181,$B33*3,0,1,1)))</f>
        <v>0</v>
      </c>
      <c r="H33" s="68">
        <f ca="1">IF($A33=1,NA(),CHOOSE($G$19,OFFSET('Reference dates (hide)'!$HO$42,$G$20,$B33*3,1,1),OFFSET('Reference dates (hide)'!$N$242,$B33*3,$G$20,1,1),OFFSET('Reference dates (hide)'!$AA$242,$B33*3,0,1,1)))</f>
        <v>0</v>
      </c>
      <c r="I33" s="75">
        <f ca="1">IF($A33=1,NA(),CHOOSE($G$19,OFFSET('Reference dates (hide)'!$FA$42,$G$20,$B33*3,1,1),OFFSET('Reference dates (hide)'!$N$318,$B33*3,$G$20,1,1),OFFSET('Reference dates (hide)'!$AA$318,$B33*3,0,1,1)))</f>
        <v>0</v>
      </c>
      <c r="J33" s="75">
        <f ca="1">IF($A33=1,NA(),CHOOSE($G$19,OFFSET('Reference dates (hide)'!$KC$42,$G$20,$B33*3,1,1),OFFSET('Reference dates (hide)'!$N$379,$B33*3,$G$20,1,1),OFFSET('Reference dates (hide)'!$AA$379,$B33*3,0,1,1)))</f>
        <v>0</v>
      </c>
      <c r="K33" s="70" t="e">
        <f ca="1">IF($A33&lt;&gt;0,IF($A33=1,NA(),0.95*$Z33),NA())</f>
        <v>#N/A</v>
      </c>
      <c r="L33" s="70" t="e">
        <f ca="1">IF($A33&lt;&gt;0,IF($A33=1,NA(),1.05*$Z33),NA())</f>
        <v>#N/A</v>
      </c>
      <c r="M33" s="66" t="e">
        <f ca="1">L33-K33</f>
        <v>#N/A</v>
      </c>
      <c r="N33" s="70" t="e">
        <f ca="1">IF($A33&lt;&gt;0,IF($A33=1,NA(),$AA33),NA())</f>
        <v>#N/A</v>
      </c>
      <c r="P33" s="125" t="e">
        <f ca="1">IF(OR($A33=0, $A33=1),NA(),INDIRECT("'File "&amp;$B33&amp;"'!ROTT"))</f>
        <v>#N/A</v>
      </c>
      <c r="Q33" s="125" t="e">
        <f ca="1">IF(OR($A33=0, $A33=1),NA(),INDIRECT("'File "&amp;$B33&amp;"'!NASRDC_Overall"))</f>
        <v>#N/A</v>
      </c>
      <c r="R33" s="125" t="e">
        <f ca="1">IF(OR($A33=0, $A33=1),NA(),INDIRECT("'File "&amp;$B33&amp;"'!NASL"))</f>
        <v>#N/A</v>
      </c>
      <c r="S33" s="125" t="e">
        <f ca="1">IF(OR($A33=0, $A33=1),NA(),INDIRECT("'File "&amp;$B33&amp;"'!NASLDC"))</f>
        <v>#N/A</v>
      </c>
      <c r="V33">
        <v>3</v>
      </c>
      <c r="W33">
        <v>1</v>
      </c>
      <c r="X33" s="8">
        <f>SUMIFS(S$113:S$172,C$113:C$172,V33,D$113:D$172,W33)</f>
        <v>0</v>
      </c>
      <c r="Y33" s="8">
        <f ca="1">IF(AND(V33&lt;=No_Components,X33=0),INDIRECT("'File "&amp;V33&amp;"'!D5"),0)</f>
        <v>0</v>
      </c>
      <c r="Z33" s="8">
        <f ca="1">SUM(X33:Y33)</f>
        <v>0</v>
      </c>
      <c r="AA33" s="8">
        <f>'File 3'!D5</f>
        <v>0</v>
      </c>
    </row>
    <row r="34" spans="1:27" x14ac:dyDescent="0.25">
      <c r="A34">
        <f ca="1">IF(B34&lt;=No_Components,OFFSET('Control Sheet'!$H$45,B34,0,1,1),0)</f>
        <v>0</v>
      </c>
      <c r="B34">
        <v>3</v>
      </c>
      <c r="D34">
        <f ca="1">OFFSET('Control Sheet'!$H$45,B34,IF(A34=1,1,2),1,1)</f>
        <v>0</v>
      </c>
      <c r="E34" t="str">
        <f ca="1">IF(A34=0,"",OFFSET('Control Sheet'!$D$45,B34,IF(A34=1,1,2),1,1))</f>
        <v/>
      </c>
      <c r="F34" s="70">
        <f ca="1">CHOOSE($G$19,OFFSET('Reference dates (hide)'!$Z$42,$G$20,$B34*3-MOD($A34,3),1,1),OFFSET('Reference dates (hide)'!$N$121,$B34*3-MOD($A34,3),$G$20,1,1),OFFSET('Reference dates (hide)'!$AA$121,$B34*3-MOD($A34,3),0,1,1))</f>
        <v>0</v>
      </c>
      <c r="G34" s="68">
        <f ca="1">CHOOSE($G$19,OFFSET('Reference dates (hide)'!$CN$42,$G$20,$B34*3-MOD($A34,3),1,1),OFFSET('Reference dates (hide)'!$N$182,$B34*3-MOD($A34,3),$G$20,1,1),OFFSET('Reference dates (hide)'!$AA$182,$B34*3-MOD($A34,3),0,1,1))</f>
        <v>0</v>
      </c>
      <c r="H34" s="68">
        <f ca="1">CHOOSE($G$19,OFFSET('Reference dates (hide)'!$HP$42,$G$20,$B34*3-MOD($A34,3),1,1),OFFSET('Reference dates (hide)'!$N$243,$B34*3-MOD($A34,3),$G$20,1,1),OFFSET('Reference dates (hide)'!$AA$243,$B34*3-MOD($A34,3),0,1,1))</f>
        <v>0</v>
      </c>
      <c r="I34" s="75">
        <f ca="1">CHOOSE($G$19,OFFSET('Reference dates (hide)'!$FB$42,$G$20,$B34*3-MOD($A34,3),1,1),OFFSET('Reference dates (hide)'!$N$319,$B34*3-MOD($A34,3),$G$20,1,1),OFFSET('Reference dates (hide)'!$AA$319,$B34*3-MOD($A34,3),0,1,1))</f>
        <v>0</v>
      </c>
      <c r="J34" s="75">
        <f ca="1">CHOOSE($G$19,OFFSET('Reference dates (hide)'!$KD$42,$G$20,$B34*3-MOD($A34,3),1,1),OFFSET('Reference dates (hide)'!$N$380,$B34*3-MOD($A34,3),$G$20,1,1),OFFSET('Reference dates (hide)'!$AA$380,$B34*3-MOD($A34,3),0,1,1))</f>
        <v>0</v>
      </c>
      <c r="K34" s="70" t="e">
        <f ca="1">IF($A34&lt;&gt;0,0.95*IF($A34=1,$Z33,$Z34),NA())</f>
        <v>#N/A</v>
      </c>
      <c r="L34" s="70" t="e">
        <f ca="1">IF($A34&lt;&gt;0,1.05*IF($A34=1,$Z33,$Z34),NA())</f>
        <v>#N/A</v>
      </c>
      <c r="M34" s="66" t="e">
        <f ca="1">L34-K34</f>
        <v>#N/A</v>
      </c>
      <c r="N34" s="70" t="e">
        <f ca="1">IF($A34&lt;&gt;0,IF($A34=1,$AA33,$AA34),NA())</f>
        <v>#N/A</v>
      </c>
      <c r="P34" s="125" t="e">
        <f ca="1">IF($A34=0,NA(),INDIRECT("'File "&amp;$B34&amp;"'!"&amp;IF($A34=1,"ROTT","FU_ROTT")))</f>
        <v>#N/A</v>
      </c>
      <c r="Q34" s="125" t="e">
        <f ca="1">IF($A34=0,NA(),INDIRECT("'File "&amp;$B34&amp;"'!"&amp;IF($A34=1,"NASRDC_Overall","FU_NASRDC_Overall")))</f>
        <v>#N/A</v>
      </c>
      <c r="R34" s="125" t="e">
        <f ca="1">IF($A34=0,NA(),INDIRECT("'File "&amp;$B34&amp;"'!"&amp;IF($A34=1,"NASL","FU_NASL")))</f>
        <v>#N/A</v>
      </c>
      <c r="S34" s="125" t="e">
        <f ca="1">IF($A34=0,NA(),INDIRECT("'File "&amp;$B34&amp;"'!"&amp;IF($A34=1,"NASLDC","FU_NASLDC")))</f>
        <v>#N/A</v>
      </c>
      <c r="V34">
        <v>3</v>
      </c>
      <c r="W34">
        <v>2</v>
      </c>
      <c r="X34" s="8">
        <f>SUMIFS(S$113:S$172,C$113:C$172,V34,D$113:D$172,W34)</f>
        <v>0</v>
      </c>
      <c r="Y34" s="8">
        <f>'File 3'!H22</f>
        <v>0</v>
      </c>
      <c r="Z34" s="8">
        <f t="shared" si="0"/>
        <v>0</v>
      </c>
      <c r="AA34" s="8">
        <f>'File 3'!G5</f>
        <v>0</v>
      </c>
    </row>
    <row r="35" spans="1:27" x14ac:dyDescent="0.25">
      <c r="A35">
        <f ca="1">IF(B35&lt;=No_Components,OFFSET('Control Sheet'!$H$45,B35,0,1,1),0)</f>
        <v>0</v>
      </c>
      <c r="B35">
        <v>3</v>
      </c>
      <c r="D35">
        <f ca="1">IF(A35=1," ",OFFSET('Control Sheet'!$H$45,B35,3,1,1))</f>
        <v>0</v>
      </c>
      <c r="E35" t="str">
        <f ca="1">IF(A35=0,"",IF(A35=1,"",OFFSET('Control Sheet'!$D$45,B35,3,1,1)))</f>
        <v/>
      </c>
      <c r="F35" s="70">
        <f ca="1">IF($A35=1,NA(),CHOOSE($G$19,OFFSET('Reference dates (hide)'!$AA$42,$G$20,$B35*3,1,1),OFFSET('Reference dates (hide)'!$N$122,$B35*3,$G$20,1,1),OFFSET('Reference dates (hide)'!$AA$122,$B35*3,0,1,1)))</f>
        <v>0</v>
      </c>
      <c r="G35" s="68">
        <f ca="1">IF($A35=1,NA(),CHOOSE($G$19,OFFSET('Reference dates (hide)'!$CO$42,$G$20,$B35*3,1,1),OFFSET('Reference dates (hide)'!$N$183,$B35*3,$G$20,1,1),OFFSET('Reference dates (hide)'!$AA$183,$B35*3,0,1,1)))</f>
        <v>0</v>
      </c>
      <c r="H35" s="68">
        <f ca="1">IF($A35=1,NA(),CHOOSE($G$19,OFFSET('Reference dates (hide)'!$HQ$42,$G$20,$B35*3,1,1),OFFSET('Reference dates (hide)'!$N$244,$B35*3,$G$20,1,1),OFFSET('Reference dates (hide)'!$AA$244,$B35*3,0,1,1)))</f>
        <v>0</v>
      </c>
      <c r="I35" s="75">
        <f ca="1">IF($A35=1,NA(),CHOOSE($G$19,OFFSET('Reference dates (hide)'!$FC$42,$G$20,$B35*3,1,1),OFFSET('Reference dates (hide)'!$N$320,$B35*3,$G$20,1,1),OFFSET('Reference dates (hide)'!$AA$320,$B35*3,0,1,1)))</f>
        <v>0</v>
      </c>
      <c r="J35" s="75">
        <f ca="1">IF($A35=1,NA(),CHOOSE($G$19,OFFSET('Reference dates (hide)'!$KE$42,$G$20,$B35*3,1,1),OFFSET('Reference dates (hide)'!$N$381,$B35*3,$G$20,1,1),OFFSET('Reference dates (hide)'!$AA$381,$B35*3,0,1,1)))</f>
        <v>0</v>
      </c>
      <c r="K35" s="70" t="e">
        <f ca="1">IF($A35&lt;&gt;0,0.95*IF($A35=1,NA(),$Z35),NA())</f>
        <v>#N/A</v>
      </c>
      <c r="L35" s="70" t="e">
        <f ca="1">IF($A35&lt;&gt;0,1.05*IF($A35=1,NA(),$Z35),NA())</f>
        <v>#N/A</v>
      </c>
      <c r="M35" s="66" t="e">
        <f ca="1">L35-K35</f>
        <v>#N/A</v>
      </c>
      <c r="N35" s="70" t="e">
        <f ca="1">IF($A35&lt;&gt;0,IF($A35=1,NA(),$AA35),NA())</f>
        <v>#N/A</v>
      </c>
      <c r="P35" s="125" t="e">
        <f ca="1">IF(OR($A35=1, $A35=0),NA(),INDIRECT("'File "&amp;$B35&amp;"'!IP_ROTT"))</f>
        <v>#N/A</v>
      </c>
      <c r="Q35" s="125" t="e">
        <f ca="1">IF(OR($A35=1, $A35=0),NA(),INDIRECT("'File "&amp;$B35&amp;"'!IP_NASRDC_Overall"))</f>
        <v>#N/A</v>
      </c>
      <c r="R35" s="125" t="e">
        <f ca="1">IF(OR($A35=1, $A35=0),NA(),INDIRECT("'File "&amp;$B35&amp;"'!IP_NASL"))</f>
        <v>#N/A</v>
      </c>
      <c r="S35" s="125" t="e">
        <f ca="1">IF(OR($A35=1, $A35=0),NA(),INDIRECT("'File "&amp;$B35&amp;"'!IP_NASLDC"))</f>
        <v>#N/A</v>
      </c>
      <c r="V35">
        <v>3</v>
      </c>
      <c r="W35">
        <v>3</v>
      </c>
      <c r="X35" s="8">
        <f>SUMIFS(S$113:S$172,C$113:C$172,V35,D$113:D$172,W35)</f>
        <v>0</v>
      </c>
      <c r="Y35" s="8">
        <f>'File 3'!L22</f>
        <v>0</v>
      </c>
      <c r="Z35" s="8">
        <f t="shared" si="0"/>
        <v>0</v>
      </c>
      <c r="AA35" s="8">
        <f>'File 3'!K5</f>
        <v>0</v>
      </c>
    </row>
    <row r="36" spans="1:27" x14ac:dyDescent="0.25">
      <c r="C36" t="s">
        <v>1032</v>
      </c>
      <c r="F36" s="70"/>
      <c r="G36" s="68"/>
      <c r="H36" s="68"/>
      <c r="I36" s="75"/>
      <c r="J36" s="75"/>
      <c r="K36" s="70"/>
      <c r="L36" s="70"/>
      <c r="M36" s="66"/>
      <c r="N36" s="70"/>
      <c r="P36" s="125"/>
      <c r="Q36" s="125"/>
      <c r="R36" s="125"/>
      <c r="S36" s="125"/>
      <c r="X36" s="8"/>
      <c r="Y36" s="8"/>
      <c r="Z36" s="8"/>
      <c r="AA36" s="8"/>
    </row>
    <row r="37" spans="1:27" x14ac:dyDescent="0.25">
      <c r="A37">
        <f ca="1">IF(B37&lt;=No_Components,OFFSET('Control Sheet'!$H$45,B37,0,1,1),0)</f>
        <v>0</v>
      </c>
      <c r="B37">
        <v>4</v>
      </c>
      <c r="C37">
        <f ca="1">OFFSET('Control Sheet'!$B$45,B37,0,1,1)</f>
        <v>0</v>
      </c>
      <c r="D37" t="str">
        <f ca="1">IF(A37=1,"",OFFSET('Control Sheet'!$H$45,B37,1,1,1))</f>
        <v>0</v>
      </c>
      <c r="E37" t="str">
        <f ca="1">IF(A37=0,"",IF(A37=1,"",OFFSET('Control Sheet'!$D$45,B37,1,1,1)))</f>
        <v/>
      </c>
      <c r="F37" s="70">
        <f ca="1">IF($A37=1,NA(),CHOOSE($G$19,OFFSET('Reference dates (hide)'!$Y$42,$G$20,$B37*3,1,1),OFFSET('Reference dates (hide)'!$N$120,$B37*3,$G$20,1,1),OFFSET('Reference dates (hide)'!$AA$120,$B37*3,0,1,1)))</f>
        <v>0</v>
      </c>
      <c r="G37" s="68">
        <f ca="1">IF($A37=1,NA(),CHOOSE($G$19,OFFSET('Reference dates (hide)'!$CM$42,$G$20,$B37*3,1,1),OFFSET('Reference dates (hide)'!$N$181,$B37*3,$G$20,1,1),OFFSET('Reference dates (hide)'!$AA$181,$B37*3,0,1,1)))</f>
        <v>0</v>
      </c>
      <c r="H37" s="68">
        <f ca="1">IF($A37=1,NA(),CHOOSE($G$19,OFFSET('Reference dates (hide)'!$HO$42,$G$20,$B37*3,1,1),OFFSET('Reference dates (hide)'!$N$242,$B37*3,$G$20,1,1),OFFSET('Reference dates (hide)'!$AA$242,$B37*3,0,1,1)))</f>
        <v>0</v>
      </c>
      <c r="I37" s="75">
        <f ca="1">IF($A37=1,NA(),CHOOSE($G$19,OFFSET('Reference dates (hide)'!$FA$42,$G$20,$B37*3,1,1),OFFSET('Reference dates (hide)'!$N$318,$B37*3,$G$20,1,1),OFFSET('Reference dates (hide)'!$AA$318,$B37*3,0,1,1)))</f>
        <v>0</v>
      </c>
      <c r="J37" s="75">
        <f ca="1">IF($A37=1,NA(),CHOOSE($G$19,OFFSET('Reference dates (hide)'!$KC$42,$G$20,$B37*3,1,1),OFFSET('Reference dates (hide)'!$N$379,$B37*3,$G$20,1,1),OFFSET('Reference dates (hide)'!$AA$379,$B37*3,0,1,1)))</f>
        <v>0</v>
      </c>
      <c r="K37" s="70" t="e">
        <f ca="1">IF($A37&lt;&gt;0,IF($A37=1,NA(),0.95*$Z37),NA())</f>
        <v>#N/A</v>
      </c>
      <c r="L37" s="70" t="e">
        <f ca="1">IF($A37&lt;&gt;0,IF($A37=1,NA(),1.05*$Z37),NA())</f>
        <v>#N/A</v>
      </c>
      <c r="M37" s="66" t="e">
        <f ca="1">L37-K37</f>
        <v>#N/A</v>
      </c>
      <c r="N37" s="70" t="e">
        <f ca="1">IF($A37&lt;&gt;0,IF($A37=1,NA(),$AA37),NA())</f>
        <v>#N/A</v>
      </c>
      <c r="P37" s="125" t="e">
        <f ca="1">IF(OR($A37=0, $A37=1),NA(),INDIRECT("'File "&amp;$B37&amp;"'!ROTT"))</f>
        <v>#N/A</v>
      </c>
      <c r="Q37" s="125" t="e">
        <f ca="1">IF(OR($A37=0, $A37=1),NA(),INDIRECT("'File "&amp;$B37&amp;"'!NASRDC_Overall"))</f>
        <v>#N/A</v>
      </c>
      <c r="R37" s="125" t="e">
        <f ca="1">IF(OR($A37=0, $A37=1),NA(),INDIRECT("'File "&amp;$B37&amp;"'!NASL"))</f>
        <v>#N/A</v>
      </c>
      <c r="S37" s="125" t="e">
        <f ca="1">IF(OR($A37=0, $A37=1),NA(),INDIRECT("'File "&amp;$B37&amp;"'!NASLDC"))</f>
        <v>#N/A</v>
      </c>
      <c r="V37">
        <v>4</v>
      </c>
      <c r="W37">
        <v>1</v>
      </c>
      <c r="X37" s="8">
        <f>SUMIFS(S$113:S$172,C$113:C$172,V37,D$113:D$172,W37)</f>
        <v>0</v>
      </c>
      <c r="Y37" s="8">
        <f ca="1">IF(AND(V37&lt;=No_Components,X37=0),INDIRECT("'File "&amp;V37&amp;"'!D5"),0)</f>
        <v>0</v>
      </c>
      <c r="Z37" s="8">
        <f ca="1">SUM(X37:Y37)</f>
        <v>0</v>
      </c>
      <c r="AA37" s="8">
        <f>'File 4'!D5</f>
        <v>0</v>
      </c>
    </row>
    <row r="38" spans="1:27" x14ac:dyDescent="0.25">
      <c r="A38">
        <f ca="1">IF(B38&lt;=No_Components,OFFSET('Control Sheet'!$H$45,B38,0,1,1),0)</f>
        <v>0</v>
      </c>
      <c r="B38">
        <v>4</v>
      </c>
      <c r="D38">
        <f ca="1">OFFSET('Control Sheet'!$H$45,B38,IF(A38=1,1,2),1,1)</f>
        <v>0</v>
      </c>
      <c r="E38" t="str">
        <f ca="1">IF(A38=0,"",OFFSET('Control Sheet'!$D$45,B38,IF(A38=1,1,2),1,1))</f>
        <v/>
      </c>
      <c r="F38" s="70">
        <f ca="1">CHOOSE($G$19,OFFSET('Reference dates (hide)'!$Z$42,$G$20,$B38*3-MOD($A38,3),1,1),OFFSET('Reference dates (hide)'!$N$121,$B38*3-MOD($A38,3),$G$20,1,1),OFFSET('Reference dates (hide)'!$AA$121,$B38*3-MOD($A38,3),0,1,1))</f>
        <v>0</v>
      </c>
      <c r="G38" s="68">
        <f ca="1">CHOOSE($G$19,OFFSET('Reference dates (hide)'!$CN$42,$G$20,$B38*3-MOD($A38,3),1,1),OFFSET('Reference dates (hide)'!$N$182,$B38*3-MOD($A38,3),$G$20,1,1),OFFSET('Reference dates (hide)'!$AA$182,$B38*3-MOD($A38,3),0,1,1))</f>
        <v>0</v>
      </c>
      <c r="H38" s="68">
        <f ca="1">CHOOSE($G$19,OFFSET('Reference dates (hide)'!$HP$42,$G$20,$B38*3-MOD($A38,3),1,1),OFFSET('Reference dates (hide)'!$N$243,$B38*3-MOD($A38,3),$G$20,1,1),OFFSET('Reference dates (hide)'!$AA$243,$B38*3-MOD($A38,3),0,1,1))</f>
        <v>0</v>
      </c>
      <c r="I38" s="75">
        <f ca="1">CHOOSE($G$19,OFFSET('Reference dates (hide)'!$FB$42,$G$20,$B38*3-MOD($A38,3),1,1),OFFSET('Reference dates (hide)'!$N$319,$B38*3-MOD($A38,3),$G$20,1,1),OFFSET('Reference dates (hide)'!$AA$319,$B38*3-MOD($A38,3),0,1,1))</f>
        <v>0</v>
      </c>
      <c r="J38" s="75">
        <f ca="1">CHOOSE($G$19,OFFSET('Reference dates (hide)'!$KD$42,$G$20,$B38*3-MOD($A38,3),1,1),OFFSET('Reference dates (hide)'!$N$380,$B38*3-MOD($A38,3),$G$20,1,1),OFFSET('Reference dates (hide)'!$AA$380,$B38*3-MOD($A38,3),0,1,1))</f>
        <v>0</v>
      </c>
      <c r="K38" s="70" t="e">
        <f ca="1">IF($A38&lt;&gt;0,0.95*IF($A38=1,$Z37,$Z38),NA())</f>
        <v>#N/A</v>
      </c>
      <c r="L38" s="70" t="e">
        <f ca="1">IF($A38&lt;&gt;0,1.05*IF($A38=1,$Z37,$Z38),NA())</f>
        <v>#N/A</v>
      </c>
      <c r="M38" s="66" t="e">
        <f ca="1">L38-K38</f>
        <v>#N/A</v>
      </c>
      <c r="N38" s="70" t="e">
        <f ca="1">IF($A38&lt;&gt;0,IF($A38=1,$AA37,$AA38),NA())</f>
        <v>#N/A</v>
      </c>
      <c r="P38" s="125" t="e">
        <f ca="1">IF($A38=0,NA(),INDIRECT("'File "&amp;$B38&amp;"'!"&amp;IF($A38=1,"ROTT","FU_ROTT")))</f>
        <v>#N/A</v>
      </c>
      <c r="Q38" s="125" t="e">
        <f ca="1">IF($A38=0,NA(),INDIRECT("'File "&amp;$B38&amp;"'!"&amp;IF($A38=1,"NASRDC_Overall","FU_NASRDC_Overall")))</f>
        <v>#N/A</v>
      </c>
      <c r="R38" s="125" t="e">
        <f ca="1">IF($A38=0,NA(),INDIRECT("'File "&amp;$B38&amp;"'!"&amp;IF($A38=1,"NASL","FU_NASL")))</f>
        <v>#N/A</v>
      </c>
      <c r="S38" s="125" t="e">
        <f ca="1">IF($A38=0,NA(),INDIRECT("'File "&amp;$B38&amp;"'!"&amp;IF($A38=1,"NASLDC","FU_NASLDC")))</f>
        <v>#N/A</v>
      </c>
      <c r="V38">
        <v>4</v>
      </c>
      <c r="W38">
        <v>2</v>
      </c>
      <c r="X38" s="8">
        <f>SUMIFS(S$113:S$172,C$113:C$172,V38,D$113:D$172,W38)</f>
        <v>0</v>
      </c>
      <c r="Y38" s="8">
        <f>'File 4'!H22</f>
        <v>0</v>
      </c>
      <c r="Z38" s="8">
        <f t="shared" si="0"/>
        <v>0</v>
      </c>
      <c r="AA38" s="8">
        <f>'File 4'!G5</f>
        <v>0</v>
      </c>
    </row>
    <row r="39" spans="1:27" x14ac:dyDescent="0.25">
      <c r="A39">
        <f ca="1">IF(B39&lt;=No_Components,OFFSET('Control Sheet'!$H$45,B39,0,1,1),0)</f>
        <v>0</v>
      </c>
      <c r="B39">
        <v>4</v>
      </c>
      <c r="D39">
        <f ca="1">IF(A39=1," ",OFFSET('Control Sheet'!$H$45,B39,3,1,1))</f>
        <v>0</v>
      </c>
      <c r="E39" t="str">
        <f ca="1">IF(A39=0,"",IF(A39=1,"",OFFSET('Control Sheet'!$D$45,B39,3,1,1)))</f>
        <v/>
      </c>
      <c r="F39" s="70">
        <f ca="1">IF($A39=1,NA(),CHOOSE($G$19,OFFSET('Reference dates (hide)'!$AA$42,$G$20,$B39*3,1,1),OFFSET('Reference dates (hide)'!$N$122,$B39*3,$G$20,1,1),OFFSET('Reference dates (hide)'!$AA$122,$B39*3,0,1,1)))</f>
        <v>0</v>
      </c>
      <c r="G39" s="68">
        <f ca="1">IF($A39=1,NA(),CHOOSE($G$19,OFFSET('Reference dates (hide)'!$CO$42,$G$20,$B39*3,1,1),OFFSET('Reference dates (hide)'!$N$183,$B39*3,$G$20,1,1),OFFSET('Reference dates (hide)'!$AA$183,$B39*3,0,1,1)))</f>
        <v>0</v>
      </c>
      <c r="H39" s="68">
        <f ca="1">IF($A39=1,NA(),CHOOSE($G$19,OFFSET('Reference dates (hide)'!$HQ$42,$G$20,$B39*3,1,1),OFFSET('Reference dates (hide)'!$N$244,$B39*3,$G$20,1,1),OFFSET('Reference dates (hide)'!$AA$244,$B39*3,0,1,1)))</f>
        <v>0</v>
      </c>
      <c r="I39" s="75">
        <f ca="1">IF($A39=1,NA(),CHOOSE($G$19,OFFSET('Reference dates (hide)'!$FC$42,$G$20,$B39*3,1,1),OFFSET('Reference dates (hide)'!$N$320,$B39*3,$G$20,1,1),OFFSET('Reference dates (hide)'!$AA$320,$B39*3,0,1,1)))</f>
        <v>0</v>
      </c>
      <c r="J39" s="75">
        <f ca="1">IF($A39=1,NA(),CHOOSE($G$19,OFFSET('Reference dates (hide)'!$KE$42,$G$20,$B39*3,1,1),OFFSET('Reference dates (hide)'!$N$381,$B39*3,$G$20,1,1),OFFSET('Reference dates (hide)'!$AA$381,$B39*3,0,1,1)))</f>
        <v>0</v>
      </c>
      <c r="K39" s="70" t="e">
        <f ca="1">IF($A39&lt;&gt;0,0.95*IF($A39=1,NA(),$Z39),NA())</f>
        <v>#N/A</v>
      </c>
      <c r="L39" s="70" t="e">
        <f ca="1">IF($A39&lt;&gt;0,1.05*IF($A39=1,NA(),$Z39),NA())</f>
        <v>#N/A</v>
      </c>
      <c r="M39" s="66" t="e">
        <f ca="1">L39-K39</f>
        <v>#N/A</v>
      </c>
      <c r="N39" s="70" t="e">
        <f ca="1">IF($A39&lt;&gt;0,IF($A39=1,NA(),$AA39),NA())</f>
        <v>#N/A</v>
      </c>
      <c r="P39" s="125" t="e">
        <f ca="1">IF(OR($A39=1, $A39=0),NA(),INDIRECT("'File "&amp;$B39&amp;"'!IP_ROTT"))</f>
        <v>#N/A</v>
      </c>
      <c r="Q39" s="125" t="e">
        <f ca="1">IF(OR($A39=1, $A39=0),NA(),INDIRECT("'File "&amp;$B39&amp;"'!IP_NASRDC_Overall"))</f>
        <v>#N/A</v>
      </c>
      <c r="R39" s="125" t="e">
        <f ca="1">IF(OR($A39=1, $A39=0),NA(),INDIRECT("'File "&amp;$B39&amp;"'!IP_NASL"))</f>
        <v>#N/A</v>
      </c>
      <c r="S39" s="125" t="e">
        <f ca="1">IF(OR($A39=1, $A39=0),NA(),INDIRECT("'File "&amp;$B39&amp;"'!IP_NASLDC"))</f>
        <v>#N/A</v>
      </c>
      <c r="V39">
        <v>4</v>
      </c>
      <c r="W39">
        <v>3</v>
      </c>
      <c r="X39" s="8">
        <f>SUMIFS(S$113:S$172,C$113:C$172,V39,D$113:D$172,W39)</f>
        <v>0</v>
      </c>
      <c r="Y39" s="8">
        <f>'File 4'!L22</f>
        <v>0</v>
      </c>
      <c r="Z39" s="8">
        <f t="shared" si="0"/>
        <v>0</v>
      </c>
      <c r="AA39" s="8">
        <f>'File 4'!K5</f>
        <v>0</v>
      </c>
    </row>
    <row r="40" spans="1:27" x14ac:dyDescent="0.25">
      <c r="C40" t="s">
        <v>1032</v>
      </c>
      <c r="F40" s="70"/>
      <c r="G40" s="68"/>
      <c r="H40" s="68"/>
      <c r="I40" s="75"/>
      <c r="J40" s="75"/>
      <c r="K40" s="70"/>
      <c r="L40" s="70"/>
      <c r="M40" s="66"/>
      <c r="N40" s="70"/>
      <c r="P40" s="125"/>
      <c r="Q40" s="125"/>
      <c r="R40" s="125"/>
      <c r="S40" s="125"/>
      <c r="X40" s="8"/>
      <c r="Y40" s="8"/>
      <c r="Z40" s="8"/>
      <c r="AA40" s="8"/>
    </row>
    <row r="41" spans="1:27" x14ac:dyDescent="0.25">
      <c r="A41">
        <f ca="1">IF(B41&lt;=No_Components,OFFSET('Control Sheet'!$H$45,B41,0,1,1),0)</f>
        <v>0</v>
      </c>
      <c r="B41">
        <v>5</v>
      </c>
      <c r="C41" s="134">
        <f ca="1">OFFSET('Control Sheet'!$B$45,B41,0,1,1)</f>
        <v>0</v>
      </c>
      <c r="D41" s="134" t="str">
        <f ca="1">IF(A41=1,"",OFFSET('Control Sheet'!$H$45,B41,1,1,1))</f>
        <v>0</v>
      </c>
      <c r="E41" t="str">
        <f ca="1">IF(A41=0,"",IF(A41=1,"",OFFSET('Control Sheet'!$D$45,B41,1,1,1)))</f>
        <v/>
      </c>
      <c r="F41" s="70">
        <f ca="1">IF($A41=1,NA(),CHOOSE($G$19,OFFSET('Reference dates (hide)'!$Y$42,$G$20,$B41*3,1,1),OFFSET('Reference dates (hide)'!$N$120,$B41*3,$G$20,1,1),OFFSET('Reference dates (hide)'!$AA$120,$B41*3,0,1,1)))</f>
        <v>0</v>
      </c>
      <c r="G41" s="68">
        <f ca="1">IF($A41=1,NA(),CHOOSE($G$19,OFFSET('Reference dates (hide)'!$CM$42,$G$20,$B41*3,1,1),OFFSET('Reference dates (hide)'!$N$181,$B41*3,$G$20,1,1),OFFSET('Reference dates (hide)'!$AA$181,$B41*3,0,1,1)))</f>
        <v>0</v>
      </c>
      <c r="H41" s="68">
        <f ca="1">IF($A41=1,NA(),CHOOSE($G$19,OFFSET('Reference dates (hide)'!$HO$42,$G$20,$B41*3,1,1),OFFSET('Reference dates (hide)'!$N$242,$B41*3,$G$20,1,1),OFFSET('Reference dates (hide)'!$AA$242,$B41*3,0,1,1)))</f>
        <v>0</v>
      </c>
      <c r="I41" s="75">
        <f ca="1">IF($A41=1,NA(),CHOOSE($G$19,OFFSET('Reference dates (hide)'!$FA$42,$G$20,$B41*3,1,1),OFFSET('Reference dates (hide)'!$N$318,$B41*3,$G$20,1,1),OFFSET('Reference dates (hide)'!$AA$318,$B41*3,0,1,1)))</f>
        <v>0</v>
      </c>
      <c r="J41" s="75">
        <f ca="1">IF($A41=1,NA(),CHOOSE($G$19,OFFSET('Reference dates (hide)'!$KC$42,$G$20,$B41*3,1,1),OFFSET('Reference dates (hide)'!$N$379,$B41*3,$G$20,1,1),OFFSET('Reference dates (hide)'!$AA$379,$B41*3,0,1,1)))</f>
        <v>0</v>
      </c>
      <c r="K41" s="70" t="e">
        <f ca="1">IF($A41&lt;&gt;0,IF($A41=1,NA(),0.95*$Z41),NA())</f>
        <v>#N/A</v>
      </c>
      <c r="L41" s="70" t="e">
        <f ca="1">IF($A41&lt;&gt;0,IF($A41=1,NA(),1.05*$Z41),NA())</f>
        <v>#N/A</v>
      </c>
      <c r="M41" s="66" t="e">
        <f ca="1">L41-K41</f>
        <v>#N/A</v>
      </c>
      <c r="N41" s="70" t="e">
        <f ca="1">IF($A41&lt;&gt;0,IF($A41=1,NA(),$AA41),NA())</f>
        <v>#N/A</v>
      </c>
      <c r="P41" s="125" t="e">
        <f ca="1">IF(OR($A41=0, $A41=1),NA(),INDIRECT("'File "&amp;$B41&amp;"'!ROTT"))</f>
        <v>#N/A</v>
      </c>
      <c r="Q41" s="125" t="e">
        <f ca="1">IF(OR($A41=0, $A41=1),NA(),INDIRECT("'File "&amp;$B41&amp;"'!NASRDC_Overall"))</f>
        <v>#N/A</v>
      </c>
      <c r="R41" s="125" t="e">
        <f ca="1">IF(OR($A41=0, $A41=1),NA(),INDIRECT("'File "&amp;$B41&amp;"'!NASL"))</f>
        <v>#N/A</v>
      </c>
      <c r="S41" s="125" t="e">
        <f ca="1">IF(OR($A41=0, $A41=1),NA(),INDIRECT("'File "&amp;$B41&amp;"'!NASLDC"))</f>
        <v>#N/A</v>
      </c>
      <c r="V41">
        <v>5</v>
      </c>
      <c r="W41">
        <v>1</v>
      </c>
      <c r="X41" s="8">
        <f>SUMIFS(S$113:S$172,C$113:C$172,V41,D$113:D$172,W41)</f>
        <v>0</v>
      </c>
      <c r="Y41" s="8">
        <f ca="1">IF(AND(V41&lt;=No_Components,X41=0),INDIRECT("'File "&amp;V41&amp;"'!D5"),0)</f>
        <v>0</v>
      </c>
      <c r="Z41" s="8">
        <f ca="1">SUM(X41:Y41)</f>
        <v>0</v>
      </c>
      <c r="AA41" s="8">
        <f>'File 5'!D5</f>
        <v>0</v>
      </c>
    </row>
    <row r="42" spans="1:27" x14ac:dyDescent="0.25">
      <c r="A42">
        <f ca="1">IF(B42&lt;=No_Components,OFFSET('Control Sheet'!$H$45,B42,0,1,1),0)</f>
        <v>0</v>
      </c>
      <c r="B42">
        <v>5</v>
      </c>
      <c r="C42" s="134"/>
      <c r="D42" s="134">
        <f ca="1">OFFSET('Control Sheet'!$H$45,B42,IF(A42=1,1,2),1,1)</f>
        <v>0</v>
      </c>
      <c r="E42" t="str">
        <f ca="1">IF(A42=0,"",OFFSET('Control Sheet'!$D$45,B42,IF(A42=1,1,2),1,1))</f>
        <v/>
      </c>
      <c r="F42" s="70">
        <f ca="1">CHOOSE($G$19,OFFSET('Reference dates (hide)'!$Z$42,$G$20,$B42*3-MOD($A42,3),1,1),OFFSET('Reference dates (hide)'!$N$121,$B42*3-MOD($A42,3),$G$20,1,1),OFFSET('Reference dates (hide)'!$AA$121,$B42*3-MOD($A42,3),0,1,1))</f>
        <v>0</v>
      </c>
      <c r="G42" s="68">
        <f ca="1">CHOOSE($G$19,OFFSET('Reference dates (hide)'!$CN$42,$G$20,$B42*3-MOD($A42,3),1,1),OFFSET('Reference dates (hide)'!$N$182,$B42*3-MOD($A42,3),$G$20,1,1),OFFSET('Reference dates (hide)'!$AA$182,$B42*3-MOD($A42,3),0,1,1))</f>
        <v>0</v>
      </c>
      <c r="H42" s="68">
        <f ca="1">CHOOSE($G$19,OFFSET('Reference dates (hide)'!$HP$42,$G$20,$B42*3-MOD($A42,3),1,1),OFFSET('Reference dates (hide)'!$N$243,$B42*3-MOD($A42,3),$G$20,1,1),OFFSET('Reference dates (hide)'!$AA$243,$B42*3-MOD($A42,3),0,1,1))</f>
        <v>0</v>
      </c>
      <c r="I42" s="75">
        <f ca="1">CHOOSE($G$19,OFFSET('Reference dates (hide)'!$FB$42,$G$20,$B42*3-MOD($A42,3),1,1),OFFSET('Reference dates (hide)'!$N$319,$B42*3-MOD($A42,3),$G$20,1,1),OFFSET('Reference dates (hide)'!$AA$319,$B42*3-MOD($A42,3),0,1,1))</f>
        <v>0</v>
      </c>
      <c r="J42" s="75">
        <f ca="1">CHOOSE($G$19,OFFSET('Reference dates (hide)'!$KD$42,$G$20,$B42*3-MOD($A42,3),1,1),OFFSET('Reference dates (hide)'!$N$380,$B42*3-MOD($A42,3),$G$20,1,1),OFFSET('Reference dates (hide)'!$AA$380,$B42*3-MOD($A42,3),0,1,1))</f>
        <v>0</v>
      </c>
      <c r="K42" s="70" t="e">
        <f ca="1">IF($A42&lt;&gt;0,0.95*IF($A42=1,$Z41,$Z42),NA())</f>
        <v>#N/A</v>
      </c>
      <c r="L42" s="70" t="e">
        <f ca="1">IF($A42&lt;&gt;0,1.05*IF($A42=1,$Z41,$Z42),NA())</f>
        <v>#N/A</v>
      </c>
      <c r="M42" s="66" t="e">
        <f ca="1">L42-K42</f>
        <v>#N/A</v>
      </c>
      <c r="N42" s="70" t="e">
        <f ca="1">IF($A42&lt;&gt;0,IF($A42=1,$AA41,$AA42),NA())</f>
        <v>#N/A</v>
      </c>
      <c r="P42" s="125" t="e">
        <f ca="1">IF($A42=0,NA(),INDIRECT("'File "&amp;$B42&amp;"'!"&amp;IF($A42=1,"ROTT","FU_ROTT")))</f>
        <v>#N/A</v>
      </c>
      <c r="Q42" s="125" t="e">
        <f ca="1">IF($A42=0,NA(),INDIRECT("'File "&amp;$B42&amp;"'!"&amp;IF($A42=1,"NASRDC_Overall","FU_NASRDC_Overall")))</f>
        <v>#N/A</v>
      </c>
      <c r="R42" s="125" t="e">
        <f ca="1">IF($A42=0,NA(),INDIRECT("'File "&amp;$B42&amp;"'!"&amp;IF($A42=1,"NASL","FU_NASL")))</f>
        <v>#N/A</v>
      </c>
      <c r="S42" s="125" t="e">
        <f ca="1">IF($A42=0,NA(),INDIRECT("'File "&amp;$B42&amp;"'!"&amp;IF($A42=1,"NASLDC","FU_NASLDC")))</f>
        <v>#N/A</v>
      </c>
      <c r="V42">
        <v>5</v>
      </c>
      <c r="W42">
        <v>2</v>
      </c>
      <c r="X42" s="8">
        <f>SUMIFS(S$113:S$172,C$113:C$172,V42,D$113:D$172,W42)</f>
        <v>0</v>
      </c>
      <c r="Y42" s="8">
        <f>'File 5'!H22</f>
        <v>0</v>
      </c>
      <c r="Z42" s="8">
        <f t="shared" si="0"/>
        <v>0</v>
      </c>
      <c r="AA42" s="8">
        <f>'File 5'!G5</f>
        <v>0</v>
      </c>
    </row>
    <row r="43" spans="1:27" x14ac:dyDescent="0.25">
      <c r="A43">
        <f ca="1">IF(B43&lt;=No_Components,OFFSET('Control Sheet'!$H$45,B43,0,1,1),0)</f>
        <v>0</v>
      </c>
      <c r="B43">
        <v>5</v>
      </c>
      <c r="C43" s="134"/>
      <c r="D43" s="134">
        <f ca="1">IF(A43=1," ",OFFSET('Control Sheet'!$H$45,B43,3,1,1))</f>
        <v>0</v>
      </c>
      <c r="E43" t="str">
        <f ca="1">IF(A43=0,"",IF(A43=1,"",OFFSET('Control Sheet'!$D$45,B43,3,1,1)))</f>
        <v/>
      </c>
      <c r="F43" s="70">
        <f ca="1">IF($A43=1,NA(),CHOOSE($G$19,OFFSET('Reference dates (hide)'!$AA$42,$G$20,$B43*3,1,1),OFFSET('Reference dates (hide)'!$N$122,$B43*3,$G$20,1,1),OFFSET('Reference dates (hide)'!$AA$122,$B43*3,0,1,1)))</f>
        <v>0</v>
      </c>
      <c r="G43" s="68">
        <f ca="1">IF($A43=1,NA(),CHOOSE($G$19,OFFSET('Reference dates (hide)'!$CO$42,$G$20,$B43*3,1,1),OFFSET('Reference dates (hide)'!$N$183,$B43*3,$G$20,1,1),OFFSET('Reference dates (hide)'!$AA$183,$B43*3,0,1,1)))</f>
        <v>0</v>
      </c>
      <c r="H43" s="68">
        <f ca="1">IF($A43=1,NA(),CHOOSE($G$19,OFFSET('Reference dates (hide)'!$HQ$42,$G$20,$B43*3,1,1),OFFSET('Reference dates (hide)'!$N$244,$B43*3,$G$20,1,1),OFFSET('Reference dates (hide)'!$AA$244,$B43*3,0,1,1)))</f>
        <v>0</v>
      </c>
      <c r="I43" s="75">
        <f ca="1">IF($A43=1,NA(),CHOOSE($G$19,OFFSET('Reference dates (hide)'!$FC$42,$G$20,$B43*3,1,1),OFFSET('Reference dates (hide)'!$N$320,$B43*3,$G$20,1,1),OFFSET('Reference dates (hide)'!$AA$320,$B43*3,0,1,1)))</f>
        <v>0</v>
      </c>
      <c r="J43" s="75">
        <f ca="1">IF($A43=1,NA(),CHOOSE($G$19,OFFSET('Reference dates (hide)'!$KE$42,$G$20,$B43*3,1,1),OFFSET('Reference dates (hide)'!$N$381,$B43*3,$G$20,1,1),OFFSET('Reference dates (hide)'!$AA$381,$B43*3,0,1,1)))</f>
        <v>0</v>
      </c>
      <c r="K43" s="70" t="e">
        <f ca="1">IF($A43&lt;&gt;0,0.95*IF($A43=1,NA(),$Z43),NA())</f>
        <v>#N/A</v>
      </c>
      <c r="L43" s="70" t="e">
        <f ca="1">IF($A43&lt;&gt;0,1.05*IF($A43=1,NA(),$Z43),NA())</f>
        <v>#N/A</v>
      </c>
      <c r="M43" s="66" t="e">
        <f ca="1">L43-K43</f>
        <v>#N/A</v>
      </c>
      <c r="N43" s="70" t="e">
        <f ca="1">IF($A43&lt;&gt;0,IF($A43=1,NA(),$AA43),NA())</f>
        <v>#N/A</v>
      </c>
      <c r="P43" s="125" t="e">
        <f ca="1">IF(OR($A43=1, $A43=0),NA(),INDIRECT("'File "&amp;$B43&amp;"'!IP_ROTT"))</f>
        <v>#N/A</v>
      </c>
      <c r="Q43" s="125" t="e">
        <f ca="1">IF(OR($A43=1, $A43=0),NA(),INDIRECT("'File "&amp;$B43&amp;"'!IP_NASRDC_Overall"))</f>
        <v>#N/A</v>
      </c>
      <c r="R43" s="125" t="e">
        <f ca="1">IF(OR($A43=1, $A43=0),NA(),INDIRECT("'File "&amp;$B43&amp;"'!IP_NASL"))</f>
        <v>#N/A</v>
      </c>
      <c r="S43" s="125" t="e">
        <f ca="1">IF(OR($A43=1, $A43=0),NA(),INDIRECT("'File "&amp;$B43&amp;"'!IP_NASLDC"))</f>
        <v>#N/A</v>
      </c>
      <c r="V43">
        <v>5</v>
      </c>
      <c r="W43">
        <v>3</v>
      </c>
      <c r="X43" s="8">
        <f>SUMIFS(S$113:S$172,C$113:C$172,V43,D$113:D$172,W43)</f>
        <v>0</v>
      </c>
      <c r="Y43" s="8">
        <f>'File 5'!L22</f>
        <v>0</v>
      </c>
      <c r="Z43" s="8">
        <f t="shared" si="0"/>
        <v>0</v>
      </c>
      <c r="AA43" s="8">
        <f>'File 5'!K5</f>
        <v>0</v>
      </c>
    </row>
    <row r="44" spans="1:27" x14ac:dyDescent="0.25">
      <c r="C44" s="134" t="s">
        <v>1032</v>
      </c>
      <c r="D44" s="134"/>
      <c r="F44" s="70"/>
      <c r="G44" s="68"/>
      <c r="H44" s="68"/>
      <c r="I44" s="75"/>
      <c r="J44" s="75"/>
      <c r="K44" s="70"/>
      <c r="L44" s="70"/>
      <c r="M44" s="66"/>
      <c r="N44" s="70"/>
      <c r="P44" s="125"/>
      <c r="Q44" s="125"/>
      <c r="R44" s="125"/>
      <c r="S44" s="125"/>
      <c r="X44" s="8"/>
      <c r="Y44" s="8"/>
      <c r="Z44" s="8"/>
      <c r="AA44" s="8"/>
    </row>
    <row r="45" spans="1:27" x14ac:dyDescent="0.25">
      <c r="A45">
        <f ca="1">IF(B45&lt;=No_Components,OFFSET('Control Sheet'!$H$45,B45,0,1,1),0)</f>
        <v>0</v>
      </c>
      <c r="B45">
        <v>6</v>
      </c>
      <c r="C45" s="134">
        <f ca="1">OFFSET('Control Sheet'!$B$45,B45,0,1,1)</f>
        <v>0</v>
      </c>
      <c r="D45" s="134" t="str">
        <f ca="1">IF(A45=1,"",OFFSET('Control Sheet'!$H$45,B45,1,1,1))</f>
        <v>0</v>
      </c>
      <c r="E45" t="str">
        <f ca="1">IF(A45=0,"",IF(A45=1,"",OFFSET('Control Sheet'!$D$45,B45,1,1,1)))</f>
        <v/>
      </c>
      <c r="F45" s="70">
        <f ca="1">IF($A45=1,NA(),CHOOSE($G$19,OFFSET('Reference dates (hide)'!$Y$42,$G$20,$B45*3,1,1),OFFSET('Reference dates (hide)'!$N$120,$B45*3,$G$20,1,1),OFFSET('Reference dates (hide)'!$AA$120,$B45*3,0,1,1)))</f>
        <v>0</v>
      </c>
      <c r="G45" s="68">
        <f ca="1">IF($A45=1,NA(),CHOOSE($G$19,OFFSET('Reference dates (hide)'!$CM$42,$G$20,$B45*3,1,1),OFFSET('Reference dates (hide)'!$N$181,$B45*3,$G$20,1,1),OFFSET('Reference dates (hide)'!$AA$181,$B45*3,0,1,1)))</f>
        <v>0</v>
      </c>
      <c r="H45" s="68">
        <f ca="1">IF($A45=1,NA(),CHOOSE($G$19,OFFSET('Reference dates (hide)'!$HO$42,$G$20,$B45*3,1,1),OFFSET('Reference dates (hide)'!$N$242,$B45*3,$G$20,1,1),OFFSET('Reference dates (hide)'!$AA$242,$B45*3,0,1,1)))</f>
        <v>0</v>
      </c>
      <c r="I45" s="75">
        <f ca="1">IF($A45=1,NA(),CHOOSE($G$19,OFFSET('Reference dates (hide)'!$FA$42,$G$20,$B45*3,1,1),OFFSET('Reference dates (hide)'!$N$318,$B45*3,$G$20,1,1),OFFSET('Reference dates (hide)'!$AA$318,$B45*3,0,1,1)))</f>
        <v>0</v>
      </c>
      <c r="J45" s="75">
        <f ca="1">IF($A45=1,NA(),CHOOSE($G$19,OFFSET('Reference dates (hide)'!$KC$42,$G$20,$B45*3,1,1),OFFSET('Reference dates (hide)'!$N$379,$B45*3,$G$20,1,1),OFFSET('Reference dates (hide)'!$AA$379,$B45*3,0,1,1)))</f>
        <v>0</v>
      </c>
      <c r="K45" s="70" t="e">
        <f ca="1">IF($A45&lt;&gt;0,IF($A45=1,NA(),0.95*$Z45),NA())</f>
        <v>#N/A</v>
      </c>
      <c r="L45" s="70" t="e">
        <f ca="1">IF($A45&lt;&gt;0,IF($A45=1,NA(),1.05*$Z45),NA())</f>
        <v>#N/A</v>
      </c>
      <c r="M45" s="66" t="e">
        <f ca="1">L45-K45</f>
        <v>#N/A</v>
      </c>
      <c r="N45" s="70" t="e">
        <f ca="1">IF($A45&lt;&gt;0,IF($A45=1,NA(),$AA45),NA())</f>
        <v>#N/A</v>
      </c>
      <c r="P45" s="125" t="e">
        <f ca="1">IF(OR($A45=0, $A45=1),NA(),INDIRECT("'File "&amp;$B45&amp;"'!ROTT"))</f>
        <v>#N/A</v>
      </c>
      <c r="Q45" s="125" t="e">
        <f ca="1">IF(OR($A45=0, $A45=1),NA(),INDIRECT("'File "&amp;$B45&amp;"'!NASRDC_Overall"))</f>
        <v>#N/A</v>
      </c>
      <c r="R45" s="125" t="e">
        <f ca="1">IF(OR($A45=0, $A45=1),NA(),INDIRECT("'File "&amp;$B45&amp;"'!NASL"))</f>
        <v>#N/A</v>
      </c>
      <c r="S45" s="125" t="e">
        <f ca="1">IF(OR($A45=0, $A45=1),NA(),INDIRECT("'File "&amp;$B45&amp;"'!NASLDC"))</f>
        <v>#N/A</v>
      </c>
      <c r="V45">
        <v>6</v>
      </c>
      <c r="W45">
        <v>1</v>
      </c>
      <c r="X45" s="8">
        <f>SUMIFS(S$113:S$172,C$113:C$172,V45,D$113:D$172,W45)</f>
        <v>0</v>
      </c>
      <c r="Y45" s="8">
        <f ca="1">IF(AND(V45&lt;=No_Components,X45=0),INDIRECT("'File "&amp;V45&amp;"'!D5"),0)</f>
        <v>0</v>
      </c>
      <c r="Z45" s="8">
        <f ca="1">SUM(X45:Y45)</f>
        <v>0</v>
      </c>
      <c r="AA45" s="8">
        <f>'File 6'!D5</f>
        <v>0</v>
      </c>
    </row>
    <row r="46" spans="1:27" x14ac:dyDescent="0.25">
      <c r="A46">
        <f ca="1">IF(B46&lt;=No_Components,OFFSET('Control Sheet'!$H$45,B46,0,1,1),0)</f>
        <v>0</v>
      </c>
      <c r="B46">
        <v>6</v>
      </c>
      <c r="C46" s="134"/>
      <c r="D46" s="134">
        <f ca="1">OFFSET('Control Sheet'!$H$45,B46,IF(A46=1,1,2),1,1)</f>
        <v>0</v>
      </c>
      <c r="E46" t="str">
        <f ca="1">IF(A46=0,"",OFFSET('Control Sheet'!$D$45,B46,IF(A46=1,1,2),1,1))</f>
        <v/>
      </c>
      <c r="F46" s="70">
        <f ca="1">CHOOSE($G$19,OFFSET('Reference dates (hide)'!$Z$42,$G$20,$B46*3-MOD($A46,3),1,1),OFFSET('Reference dates (hide)'!$N$121,$B46*3-MOD($A46,3),$G$20,1,1),OFFSET('Reference dates (hide)'!$AA$121,$B46*3-MOD($A46,3),0,1,1))</f>
        <v>0</v>
      </c>
      <c r="G46" s="68">
        <f ca="1">CHOOSE($G$19,OFFSET('Reference dates (hide)'!$CN$42,$G$20,$B46*3-MOD($A46,3),1,1),OFFSET('Reference dates (hide)'!$N$182,$B46*3-MOD($A46,3),$G$20,1,1),OFFSET('Reference dates (hide)'!$AA$182,$B46*3-MOD($A46,3),0,1,1))</f>
        <v>0</v>
      </c>
      <c r="H46" s="68">
        <f ca="1">CHOOSE($G$19,OFFSET('Reference dates (hide)'!$HP$42,$G$20,$B46*3-MOD($A46,3),1,1),OFFSET('Reference dates (hide)'!$N$243,$B46*3-MOD($A46,3),$G$20,1,1),OFFSET('Reference dates (hide)'!$AA$243,$B46*3-MOD($A46,3),0,1,1))</f>
        <v>0</v>
      </c>
      <c r="I46" s="75">
        <f ca="1">CHOOSE($G$19,OFFSET('Reference dates (hide)'!$FB$42,$G$20,$B46*3-MOD($A46,3),1,1),OFFSET('Reference dates (hide)'!$N$319,$B46*3-MOD($A46,3),$G$20,1,1),OFFSET('Reference dates (hide)'!$AA$319,$B46*3-MOD($A46,3),0,1,1))</f>
        <v>0</v>
      </c>
      <c r="J46" s="75">
        <f ca="1">CHOOSE($G$19,OFFSET('Reference dates (hide)'!$KD$42,$G$20,$B46*3-MOD($A46,3),1,1),OFFSET('Reference dates (hide)'!$N$380,$B46*3-MOD($A46,3),$G$20,1,1),OFFSET('Reference dates (hide)'!$AA$380,$B46*3-MOD($A46,3),0,1,1))</f>
        <v>0</v>
      </c>
      <c r="K46" s="70" t="e">
        <f ca="1">IF($A46&lt;&gt;0,0.95*IF($A46=1,$Z45,$Z46),NA())</f>
        <v>#N/A</v>
      </c>
      <c r="L46" s="70" t="e">
        <f ca="1">IF($A46&lt;&gt;0,1.05*IF($A46=1,$Z45,$Z46),NA())</f>
        <v>#N/A</v>
      </c>
      <c r="M46" s="66" t="e">
        <f ca="1">L46-K46</f>
        <v>#N/A</v>
      </c>
      <c r="N46" s="70" t="e">
        <f ca="1">IF($A46&lt;&gt;0,IF($A46=1,$AA45,$AA46),NA())</f>
        <v>#N/A</v>
      </c>
      <c r="P46" s="125" t="e">
        <f ca="1">IF($A46=0,NA(),INDIRECT("'File "&amp;$B46&amp;"'!"&amp;IF($A46=1,"ROTT","FU_ROTT")))</f>
        <v>#N/A</v>
      </c>
      <c r="Q46" s="125" t="e">
        <f ca="1">IF($A46=0,NA(),INDIRECT("'File "&amp;$B46&amp;"'!"&amp;IF($A46=1,"NASRDC_Overall","FU_NASRDC_Overall")))</f>
        <v>#N/A</v>
      </c>
      <c r="R46" s="125" t="e">
        <f ca="1">IF($A46=0,NA(),INDIRECT("'File "&amp;$B46&amp;"'!"&amp;IF($A46=1,"NASL","FU_NASL")))</f>
        <v>#N/A</v>
      </c>
      <c r="S46" s="125" t="e">
        <f ca="1">IF($A46=0,NA(),INDIRECT("'File "&amp;$B46&amp;"'!"&amp;IF($A46=1,"NASLDC","FU_NASLDC")))</f>
        <v>#N/A</v>
      </c>
      <c r="V46">
        <v>6</v>
      </c>
      <c r="W46">
        <v>2</v>
      </c>
      <c r="X46" s="8">
        <f>SUMIFS(S$113:S$172,C$113:C$172,V46,D$113:D$172,W46)</f>
        <v>0</v>
      </c>
      <c r="Y46" s="8">
        <f>'File 6'!H22</f>
        <v>0</v>
      </c>
      <c r="Z46" s="8">
        <f t="shared" si="0"/>
        <v>0</v>
      </c>
      <c r="AA46" s="8">
        <f>'File 6'!G5</f>
        <v>0</v>
      </c>
    </row>
    <row r="47" spans="1:27" x14ac:dyDescent="0.25">
      <c r="A47">
        <f ca="1">IF(B47&lt;=No_Components,OFFSET('Control Sheet'!$H$45,B47,0,1,1),0)</f>
        <v>0</v>
      </c>
      <c r="B47">
        <v>6</v>
      </c>
      <c r="C47" s="134"/>
      <c r="D47" s="134">
        <f ca="1">IF(A47=1," ",OFFSET('Control Sheet'!$H$45,B47,3,1,1))</f>
        <v>0</v>
      </c>
      <c r="E47" t="str">
        <f ca="1">IF(A47=0,"",IF(A47=1,"",OFFSET('Control Sheet'!$D$45,B47,3,1,1)))</f>
        <v/>
      </c>
      <c r="F47" s="70">
        <f ca="1">IF($A47=1,NA(),CHOOSE($G$19,OFFSET('Reference dates (hide)'!$AA$42,$G$20,$B47*3,1,1),OFFSET('Reference dates (hide)'!$N$122,$B47*3,$G$20,1,1),OFFSET('Reference dates (hide)'!$AA$122,$B47*3,0,1,1)))</f>
        <v>0</v>
      </c>
      <c r="G47" s="68">
        <f ca="1">IF($A47=1,NA(),CHOOSE($G$19,OFFSET('Reference dates (hide)'!$CO$42,$G$20,$B47*3,1,1),OFFSET('Reference dates (hide)'!$N$183,$B47*3,$G$20,1,1),OFFSET('Reference dates (hide)'!$AA$183,$B47*3,0,1,1)))</f>
        <v>0</v>
      </c>
      <c r="H47" s="68">
        <f ca="1">IF($A47=1,NA(),CHOOSE($G$19,OFFSET('Reference dates (hide)'!$HQ$42,$G$20,$B47*3,1,1),OFFSET('Reference dates (hide)'!$N$244,$B47*3,$G$20,1,1),OFFSET('Reference dates (hide)'!$AA$244,$B47*3,0,1,1)))</f>
        <v>0</v>
      </c>
      <c r="I47" s="75">
        <f ca="1">IF($A47=1,NA(),CHOOSE($G$19,OFFSET('Reference dates (hide)'!$FC$42,$G$20,$B47*3,1,1),OFFSET('Reference dates (hide)'!$N$320,$B47*3,$G$20,1,1),OFFSET('Reference dates (hide)'!$AA$320,$B47*3,0,1,1)))</f>
        <v>0</v>
      </c>
      <c r="J47" s="75">
        <f ca="1">IF($A47=1,NA(),CHOOSE($G$19,OFFSET('Reference dates (hide)'!$KE$42,$G$20,$B47*3,1,1),OFFSET('Reference dates (hide)'!$N$381,$B47*3,$G$20,1,1),OFFSET('Reference dates (hide)'!$AA$381,$B47*3,0,1,1)))</f>
        <v>0</v>
      </c>
      <c r="K47" s="70" t="e">
        <f ca="1">IF($A47&lt;&gt;0,0.95*IF($A47=1,NA(),$Z47),NA())</f>
        <v>#N/A</v>
      </c>
      <c r="L47" s="70" t="e">
        <f ca="1">IF($A47&lt;&gt;0,1.05*IF($A47=1,NA(),$Z47),NA())</f>
        <v>#N/A</v>
      </c>
      <c r="M47" s="66" t="e">
        <f ca="1">L47-K47</f>
        <v>#N/A</v>
      </c>
      <c r="N47" s="70" t="e">
        <f ca="1">IF($A47&lt;&gt;0,IF($A47=1,NA(),$AA47),NA())</f>
        <v>#N/A</v>
      </c>
      <c r="P47" s="125" t="e">
        <f ca="1">IF(OR($A47=1, $A47=0),NA(),INDIRECT("'File "&amp;$B47&amp;"'!IP_ROTT"))</f>
        <v>#N/A</v>
      </c>
      <c r="Q47" s="125" t="e">
        <f ca="1">IF(OR($A47=1, $A47=0),NA(),INDIRECT("'File "&amp;$B47&amp;"'!IP_NASRDC_Overall"))</f>
        <v>#N/A</v>
      </c>
      <c r="R47" s="125" t="e">
        <f ca="1">IF(OR($A47=1, $A47=0),NA(),INDIRECT("'File "&amp;$B47&amp;"'!IP_NASL"))</f>
        <v>#N/A</v>
      </c>
      <c r="S47" s="125" t="e">
        <f ca="1">IF(OR($A47=1, $A47=0),NA(),INDIRECT("'File "&amp;$B47&amp;"'!IP_NASLDC"))</f>
        <v>#N/A</v>
      </c>
      <c r="V47">
        <v>6</v>
      </c>
      <c r="W47">
        <v>3</v>
      </c>
      <c r="X47" s="8">
        <f>SUMIFS(S$113:S$172,C$113:C$172,V47,D$113:D$172,W47)</f>
        <v>0</v>
      </c>
      <c r="Y47" s="8">
        <f>'File 6'!L22</f>
        <v>0</v>
      </c>
      <c r="Z47" s="8">
        <f t="shared" si="0"/>
        <v>0</v>
      </c>
      <c r="AA47" s="8">
        <f>'File 6'!K5</f>
        <v>0</v>
      </c>
    </row>
    <row r="48" spans="1:27" x14ac:dyDescent="0.25">
      <c r="C48" s="134" t="s">
        <v>1032</v>
      </c>
      <c r="D48" s="134"/>
      <c r="F48" s="70"/>
      <c r="G48" s="68"/>
      <c r="H48" s="68"/>
      <c r="I48" s="75"/>
      <c r="J48" s="75"/>
      <c r="K48" s="70"/>
      <c r="L48" s="70"/>
      <c r="M48" s="66"/>
      <c r="N48" s="70"/>
      <c r="P48" s="125"/>
      <c r="Q48" s="125"/>
      <c r="R48" s="125"/>
      <c r="S48" s="125"/>
      <c r="X48" s="8"/>
      <c r="Y48" s="8"/>
      <c r="Z48" s="8"/>
      <c r="AA48" s="8"/>
    </row>
    <row r="49" spans="1:58" x14ac:dyDescent="0.25">
      <c r="A49">
        <f ca="1">IF(B49&lt;=No_Components,OFFSET('Control Sheet'!$H$45,B49,0,1,1),0)</f>
        <v>0</v>
      </c>
      <c r="B49">
        <v>7</v>
      </c>
      <c r="C49" s="134">
        <f ca="1">OFFSET('Control Sheet'!$B$45,B49,0,1,1)</f>
        <v>0</v>
      </c>
      <c r="D49" s="134" t="str">
        <f ca="1">IF(A49=1,"",OFFSET('Control Sheet'!$H$45,B49,1,1,1))</f>
        <v>0</v>
      </c>
      <c r="E49" t="str">
        <f ca="1">IF(A49=0,"",IF(A49=1,"",OFFSET('Control Sheet'!$D$45,B49,1,1,1)))</f>
        <v/>
      </c>
      <c r="F49" s="70">
        <f ca="1">IF($A49=1,NA(),CHOOSE($G$19,OFFSET('Reference dates (hide)'!$Y$42,$G$20,$B49*3,1,1),OFFSET('Reference dates (hide)'!$N$120,$B49*3,$G$20,1,1),OFFSET('Reference dates (hide)'!$AA$120,$B49*3,0,1,1)))</f>
        <v>0</v>
      </c>
      <c r="G49" s="68">
        <f ca="1">IF($A49=1,NA(),CHOOSE($G$19,OFFSET('Reference dates (hide)'!$CM$42,$G$20,$B49*3,1,1),OFFSET('Reference dates (hide)'!$N$181,$B49*3,$G$20,1,1),OFFSET('Reference dates (hide)'!$AA$181,$B49*3,0,1,1)))</f>
        <v>0</v>
      </c>
      <c r="H49" s="68">
        <f ca="1">IF($A49=1,NA(),CHOOSE($G$19,OFFSET('Reference dates (hide)'!$HO$42,$G$20,$B49*3,1,1),OFFSET('Reference dates (hide)'!$N$242,$B49*3,$G$20,1,1),OFFSET('Reference dates (hide)'!$AA$242,$B49*3,0,1,1)))</f>
        <v>0</v>
      </c>
      <c r="I49" s="75">
        <f ca="1">IF($A49=1,NA(),CHOOSE($G$19,OFFSET('Reference dates (hide)'!$FA$42,$G$20,$B49*3,1,1),OFFSET('Reference dates (hide)'!$N$318,$B49*3,$G$20,1,1),OFFSET('Reference dates (hide)'!$AA$318,$B49*3,0,1,1)))</f>
        <v>0</v>
      </c>
      <c r="J49" s="75">
        <f ca="1">IF($A49=1,NA(),CHOOSE($G$19,OFFSET('Reference dates (hide)'!$KC$42,$G$20,$B49*3,1,1),OFFSET('Reference dates (hide)'!$N$379,$B49*3,$G$20,1,1),OFFSET('Reference dates (hide)'!$AA$379,$B49*3,0,1,1)))</f>
        <v>0</v>
      </c>
      <c r="K49" s="70" t="e">
        <f ca="1">IF($A49&lt;&gt;0,IF($A49=1,NA(),0.95*$Z49),NA())</f>
        <v>#N/A</v>
      </c>
      <c r="L49" s="70" t="e">
        <f ca="1">IF($A49&lt;&gt;0,IF($A49=1,NA(),1.05*$Z49),NA())</f>
        <v>#N/A</v>
      </c>
      <c r="M49" s="66" t="e">
        <f ca="1">L49-K49</f>
        <v>#N/A</v>
      </c>
      <c r="N49" s="70" t="e">
        <f ca="1">IF($A49&lt;&gt;0,IF($A49=1,NA(),$AA49),NA())</f>
        <v>#N/A</v>
      </c>
      <c r="P49" s="125" t="e">
        <f ca="1">IF(OR($A49=0, $A49=1),NA(),INDIRECT("'File "&amp;$B49&amp;"'!ROTT"))</f>
        <v>#N/A</v>
      </c>
      <c r="Q49" s="125" t="e">
        <f ca="1">IF(OR($A49=0, $A49=1),NA(),INDIRECT("'File "&amp;$B49&amp;"'!NASRDC_Overall"))</f>
        <v>#N/A</v>
      </c>
      <c r="R49" s="125" t="e">
        <f ca="1">IF(OR($A49=0, $A49=1),NA(),INDIRECT("'File "&amp;$B49&amp;"'!NASL"))</f>
        <v>#N/A</v>
      </c>
      <c r="S49" s="125" t="e">
        <f ca="1">IF(OR($A49=0, $A49=1),NA(),INDIRECT("'File "&amp;$B49&amp;"'!NASLDC"))</f>
        <v>#N/A</v>
      </c>
      <c r="V49">
        <v>7</v>
      </c>
      <c r="W49">
        <v>1</v>
      </c>
      <c r="X49" s="8">
        <f>SUMIFS(S$113:S$172,C$113:C$172,V49,D$113:D$172,W49)</f>
        <v>0</v>
      </c>
      <c r="Y49" s="8">
        <f ca="1">IF(AND(V49&lt;=No_Components,X49=0),INDIRECT("'File "&amp;V49&amp;"'!D5"),0)</f>
        <v>0</v>
      </c>
      <c r="Z49" s="8">
        <f ca="1">SUM(X49:Y49)</f>
        <v>0</v>
      </c>
      <c r="AA49" s="8">
        <f>'File 7'!D5</f>
        <v>0</v>
      </c>
    </row>
    <row r="50" spans="1:58" x14ac:dyDescent="0.25">
      <c r="A50">
        <f ca="1">IF(B50&lt;=No_Components,OFFSET('Control Sheet'!$H$45,B50,0,1,1),0)</f>
        <v>0</v>
      </c>
      <c r="B50">
        <v>7</v>
      </c>
      <c r="C50" s="134"/>
      <c r="D50" s="134">
        <f ca="1">OFFSET('Control Sheet'!$H$45,B50,IF(A50=1,1,2),1,1)</f>
        <v>0</v>
      </c>
      <c r="E50" t="str">
        <f ca="1">IF(A50=0,"",OFFSET('Control Sheet'!$D$45,B50,IF(A50=1,1,2),1,1))</f>
        <v/>
      </c>
      <c r="F50" s="70">
        <f ca="1">CHOOSE($G$19,OFFSET('Reference dates (hide)'!$Z$42,$G$20,$B50*3-MOD($A50,3),1,1),OFFSET('Reference dates (hide)'!$N$121,$B50*3-MOD($A50,3),$G$20,1,1),OFFSET('Reference dates (hide)'!$AA$121,$B50*3-MOD($A50,3),0,1,1))</f>
        <v>0</v>
      </c>
      <c r="G50" s="68">
        <f ca="1">CHOOSE($G$19,OFFSET('Reference dates (hide)'!$CN$42,$G$20,$B50*3-MOD($A50,3),1,1),OFFSET('Reference dates (hide)'!$N$182,$B50*3-MOD($A50,3),$G$20,1,1),OFFSET('Reference dates (hide)'!$AA$182,$B50*3-MOD($A50,3),0,1,1))</f>
        <v>0</v>
      </c>
      <c r="H50" s="68">
        <f ca="1">CHOOSE($G$19,OFFSET('Reference dates (hide)'!$HP$42,$G$20,$B50*3-MOD($A50,3),1,1),OFFSET('Reference dates (hide)'!$N$243,$B50*3-MOD($A50,3),$G$20,1,1),OFFSET('Reference dates (hide)'!$AA$243,$B50*3-MOD($A50,3),0,1,1))</f>
        <v>0</v>
      </c>
      <c r="I50" s="75">
        <f ca="1">CHOOSE($G$19,OFFSET('Reference dates (hide)'!$FB$42,$G$20,$B50*3-MOD($A50,3),1,1),OFFSET('Reference dates (hide)'!$N$319,$B50*3-MOD($A50,3),$G$20,1,1),OFFSET('Reference dates (hide)'!$AA$319,$B50*3-MOD($A50,3),0,1,1))</f>
        <v>0</v>
      </c>
      <c r="J50" s="75">
        <f ca="1">CHOOSE($G$19,OFFSET('Reference dates (hide)'!$KD$42,$G$20,$B50*3-MOD($A50,3),1,1),OFFSET('Reference dates (hide)'!$N$380,$B50*3-MOD($A50,3),$G$20,1,1),OFFSET('Reference dates (hide)'!$AA$380,$B50*3-MOD($A50,3),0,1,1))</f>
        <v>0</v>
      </c>
      <c r="K50" s="70" t="e">
        <f ca="1">IF($A50&lt;&gt;0,0.95*IF($A50=1,$Z49,$Z50),NA())</f>
        <v>#N/A</v>
      </c>
      <c r="L50" s="70" t="e">
        <f ca="1">IF($A50&lt;&gt;0,1.05*IF($A50=1,$Z49,$Z50),NA())</f>
        <v>#N/A</v>
      </c>
      <c r="M50" s="66" t="e">
        <f ca="1">L50-K50</f>
        <v>#N/A</v>
      </c>
      <c r="N50" s="70" t="e">
        <f ca="1">IF($A50&lt;&gt;0,IF($A50=1,$AA49,$AA50),NA())</f>
        <v>#N/A</v>
      </c>
      <c r="P50" s="125" t="e">
        <f ca="1">IF($A50=0,NA(),INDIRECT("'File "&amp;$B50&amp;"'!"&amp;IF($A50=1,"ROTT","FU_ROTT")))</f>
        <v>#N/A</v>
      </c>
      <c r="Q50" s="125" t="e">
        <f ca="1">IF($A50=0,NA(),INDIRECT("'File "&amp;$B50&amp;"'!"&amp;IF($A50=1,"NASRDC_Overall","FU_NASRDC_Overall")))</f>
        <v>#N/A</v>
      </c>
      <c r="R50" s="125" t="e">
        <f ca="1">IF($A50=0,NA(),INDIRECT("'File "&amp;$B50&amp;"'!"&amp;IF($A50=1,"NASL","FU_NASL")))</f>
        <v>#N/A</v>
      </c>
      <c r="S50" s="125" t="e">
        <f ca="1">IF($A50=0,NA(),INDIRECT("'File "&amp;$B50&amp;"'!"&amp;IF($A50=1,"NASLDC","FU_NASLDC")))</f>
        <v>#N/A</v>
      </c>
      <c r="V50">
        <v>7</v>
      </c>
      <c r="W50">
        <v>2</v>
      </c>
      <c r="X50" s="8">
        <f>SUMIFS(S$113:S$172,C$113:C$172,V50,D$113:D$172,W50)</f>
        <v>0</v>
      </c>
      <c r="Y50" s="8">
        <f>'File 7'!H22</f>
        <v>0</v>
      </c>
      <c r="Z50" s="8">
        <f t="shared" si="0"/>
        <v>0</v>
      </c>
      <c r="AA50" s="8">
        <f>'File 7'!G5</f>
        <v>0</v>
      </c>
    </row>
    <row r="51" spans="1:58" x14ac:dyDescent="0.25">
      <c r="A51">
        <f ca="1">IF(B51&lt;=No_Components,OFFSET('Control Sheet'!$H$45,B51,0,1,1),0)</f>
        <v>0</v>
      </c>
      <c r="B51">
        <v>7</v>
      </c>
      <c r="C51" s="134"/>
      <c r="D51" s="134">
        <f ca="1">IF(A51=1," ",OFFSET('Control Sheet'!$H$45,B51,3,1,1))</f>
        <v>0</v>
      </c>
      <c r="E51" t="str">
        <f ca="1">IF(A51=0,"",IF(A51=1,"",OFFSET('Control Sheet'!$D$45,B51,3,1,1)))</f>
        <v/>
      </c>
      <c r="F51" s="70">
        <f ca="1">IF($A51=1,NA(),CHOOSE($G$19,OFFSET('Reference dates (hide)'!$AA$42,$G$20,$B51*3,1,1),OFFSET('Reference dates (hide)'!$N$122,$B51*3,$G$20,1,1),OFFSET('Reference dates (hide)'!$AA$122,$B51*3,0,1,1)))</f>
        <v>0</v>
      </c>
      <c r="G51" s="68">
        <f ca="1">IF($A51=1,NA(),CHOOSE($G$19,OFFSET('Reference dates (hide)'!$CO$42,$G$20,$B51*3,1,1),OFFSET('Reference dates (hide)'!$N$183,$B51*3,$G$20,1,1),OFFSET('Reference dates (hide)'!$AA$183,$B51*3,0,1,1)))</f>
        <v>0</v>
      </c>
      <c r="H51" s="68">
        <f ca="1">IF($A51=1,NA(),CHOOSE($G$19,OFFSET('Reference dates (hide)'!$HQ$42,$G$20,$B51*3,1,1),OFFSET('Reference dates (hide)'!$N$244,$B51*3,$G$20,1,1),OFFSET('Reference dates (hide)'!$AA$244,$B51*3,0,1,1)))</f>
        <v>0</v>
      </c>
      <c r="I51" s="75">
        <f ca="1">IF($A51=1,NA(),CHOOSE($G$19,OFFSET('Reference dates (hide)'!$FC$42,$G$20,$B51*3,1,1),OFFSET('Reference dates (hide)'!$N$320,$B51*3,$G$20,1,1),OFFSET('Reference dates (hide)'!$AA$320,$B51*3,0,1,1)))</f>
        <v>0</v>
      </c>
      <c r="J51" s="75">
        <f ca="1">IF($A51=1,NA(),CHOOSE($G$19,OFFSET('Reference dates (hide)'!$KE$42,$G$20,$B51*3,1,1),OFFSET('Reference dates (hide)'!$N$381,$B51*3,$G$20,1,1),OFFSET('Reference dates (hide)'!$AA$381,$B51*3,0,1,1)))</f>
        <v>0</v>
      </c>
      <c r="K51" s="70" t="e">
        <f ca="1">IF($A51&lt;&gt;0,0.95*IF($A51=1,NA(),$Z51),NA())</f>
        <v>#N/A</v>
      </c>
      <c r="L51" s="70" t="e">
        <f ca="1">IF($A51&lt;&gt;0,1.05*IF($A51=1,NA(),$Z51),NA())</f>
        <v>#N/A</v>
      </c>
      <c r="M51" s="66" t="e">
        <f ca="1">L51-K51</f>
        <v>#N/A</v>
      </c>
      <c r="N51" s="70" t="e">
        <f ca="1">IF($A51&lt;&gt;0,IF($A51=1,NA(),$AA51),NA())</f>
        <v>#N/A</v>
      </c>
      <c r="P51" s="125" t="e">
        <f ca="1">IF(OR($A51=1, $A51=0),NA(),INDIRECT("'File "&amp;$B51&amp;"'!IP_ROTT"))</f>
        <v>#N/A</v>
      </c>
      <c r="Q51" s="125" t="e">
        <f ca="1">IF(OR($A51=1, $A51=0),NA(),INDIRECT("'File "&amp;$B51&amp;"'!IP_NASRDC_Overall"))</f>
        <v>#N/A</v>
      </c>
      <c r="R51" s="125" t="e">
        <f ca="1">IF(OR($A51=1, $A51=0),NA(),INDIRECT("'File "&amp;$B51&amp;"'!IP_NASL"))</f>
        <v>#N/A</v>
      </c>
      <c r="S51" s="125" t="e">
        <f ca="1">IF(OR($A51=1, $A51=0),NA(),INDIRECT("'File "&amp;$B51&amp;"'!IP_NASLDC"))</f>
        <v>#N/A</v>
      </c>
      <c r="V51">
        <v>7</v>
      </c>
      <c r="W51">
        <v>3</v>
      </c>
      <c r="X51" s="8">
        <f>SUMIFS(S$113:S$172,C$113:C$172,V51,D$113:D$172,W51)</f>
        <v>0</v>
      </c>
      <c r="Y51" s="8">
        <f>'File 7'!L22</f>
        <v>0</v>
      </c>
      <c r="Z51" s="8">
        <f t="shared" si="0"/>
        <v>0</v>
      </c>
      <c r="AA51" s="8">
        <f>'File 7'!K5</f>
        <v>0</v>
      </c>
    </row>
    <row r="52" spans="1:58" x14ac:dyDescent="0.25">
      <c r="C52" s="134" t="s">
        <v>1032</v>
      </c>
      <c r="D52" s="134"/>
      <c r="F52" s="70"/>
      <c r="G52" s="68"/>
      <c r="H52" s="68"/>
      <c r="I52" s="75"/>
      <c r="J52" s="75"/>
      <c r="K52" s="70"/>
      <c r="L52" s="70"/>
      <c r="M52" s="66"/>
      <c r="N52" s="70"/>
      <c r="P52" s="125"/>
      <c r="Q52" s="125"/>
      <c r="R52" s="125"/>
      <c r="S52" s="125"/>
      <c r="X52" s="8"/>
      <c r="Y52" s="8"/>
      <c r="Z52" s="8"/>
      <c r="AA52" s="8"/>
    </row>
    <row r="53" spans="1:58" x14ac:dyDescent="0.25">
      <c r="A53">
        <f ca="1">IF(B53&lt;=No_Components,OFFSET('Control Sheet'!$H$45,B53,0,1,1),0)</f>
        <v>0</v>
      </c>
      <c r="B53">
        <v>8</v>
      </c>
      <c r="C53" s="134">
        <f ca="1">OFFSET('Control Sheet'!$B$45,B53,0,1,1)</f>
        <v>0</v>
      </c>
      <c r="D53" s="134" t="str">
        <f ca="1">IF(A53=1,"",OFFSET('Control Sheet'!$H$45,B53,1,1,1))</f>
        <v>0</v>
      </c>
      <c r="E53" t="str">
        <f ca="1">IF(A53=0,"",IF(A53=1,"",OFFSET('Control Sheet'!$D$45,B53,1,1,1)))</f>
        <v/>
      </c>
      <c r="F53" s="70">
        <f ca="1">IF($A53=1,NA(),CHOOSE($G$19,OFFSET('Reference dates (hide)'!$Y$42,$G$20,$B53*3,1,1),OFFSET('Reference dates (hide)'!$N$120,$B53*3,$G$20,1,1),OFFSET('Reference dates (hide)'!$AA$120,$B53*3,0,1,1)))</f>
        <v>0</v>
      </c>
      <c r="G53" s="68">
        <f ca="1">IF($A53=1,NA(),CHOOSE($G$19,OFFSET('Reference dates (hide)'!$CM$42,$G$20,$B53*3,1,1),OFFSET('Reference dates (hide)'!$N$181,$B53*3,$G$20,1,1),OFFSET('Reference dates (hide)'!$AA$181,$B53*3,0,1,1)))</f>
        <v>0</v>
      </c>
      <c r="H53" s="68">
        <f ca="1">IF($A53=1,NA(),CHOOSE($G$19,OFFSET('Reference dates (hide)'!$HO$42,$G$20,$B53*3,1,1),OFFSET('Reference dates (hide)'!$N$242,$B53*3,$G$20,1,1),OFFSET('Reference dates (hide)'!$AA$242,$B53*3,0,1,1)))</f>
        <v>0</v>
      </c>
      <c r="I53" s="75">
        <f ca="1">IF($A53=1,NA(),CHOOSE($G$19,OFFSET('Reference dates (hide)'!$FA$42,$G$20,$B53*3,1,1),OFFSET('Reference dates (hide)'!$N$318,$B53*3,$G$20,1,1),OFFSET('Reference dates (hide)'!$AA$318,$B53*3,0,1,1)))</f>
        <v>0</v>
      </c>
      <c r="J53" s="75">
        <f ca="1">IF($A53=1,NA(),CHOOSE($G$19,OFFSET('Reference dates (hide)'!$KC$42,$G$20,$B53*3,1,1),OFFSET('Reference dates (hide)'!$N$379,$B53*3,$G$20,1,1),OFFSET('Reference dates (hide)'!$AA$379,$B53*3,0,1,1)))</f>
        <v>0</v>
      </c>
      <c r="K53" s="70" t="e">
        <f ca="1">IF($A53&lt;&gt;0,IF($A53=1,NA(),0.95*$Z53),NA())</f>
        <v>#N/A</v>
      </c>
      <c r="L53" s="70" t="e">
        <f ca="1">IF($A53&lt;&gt;0,IF($A53=1,NA(),1.05*$Z53),NA())</f>
        <v>#N/A</v>
      </c>
      <c r="M53" s="66" t="e">
        <f ca="1">L53-K53</f>
        <v>#N/A</v>
      </c>
      <c r="N53" s="70" t="e">
        <f ca="1">IF($A53&lt;&gt;0,IF($A53=1,NA(),$AA53),NA())</f>
        <v>#N/A</v>
      </c>
      <c r="P53" s="125" t="e">
        <f ca="1">IF(OR($A53=0, $A53=1),NA(),INDIRECT("'File "&amp;$B53&amp;"'!ROTT"))</f>
        <v>#N/A</v>
      </c>
      <c r="Q53" s="125" t="e">
        <f ca="1">IF(OR($A53=0, $A53=1),NA(),INDIRECT("'File "&amp;$B53&amp;"'!NASRDC_Overall"))</f>
        <v>#N/A</v>
      </c>
      <c r="R53" s="125" t="e">
        <f ca="1">IF(OR($A53=0, $A53=1),NA(),INDIRECT("'File "&amp;$B53&amp;"'!NASL"))</f>
        <v>#N/A</v>
      </c>
      <c r="S53" s="125" t="e">
        <f ca="1">IF(OR($A53=0, $A53=1),NA(),INDIRECT("'File "&amp;$B53&amp;"'!NASLDC"))</f>
        <v>#N/A</v>
      </c>
      <c r="V53">
        <v>8</v>
      </c>
      <c r="W53">
        <v>1</v>
      </c>
      <c r="X53" s="8">
        <f>SUMIFS(S$113:S$172,C$113:C$172,V53,D$113:D$172,W53)</f>
        <v>0</v>
      </c>
      <c r="Y53" s="8">
        <f ca="1">IF(AND(V53&lt;=No_Components,X53=0),INDIRECT("'File "&amp;V53&amp;"'!D5"),0)</f>
        <v>0</v>
      </c>
      <c r="Z53" s="8">
        <f ca="1">SUM(X53:Y53)</f>
        <v>0</v>
      </c>
      <c r="AA53" s="8">
        <f>'File 8'!D5</f>
        <v>0</v>
      </c>
      <c r="BA53" s="95"/>
      <c r="BB53" s="95"/>
      <c r="BC53" s="96"/>
      <c r="BD53" s="95"/>
      <c r="BE53" s="95"/>
      <c r="BF53" s="95"/>
    </row>
    <row r="54" spans="1:58" x14ac:dyDescent="0.25">
      <c r="A54">
        <f ca="1">IF(B54&lt;=No_Components,OFFSET('Control Sheet'!$H$45,B54,0,1,1),0)</f>
        <v>0</v>
      </c>
      <c r="B54">
        <v>8</v>
      </c>
      <c r="C54" s="134"/>
      <c r="D54" s="134">
        <f ca="1">OFFSET('Control Sheet'!$H$45,B54,IF(A54=1,1,2),1,1)</f>
        <v>0</v>
      </c>
      <c r="E54" t="str">
        <f ca="1">IF(A54=0,"",OFFSET('Control Sheet'!$D$45,B54,IF(A54=1,1,2),1,1))</f>
        <v/>
      </c>
      <c r="F54" s="70">
        <f ca="1">CHOOSE($G$19,OFFSET('Reference dates (hide)'!$Z$42,$G$20,$B54*3-MOD($A54,3),1,1),OFFSET('Reference dates (hide)'!$N$121,$B54*3-MOD($A54,3),$G$20,1,1),OFFSET('Reference dates (hide)'!$AA$121,$B54*3-MOD($A54,3),0,1,1))</f>
        <v>0</v>
      </c>
      <c r="G54" s="68">
        <f ca="1">CHOOSE($G$19,OFFSET('Reference dates (hide)'!$CN$42,$G$20,$B54*3-MOD($A54,3),1,1),OFFSET('Reference dates (hide)'!$N$182,$B54*3-MOD($A54,3),$G$20,1,1),OFFSET('Reference dates (hide)'!$AA$182,$B54*3-MOD($A54,3),0,1,1))</f>
        <v>0</v>
      </c>
      <c r="H54" s="68">
        <f ca="1">CHOOSE($G$19,OFFSET('Reference dates (hide)'!$HP$42,$G$20,$B54*3-MOD($A54,3),1,1),OFFSET('Reference dates (hide)'!$N$243,$B54*3-MOD($A54,3),$G$20,1,1),OFFSET('Reference dates (hide)'!$AA$243,$B54*3-MOD($A54,3),0,1,1))</f>
        <v>0</v>
      </c>
      <c r="I54" s="75">
        <f ca="1">CHOOSE($G$19,OFFSET('Reference dates (hide)'!$FB$42,$G$20,$B54*3-MOD($A54,3),1,1),OFFSET('Reference dates (hide)'!$N$319,$B54*3-MOD($A54,3),$G$20,1,1),OFFSET('Reference dates (hide)'!$AA$319,$B54*3-MOD($A54,3),0,1,1))</f>
        <v>0</v>
      </c>
      <c r="J54" s="75">
        <f ca="1">CHOOSE($G$19,OFFSET('Reference dates (hide)'!$KD$42,$G$20,$B54*3-MOD($A54,3),1,1),OFFSET('Reference dates (hide)'!$N$380,$B54*3-MOD($A54,3),$G$20,1,1),OFFSET('Reference dates (hide)'!$AA$380,$B54*3-MOD($A54,3),0,1,1))</f>
        <v>0</v>
      </c>
      <c r="K54" s="70" t="e">
        <f ca="1">IF($A54&lt;&gt;0,0.95*IF($A54=1,$Z53,$Z54),NA())</f>
        <v>#N/A</v>
      </c>
      <c r="L54" s="70" t="e">
        <f ca="1">IF($A54&lt;&gt;0,1.05*IF($A54=1,$Z53,$Z54),NA())</f>
        <v>#N/A</v>
      </c>
      <c r="M54" s="66" t="e">
        <f ca="1">L54-K54</f>
        <v>#N/A</v>
      </c>
      <c r="N54" s="70" t="e">
        <f ca="1">IF($A54&lt;&gt;0,IF($A54=1,$AA53,$AA54),NA())</f>
        <v>#N/A</v>
      </c>
      <c r="P54" s="125" t="e">
        <f ca="1">IF($A54=0,NA(),INDIRECT("'File "&amp;$B54&amp;"'!"&amp;IF($A54=1,"ROTT","FU_ROTT")))</f>
        <v>#N/A</v>
      </c>
      <c r="Q54" s="125" t="e">
        <f ca="1">IF($A54=0,NA(),INDIRECT("'File "&amp;$B54&amp;"'!"&amp;IF($A54=1,"NASRDC_Overall","FU_NASRDC_Overall")))</f>
        <v>#N/A</v>
      </c>
      <c r="R54" s="125" t="e">
        <f ca="1">IF($A54=0,NA(),INDIRECT("'File "&amp;$B54&amp;"'!"&amp;IF($A54=1,"NASL","FU_NASL")))</f>
        <v>#N/A</v>
      </c>
      <c r="S54" s="125" t="e">
        <f ca="1">IF($A54=0,NA(),INDIRECT("'File "&amp;$B54&amp;"'!"&amp;IF($A54=1,"NASLDC","FU_NASLDC")))</f>
        <v>#N/A</v>
      </c>
      <c r="V54">
        <v>8</v>
      </c>
      <c r="W54">
        <v>2</v>
      </c>
      <c r="X54" s="8">
        <f>SUMIFS(S$113:S$172,C$113:C$172,V54,D$113:D$172,W54)</f>
        <v>0</v>
      </c>
      <c r="Y54" s="8">
        <f>'File 8'!H22</f>
        <v>0</v>
      </c>
      <c r="Z54" s="8">
        <f t="shared" si="0"/>
        <v>0</v>
      </c>
      <c r="AA54" s="8">
        <f>'File 8'!G5</f>
        <v>0</v>
      </c>
    </row>
    <row r="55" spans="1:58" x14ac:dyDescent="0.25">
      <c r="A55">
        <f ca="1">IF(B55&lt;=No_Components,OFFSET('Control Sheet'!$H$45,B55,0,1,1),0)</f>
        <v>0</v>
      </c>
      <c r="B55">
        <v>8</v>
      </c>
      <c r="C55" s="134"/>
      <c r="D55" s="134">
        <f ca="1">IF(A55=1," ",OFFSET('Control Sheet'!$H$45,B55,3,1,1))</f>
        <v>0</v>
      </c>
      <c r="E55" t="str">
        <f ca="1">IF(A55=0,"",IF(A55=1,"",OFFSET('Control Sheet'!$D$45,B55,3,1,1)))</f>
        <v/>
      </c>
      <c r="F55" s="70">
        <f ca="1">IF($A55=1,NA(),CHOOSE($G$19,OFFSET('Reference dates (hide)'!$AA$42,$G$20,$B55*3,1,1),OFFSET('Reference dates (hide)'!$N$122,$B55*3,$G$20,1,1),OFFSET('Reference dates (hide)'!$AA$122,$B55*3,0,1,1)))</f>
        <v>0</v>
      </c>
      <c r="G55" s="68">
        <f ca="1">IF($A55=1,NA(),CHOOSE($G$19,OFFSET('Reference dates (hide)'!$CO$42,$G$20,$B55*3,1,1),OFFSET('Reference dates (hide)'!$N$183,$B55*3,$G$20,1,1),OFFSET('Reference dates (hide)'!$AA$183,$B55*3,0,1,1)))</f>
        <v>0</v>
      </c>
      <c r="H55" s="68">
        <f ca="1">IF($A55=1,NA(),CHOOSE($G$19,OFFSET('Reference dates (hide)'!$HQ$42,$G$20,$B55*3,1,1),OFFSET('Reference dates (hide)'!$N$244,$B55*3,$G$20,1,1),OFFSET('Reference dates (hide)'!$AA$244,$B55*3,0,1,1)))</f>
        <v>0</v>
      </c>
      <c r="I55" s="75">
        <f ca="1">IF($A55=1,NA(),CHOOSE($G$19,OFFSET('Reference dates (hide)'!$FC$42,$G$20,$B55*3,1,1),OFFSET('Reference dates (hide)'!$N$320,$B55*3,$G$20,1,1),OFFSET('Reference dates (hide)'!$AA$320,$B55*3,0,1,1)))</f>
        <v>0</v>
      </c>
      <c r="J55" s="75">
        <f ca="1">IF($A55=1,NA(),CHOOSE($G$19,OFFSET('Reference dates (hide)'!$KE$42,$G$20,$B55*3,1,1),OFFSET('Reference dates (hide)'!$N$381,$B55*3,$G$20,1,1),OFFSET('Reference dates (hide)'!$AA$381,$B55*3,0,1,1)))</f>
        <v>0</v>
      </c>
      <c r="K55" s="70" t="e">
        <f ca="1">IF($A55&lt;&gt;0,0.95*IF($A55=1,NA(),$Z55),NA())</f>
        <v>#N/A</v>
      </c>
      <c r="L55" s="70" t="e">
        <f ca="1">IF($A55&lt;&gt;0,1.05*IF($A55=1,NA(),$Z55),NA())</f>
        <v>#N/A</v>
      </c>
      <c r="M55" s="66" t="e">
        <f ca="1">L55-K55</f>
        <v>#N/A</v>
      </c>
      <c r="N55" s="70" t="e">
        <f ca="1">IF($A55&lt;&gt;0,IF($A55=1,NA(),$AA55),NA())</f>
        <v>#N/A</v>
      </c>
      <c r="P55" s="125" t="e">
        <f ca="1">IF(OR($A55=1, $A55=0),NA(),INDIRECT("'File "&amp;$B55&amp;"'!IP_ROTT"))</f>
        <v>#N/A</v>
      </c>
      <c r="Q55" s="125" t="e">
        <f ca="1">IF(OR($A55=1, $A55=0),NA(),INDIRECT("'File "&amp;$B55&amp;"'!IP_NASRDC_Overall"))</f>
        <v>#N/A</v>
      </c>
      <c r="R55" s="125" t="e">
        <f ca="1">IF(OR($A55=1, $A55=0),NA(),INDIRECT("'File "&amp;$B55&amp;"'!IP_NASL"))</f>
        <v>#N/A</v>
      </c>
      <c r="S55" s="125" t="e">
        <f ca="1">IF(OR($A55=1, $A55=0),NA(),INDIRECT("'File "&amp;$B55&amp;"'!IP_NASLDC"))</f>
        <v>#N/A</v>
      </c>
      <c r="V55">
        <v>8</v>
      </c>
      <c r="W55">
        <v>3</v>
      </c>
      <c r="X55" s="8">
        <f>SUMIFS(S$113:S$172,C$113:C$172,V55,D$113:D$172,W55)</f>
        <v>0</v>
      </c>
      <c r="Y55" s="8">
        <f>'File 8'!L22</f>
        <v>0</v>
      </c>
      <c r="Z55" s="8">
        <f t="shared" si="0"/>
        <v>0</v>
      </c>
      <c r="AA55" s="8">
        <f>'File 8'!K5</f>
        <v>0</v>
      </c>
    </row>
    <row r="56" spans="1:58" x14ac:dyDescent="0.25">
      <c r="C56" s="134" t="s">
        <v>1032</v>
      </c>
      <c r="D56" s="134"/>
      <c r="F56" s="70"/>
      <c r="G56" s="68"/>
      <c r="H56" s="68"/>
      <c r="I56" s="75"/>
      <c r="J56" s="75"/>
      <c r="K56" s="70"/>
      <c r="L56" s="70"/>
      <c r="M56" s="66"/>
      <c r="N56" s="70"/>
      <c r="P56" s="125"/>
      <c r="Q56" s="125"/>
      <c r="R56" s="125"/>
      <c r="S56" s="125"/>
      <c r="X56" s="8"/>
      <c r="Y56" s="8"/>
      <c r="Z56" s="8"/>
      <c r="AA56" s="8"/>
    </row>
    <row r="57" spans="1:58" x14ac:dyDescent="0.25">
      <c r="A57">
        <f ca="1">IF(B57&lt;=No_Components,OFFSET('Control Sheet'!$H$45,B57,0,1,1),0)</f>
        <v>0</v>
      </c>
      <c r="B57">
        <v>9</v>
      </c>
      <c r="C57" s="134">
        <f ca="1">OFFSET('Control Sheet'!$B$45,B57,0,1,1)</f>
        <v>0</v>
      </c>
      <c r="D57" s="134" t="str">
        <f ca="1">IF(A57=1,"",OFFSET('Control Sheet'!$H$45,B57,1,1,1))</f>
        <v>0</v>
      </c>
      <c r="E57" t="str">
        <f ca="1">IF(A57=0,"",IF(A57=1,"",OFFSET('Control Sheet'!$D$45,B57,1,1,1)))</f>
        <v/>
      </c>
      <c r="F57" s="70">
        <f ca="1">IF($A57=1,NA(),CHOOSE($G$19,OFFSET('Reference dates (hide)'!$Y$42,$G$20,$B57*3,1,1),OFFSET('Reference dates (hide)'!$N$120,$B57*3,$G$20,1,1),OFFSET('Reference dates (hide)'!$AA$120,$B57*3,0,1,1)))</f>
        <v>0</v>
      </c>
      <c r="G57" s="68">
        <f ca="1">IF($A57=1,NA(),CHOOSE($G$19,OFFSET('Reference dates (hide)'!$CM$42,$G$20,$B57*3,1,1),OFFSET('Reference dates (hide)'!$N$181,$B57*3,$G$20,1,1),OFFSET('Reference dates (hide)'!$AA$181,$B57*3,0,1,1)))</f>
        <v>0</v>
      </c>
      <c r="H57" s="68">
        <f ca="1">IF($A57=1,NA(),CHOOSE($G$19,OFFSET('Reference dates (hide)'!$HO$42,$G$20,$B57*3,1,1),OFFSET('Reference dates (hide)'!$N$242,$B57*3,$G$20,1,1),OFFSET('Reference dates (hide)'!$AA$242,$B57*3,0,1,1)))</f>
        <v>0</v>
      </c>
      <c r="I57" s="75">
        <f ca="1">IF($A57=1,NA(),CHOOSE($G$19,OFFSET('Reference dates (hide)'!$FA$42,$G$20,$B57*3,1,1),OFFSET('Reference dates (hide)'!$N$318,$B57*3,$G$20,1,1),OFFSET('Reference dates (hide)'!$AA$318,$B57*3,0,1,1)))</f>
        <v>0</v>
      </c>
      <c r="J57" s="75">
        <f ca="1">IF($A57=1,NA(),CHOOSE($G$19,OFFSET('Reference dates (hide)'!$KC$42,$G$20,$B57*3,1,1),OFFSET('Reference dates (hide)'!$N$379,$B57*3,$G$20,1,1),OFFSET('Reference dates (hide)'!$AA$379,$B57*3,0,1,1)))</f>
        <v>0</v>
      </c>
      <c r="K57" s="70" t="e">
        <f ca="1">IF($A57&lt;&gt;0,IF($A57=1,NA(),0.95*$Z57),NA())</f>
        <v>#N/A</v>
      </c>
      <c r="L57" s="70" t="e">
        <f ca="1">IF($A57&lt;&gt;0,IF($A57=1,NA(),1.05*$Z57),NA())</f>
        <v>#N/A</v>
      </c>
      <c r="M57" s="66" t="e">
        <f ca="1">L57-K57</f>
        <v>#N/A</v>
      </c>
      <c r="N57" s="70" t="e">
        <f ca="1">IF($A57&lt;&gt;0,IF($A57=1,NA(),$AA57),NA())</f>
        <v>#N/A</v>
      </c>
      <c r="P57" s="125" t="e">
        <f ca="1">IF(OR($A57=0, $A57=1),NA(),INDIRECT("'File "&amp;$B57&amp;"'!ROTT"))</f>
        <v>#N/A</v>
      </c>
      <c r="Q57" s="125" t="e">
        <f ca="1">IF(OR($A57=0, $A57=1),NA(),INDIRECT("'File "&amp;$B57&amp;"'!NASRDC_Overall"))</f>
        <v>#N/A</v>
      </c>
      <c r="R57" s="125" t="e">
        <f ca="1">IF(OR($A57=0, $A57=1),NA(),INDIRECT("'File "&amp;$B57&amp;"'!NASL"))</f>
        <v>#N/A</v>
      </c>
      <c r="S57" s="125" t="e">
        <f ca="1">IF(OR($A57=0, $A57=1),NA(),INDIRECT("'File "&amp;$B57&amp;"'!NASLDC"))</f>
        <v>#N/A</v>
      </c>
      <c r="V57">
        <v>9</v>
      </c>
      <c r="W57">
        <v>1</v>
      </c>
      <c r="X57" s="8">
        <f>SUMIFS(S$113:S$172,C$113:C$172,V57,D$113:D$172,W57)</f>
        <v>0</v>
      </c>
      <c r="Y57" s="8">
        <f ca="1">IF(AND(V57&lt;=No_Components,X57=0),INDIRECT("'File "&amp;V57&amp;"'!D5"),0)</f>
        <v>0</v>
      </c>
      <c r="Z57" s="8">
        <f ca="1">SUM(X57:Y57)</f>
        <v>0</v>
      </c>
      <c r="AA57" s="8">
        <f>'File 9'!D5</f>
        <v>0</v>
      </c>
    </row>
    <row r="58" spans="1:58" x14ac:dyDescent="0.25">
      <c r="A58">
        <f ca="1">IF(B58&lt;=No_Components,OFFSET('Control Sheet'!$H$45,B58,0,1,1),0)</f>
        <v>0</v>
      </c>
      <c r="B58">
        <v>9</v>
      </c>
      <c r="C58" s="134"/>
      <c r="D58" s="134">
        <f ca="1">OFFSET('Control Sheet'!$H$45,B58,IF(A58=1,1,2),1,1)</f>
        <v>0</v>
      </c>
      <c r="E58" t="str">
        <f ca="1">IF(A58=0,"",OFFSET('Control Sheet'!$D$45,B58,IF(A58=1,1,2),1,1))</f>
        <v/>
      </c>
      <c r="F58" s="70">
        <f ca="1">CHOOSE($G$19,OFFSET('Reference dates (hide)'!$Z$42,$G$20,$B58*3-MOD($A58,3),1,1),OFFSET('Reference dates (hide)'!$N$121,$B58*3-MOD($A58,3),$G$20,1,1),OFFSET('Reference dates (hide)'!$AA$121,$B58*3-MOD($A58,3),0,1,1))</f>
        <v>0</v>
      </c>
      <c r="G58" s="68">
        <f ca="1">CHOOSE($G$19,OFFSET('Reference dates (hide)'!$CN$42,$G$20,$B58*3-MOD($A58,3),1,1),OFFSET('Reference dates (hide)'!$N$182,$B58*3-MOD($A58,3),$G$20,1,1),OFFSET('Reference dates (hide)'!$AA$182,$B58*3-MOD($A58,3),0,1,1))</f>
        <v>0</v>
      </c>
      <c r="H58" s="68">
        <f ca="1">CHOOSE($G$19,OFFSET('Reference dates (hide)'!$HP$42,$G$20,$B58*3-MOD($A58,3),1,1),OFFSET('Reference dates (hide)'!$N$243,$B58*3-MOD($A58,3),$G$20,1,1),OFFSET('Reference dates (hide)'!$AA$243,$B58*3-MOD($A58,3),0,1,1))</f>
        <v>0</v>
      </c>
      <c r="I58" s="75">
        <f ca="1">CHOOSE($G$19,OFFSET('Reference dates (hide)'!$FB$42,$G$20,$B58*3-MOD($A58,3),1,1),OFFSET('Reference dates (hide)'!$N$319,$B58*3-MOD($A58,3),$G$20,1,1),OFFSET('Reference dates (hide)'!$AA$319,$B58*3-MOD($A58,3),0,1,1))</f>
        <v>0</v>
      </c>
      <c r="J58" s="75">
        <f ca="1">CHOOSE($G$19,OFFSET('Reference dates (hide)'!$KD$42,$G$20,$B58*3-MOD($A58,3),1,1),OFFSET('Reference dates (hide)'!$N$380,$B58*3-MOD($A58,3),$G$20,1,1),OFFSET('Reference dates (hide)'!$AA$380,$B58*3-MOD($A58,3),0,1,1))</f>
        <v>0</v>
      </c>
      <c r="K58" s="70" t="e">
        <f ca="1">IF($A58&lt;&gt;0,0.95*IF($A58=1,$Z57,$Z58),NA())</f>
        <v>#N/A</v>
      </c>
      <c r="L58" s="70" t="e">
        <f ca="1">IF($A58&lt;&gt;0,1.05*IF($A58=1,$Z57,$Z58),NA())</f>
        <v>#N/A</v>
      </c>
      <c r="M58" s="66" t="e">
        <f ca="1">L58-K58</f>
        <v>#N/A</v>
      </c>
      <c r="N58" s="70" t="e">
        <f ca="1">IF($A58&lt;&gt;0,IF($A58=1,$AA57,$AA58),NA())</f>
        <v>#N/A</v>
      </c>
      <c r="P58" s="125" t="e">
        <f ca="1">IF($A58=0,NA(),INDIRECT("'File "&amp;$B58&amp;"'!"&amp;IF($A58=1,"ROTT","FU_ROTT")))</f>
        <v>#N/A</v>
      </c>
      <c r="Q58" s="125" t="e">
        <f ca="1">IF($A58=0,NA(),INDIRECT("'File "&amp;$B58&amp;"'!"&amp;IF($A58=1,"NASRDC_Overall","FU_NASRDC_Overall")))</f>
        <v>#N/A</v>
      </c>
      <c r="R58" s="125" t="e">
        <f ca="1">IF($A58=0,NA(),INDIRECT("'File "&amp;$B58&amp;"'!"&amp;IF($A58=1,"NASL","FU_NASL")))</f>
        <v>#N/A</v>
      </c>
      <c r="S58" s="125" t="e">
        <f ca="1">IF($A58=0,NA(),INDIRECT("'File "&amp;$B58&amp;"'!"&amp;IF($A58=1,"NASLDC","FU_NASLDC")))</f>
        <v>#N/A</v>
      </c>
      <c r="V58">
        <v>9</v>
      </c>
      <c r="W58">
        <v>2</v>
      </c>
      <c r="X58" s="8">
        <f>SUMIFS(S$113:S$172,C$113:C$172,V58,D$113:D$172,W58)</f>
        <v>0</v>
      </c>
      <c r="Y58" s="8">
        <f>'File 9'!H22</f>
        <v>0</v>
      </c>
      <c r="Z58" s="8">
        <f t="shared" si="0"/>
        <v>0</v>
      </c>
      <c r="AA58" s="8">
        <f>'File 9'!G5</f>
        <v>0</v>
      </c>
    </row>
    <row r="59" spans="1:58" x14ac:dyDescent="0.25">
      <c r="A59">
        <f ca="1">IF(B59&lt;=No_Components,OFFSET('Control Sheet'!$H$45,B59,0,1,1),0)</f>
        <v>0</v>
      </c>
      <c r="B59">
        <v>9</v>
      </c>
      <c r="C59" s="134"/>
      <c r="D59" s="134">
        <f ca="1">IF(A59=1," ",OFFSET('Control Sheet'!$H$45,B59,3,1,1))</f>
        <v>0</v>
      </c>
      <c r="E59" t="str">
        <f ca="1">IF(A59=0,"",IF(A59=1,"",OFFSET('Control Sheet'!$D$45,B59,3,1,1)))</f>
        <v/>
      </c>
      <c r="F59" s="70">
        <f ca="1">IF($A59=1,NA(),CHOOSE($G$19,OFFSET('Reference dates (hide)'!$AA$42,$G$20,$B59*3,1,1),OFFSET('Reference dates (hide)'!$N$122,$B59*3,$G$20,1,1),OFFSET('Reference dates (hide)'!$AA$122,$B59*3,0,1,1)))</f>
        <v>0</v>
      </c>
      <c r="G59" s="68">
        <f ca="1">IF($A59=1,NA(),CHOOSE($G$19,OFFSET('Reference dates (hide)'!$CO$42,$G$20,$B59*3,1,1),OFFSET('Reference dates (hide)'!$N$183,$B59*3,$G$20,1,1),OFFSET('Reference dates (hide)'!$AA$183,$B59*3,0,1,1)))</f>
        <v>0</v>
      </c>
      <c r="H59" s="68">
        <f ca="1">IF($A59=1,NA(),CHOOSE($G$19,OFFSET('Reference dates (hide)'!$HQ$42,$G$20,$B59*3,1,1),OFFSET('Reference dates (hide)'!$N$244,$B59*3,$G$20,1,1),OFFSET('Reference dates (hide)'!$AA$244,$B59*3,0,1,1)))</f>
        <v>0</v>
      </c>
      <c r="I59" s="75">
        <f ca="1">IF($A59=1,NA(),CHOOSE($G$19,OFFSET('Reference dates (hide)'!$FC$42,$G$20,$B59*3,1,1),OFFSET('Reference dates (hide)'!$N$320,$B59*3,$G$20,1,1),OFFSET('Reference dates (hide)'!$AA$320,$B59*3,0,1,1)))</f>
        <v>0</v>
      </c>
      <c r="J59" s="75">
        <f ca="1">IF($A59=1,NA(),CHOOSE($G$19,OFFSET('Reference dates (hide)'!$KE$42,$G$20,$B59*3,1,1),OFFSET('Reference dates (hide)'!$N$381,$B59*3,$G$20,1,1),OFFSET('Reference dates (hide)'!$AA$381,$B59*3,0,1,1)))</f>
        <v>0</v>
      </c>
      <c r="K59" s="70" t="e">
        <f ca="1">IF($A59&lt;&gt;0,0.95*IF($A59=1,NA(),$Z59),NA())</f>
        <v>#N/A</v>
      </c>
      <c r="L59" s="70" t="e">
        <f ca="1">IF($A59&lt;&gt;0,1.05*IF($A59=1,NA(),$Z59),NA())</f>
        <v>#N/A</v>
      </c>
      <c r="M59" s="66" t="e">
        <f ca="1">L59-K59</f>
        <v>#N/A</v>
      </c>
      <c r="N59" s="70" t="e">
        <f ca="1">IF($A59&lt;&gt;0,IF($A59=1,NA(),$AA59),NA())</f>
        <v>#N/A</v>
      </c>
      <c r="P59" s="125" t="e">
        <f ca="1">IF(OR($A59=1, $A59=0),NA(),INDIRECT("'File "&amp;$B59&amp;"'!IP_ROTT"))</f>
        <v>#N/A</v>
      </c>
      <c r="Q59" s="125" t="e">
        <f ca="1">IF(OR($A59=1, $A59=0),NA(),INDIRECT("'File "&amp;$B59&amp;"'!IP_NASRDC_Overall"))</f>
        <v>#N/A</v>
      </c>
      <c r="R59" s="125" t="e">
        <f ca="1">IF(OR($A59=1, $A59=0),NA(),INDIRECT("'File "&amp;$B59&amp;"'!IP_NASL"))</f>
        <v>#N/A</v>
      </c>
      <c r="S59" s="125" t="e">
        <f ca="1">IF(OR($A59=1, $A59=0),NA(),INDIRECT("'File "&amp;$B59&amp;"'!IP_NASLDC"))</f>
        <v>#N/A</v>
      </c>
      <c r="V59">
        <v>9</v>
      </c>
      <c r="W59">
        <v>3</v>
      </c>
      <c r="X59" s="8">
        <f>SUMIFS(S$113:S$172,C$113:C$172,V59,D$113:D$172,W59)</f>
        <v>0</v>
      </c>
      <c r="Y59" s="8">
        <f>'File 9'!L22</f>
        <v>0</v>
      </c>
      <c r="Z59" s="8">
        <f t="shared" si="0"/>
        <v>0</v>
      </c>
      <c r="AA59" s="8">
        <f>'File 9'!K5</f>
        <v>0</v>
      </c>
    </row>
    <row r="60" spans="1:58" x14ac:dyDescent="0.25">
      <c r="C60" s="134" t="s">
        <v>1032</v>
      </c>
      <c r="D60" s="134"/>
      <c r="F60" s="70"/>
      <c r="G60" s="68"/>
      <c r="H60" s="68"/>
      <c r="I60" s="75"/>
      <c r="J60" s="75"/>
      <c r="K60" s="70"/>
      <c r="L60" s="70"/>
      <c r="M60" s="66"/>
      <c r="N60" s="70"/>
      <c r="P60" s="125"/>
      <c r="Q60" s="125"/>
      <c r="R60" s="125"/>
      <c r="S60" s="125"/>
      <c r="X60" s="8"/>
      <c r="Y60" s="8"/>
      <c r="Z60" s="8"/>
      <c r="AA60" s="8"/>
    </row>
    <row r="61" spans="1:58" x14ac:dyDescent="0.25">
      <c r="A61">
        <f ca="1">IF(B61&lt;=No_Components,OFFSET('Control Sheet'!$H$45,B61,0,1,1),0)</f>
        <v>0</v>
      </c>
      <c r="B61">
        <v>10</v>
      </c>
      <c r="C61" s="134">
        <f ca="1">OFFSET('Control Sheet'!$B$45,B61,0,1,1)</f>
        <v>0</v>
      </c>
      <c r="D61" s="134" t="str">
        <f ca="1">IF(A61=1,"",OFFSET('Control Sheet'!$H$45,B61,1,1,1))</f>
        <v>0</v>
      </c>
      <c r="E61" t="str">
        <f ca="1">IF(A61=0,"",IF(A61=1,"",OFFSET('Control Sheet'!$D$45,B61,1,1,1)))</f>
        <v/>
      </c>
      <c r="F61" s="70">
        <f ca="1">IF($A61=1,NA(),CHOOSE($G$19,OFFSET('Reference dates (hide)'!$Y$42,$G$20,$B61*3,1,1),OFFSET('Reference dates (hide)'!$N$120,$B61*3,$G$20,1,1),OFFSET('Reference dates (hide)'!$AA$120,$B61*3,0,1,1)))</f>
        <v>0</v>
      </c>
      <c r="G61" s="68">
        <f ca="1">IF($A61=1,NA(),CHOOSE($G$19,OFFSET('Reference dates (hide)'!$CM$42,$G$20,$B61*3,1,1),OFFSET('Reference dates (hide)'!$N$181,$B61*3,$G$20,1,1),OFFSET('Reference dates (hide)'!$AA$181,$B61*3,0,1,1)))</f>
        <v>0</v>
      </c>
      <c r="H61" s="68">
        <f ca="1">IF($A61=1,NA(),CHOOSE($G$19,OFFSET('Reference dates (hide)'!$HO$42,$G$20,$B61*3,1,1),OFFSET('Reference dates (hide)'!$N$242,$B61*3,$G$20,1,1),OFFSET('Reference dates (hide)'!$AA$242,$B61*3,0,1,1)))</f>
        <v>0</v>
      </c>
      <c r="I61" s="75">
        <f ca="1">IF($A61=1,NA(),CHOOSE($G$19,OFFSET('Reference dates (hide)'!$FA$42,$G$20,$B61*3,1,1),OFFSET('Reference dates (hide)'!$N$318,$B61*3,$G$20,1,1),OFFSET('Reference dates (hide)'!$AA$318,$B61*3,0,1,1)))</f>
        <v>0</v>
      </c>
      <c r="J61" s="75">
        <f ca="1">IF($A61=1,NA(),CHOOSE($G$19,OFFSET('Reference dates (hide)'!$KC$42,$G$20,$B61*3,1,1),OFFSET('Reference dates (hide)'!$N$379,$B61*3,$G$20,1,1),OFFSET('Reference dates (hide)'!$AA$379,$B61*3,0,1,1)))</f>
        <v>0</v>
      </c>
      <c r="K61" s="70" t="e">
        <f ca="1">IF($A61&lt;&gt;0,IF($A61=1,NA(),0.95*$Z61),NA())</f>
        <v>#N/A</v>
      </c>
      <c r="L61" s="70" t="e">
        <f ca="1">IF($A61&lt;&gt;0,IF($A61=1,NA(),1.05*$Z61),NA())</f>
        <v>#N/A</v>
      </c>
      <c r="M61" s="66" t="e">
        <f ca="1">L61-K61</f>
        <v>#N/A</v>
      </c>
      <c r="N61" s="70" t="e">
        <f ca="1">IF($A61&lt;&gt;0,IF($A61=1,NA(),$AA61),NA())</f>
        <v>#N/A</v>
      </c>
      <c r="P61" s="125" t="e">
        <f ca="1">IF(OR($A61=0, $A61=1),NA(),INDIRECT("'File "&amp;$B61&amp;"'!ROTT"))</f>
        <v>#N/A</v>
      </c>
      <c r="Q61" s="125" t="e">
        <f ca="1">IF(OR($A61=0, $A61=1),NA(),INDIRECT("'File "&amp;$B61&amp;"'!NASRDC_Overall"))</f>
        <v>#N/A</v>
      </c>
      <c r="R61" s="125" t="e">
        <f ca="1">IF(OR($A61=0, $A61=1),NA(),INDIRECT("'File "&amp;$B61&amp;"'!NASL"))</f>
        <v>#N/A</v>
      </c>
      <c r="S61" s="125" t="e">
        <f ca="1">IF(OR($A61=0, $A61=1),NA(),INDIRECT("'File "&amp;$B61&amp;"'!NASLDC"))</f>
        <v>#N/A</v>
      </c>
      <c r="V61">
        <v>10</v>
      </c>
      <c r="W61">
        <v>1</v>
      </c>
      <c r="X61" s="8">
        <f>SUMIFS(S$113:S$172,C$113:C$172,V61,D$113:D$172,W61)</f>
        <v>0</v>
      </c>
      <c r="Y61" s="8">
        <f ca="1">IF(AND(V61&lt;=No_Components,X61=0),INDIRECT("'File "&amp;V61&amp;"'!D5"),0)</f>
        <v>0</v>
      </c>
      <c r="Z61" s="8">
        <f ca="1">SUM(X61:Y61)</f>
        <v>0</v>
      </c>
      <c r="AA61" s="8">
        <f>'File 10'!D5</f>
        <v>0</v>
      </c>
    </row>
    <row r="62" spans="1:58" x14ac:dyDescent="0.25">
      <c r="A62">
        <f ca="1">IF(B62&lt;=No_Components,OFFSET('Control Sheet'!$H$45,B62,0,1,1),0)</f>
        <v>0</v>
      </c>
      <c r="B62">
        <v>10</v>
      </c>
      <c r="C62" s="134"/>
      <c r="D62" s="134">
        <f ca="1">OFFSET('Control Sheet'!$H$45,B62,IF(A62=1,1,2),1,1)</f>
        <v>0</v>
      </c>
      <c r="E62" t="str">
        <f ca="1">IF(A62=0,"",OFFSET('Control Sheet'!$D$45,B62,IF(A62=1,1,2),1,1))</f>
        <v/>
      </c>
      <c r="F62" s="70">
        <f ca="1">CHOOSE($G$19,OFFSET('Reference dates (hide)'!$Z$42,$G$20,$B62*3-MOD($A62,3),1,1),OFFSET('Reference dates (hide)'!$N$121,$B62*3-MOD($A62,3),$G$20,1,1),OFFSET('Reference dates (hide)'!$AA$121,$B62*3-MOD($A62,3),0,1,1))</f>
        <v>0</v>
      </c>
      <c r="G62" s="68">
        <f ca="1">CHOOSE($G$19,OFFSET('Reference dates (hide)'!$CN$42,$G$20,$B62*3-MOD($A62,3),1,1),OFFSET('Reference dates (hide)'!$N$182,$B62*3-MOD($A62,3),$G$20,1,1),OFFSET('Reference dates (hide)'!$AA$182,$B62*3-MOD($A62,3),0,1,1))</f>
        <v>0</v>
      </c>
      <c r="H62" s="68">
        <f ca="1">CHOOSE($G$19,OFFSET('Reference dates (hide)'!$HP$42,$G$20,$B62*3-MOD($A62,3),1,1),OFFSET('Reference dates (hide)'!$N$243,$B62*3-MOD($A62,3),$G$20,1,1),OFFSET('Reference dates (hide)'!$AA$243,$B62*3-MOD($A62,3),0,1,1))</f>
        <v>0</v>
      </c>
      <c r="I62" s="75">
        <f ca="1">CHOOSE($G$19,OFFSET('Reference dates (hide)'!$FB$42,$G$20,$B62*3-MOD($A62,3),1,1),OFFSET('Reference dates (hide)'!$N$319,$B62*3-MOD($A62,3),$G$20,1,1),OFFSET('Reference dates (hide)'!$AA$319,$B62*3-MOD($A62,3),0,1,1))</f>
        <v>0</v>
      </c>
      <c r="J62" s="75">
        <f ca="1">CHOOSE($G$19,OFFSET('Reference dates (hide)'!$KD$42,$G$20,$B62*3-MOD($A62,3),1,1),OFFSET('Reference dates (hide)'!$N$380,$B62*3-MOD($A62,3),$G$20,1,1),OFFSET('Reference dates (hide)'!$AA$380,$B62*3-MOD($A62,3),0,1,1))</f>
        <v>0</v>
      </c>
      <c r="K62" s="70" t="e">
        <f ca="1">IF($A62&lt;&gt;0,0.95*IF($A62=1,$Z61,$Z62),NA())</f>
        <v>#N/A</v>
      </c>
      <c r="L62" s="70" t="e">
        <f ca="1">IF($A62&lt;&gt;0,1.05*IF($A62=1,$Z61,$Z62),NA())</f>
        <v>#N/A</v>
      </c>
      <c r="M62" s="66" t="e">
        <f ca="1">L62-K62</f>
        <v>#N/A</v>
      </c>
      <c r="N62" s="70" t="e">
        <f ca="1">IF($A62&lt;&gt;0,IF($A62=1,$AA61,$AA62),NA())</f>
        <v>#N/A</v>
      </c>
      <c r="P62" s="125" t="e">
        <f ca="1">IF($A62=0,NA(),INDIRECT("'File "&amp;$B62&amp;"'!"&amp;IF($A62=1,"ROTT","FU_ROTT")))</f>
        <v>#N/A</v>
      </c>
      <c r="Q62" s="125" t="e">
        <f ca="1">IF($A62=0,NA(),INDIRECT("'File "&amp;$B62&amp;"'!"&amp;IF($A62=1,"NASRDC_Overall","FU_NASRDC_Overall")))</f>
        <v>#N/A</v>
      </c>
      <c r="R62" s="125" t="e">
        <f ca="1">IF($A62=0,NA(),INDIRECT("'File "&amp;$B62&amp;"'!"&amp;IF($A62=1,"NASL","FU_NASL")))</f>
        <v>#N/A</v>
      </c>
      <c r="S62" s="125" t="e">
        <f ca="1">IF($A62=0,NA(),INDIRECT("'File "&amp;$B62&amp;"'!"&amp;IF($A62=1,"NASLDC","FU_NASLDC")))</f>
        <v>#N/A</v>
      </c>
      <c r="V62">
        <v>10</v>
      </c>
      <c r="W62">
        <v>2</v>
      </c>
      <c r="X62" s="8">
        <f>SUMIFS(S$113:S$172,C$113:C$172,V62,D$113:D$172,W62)</f>
        <v>0</v>
      </c>
      <c r="Y62" s="8">
        <f>'File 10'!H22</f>
        <v>0</v>
      </c>
      <c r="Z62" s="8">
        <f t="shared" si="0"/>
        <v>0</v>
      </c>
      <c r="AA62" s="8">
        <f>'File 10'!G5</f>
        <v>0</v>
      </c>
    </row>
    <row r="63" spans="1:58" x14ac:dyDescent="0.25">
      <c r="A63">
        <f ca="1">IF(B63&lt;=No_Components,OFFSET('Control Sheet'!$H$45,B63,0,1,1),0)</f>
        <v>0</v>
      </c>
      <c r="B63">
        <v>10</v>
      </c>
      <c r="C63" s="134"/>
      <c r="D63" s="134">
        <f ca="1">IF(A63=1," ",OFFSET('Control Sheet'!$H$45,B63,3,1,1))</f>
        <v>0</v>
      </c>
      <c r="E63" t="str">
        <f ca="1">IF(A63=0,"",IF(A63=1,"",OFFSET('Control Sheet'!$D$45,B63,3,1,1)))</f>
        <v/>
      </c>
      <c r="F63" s="70">
        <f ca="1">IF($A63=1,NA(),CHOOSE($G$19,OFFSET('Reference dates (hide)'!$AA$42,$G$20,$B63*3,1,1),OFFSET('Reference dates (hide)'!$N$122,$B63*3,$G$20,1,1),OFFSET('Reference dates (hide)'!$AA$122,$B63*3,0,1,1)))</f>
        <v>0</v>
      </c>
      <c r="G63" s="68">
        <f ca="1">IF($A63=1,NA(),CHOOSE($G$19,OFFSET('Reference dates (hide)'!$CO$42,$G$20,$B63*3,1,1),OFFSET('Reference dates (hide)'!$N$183,$B63*3,$G$20,1,1),OFFSET('Reference dates (hide)'!$AA$183,$B63*3,0,1,1)))</f>
        <v>0</v>
      </c>
      <c r="H63" s="68">
        <f ca="1">IF($A63=1,NA(),CHOOSE($G$19,OFFSET('Reference dates (hide)'!$HQ$42,$G$20,$B63*3,1,1),OFFSET('Reference dates (hide)'!$N$244,$B63*3,$G$20,1,1),OFFSET('Reference dates (hide)'!$AA$244,$B63*3,0,1,1)))</f>
        <v>0</v>
      </c>
      <c r="I63" s="75">
        <f ca="1">IF($A63=1,NA(),CHOOSE($G$19,OFFSET('Reference dates (hide)'!$FC$42,$G$20,$B63*3,1,1),OFFSET('Reference dates (hide)'!$N$320,$B63*3,$G$20,1,1),OFFSET('Reference dates (hide)'!$AA$320,$B63*3,0,1,1)))</f>
        <v>0</v>
      </c>
      <c r="J63" s="75">
        <f ca="1">IF($A63=1,NA(),CHOOSE($G$19,OFFSET('Reference dates (hide)'!$KE$42,$G$20,$B63*3,1,1),OFFSET('Reference dates (hide)'!$N$381,$B63*3,$G$20,1,1),OFFSET('Reference dates (hide)'!$AA$381,$B63*3,0,1,1)))</f>
        <v>0</v>
      </c>
      <c r="K63" s="70" t="e">
        <f ca="1">IF($A63&lt;&gt;0,0.95*IF($A63=1,NA(),$Z63),NA())</f>
        <v>#N/A</v>
      </c>
      <c r="L63" s="70" t="e">
        <f ca="1">IF($A63&lt;&gt;0,1.05*IF($A63=1,NA(),$Z63),NA())</f>
        <v>#N/A</v>
      </c>
      <c r="M63" s="66" t="e">
        <f ca="1">L63-K63</f>
        <v>#N/A</v>
      </c>
      <c r="N63" s="70" t="e">
        <f ca="1">IF($A63&lt;&gt;0,IF($A63=1,NA(),$AA63),NA())</f>
        <v>#N/A</v>
      </c>
      <c r="P63" s="125" t="e">
        <f ca="1">IF(OR($A63=1, $A63=0),NA(),INDIRECT("'File "&amp;$B63&amp;"'!IP_ROTT"))</f>
        <v>#N/A</v>
      </c>
      <c r="Q63" s="125" t="e">
        <f ca="1">IF(OR($A63=1, $A63=0),NA(),INDIRECT("'File "&amp;$B63&amp;"'!IP_NASRDC_Overall"))</f>
        <v>#N/A</v>
      </c>
      <c r="R63" s="125" t="e">
        <f ca="1">IF(OR($A63=1, $A63=0),NA(),INDIRECT("'File "&amp;$B63&amp;"'!IP_NASL"))</f>
        <v>#N/A</v>
      </c>
      <c r="S63" s="125" t="e">
        <f ca="1">IF(OR($A63=1, $A63=0),NA(),INDIRECT("'File "&amp;$B63&amp;"'!IP_NASLDC"))</f>
        <v>#N/A</v>
      </c>
      <c r="V63">
        <v>10</v>
      </c>
      <c r="W63">
        <v>3</v>
      </c>
      <c r="X63" s="8">
        <f>SUMIFS(S$113:S$172,C$113:C$172,V63,D$113:D$172,W63)</f>
        <v>0</v>
      </c>
      <c r="Y63" s="8">
        <f>'File 10'!L22</f>
        <v>0</v>
      </c>
      <c r="Z63" s="8">
        <f t="shared" si="0"/>
        <v>0</v>
      </c>
      <c r="AA63" s="8">
        <f>'File 10'!K5</f>
        <v>0</v>
      </c>
    </row>
    <row r="64" spans="1:58" x14ac:dyDescent="0.25">
      <c r="C64" s="134" t="s">
        <v>1032</v>
      </c>
      <c r="D64" s="134"/>
      <c r="F64" s="70"/>
      <c r="G64" s="68"/>
      <c r="H64" s="68"/>
      <c r="I64" s="75"/>
      <c r="J64" s="75"/>
      <c r="K64" s="70"/>
      <c r="L64" s="70"/>
      <c r="M64" s="66"/>
      <c r="N64" s="70"/>
      <c r="P64" s="125"/>
      <c r="Q64" s="125"/>
      <c r="R64" s="125"/>
      <c r="S64" s="125"/>
      <c r="X64" s="8"/>
      <c r="Y64" s="8"/>
      <c r="Z64" s="8"/>
      <c r="AA64" s="8"/>
    </row>
    <row r="65" spans="1:27" x14ac:dyDescent="0.25">
      <c r="A65">
        <f ca="1">IF(B65&lt;=No_Components,OFFSET('Control Sheet'!$H$45,B65,0,1,1),0)</f>
        <v>0</v>
      </c>
      <c r="B65">
        <v>11</v>
      </c>
      <c r="C65" s="134">
        <f ca="1">OFFSET('Control Sheet'!$B$45,B65,0,1,1)</f>
        <v>0</v>
      </c>
      <c r="D65" s="134" t="str">
        <f ca="1">IF(A65=1,"",OFFSET('Control Sheet'!$H$45,B65,1,1,1))</f>
        <v>0</v>
      </c>
      <c r="E65" t="str">
        <f ca="1">IF(A65=0,"",IF(A65=1,"",OFFSET('Control Sheet'!$D$45,B65,1,1,1)))</f>
        <v/>
      </c>
      <c r="F65" s="70">
        <f ca="1">IF($A65=1,NA(),CHOOSE($G$19,OFFSET('Reference dates (hide)'!$Y$42,$G$20,$B65*3,1,1),OFFSET('Reference dates (hide)'!$N$120,$B65*3,$G$20,1,1),OFFSET('Reference dates (hide)'!$AA$120,$B65*3,0,1,1)))</f>
        <v>0</v>
      </c>
      <c r="G65" s="68">
        <f ca="1">IF($A65=1,NA(),CHOOSE($G$19,OFFSET('Reference dates (hide)'!$CM$42,$G$20,$B65*3,1,1),OFFSET('Reference dates (hide)'!$N$181,$B65*3,$G$20,1,1),OFFSET('Reference dates (hide)'!$AA$181,$B65*3,0,1,1)))</f>
        <v>0</v>
      </c>
      <c r="H65" s="68">
        <f ca="1">IF($A65=1,NA(),CHOOSE($G$19,OFFSET('Reference dates (hide)'!$HO$42,$G$20,$B65*3,1,1),OFFSET('Reference dates (hide)'!$N$242,$B65*3,$G$20,1,1),OFFSET('Reference dates (hide)'!$AA$242,$B65*3,0,1,1)))</f>
        <v>0</v>
      </c>
      <c r="I65" s="75">
        <f ca="1">IF($A65=1,NA(),CHOOSE($G$19,OFFSET('Reference dates (hide)'!$FA$42,$G$20,$B65*3,1,1),OFFSET('Reference dates (hide)'!$N$318,$B65*3,$G$20,1,1),OFFSET('Reference dates (hide)'!$AA$318,$B65*3,0,1,1)))</f>
        <v>0</v>
      </c>
      <c r="J65" s="75">
        <f ca="1">IF($A65=1,NA(),CHOOSE($G$19,OFFSET('Reference dates (hide)'!$KC$42,$G$20,$B65*3,1,1),OFFSET('Reference dates (hide)'!$N$379,$B65*3,$G$20,1,1),OFFSET('Reference dates (hide)'!$AA$379,$B65*3,0,1,1)))</f>
        <v>0</v>
      </c>
      <c r="K65" s="70" t="e">
        <f ca="1">IF($A65&lt;&gt;0,IF($A65=1,NA(),0.95*$Z65),NA())</f>
        <v>#N/A</v>
      </c>
      <c r="L65" s="70" t="e">
        <f ca="1">IF($A65&lt;&gt;0,IF($A65=1,NA(),1.05*$Z65),NA())</f>
        <v>#N/A</v>
      </c>
      <c r="M65" s="66" t="e">
        <f ca="1">L65-K65</f>
        <v>#N/A</v>
      </c>
      <c r="N65" s="70" t="e">
        <f ca="1">IF($A65&lt;&gt;0,IF($A65=1,NA(),$AA65),NA())</f>
        <v>#N/A</v>
      </c>
      <c r="P65" s="125" t="e">
        <f ca="1">IF(OR($A65=0, $A65=1),NA(),INDIRECT("'File "&amp;$B65&amp;"'!ROTT"))</f>
        <v>#N/A</v>
      </c>
      <c r="Q65" s="125" t="e">
        <f ca="1">IF(OR($A65=0, $A65=1),NA(),INDIRECT("'File "&amp;$B65&amp;"'!NASRDC_Overall"))</f>
        <v>#N/A</v>
      </c>
      <c r="R65" s="125" t="e">
        <f ca="1">IF(OR($A65=0, $A65=1),NA(),INDIRECT("'File "&amp;$B65&amp;"'!NASL"))</f>
        <v>#N/A</v>
      </c>
      <c r="S65" s="125" t="e">
        <f ca="1">IF(OR($A65=0, $A65=1),NA(),INDIRECT("'File "&amp;$B65&amp;"'!NASLDC"))</f>
        <v>#N/A</v>
      </c>
      <c r="V65">
        <v>11</v>
      </c>
      <c r="W65">
        <v>1</v>
      </c>
      <c r="X65" s="8">
        <f>SUMIFS(S$113:S$172,C$113:C$172,V65,D$113:D$172,W65)</f>
        <v>0</v>
      </c>
      <c r="Y65" s="8">
        <f ca="1">IF(AND(V65&lt;=No_Components,X65=0),INDIRECT("'File "&amp;V65&amp;"'!D5"),0)</f>
        <v>0</v>
      </c>
      <c r="Z65" s="8">
        <f ca="1">SUM(X65:Y65)</f>
        <v>0</v>
      </c>
      <c r="AA65" s="8">
        <f>'File 11'!D5</f>
        <v>0</v>
      </c>
    </row>
    <row r="66" spans="1:27" x14ac:dyDescent="0.25">
      <c r="A66">
        <f ca="1">IF(B66&lt;=No_Components,OFFSET('Control Sheet'!$H$45,B66,0,1,1),0)</f>
        <v>0</v>
      </c>
      <c r="B66">
        <v>11</v>
      </c>
      <c r="C66" s="134"/>
      <c r="D66" s="134">
        <f ca="1">OFFSET('Control Sheet'!$H$45,B66,IF(A66=1,1,2),1,1)</f>
        <v>0</v>
      </c>
      <c r="E66" t="str">
        <f ca="1">IF(A66=0,"",OFFSET('Control Sheet'!$D$45,B66,IF(A66=1,1,2),1,1))</f>
        <v/>
      </c>
      <c r="F66" s="70">
        <f ca="1">CHOOSE($G$19,OFFSET('Reference dates (hide)'!$Z$42,$G$20,$B66*3-MOD($A66,3),1,1),OFFSET('Reference dates (hide)'!$N$121,$B66*3-MOD($A66,3),$G$20,1,1),OFFSET('Reference dates (hide)'!$AA$121,$B66*3-MOD($A66,3),0,1,1))</f>
        <v>0</v>
      </c>
      <c r="G66" s="68">
        <f ca="1">CHOOSE($G$19,OFFSET('Reference dates (hide)'!$CN$42,$G$20,$B66*3-MOD($A66,3),1,1),OFFSET('Reference dates (hide)'!$N$182,$B66*3-MOD($A66,3),$G$20,1,1),OFFSET('Reference dates (hide)'!$AA$182,$B66*3-MOD($A66,3),0,1,1))</f>
        <v>0</v>
      </c>
      <c r="H66" s="68">
        <f ca="1">CHOOSE($G$19,OFFSET('Reference dates (hide)'!$HP$42,$G$20,$B66*3-MOD($A66,3),1,1),OFFSET('Reference dates (hide)'!$N$243,$B66*3-MOD($A66,3),$G$20,1,1),OFFSET('Reference dates (hide)'!$AA$243,$B66*3-MOD($A66,3),0,1,1))</f>
        <v>0</v>
      </c>
      <c r="I66" s="75">
        <f ca="1">CHOOSE($G$19,OFFSET('Reference dates (hide)'!$FB$42,$G$20,$B66*3-MOD($A66,3),1,1),OFFSET('Reference dates (hide)'!$N$319,$B66*3-MOD($A66,3),$G$20,1,1),OFFSET('Reference dates (hide)'!$AA$319,$B66*3-MOD($A66,3),0,1,1))</f>
        <v>0</v>
      </c>
      <c r="J66" s="75">
        <f ca="1">CHOOSE($G$19,OFFSET('Reference dates (hide)'!$KD$42,$G$20,$B66*3-MOD($A66,3),1,1),OFFSET('Reference dates (hide)'!$N$380,$B66*3-MOD($A66,3),$G$20,1,1),OFFSET('Reference dates (hide)'!$AA$380,$B66*3-MOD($A66,3),0,1,1))</f>
        <v>0</v>
      </c>
      <c r="K66" s="70" t="e">
        <f ca="1">IF($A66&lt;&gt;0,0.95*IF($A66=1,$Z65,$Z66),NA())</f>
        <v>#N/A</v>
      </c>
      <c r="L66" s="70" t="e">
        <f ca="1">IF($A66&lt;&gt;0,1.05*IF($A66=1,$Z65,$Z66),NA())</f>
        <v>#N/A</v>
      </c>
      <c r="M66" s="66" t="e">
        <f ca="1">L66-K66</f>
        <v>#N/A</v>
      </c>
      <c r="N66" s="70" t="e">
        <f ca="1">IF($A66&lt;&gt;0,IF($A66=1,$AA65,$AA66),NA())</f>
        <v>#N/A</v>
      </c>
      <c r="P66" s="125" t="e">
        <f ca="1">IF($A66=0,NA(),INDIRECT("'File "&amp;$B66&amp;"'!"&amp;IF($A66=1,"ROTT","FU_ROTT")))</f>
        <v>#N/A</v>
      </c>
      <c r="Q66" s="125" t="e">
        <f ca="1">IF($A66=0,NA(),INDIRECT("'File "&amp;$B66&amp;"'!"&amp;IF($A66=1,"NASRDC_Overall","FU_NASRDC_Overall")))</f>
        <v>#N/A</v>
      </c>
      <c r="R66" s="125" t="e">
        <f ca="1">IF($A66=0,NA(),INDIRECT("'File "&amp;$B66&amp;"'!"&amp;IF($A66=1,"NASL","FU_NASL")))</f>
        <v>#N/A</v>
      </c>
      <c r="S66" s="125" t="e">
        <f ca="1">IF($A66=0,NA(),INDIRECT("'File "&amp;$B66&amp;"'!"&amp;IF($A66=1,"NASLDC","FU_NASLDC")))</f>
        <v>#N/A</v>
      </c>
      <c r="V66">
        <v>11</v>
      </c>
      <c r="W66">
        <v>2</v>
      </c>
      <c r="X66" s="8">
        <f>SUMIFS(S$113:S$172,C$113:C$172,V66,D$113:D$172,W66)</f>
        <v>0</v>
      </c>
      <c r="Y66" s="8">
        <f>'File 11'!H22</f>
        <v>0</v>
      </c>
      <c r="Z66" s="8">
        <f t="shared" si="0"/>
        <v>0</v>
      </c>
      <c r="AA66" s="8">
        <f>'File 11'!G5</f>
        <v>0</v>
      </c>
    </row>
    <row r="67" spans="1:27" x14ac:dyDescent="0.25">
      <c r="A67">
        <f ca="1">IF(B67&lt;=No_Components,OFFSET('Control Sheet'!$H$45,B67,0,1,1),0)</f>
        <v>0</v>
      </c>
      <c r="B67">
        <v>11</v>
      </c>
      <c r="C67" s="134"/>
      <c r="D67" s="134">
        <f ca="1">IF(A67=1," ",OFFSET('Control Sheet'!$H$45,B67,3,1,1))</f>
        <v>0</v>
      </c>
      <c r="E67" t="str">
        <f ca="1">IF(A67=0,"",IF(A67=1,"",OFFSET('Control Sheet'!$D$45,B67,3,1,1)))</f>
        <v/>
      </c>
      <c r="F67" s="70">
        <f ca="1">IF($A67=1,NA(),CHOOSE($G$19,OFFSET('Reference dates (hide)'!$AA$42,$G$20,$B67*3,1,1),OFFSET('Reference dates (hide)'!$N$122,$B67*3,$G$20,1,1),OFFSET('Reference dates (hide)'!$AA$122,$B67*3,0,1,1)))</f>
        <v>0</v>
      </c>
      <c r="G67" s="68">
        <f ca="1">IF($A67=1,NA(),CHOOSE($G$19,OFFSET('Reference dates (hide)'!$CO$42,$G$20,$B67*3,1,1),OFFSET('Reference dates (hide)'!$N$183,$B67*3,$G$20,1,1),OFFSET('Reference dates (hide)'!$AA$183,$B67*3,0,1,1)))</f>
        <v>0</v>
      </c>
      <c r="H67" s="68">
        <f ca="1">IF($A67=1,NA(),CHOOSE($G$19,OFFSET('Reference dates (hide)'!$HQ$42,$G$20,$B67*3,1,1),OFFSET('Reference dates (hide)'!$N$244,$B67*3,$G$20,1,1),OFFSET('Reference dates (hide)'!$AA$244,$B67*3,0,1,1)))</f>
        <v>0</v>
      </c>
      <c r="I67" s="75">
        <f ca="1">IF($A67=1,NA(),CHOOSE($G$19,OFFSET('Reference dates (hide)'!$FC$42,$G$20,$B67*3,1,1),OFFSET('Reference dates (hide)'!$N$320,$B67*3,$G$20,1,1),OFFSET('Reference dates (hide)'!$AA$320,$B67*3,0,1,1)))</f>
        <v>0</v>
      </c>
      <c r="J67" s="75">
        <f ca="1">IF($A67=1,NA(),CHOOSE($G$19,OFFSET('Reference dates (hide)'!$KE$42,$G$20,$B67*3,1,1),OFFSET('Reference dates (hide)'!$N$381,$B67*3,$G$20,1,1),OFFSET('Reference dates (hide)'!$AA$381,$B67*3,0,1,1)))</f>
        <v>0</v>
      </c>
      <c r="K67" s="70" t="e">
        <f ca="1">IF($A67&lt;&gt;0,0.95*IF($A67=1,NA(),$Z67),NA())</f>
        <v>#N/A</v>
      </c>
      <c r="L67" s="70" t="e">
        <f ca="1">IF($A67&lt;&gt;0,1.05*IF($A67=1,NA(),$Z67),NA())</f>
        <v>#N/A</v>
      </c>
      <c r="M67" s="66" t="e">
        <f ca="1">L67-K67</f>
        <v>#N/A</v>
      </c>
      <c r="N67" s="70" t="e">
        <f ca="1">IF($A67&lt;&gt;0,IF($A67=1,NA(),$AA67),NA())</f>
        <v>#N/A</v>
      </c>
      <c r="P67" s="125" t="e">
        <f ca="1">IF(OR($A67=1, $A67=0),NA(),INDIRECT("'File "&amp;$B67&amp;"'!IP_ROTT"))</f>
        <v>#N/A</v>
      </c>
      <c r="Q67" s="125" t="e">
        <f ca="1">IF(OR($A67=1, $A67=0),NA(),INDIRECT("'File "&amp;$B67&amp;"'!IP_NASRDC_Overall"))</f>
        <v>#N/A</v>
      </c>
      <c r="R67" s="125" t="e">
        <f ca="1">IF(OR($A67=1, $A67=0),NA(),INDIRECT("'File "&amp;$B67&amp;"'!IP_NASL"))</f>
        <v>#N/A</v>
      </c>
      <c r="S67" s="125" t="e">
        <f ca="1">IF(OR($A67=1, $A67=0),NA(),INDIRECT("'File "&amp;$B67&amp;"'!IP_NASLDC"))</f>
        <v>#N/A</v>
      </c>
      <c r="V67">
        <v>11</v>
      </c>
      <c r="W67">
        <v>3</v>
      </c>
      <c r="X67" s="8">
        <f>SUMIFS(S$113:S$172,C$113:C$172,V67,D$113:D$172,W67)</f>
        <v>0</v>
      </c>
      <c r="Y67" s="8">
        <f>'File 11'!L22</f>
        <v>0</v>
      </c>
      <c r="Z67" s="8">
        <f t="shared" si="0"/>
        <v>0</v>
      </c>
      <c r="AA67" s="8">
        <f>'File 11'!K5</f>
        <v>0</v>
      </c>
    </row>
    <row r="68" spans="1:27" x14ac:dyDescent="0.25">
      <c r="C68" s="134" t="s">
        <v>1032</v>
      </c>
      <c r="D68" s="134"/>
      <c r="F68" s="70"/>
      <c r="G68" s="68"/>
      <c r="H68" s="68"/>
      <c r="I68" s="75"/>
      <c r="J68" s="75"/>
      <c r="K68" s="70"/>
      <c r="L68" s="70"/>
      <c r="M68" s="66"/>
      <c r="N68" s="70"/>
      <c r="P68" s="125"/>
      <c r="Q68" s="125"/>
      <c r="R68" s="125"/>
      <c r="S68" s="125"/>
      <c r="X68" s="8"/>
      <c r="Y68" s="8"/>
      <c r="Z68" s="8"/>
      <c r="AA68" s="8"/>
    </row>
    <row r="69" spans="1:27" x14ac:dyDescent="0.25">
      <c r="A69">
        <f ca="1">IF(B69&lt;=No_Components,OFFSET('Control Sheet'!$H$45,B69,0,1,1),0)</f>
        <v>0</v>
      </c>
      <c r="B69">
        <v>12</v>
      </c>
      <c r="C69" s="134">
        <f ca="1">OFFSET('Control Sheet'!$B$45,B69,0,1,1)</f>
        <v>0</v>
      </c>
      <c r="D69" s="134" t="str">
        <f ca="1">IF(A69=1,"",OFFSET('Control Sheet'!$H$45,B69,1,1,1))</f>
        <v>0</v>
      </c>
      <c r="E69" t="str">
        <f ca="1">IF(A69=0,"",IF(A69=1,"",OFFSET('Control Sheet'!$D$45,B69,1,1,1)))</f>
        <v/>
      </c>
      <c r="F69" s="70">
        <f ca="1">IF($A69=1,NA(),CHOOSE($G$19,OFFSET('Reference dates (hide)'!$Y$42,$G$20,$B69*3,1,1),OFFSET('Reference dates (hide)'!$N$120,$B69*3,$G$20,1,1),OFFSET('Reference dates (hide)'!$AA$120,$B69*3,0,1,1)))</f>
        <v>0</v>
      </c>
      <c r="G69" s="68">
        <f ca="1">IF($A69=1,NA(),CHOOSE($G$19,OFFSET('Reference dates (hide)'!$CM$42,$G$20,$B69*3,1,1),OFFSET('Reference dates (hide)'!$N$181,$B69*3,$G$20,1,1),OFFSET('Reference dates (hide)'!$AA$181,$B69*3,0,1,1)))</f>
        <v>0</v>
      </c>
      <c r="H69" s="68">
        <f ca="1">IF($A69=1,NA(),CHOOSE($G$19,OFFSET('Reference dates (hide)'!$HO$42,$G$20,$B69*3,1,1),OFFSET('Reference dates (hide)'!$N$242,$B69*3,$G$20,1,1),OFFSET('Reference dates (hide)'!$AA$242,$B69*3,0,1,1)))</f>
        <v>0</v>
      </c>
      <c r="I69" s="75">
        <f ca="1">IF($A69=1,NA(),CHOOSE($G$19,OFFSET('Reference dates (hide)'!$FA$42,$G$20,$B69*3,1,1),OFFSET('Reference dates (hide)'!$N$318,$B69*3,$G$20,1,1),OFFSET('Reference dates (hide)'!$AA$318,$B69*3,0,1,1)))</f>
        <v>0</v>
      </c>
      <c r="J69" s="75">
        <f ca="1">IF($A69=1,NA(),CHOOSE($G$19,OFFSET('Reference dates (hide)'!$KC$42,$G$20,$B69*3,1,1),OFFSET('Reference dates (hide)'!$N$379,$B69*3,$G$20,1,1),OFFSET('Reference dates (hide)'!$AA$379,$B69*3,0,1,1)))</f>
        <v>0</v>
      </c>
      <c r="K69" s="70" t="e">
        <f ca="1">IF($A69&lt;&gt;0,IF($A69=1,NA(),0.95*$Z69),NA())</f>
        <v>#N/A</v>
      </c>
      <c r="L69" s="70" t="e">
        <f ca="1">IF($A69&lt;&gt;0,IF($A69=1,NA(),1.05*$Z69),NA())</f>
        <v>#N/A</v>
      </c>
      <c r="M69" s="66" t="e">
        <f ca="1">L69-K69</f>
        <v>#N/A</v>
      </c>
      <c r="N69" s="70" t="e">
        <f ca="1">IF($A69&lt;&gt;0,IF($A69=1,NA(),$AA69),NA())</f>
        <v>#N/A</v>
      </c>
      <c r="P69" s="125" t="e">
        <f ca="1">IF(OR($A69=0, $A69=1),NA(),INDIRECT("'File "&amp;$B69&amp;"'!ROTT"))</f>
        <v>#N/A</v>
      </c>
      <c r="Q69" s="125" t="e">
        <f ca="1">IF(OR($A69=0, $A69=1),NA(),INDIRECT("'File "&amp;$B69&amp;"'!NASRDC_Overall"))</f>
        <v>#N/A</v>
      </c>
      <c r="R69" s="125" t="e">
        <f ca="1">IF(OR($A69=0, $A69=1),NA(),INDIRECT("'File "&amp;$B69&amp;"'!NASL"))</f>
        <v>#N/A</v>
      </c>
      <c r="S69" s="125" t="e">
        <f ca="1">IF(OR($A69=0, $A69=1),NA(),INDIRECT("'File "&amp;$B69&amp;"'!NASLDC"))</f>
        <v>#N/A</v>
      </c>
      <c r="V69">
        <v>12</v>
      </c>
      <c r="W69">
        <v>1</v>
      </c>
      <c r="X69" s="8">
        <f>SUMIFS(S$113:S$172,C$113:C$172,V69,D$113:D$172,W69)</f>
        <v>0</v>
      </c>
      <c r="Y69" s="8">
        <f ca="1">IF(AND(V69&lt;=No_Components,X69=0),INDIRECT("'File "&amp;V69&amp;"'!D5"),0)</f>
        <v>0</v>
      </c>
      <c r="Z69" s="8">
        <f ca="1">SUM(X69:Y69)</f>
        <v>0</v>
      </c>
      <c r="AA69" s="8">
        <f>'File 12'!D5</f>
        <v>0</v>
      </c>
    </row>
    <row r="70" spans="1:27" x14ac:dyDescent="0.25">
      <c r="A70">
        <f ca="1">IF(B70&lt;=No_Components,OFFSET('Control Sheet'!$H$45,B70,0,1,1),0)</f>
        <v>0</v>
      </c>
      <c r="B70">
        <v>12</v>
      </c>
      <c r="C70" s="134"/>
      <c r="D70" s="134">
        <f ca="1">OFFSET('Control Sheet'!$H$45,B70,IF(A70=1,1,2),1,1)</f>
        <v>0</v>
      </c>
      <c r="E70" t="str">
        <f ca="1">IF(A70=0,"",OFFSET('Control Sheet'!$D$45,B70,IF(A70=1,1,2),1,1))</f>
        <v/>
      </c>
      <c r="F70" s="70">
        <f ca="1">CHOOSE($G$19,OFFSET('Reference dates (hide)'!$Z$42,$G$20,$B70*3-MOD($A70,3),1,1),OFFSET('Reference dates (hide)'!$N$121,$B70*3-MOD($A70,3),$G$20,1,1),OFFSET('Reference dates (hide)'!$AA$121,$B70*3-MOD($A70,3),0,1,1))</f>
        <v>0</v>
      </c>
      <c r="G70" s="68">
        <f ca="1">CHOOSE($G$19,OFFSET('Reference dates (hide)'!$CN$42,$G$20,$B70*3-MOD($A70,3),1,1),OFFSET('Reference dates (hide)'!$N$182,$B70*3-MOD($A70,3),$G$20,1,1),OFFSET('Reference dates (hide)'!$AA$182,$B70*3-MOD($A70,3),0,1,1))</f>
        <v>0</v>
      </c>
      <c r="H70" s="68">
        <f ca="1">CHOOSE($G$19,OFFSET('Reference dates (hide)'!$HP$42,$G$20,$B70*3-MOD($A70,3),1,1),OFFSET('Reference dates (hide)'!$N$243,$B70*3-MOD($A70,3),$G$20,1,1),OFFSET('Reference dates (hide)'!$AA$243,$B70*3-MOD($A70,3),0,1,1))</f>
        <v>0</v>
      </c>
      <c r="I70" s="75">
        <f ca="1">CHOOSE($G$19,OFFSET('Reference dates (hide)'!$FB$42,$G$20,$B70*3-MOD($A70,3),1,1),OFFSET('Reference dates (hide)'!$N$319,$B70*3-MOD($A70,3),$G$20,1,1),OFFSET('Reference dates (hide)'!$AA$319,$B70*3-MOD($A70,3),0,1,1))</f>
        <v>0</v>
      </c>
      <c r="J70" s="75">
        <f ca="1">CHOOSE($G$19,OFFSET('Reference dates (hide)'!$KD$42,$G$20,$B70*3-MOD($A70,3),1,1),OFFSET('Reference dates (hide)'!$N$380,$B70*3-MOD($A70,3),$G$20,1,1),OFFSET('Reference dates (hide)'!$AA$380,$B70*3-MOD($A70,3),0,1,1))</f>
        <v>0</v>
      </c>
      <c r="K70" s="70" t="e">
        <f ca="1">IF($A70&lt;&gt;0,0.95*IF($A70=1,$Z69,$Z70),NA())</f>
        <v>#N/A</v>
      </c>
      <c r="L70" s="70" t="e">
        <f ca="1">IF($A70&lt;&gt;0,1.05*IF($A70=1,$Z69,$Z70),NA())</f>
        <v>#N/A</v>
      </c>
      <c r="M70" s="66" t="e">
        <f ca="1">L70-K70</f>
        <v>#N/A</v>
      </c>
      <c r="N70" s="70" t="e">
        <f ca="1">IF($A70&lt;&gt;0,IF($A70=1,$AA69,$AA70),NA())</f>
        <v>#N/A</v>
      </c>
      <c r="P70" s="125" t="e">
        <f ca="1">IF($A70=0,NA(),INDIRECT("'File "&amp;$B70&amp;"'!"&amp;IF($A70=1,"ROTT","FU_ROTT")))</f>
        <v>#N/A</v>
      </c>
      <c r="Q70" s="125" t="e">
        <f ca="1">IF($A70=0,NA(),INDIRECT("'File "&amp;$B70&amp;"'!"&amp;IF($A70=1,"NASRDC_Overall","FU_NASRDC_Overall")))</f>
        <v>#N/A</v>
      </c>
      <c r="R70" s="125" t="e">
        <f ca="1">IF($A70=0,NA(),INDIRECT("'File "&amp;$B70&amp;"'!"&amp;IF($A70=1,"NASL","FU_NASL")))</f>
        <v>#N/A</v>
      </c>
      <c r="S70" s="125" t="e">
        <f ca="1">IF($A70=0,NA(),INDIRECT("'File "&amp;$B70&amp;"'!"&amp;IF($A70=1,"NASLDC","FU_NASLDC")))</f>
        <v>#N/A</v>
      </c>
      <c r="V70">
        <v>12</v>
      </c>
      <c r="W70">
        <v>2</v>
      </c>
      <c r="X70" s="8">
        <f>SUMIFS(S$113:S$172,C$113:C$172,V70,D$113:D$172,W70)</f>
        <v>0</v>
      </c>
      <c r="Y70" s="8">
        <f>'File 12'!H22</f>
        <v>0</v>
      </c>
      <c r="Z70" s="8">
        <f t="shared" si="0"/>
        <v>0</v>
      </c>
      <c r="AA70" s="8">
        <f>'File 12'!G5</f>
        <v>0</v>
      </c>
    </row>
    <row r="71" spans="1:27" x14ac:dyDescent="0.25">
      <c r="A71">
        <f ca="1">IF(B71&lt;=No_Components,OFFSET('Control Sheet'!$H$45,B71,0,1,1),0)</f>
        <v>0</v>
      </c>
      <c r="B71">
        <v>12</v>
      </c>
      <c r="C71" s="134"/>
      <c r="D71" s="134">
        <f ca="1">IF(A71=1," ",OFFSET('Control Sheet'!$H$45,B71,3,1,1))</f>
        <v>0</v>
      </c>
      <c r="E71" t="str">
        <f ca="1">IF(A71=0,"",IF(A71=1,"",OFFSET('Control Sheet'!$D$45,B71,3,1,1)))</f>
        <v/>
      </c>
      <c r="F71" s="70">
        <f ca="1">IF($A71=1,NA(),CHOOSE($G$19,OFFSET('Reference dates (hide)'!$AA$42,$G$20,$B71*3,1,1),OFFSET('Reference dates (hide)'!$N$122,$B71*3,$G$20,1,1),OFFSET('Reference dates (hide)'!$AA$122,$B71*3,0,1,1)))</f>
        <v>0</v>
      </c>
      <c r="G71" s="68">
        <f ca="1">IF($A71=1,NA(),CHOOSE($G$19,OFFSET('Reference dates (hide)'!$CO$42,$G$20,$B71*3,1,1),OFFSET('Reference dates (hide)'!$N$183,$B71*3,$G$20,1,1),OFFSET('Reference dates (hide)'!$AA$183,$B71*3,0,1,1)))</f>
        <v>0</v>
      </c>
      <c r="H71" s="68">
        <f ca="1">IF($A71=1,NA(),CHOOSE($G$19,OFFSET('Reference dates (hide)'!$HQ$42,$G$20,$B71*3,1,1),OFFSET('Reference dates (hide)'!$N$244,$B71*3,$G$20,1,1),OFFSET('Reference dates (hide)'!$AA$244,$B71*3,0,1,1)))</f>
        <v>0</v>
      </c>
      <c r="I71" s="75">
        <f ca="1">IF($A71=1,NA(),CHOOSE($G$19,OFFSET('Reference dates (hide)'!$FC$42,$G$20,$B71*3,1,1),OFFSET('Reference dates (hide)'!$N$320,$B71*3,$G$20,1,1),OFFSET('Reference dates (hide)'!$AA$320,$B71*3,0,1,1)))</f>
        <v>0</v>
      </c>
      <c r="J71" s="75">
        <f ca="1">IF($A71=1,NA(),CHOOSE($G$19,OFFSET('Reference dates (hide)'!$KE$42,$G$20,$B71*3,1,1),OFFSET('Reference dates (hide)'!$N$381,$B71*3,$G$20,1,1),OFFSET('Reference dates (hide)'!$AA$381,$B71*3,0,1,1)))</f>
        <v>0</v>
      </c>
      <c r="K71" s="70" t="e">
        <f ca="1">IF($A71&lt;&gt;0,0.95*IF($A71=1,NA(),$Z71),NA())</f>
        <v>#N/A</v>
      </c>
      <c r="L71" s="70" t="e">
        <f ca="1">IF($A71&lt;&gt;0,1.05*IF($A71=1,NA(),$Z71),NA())</f>
        <v>#N/A</v>
      </c>
      <c r="M71" s="66" t="e">
        <f ca="1">L71-K71</f>
        <v>#N/A</v>
      </c>
      <c r="N71" s="70" t="e">
        <f ca="1">IF($A71&lt;&gt;0,IF($A71=1,NA(),$AA71),NA())</f>
        <v>#N/A</v>
      </c>
      <c r="P71" s="125" t="e">
        <f ca="1">IF(OR($A71=1, $A71=0),NA(),INDIRECT("'File "&amp;$B71&amp;"'!IP_ROTT"))</f>
        <v>#N/A</v>
      </c>
      <c r="Q71" s="125" t="e">
        <f ca="1">IF(OR($A71=1, $A71=0),NA(),INDIRECT("'File "&amp;$B71&amp;"'!IP_NASRDC_Overall"))</f>
        <v>#N/A</v>
      </c>
      <c r="R71" s="125" t="e">
        <f ca="1">IF(OR($A71=1, $A71=0),NA(),INDIRECT("'File "&amp;$B71&amp;"'!IP_NASL"))</f>
        <v>#N/A</v>
      </c>
      <c r="S71" s="125" t="e">
        <f ca="1">IF(OR($A71=1, $A71=0),NA(),INDIRECT("'File "&amp;$B71&amp;"'!IP_NASLDC"))</f>
        <v>#N/A</v>
      </c>
      <c r="V71">
        <v>12</v>
      </c>
      <c r="W71">
        <v>3</v>
      </c>
      <c r="X71" s="8">
        <f>SUMIFS(S$113:S$172,C$113:C$172,V71,D$113:D$172,W71)</f>
        <v>0</v>
      </c>
      <c r="Y71" s="8">
        <f>'File 12'!L22</f>
        <v>0</v>
      </c>
      <c r="Z71" s="8">
        <f t="shared" si="0"/>
        <v>0</v>
      </c>
      <c r="AA71" s="8">
        <f>'File 12'!K5</f>
        <v>0</v>
      </c>
    </row>
    <row r="72" spans="1:27" x14ac:dyDescent="0.25">
      <c r="C72" s="134" t="s">
        <v>1032</v>
      </c>
      <c r="D72" s="134"/>
      <c r="F72" s="70"/>
      <c r="G72" s="68"/>
      <c r="H72" s="68"/>
      <c r="I72" s="75"/>
      <c r="J72" s="75"/>
      <c r="K72" s="70"/>
      <c r="L72" s="70"/>
      <c r="M72" s="66"/>
      <c r="N72" s="70"/>
      <c r="P72" s="125"/>
      <c r="Q72" s="125"/>
      <c r="R72" s="125"/>
      <c r="S72" s="125"/>
      <c r="X72" s="8"/>
      <c r="Y72" s="8"/>
      <c r="Z72" s="8"/>
      <c r="AA72" s="8"/>
    </row>
    <row r="73" spans="1:27" x14ac:dyDescent="0.25">
      <c r="A73">
        <f ca="1">IF(B73&lt;=No_Components,OFFSET('Control Sheet'!$H$45,B73,0,1,1),0)</f>
        <v>0</v>
      </c>
      <c r="B73">
        <v>13</v>
      </c>
      <c r="C73" s="134">
        <f ca="1">OFFSET('Control Sheet'!$B$45,B73,0,1,1)</f>
        <v>0</v>
      </c>
      <c r="D73" s="134" t="str">
        <f ca="1">IF(A73=1,"",OFFSET('Control Sheet'!$H$45,B73,1,1,1))</f>
        <v>0</v>
      </c>
      <c r="E73" t="str">
        <f ca="1">IF(A73=0,"",IF(A73=1,"",OFFSET('Control Sheet'!$D$45,B73,1,1,1)))</f>
        <v/>
      </c>
      <c r="F73" s="70">
        <f ca="1">IF($A73=1,NA(),CHOOSE($G$19,OFFSET('Reference dates (hide)'!$Y$42,$G$20,$B73*3,1,1),OFFSET('Reference dates (hide)'!$N$120,$B73*3,$G$20,1,1),OFFSET('Reference dates (hide)'!$AA$120,$B73*3,0,1,1)))</f>
        <v>0</v>
      </c>
      <c r="G73" s="68">
        <f ca="1">IF($A73=1,NA(),CHOOSE($G$19,OFFSET('Reference dates (hide)'!$CM$42,$G$20,$B73*3,1,1),OFFSET('Reference dates (hide)'!$N$181,$B73*3,$G$20,1,1),OFFSET('Reference dates (hide)'!$AA$181,$B73*3,0,1,1)))</f>
        <v>0</v>
      </c>
      <c r="H73" s="68">
        <f ca="1">IF($A73=1,NA(),CHOOSE($G$19,OFFSET('Reference dates (hide)'!$HO$42,$G$20,$B73*3,1,1),OFFSET('Reference dates (hide)'!$N$242,$B73*3,$G$20,1,1),OFFSET('Reference dates (hide)'!$AA$242,$B73*3,0,1,1)))</f>
        <v>0</v>
      </c>
      <c r="I73" s="75">
        <f ca="1">IF($A73=1,NA(),CHOOSE($G$19,OFFSET('Reference dates (hide)'!$FA$42,$G$20,$B73*3,1,1),OFFSET('Reference dates (hide)'!$N$318,$B73*3,$G$20,1,1),OFFSET('Reference dates (hide)'!$AA$318,$B73*3,0,1,1)))</f>
        <v>0</v>
      </c>
      <c r="J73" s="75">
        <f ca="1">IF($A73=1,NA(),CHOOSE($G$19,OFFSET('Reference dates (hide)'!$KC$42,$G$20,$B73*3,1,1),OFFSET('Reference dates (hide)'!$N$379,$B73*3,$G$20,1,1),OFFSET('Reference dates (hide)'!$AA$379,$B73*3,0,1,1)))</f>
        <v>0</v>
      </c>
      <c r="K73" s="70" t="e">
        <f ca="1">IF($A73&lt;&gt;0,IF($A73=1,NA(),0.95*$Z73),NA())</f>
        <v>#N/A</v>
      </c>
      <c r="L73" s="70" t="e">
        <f ca="1">IF($A73&lt;&gt;0,IF($A73=1,NA(),1.05*$Z73),NA())</f>
        <v>#N/A</v>
      </c>
      <c r="M73" s="66" t="e">
        <f ca="1">L73-K73</f>
        <v>#N/A</v>
      </c>
      <c r="N73" s="70" t="e">
        <f ca="1">IF($A73&lt;&gt;0,IF($A73=1,NA(),$AA73),NA())</f>
        <v>#N/A</v>
      </c>
      <c r="P73" s="125" t="e">
        <f ca="1">IF(OR($A73=0, $A73=1),NA(),INDIRECT("'File "&amp;$B73&amp;"'!ROTT"))</f>
        <v>#N/A</v>
      </c>
      <c r="Q73" s="125" t="e">
        <f ca="1">IF(OR($A73=0, $A73=1),NA(),INDIRECT("'File "&amp;$B73&amp;"'!NASRDC_Overall"))</f>
        <v>#N/A</v>
      </c>
      <c r="R73" s="125" t="e">
        <f ca="1">IF(OR($A73=0, $A73=1),NA(),INDIRECT("'File "&amp;$B73&amp;"'!NASL"))</f>
        <v>#N/A</v>
      </c>
      <c r="S73" s="125" t="e">
        <f ca="1">IF(OR($A73=0, $A73=1),NA(),INDIRECT("'File "&amp;$B73&amp;"'!NASLDC"))</f>
        <v>#N/A</v>
      </c>
      <c r="V73">
        <v>13</v>
      </c>
      <c r="W73">
        <v>1</v>
      </c>
      <c r="X73" s="8">
        <f>SUMIFS(S$113:S$172,C$113:C$172,V73,D$113:D$172,W73)</f>
        <v>0</v>
      </c>
      <c r="Y73" s="8">
        <f ca="1">IF(AND(V73&lt;=No_Components,X73=0),INDIRECT("'File "&amp;V73&amp;"'!D5"),0)</f>
        <v>0</v>
      </c>
      <c r="Z73" s="8">
        <f ca="1">SUM(X73:Y73)</f>
        <v>0</v>
      </c>
      <c r="AA73" s="8">
        <f>'File 13'!D5</f>
        <v>0</v>
      </c>
    </row>
    <row r="74" spans="1:27" x14ac:dyDescent="0.25">
      <c r="A74">
        <f ca="1">IF(B74&lt;=No_Components,OFFSET('Control Sheet'!$H$45,B74,0,1,1),0)</f>
        <v>0</v>
      </c>
      <c r="B74">
        <v>13</v>
      </c>
      <c r="C74" s="134"/>
      <c r="D74" s="134">
        <f ca="1">OFFSET('Control Sheet'!$H$45,B74,IF(A74=1,1,2),1,1)</f>
        <v>0</v>
      </c>
      <c r="E74" t="str">
        <f ca="1">IF(A74=0,"",OFFSET('Control Sheet'!$D$45,B74,IF(A74=1,1,2),1,1))</f>
        <v/>
      </c>
      <c r="F74" s="70">
        <f ca="1">CHOOSE($G$19,OFFSET('Reference dates (hide)'!$Z$42,$G$20,$B74*3-MOD($A74,3),1,1),OFFSET('Reference dates (hide)'!$N$121,$B74*3-MOD($A74,3),$G$20,1,1),OFFSET('Reference dates (hide)'!$AA$121,$B74*3-MOD($A74,3),0,1,1))</f>
        <v>0</v>
      </c>
      <c r="G74" s="68">
        <f ca="1">CHOOSE($G$19,OFFSET('Reference dates (hide)'!$CN$42,$G$20,$B74*3-MOD($A74,3),1,1),OFFSET('Reference dates (hide)'!$N$182,$B74*3-MOD($A74,3),$G$20,1,1),OFFSET('Reference dates (hide)'!$AA$182,$B74*3-MOD($A74,3),0,1,1))</f>
        <v>0</v>
      </c>
      <c r="H74" s="68">
        <f ca="1">CHOOSE($G$19,OFFSET('Reference dates (hide)'!$HP$42,$G$20,$B74*3-MOD($A74,3),1,1),OFFSET('Reference dates (hide)'!$N$243,$B74*3-MOD($A74,3),$G$20,1,1),OFFSET('Reference dates (hide)'!$AA$243,$B74*3-MOD($A74,3),0,1,1))</f>
        <v>0</v>
      </c>
      <c r="I74" s="75">
        <f ca="1">CHOOSE($G$19,OFFSET('Reference dates (hide)'!$FB$42,$G$20,$B74*3-MOD($A74,3),1,1),OFFSET('Reference dates (hide)'!$N$319,$B74*3-MOD($A74,3),$G$20,1,1),OFFSET('Reference dates (hide)'!$AA$319,$B74*3-MOD($A74,3),0,1,1))</f>
        <v>0</v>
      </c>
      <c r="J74" s="75">
        <f ca="1">CHOOSE($G$19,OFFSET('Reference dates (hide)'!$KD$42,$G$20,$B74*3-MOD($A74,3),1,1),OFFSET('Reference dates (hide)'!$N$380,$B74*3-MOD($A74,3),$G$20,1,1),OFFSET('Reference dates (hide)'!$AA$380,$B74*3-MOD($A74,3),0,1,1))</f>
        <v>0</v>
      </c>
      <c r="K74" s="70" t="e">
        <f ca="1">IF($A74&lt;&gt;0,0.95*IF($A74=1,$Z73,$Z74),NA())</f>
        <v>#N/A</v>
      </c>
      <c r="L74" s="70" t="e">
        <f ca="1">IF($A74&lt;&gt;0,1.05*IF($A74=1,$Z73,$Z74),NA())</f>
        <v>#N/A</v>
      </c>
      <c r="M74" s="66" t="e">
        <f ca="1">L74-K74</f>
        <v>#N/A</v>
      </c>
      <c r="N74" s="70" t="e">
        <f ca="1">IF($A74&lt;&gt;0,IF($A74=1,$AA73,$AA74),NA())</f>
        <v>#N/A</v>
      </c>
      <c r="P74" s="125" t="e">
        <f ca="1">IF($A74=0,NA(),INDIRECT("'File "&amp;$B74&amp;"'!"&amp;IF($A74=1,"ROTT","FU_ROTT")))</f>
        <v>#N/A</v>
      </c>
      <c r="Q74" s="125" t="e">
        <f ca="1">IF($A74=0,NA(),INDIRECT("'File "&amp;$B74&amp;"'!"&amp;IF($A74=1,"NASRDC_Overall","FU_NASRDC_Overall")))</f>
        <v>#N/A</v>
      </c>
      <c r="R74" s="125" t="e">
        <f ca="1">IF($A74=0,NA(),INDIRECT("'File "&amp;$B74&amp;"'!"&amp;IF($A74=1,"NASL","FU_NASL")))</f>
        <v>#N/A</v>
      </c>
      <c r="S74" s="125" t="e">
        <f ca="1">IF($A74=0,NA(),INDIRECT("'File "&amp;$B74&amp;"'!"&amp;IF($A74=1,"NASLDC","FU_NASLDC")))</f>
        <v>#N/A</v>
      </c>
      <c r="V74">
        <v>13</v>
      </c>
      <c r="W74">
        <v>2</v>
      </c>
      <c r="X74" s="8">
        <f>SUMIFS(S$113:S$172,C$113:C$172,V74,D$113:D$172,W74)</f>
        <v>0</v>
      </c>
      <c r="Y74" s="8">
        <f>'File 13'!H22</f>
        <v>0</v>
      </c>
      <c r="Z74" s="8">
        <f t="shared" si="0"/>
        <v>0</v>
      </c>
      <c r="AA74" s="8">
        <f>'File 13'!G5</f>
        <v>0</v>
      </c>
    </row>
    <row r="75" spans="1:27" x14ac:dyDescent="0.25">
      <c r="A75">
        <f ca="1">IF(B75&lt;=No_Components,OFFSET('Control Sheet'!$H$45,B75,0,1,1),0)</f>
        <v>0</v>
      </c>
      <c r="B75">
        <v>13</v>
      </c>
      <c r="C75" s="134"/>
      <c r="D75" s="134">
        <f ca="1">IF(A75=1," ",OFFSET('Control Sheet'!$H$45,B75,3,1,1))</f>
        <v>0</v>
      </c>
      <c r="E75" t="str">
        <f ca="1">IF(A75=0,"",IF(A75=1,"",OFFSET('Control Sheet'!$D$45,B75,3,1,1)))</f>
        <v/>
      </c>
      <c r="F75" s="70">
        <f ca="1">IF($A75=1,NA(),CHOOSE($G$19,OFFSET('Reference dates (hide)'!$AA$42,$G$20,$B75*3,1,1),OFFSET('Reference dates (hide)'!$N$122,$B75*3,$G$20,1,1),OFFSET('Reference dates (hide)'!$AA$122,$B75*3,0,1,1)))</f>
        <v>0</v>
      </c>
      <c r="G75" s="68">
        <f ca="1">IF($A75=1,NA(),CHOOSE($G$19,OFFSET('Reference dates (hide)'!$CO$42,$G$20,$B75*3,1,1),OFFSET('Reference dates (hide)'!$N$183,$B75*3,$G$20,1,1),OFFSET('Reference dates (hide)'!$AA$183,$B75*3,0,1,1)))</f>
        <v>0</v>
      </c>
      <c r="H75" s="68">
        <f ca="1">IF($A75=1,NA(),CHOOSE($G$19,OFFSET('Reference dates (hide)'!$HQ$42,$G$20,$B75*3,1,1),OFFSET('Reference dates (hide)'!$N$244,$B75*3,$G$20,1,1),OFFSET('Reference dates (hide)'!$AA$244,$B75*3,0,1,1)))</f>
        <v>0</v>
      </c>
      <c r="I75" s="75">
        <f ca="1">IF($A75=1,NA(),CHOOSE($G$19,OFFSET('Reference dates (hide)'!$FC$42,$G$20,$B75*3,1,1),OFFSET('Reference dates (hide)'!$N$320,$B75*3,$G$20,1,1),OFFSET('Reference dates (hide)'!$AA$320,$B75*3,0,1,1)))</f>
        <v>0</v>
      </c>
      <c r="J75" s="75">
        <f ca="1">IF($A75=1,NA(),CHOOSE($G$19,OFFSET('Reference dates (hide)'!$KE$42,$G$20,$B75*3,1,1),OFFSET('Reference dates (hide)'!$N$381,$B75*3,$G$20,1,1),OFFSET('Reference dates (hide)'!$AA$381,$B75*3,0,1,1)))</f>
        <v>0</v>
      </c>
      <c r="K75" s="70" t="e">
        <f ca="1">IF($A75&lt;&gt;0,0.95*IF($A75=1,NA(),$Z75),NA())</f>
        <v>#N/A</v>
      </c>
      <c r="L75" s="70" t="e">
        <f ca="1">IF($A75&lt;&gt;0,1.05*IF($A75=1,NA(),$Z75),NA())</f>
        <v>#N/A</v>
      </c>
      <c r="M75" s="66" t="e">
        <f ca="1">L75-K75</f>
        <v>#N/A</v>
      </c>
      <c r="N75" s="70" t="e">
        <f ca="1">IF($A75&lt;&gt;0,IF($A75=1,NA(),$AA75),NA())</f>
        <v>#N/A</v>
      </c>
      <c r="P75" s="125" t="e">
        <f ca="1">IF(OR($A75=1, $A75=0),NA(),INDIRECT("'File "&amp;$B75&amp;"'!IP_ROTT"))</f>
        <v>#N/A</v>
      </c>
      <c r="Q75" s="125" t="e">
        <f ca="1">IF(OR($A75=1, $A75=0),NA(),INDIRECT("'File "&amp;$B75&amp;"'!IP_NASRDC_Overall"))</f>
        <v>#N/A</v>
      </c>
      <c r="R75" s="125" t="e">
        <f ca="1">IF(OR($A75=1, $A75=0),NA(),INDIRECT("'File "&amp;$B75&amp;"'!IP_NASL"))</f>
        <v>#N/A</v>
      </c>
      <c r="S75" s="125" t="e">
        <f ca="1">IF(OR($A75=1, $A75=0),NA(),INDIRECT("'File "&amp;$B75&amp;"'!IP_NASLDC"))</f>
        <v>#N/A</v>
      </c>
      <c r="V75">
        <v>13</v>
      </c>
      <c r="W75">
        <v>3</v>
      </c>
      <c r="X75" s="8">
        <f>SUMIFS(S$113:S$172,C$113:C$172,V75,D$113:D$172,W75)</f>
        <v>0</v>
      </c>
      <c r="Y75" s="8">
        <f>'File 13'!L22</f>
        <v>0</v>
      </c>
      <c r="Z75" s="8">
        <f t="shared" si="0"/>
        <v>0</v>
      </c>
      <c r="AA75" s="8">
        <f>'File 13'!K5</f>
        <v>0</v>
      </c>
    </row>
    <row r="76" spans="1:27" x14ac:dyDescent="0.25">
      <c r="C76" s="134" t="s">
        <v>1032</v>
      </c>
      <c r="D76" s="134"/>
      <c r="F76" s="70"/>
      <c r="G76" s="68"/>
      <c r="H76" s="68"/>
      <c r="I76" s="75"/>
      <c r="J76" s="75"/>
      <c r="K76" s="70"/>
      <c r="L76" s="70"/>
      <c r="M76" s="66"/>
      <c r="N76" s="70"/>
      <c r="P76" s="125"/>
      <c r="Q76" s="125"/>
      <c r="R76" s="125"/>
      <c r="S76" s="125"/>
      <c r="X76" s="8"/>
      <c r="Y76" s="8"/>
      <c r="Z76" s="8"/>
      <c r="AA76" s="8"/>
    </row>
    <row r="77" spans="1:27" x14ac:dyDescent="0.25">
      <c r="A77">
        <f ca="1">IF(B77&lt;=No_Components,OFFSET('Control Sheet'!$H$45,B77,0,1,1),0)</f>
        <v>0</v>
      </c>
      <c r="B77">
        <v>14</v>
      </c>
      <c r="C77" s="134">
        <f ca="1">OFFSET('Control Sheet'!$B$45,B77,0,1,1)</f>
        <v>0</v>
      </c>
      <c r="D77" s="134" t="str">
        <f ca="1">IF(A77=1,"",OFFSET('Control Sheet'!$H$45,B77,1,1,1))</f>
        <v>0</v>
      </c>
      <c r="E77" t="str">
        <f ca="1">IF(A77=0,"",IF(A77=1,"",OFFSET('Control Sheet'!$D$45,B77,1,1,1)))</f>
        <v/>
      </c>
      <c r="F77" s="70">
        <f ca="1">IF($A77=1,NA(),CHOOSE($G$19,OFFSET('Reference dates (hide)'!$Y$42,$G$20,$B77*3,1,1),OFFSET('Reference dates (hide)'!$N$120,$B77*3,$G$20,1,1),OFFSET('Reference dates (hide)'!$AA$120,$B77*3,0,1,1)))</f>
        <v>0</v>
      </c>
      <c r="G77" s="68">
        <f ca="1">IF($A77=1,NA(),CHOOSE($G$19,OFFSET('Reference dates (hide)'!$CM$42,$G$20,$B77*3,1,1),OFFSET('Reference dates (hide)'!$N$181,$B77*3,$G$20,1,1),OFFSET('Reference dates (hide)'!$AA$181,$B77*3,0,1,1)))</f>
        <v>0</v>
      </c>
      <c r="H77" s="68">
        <f ca="1">IF($A77=1,NA(),CHOOSE($G$19,OFFSET('Reference dates (hide)'!$HO$42,$G$20,$B77*3,1,1),OFFSET('Reference dates (hide)'!$N$242,$B77*3,$G$20,1,1),OFFSET('Reference dates (hide)'!$AA$242,$B77*3,0,1,1)))</f>
        <v>0</v>
      </c>
      <c r="I77" s="75">
        <f ca="1">IF($A77=1,NA(),CHOOSE($G$19,OFFSET('Reference dates (hide)'!$FA$42,$G$20,$B77*3,1,1),OFFSET('Reference dates (hide)'!$N$318,$B77*3,$G$20,1,1),OFFSET('Reference dates (hide)'!$AA$318,$B77*3,0,1,1)))</f>
        <v>0</v>
      </c>
      <c r="J77" s="75">
        <f ca="1">IF($A77=1,NA(),CHOOSE($G$19,OFFSET('Reference dates (hide)'!$KC$42,$G$20,$B77*3,1,1),OFFSET('Reference dates (hide)'!$N$379,$B77*3,$G$20,1,1),OFFSET('Reference dates (hide)'!$AA$379,$B77*3,0,1,1)))</f>
        <v>0</v>
      </c>
      <c r="K77" s="70" t="e">
        <f ca="1">IF($A77&lt;&gt;0,IF($A77=1,NA(),0.95*$Z77),NA())</f>
        <v>#N/A</v>
      </c>
      <c r="L77" s="70" t="e">
        <f ca="1">IF($A77&lt;&gt;0,IF($A77=1,NA(),1.05*$Z77),NA())</f>
        <v>#N/A</v>
      </c>
      <c r="M77" s="66" t="e">
        <f ca="1">L77-K77</f>
        <v>#N/A</v>
      </c>
      <c r="N77" s="70" t="e">
        <f ca="1">IF($A77&lt;&gt;0,IF($A77=1,NA(),$AA77),NA())</f>
        <v>#N/A</v>
      </c>
      <c r="P77" s="125" t="e">
        <f ca="1">IF(OR($A77=0, $A77=1),NA(),INDIRECT("'File "&amp;$B77&amp;"'!ROTT"))</f>
        <v>#N/A</v>
      </c>
      <c r="Q77" s="125" t="e">
        <f ca="1">IF(OR($A77=0, $A77=1),NA(),INDIRECT("'File "&amp;$B77&amp;"'!NASRDC_Overall"))</f>
        <v>#N/A</v>
      </c>
      <c r="R77" s="125" t="e">
        <f ca="1">IF(OR($A77=0, $A77=1),NA(),INDIRECT("'File "&amp;$B77&amp;"'!NASL"))</f>
        <v>#N/A</v>
      </c>
      <c r="S77" s="125" t="e">
        <f ca="1">IF(OR($A77=0, $A77=1),NA(),INDIRECT("'File "&amp;$B77&amp;"'!NASLDC"))</f>
        <v>#N/A</v>
      </c>
      <c r="V77">
        <v>14</v>
      </c>
      <c r="W77">
        <v>1</v>
      </c>
      <c r="X77" s="8">
        <f>SUMIFS(S$113:S$172,C$113:C$172,V77,D$113:D$172,W77)</f>
        <v>0</v>
      </c>
      <c r="Y77" s="8">
        <f ca="1">IF(AND(V77&lt;=No_Components,X77=0),INDIRECT("'File "&amp;V77&amp;"'!D5"),0)</f>
        <v>0</v>
      </c>
      <c r="Z77" s="8">
        <f ca="1">SUM(X77:Y77)</f>
        <v>0</v>
      </c>
      <c r="AA77" s="8">
        <f>'File 14'!D5</f>
        <v>0</v>
      </c>
    </row>
    <row r="78" spans="1:27" x14ac:dyDescent="0.25">
      <c r="A78">
        <f ca="1">IF(B78&lt;=No_Components,OFFSET('Control Sheet'!$H$45,B78,0,1,1),0)</f>
        <v>0</v>
      </c>
      <c r="B78">
        <v>14</v>
      </c>
      <c r="C78" s="134"/>
      <c r="D78" s="134">
        <f ca="1">OFFSET('Control Sheet'!$H$45,B78,IF(A78=1,1,2),1,1)</f>
        <v>0</v>
      </c>
      <c r="E78" t="str">
        <f ca="1">IF(A78=0,"",OFFSET('Control Sheet'!$D$45,B78,IF(A78=1,1,2),1,1))</f>
        <v/>
      </c>
      <c r="F78" s="70">
        <f ca="1">CHOOSE($G$19,OFFSET('Reference dates (hide)'!$Z$42,$G$20,$B78*3-MOD($A78,3),1,1),OFFSET('Reference dates (hide)'!$N$121,$B78*3-MOD($A78,3),$G$20,1,1),OFFSET('Reference dates (hide)'!$AA$121,$B78*3-MOD($A78,3),0,1,1))</f>
        <v>0</v>
      </c>
      <c r="G78" s="68">
        <f ca="1">CHOOSE($G$19,OFFSET('Reference dates (hide)'!$CN$42,$G$20,$B78*3-MOD($A78,3),1,1),OFFSET('Reference dates (hide)'!$N$182,$B78*3-MOD($A78,3),$G$20,1,1),OFFSET('Reference dates (hide)'!$AA$182,$B78*3-MOD($A78,3),0,1,1))</f>
        <v>0</v>
      </c>
      <c r="H78" s="68">
        <f ca="1">CHOOSE($G$19,OFFSET('Reference dates (hide)'!$HP$42,$G$20,$B78*3-MOD($A78,3),1,1),OFFSET('Reference dates (hide)'!$N$243,$B78*3-MOD($A78,3),$G$20,1,1),OFFSET('Reference dates (hide)'!$AA$243,$B78*3-MOD($A78,3),0,1,1))</f>
        <v>0</v>
      </c>
      <c r="I78" s="75">
        <f ca="1">CHOOSE($G$19,OFFSET('Reference dates (hide)'!$FB$42,$G$20,$B78*3-MOD($A78,3),1,1),OFFSET('Reference dates (hide)'!$N$319,$B78*3-MOD($A78,3),$G$20,1,1),OFFSET('Reference dates (hide)'!$AA$319,$B78*3-MOD($A78,3),0,1,1))</f>
        <v>0</v>
      </c>
      <c r="J78" s="75">
        <f ca="1">CHOOSE($G$19,OFFSET('Reference dates (hide)'!$KD$42,$G$20,$B78*3-MOD($A78,3),1,1),OFFSET('Reference dates (hide)'!$N$380,$B78*3-MOD($A78,3),$G$20,1,1),OFFSET('Reference dates (hide)'!$AA$380,$B78*3-MOD($A78,3),0,1,1))</f>
        <v>0</v>
      </c>
      <c r="K78" s="70" t="e">
        <f ca="1">IF($A78&lt;&gt;0,0.95*IF($A78=1,$Z77,$Z78),NA())</f>
        <v>#N/A</v>
      </c>
      <c r="L78" s="70" t="e">
        <f ca="1">IF($A78&lt;&gt;0,1.05*IF($A78=1,$Z77,$Z78),NA())</f>
        <v>#N/A</v>
      </c>
      <c r="M78" s="66" t="e">
        <f ca="1">L78-K78</f>
        <v>#N/A</v>
      </c>
      <c r="N78" s="70" t="e">
        <f ca="1">IF($A78&lt;&gt;0,IF($A78=1,$AA77,$AA78),NA())</f>
        <v>#N/A</v>
      </c>
      <c r="P78" s="125" t="e">
        <f ca="1">IF($A78=0,NA(),INDIRECT("'File "&amp;$B78&amp;"'!"&amp;IF($A78=1,"ROTT","FU_ROTT")))</f>
        <v>#N/A</v>
      </c>
      <c r="Q78" s="125" t="e">
        <f ca="1">IF($A78=0,NA(),INDIRECT("'File "&amp;$B78&amp;"'!"&amp;IF($A78=1,"NASRDC_Overall","FU_NASRDC_Overall")))</f>
        <v>#N/A</v>
      </c>
      <c r="R78" s="125" t="e">
        <f ca="1">IF($A78=0,NA(),INDIRECT("'File "&amp;$B78&amp;"'!"&amp;IF($A78=1,"NASL","FU_NASL")))</f>
        <v>#N/A</v>
      </c>
      <c r="S78" s="125" t="e">
        <f ca="1">IF($A78=0,NA(),INDIRECT("'File "&amp;$B78&amp;"'!"&amp;IF($A78=1,"NASLDC","FU_NASLDC")))</f>
        <v>#N/A</v>
      </c>
      <c r="V78">
        <v>14</v>
      </c>
      <c r="W78">
        <v>2</v>
      </c>
      <c r="X78" s="8">
        <f>SUMIFS(S$113:S$172,C$113:C$172,V78,D$113:D$172,W78)</f>
        <v>0</v>
      </c>
      <c r="Y78" s="8">
        <f>'File 14'!H22</f>
        <v>0</v>
      </c>
      <c r="Z78" s="8">
        <f t="shared" si="0"/>
        <v>0</v>
      </c>
      <c r="AA78" s="8">
        <f>'File 14'!G5</f>
        <v>0</v>
      </c>
    </row>
    <row r="79" spans="1:27" x14ac:dyDescent="0.25">
      <c r="A79">
        <f ca="1">IF(B79&lt;=No_Components,OFFSET('Control Sheet'!$H$45,B79,0,1,1),0)</f>
        <v>0</v>
      </c>
      <c r="B79">
        <v>14</v>
      </c>
      <c r="C79" s="134"/>
      <c r="D79" s="134">
        <f ca="1">IF(A79=1," ",OFFSET('Control Sheet'!$H$45,B79,3,1,1))</f>
        <v>0</v>
      </c>
      <c r="E79" t="str">
        <f ca="1">IF(A79=0,"",IF(A79=1,"",OFFSET('Control Sheet'!$D$45,B79,3,1,1)))</f>
        <v/>
      </c>
      <c r="F79" s="70">
        <f ca="1">IF($A79=1,NA(),CHOOSE($G$19,OFFSET('Reference dates (hide)'!$AA$42,$G$20,$B79*3,1,1),OFFSET('Reference dates (hide)'!$N$122,$B79*3,$G$20,1,1),OFFSET('Reference dates (hide)'!$AA$122,$B79*3,0,1,1)))</f>
        <v>0</v>
      </c>
      <c r="G79" s="68">
        <f ca="1">IF($A79=1,NA(),CHOOSE($G$19,OFFSET('Reference dates (hide)'!$CO$42,$G$20,$B79*3,1,1),OFFSET('Reference dates (hide)'!$N$183,$B79*3,$G$20,1,1),OFFSET('Reference dates (hide)'!$AA$183,$B79*3,0,1,1)))</f>
        <v>0</v>
      </c>
      <c r="H79" s="68">
        <f ca="1">IF($A79=1,NA(),CHOOSE($G$19,OFFSET('Reference dates (hide)'!$HQ$42,$G$20,$B79*3,1,1),OFFSET('Reference dates (hide)'!$N$244,$B79*3,$G$20,1,1),OFFSET('Reference dates (hide)'!$AA$244,$B79*3,0,1,1)))</f>
        <v>0</v>
      </c>
      <c r="I79" s="75">
        <f ca="1">IF($A79=1,NA(),CHOOSE($G$19,OFFSET('Reference dates (hide)'!$FC$42,$G$20,$B79*3,1,1),OFFSET('Reference dates (hide)'!$N$320,$B79*3,$G$20,1,1),OFFSET('Reference dates (hide)'!$AA$320,$B79*3,0,1,1)))</f>
        <v>0</v>
      </c>
      <c r="J79" s="75">
        <f ca="1">IF($A79=1,NA(),CHOOSE($G$19,OFFSET('Reference dates (hide)'!$KE$42,$G$20,$B79*3,1,1),OFFSET('Reference dates (hide)'!$N$381,$B79*3,$G$20,1,1),OFFSET('Reference dates (hide)'!$AA$381,$B79*3,0,1,1)))</f>
        <v>0</v>
      </c>
      <c r="K79" s="70" t="e">
        <f ca="1">IF($A79&lt;&gt;0,0.95*IF($A79=1,NA(),$Z79),NA())</f>
        <v>#N/A</v>
      </c>
      <c r="L79" s="70" t="e">
        <f ca="1">IF($A79&lt;&gt;0,1.05*IF($A79=1,NA(),$Z79),NA())</f>
        <v>#N/A</v>
      </c>
      <c r="M79" s="66" t="e">
        <f ca="1">L79-K79</f>
        <v>#N/A</v>
      </c>
      <c r="N79" s="70" t="e">
        <f ca="1">IF($A79&lt;&gt;0,IF($A79=1,NA(),$AA79),NA())</f>
        <v>#N/A</v>
      </c>
      <c r="P79" s="125" t="e">
        <f ca="1">IF(OR($A79=1, $A79=0),NA(),INDIRECT("'File "&amp;$B79&amp;"'!IP_ROTT"))</f>
        <v>#N/A</v>
      </c>
      <c r="Q79" s="125" t="e">
        <f ca="1">IF(OR($A79=1, $A79=0),NA(),INDIRECT("'File "&amp;$B79&amp;"'!IP_NASRDC_Overall"))</f>
        <v>#N/A</v>
      </c>
      <c r="R79" s="125" t="e">
        <f ca="1">IF(OR($A79=1, $A79=0),NA(),INDIRECT("'File "&amp;$B79&amp;"'!IP_NASL"))</f>
        <v>#N/A</v>
      </c>
      <c r="S79" s="125" t="e">
        <f ca="1">IF(OR($A79=1, $A79=0),NA(),INDIRECT("'File "&amp;$B79&amp;"'!IP_NASLDC"))</f>
        <v>#N/A</v>
      </c>
      <c r="V79">
        <v>14</v>
      </c>
      <c r="W79">
        <v>3</v>
      </c>
      <c r="X79" s="8">
        <f>SUMIFS(S$113:S$172,C$113:C$172,V79,D$113:D$172,W79)</f>
        <v>0</v>
      </c>
      <c r="Y79" s="8">
        <f>'File 14'!L22</f>
        <v>0</v>
      </c>
      <c r="Z79" s="8">
        <f t="shared" si="0"/>
        <v>0</v>
      </c>
      <c r="AA79" s="8">
        <f>'File 14'!K5</f>
        <v>0</v>
      </c>
    </row>
    <row r="80" spans="1:27" x14ac:dyDescent="0.25">
      <c r="C80" s="134" t="s">
        <v>1032</v>
      </c>
      <c r="D80" s="134"/>
      <c r="F80" s="70"/>
      <c r="G80" s="68"/>
      <c r="H80" s="68"/>
      <c r="I80" s="75"/>
      <c r="J80" s="75"/>
      <c r="K80" s="70"/>
      <c r="L80" s="70"/>
      <c r="M80" s="66"/>
      <c r="N80" s="70"/>
      <c r="P80" s="125"/>
      <c r="Q80" s="125"/>
      <c r="R80" s="125"/>
      <c r="S80" s="125"/>
      <c r="X80" s="8"/>
      <c r="Y80" s="8"/>
      <c r="Z80" s="8"/>
      <c r="AA80" s="8"/>
    </row>
    <row r="81" spans="1:27" x14ac:dyDescent="0.25">
      <c r="A81">
        <f ca="1">IF(B81&lt;=No_Components,OFFSET('Control Sheet'!$H$45,B81,0,1,1),0)</f>
        <v>0</v>
      </c>
      <c r="B81">
        <v>15</v>
      </c>
      <c r="C81" s="134">
        <f ca="1">OFFSET('Control Sheet'!$B$45,B81,0,1,1)</f>
        <v>0</v>
      </c>
      <c r="D81" s="134" t="str">
        <f ca="1">IF(A81=1,"",OFFSET('Control Sheet'!$H$45,B81,1,1,1))</f>
        <v>0</v>
      </c>
      <c r="E81" t="str">
        <f ca="1">IF(A81=0,"",IF(A81=1,"",OFFSET('Control Sheet'!$D$45,B81,1,1,1)))</f>
        <v/>
      </c>
      <c r="F81" s="70">
        <f ca="1">IF($A81=1,NA(),CHOOSE($G$19,OFFSET('Reference dates (hide)'!$Y$42,$G$20,$B81*3,1,1),OFFSET('Reference dates (hide)'!$N$120,$B81*3,$G$20,1,1),OFFSET('Reference dates (hide)'!$AA$120,$B81*3,0,1,1)))</f>
        <v>0</v>
      </c>
      <c r="G81" s="68">
        <f ca="1">IF($A81=1,NA(),CHOOSE($G$19,OFFSET('Reference dates (hide)'!$CM$42,$G$20,$B81*3,1,1),OFFSET('Reference dates (hide)'!$N$181,$B81*3,$G$20,1,1),OFFSET('Reference dates (hide)'!$AA$181,$B81*3,0,1,1)))</f>
        <v>0</v>
      </c>
      <c r="H81" s="68">
        <f ca="1">IF($A81=1,NA(),CHOOSE($G$19,OFFSET('Reference dates (hide)'!$HO$42,$G$20,$B81*3,1,1),OFFSET('Reference dates (hide)'!$N$242,$B81*3,$G$20,1,1),OFFSET('Reference dates (hide)'!$AA$242,$B81*3,0,1,1)))</f>
        <v>0</v>
      </c>
      <c r="I81" s="75">
        <f ca="1">IF($A81=1,NA(),CHOOSE($G$19,OFFSET('Reference dates (hide)'!$FA$42,$G$20,$B81*3,1,1),OFFSET('Reference dates (hide)'!$N$318,$B81*3,$G$20,1,1),OFFSET('Reference dates (hide)'!$AA$318,$B81*3,0,1,1)))</f>
        <v>0</v>
      </c>
      <c r="J81" s="75">
        <f ca="1">IF($A81=1,NA(),CHOOSE($G$19,OFFSET('Reference dates (hide)'!$KC$42,$G$20,$B81*3,1,1),OFFSET('Reference dates (hide)'!$N$379,$B81*3,$G$20,1,1),OFFSET('Reference dates (hide)'!$AA$379,$B81*3,0,1,1)))</f>
        <v>0</v>
      </c>
      <c r="K81" s="70" t="e">
        <f ca="1">IF($A81&lt;&gt;0,IF($A81=1,NA(),0.95*$Z81),NA())</f>
        <v>#N/A</v>
      </c>
      <c r="L81" s="70" t="e">
        <f ca="1">IF($A81&lt;&gt;0,IF($A81=1,NA(),1.05*$Z81),NA())</f>
        <v>#N/A</v>
      </c>
      <c r="M81" s="66" t="e">
        <f ca="1">L81-K81</f>
        <v>#N/A</v>
      </c>
      <c r="N81" s="70" t="e">
        <f ca="1">IF($A81&lt;&gt;0,IF($A81=1,NA(),$AA81),NA())</f>
        <v>#N/A</v>
      </c>
      <c r="P81" s="125" t="e">
        <f ca="1">IF(OR($A81=0, $A81=1),NA(),INDIRECT("'File "&amp;$B81&amp;"'!ROTT"))</f>
        <v>#N/A</v>
      </c>
      <c r="Q81" s="125" t="e">
        <f ca="1">IF(OR($A81=0, $A81=1),NA(),INDIRECT("'File "&amp;$B81&amp;"'!NASRDC_Overall"))</f>
        <v>#N/A</v>
      </c>
      <c r="R81" s="125" t="e">
        <f ca="1">IF(OR($A81=0, $A81=1),NA(),INDIRECT("'File "&amp;$B81&amp;"'!NASL"))</f>
        <v>#N/A</v>
      </c>
      <c r="S81" s="125" t="e">
        <f ca="1">IF(OR($A81=0, $A81=1),NA(),INDIRECT("'File "&amp;$B81&amp;"'!NASLDC"))</f>
        <v>#N/A</v>
      </c>
      <c r="V81">
        <v>15</v>
      </c>
      <c r="W81">
        <v>1</v>
      </c>
      <c r="X81" s="8">
        <f>SUMIFS(S$113:S$172,C$113:C$172,V81,D$113:D$172,W81)</f>
        <v>0</v>
      </c>
      <c r="Y81" s="8">
        <f ca="1">IF(AND(V81&lt;=No_Components,X81=0),INDIRECT("'File "&amp;V81&amp;"'!D5"),0)</f>
        <v>0</v>
      </c>
      <c r="Z81" s="8">
        <f ca="1">SUM(X81:Y81)</f>
        <v>0</v>
      </c>
      <c r="AA81" s="8">
        <f>'File 15'!D5</f>
        <v>0</v>
      </c>
    </row>
    <row r="82" spans="1:27" x14ac:dyDescent="0.25">
      <c r="A82">
        <f ca="1">IF(B82&lt;=No_Components,OFFSET('Control Sheet'!$H$45,B82,0,1,1),0)</f>
        <v>0</v>
      </c>
      <c r="B82">
        <v>15</v>
      </c>
      <c r="C82" s="134"/>
      <c r="D82" s="134">
        <f ca="1">OFFSET('Control Sheet'!$H$45,B82,IF(A82=1,1,2),1,1)</f>
        <v>0</v>
      </c>
      <c r="E82" t="str">
        <f ca="1">IF(A82=0,"",OFFSET('Control Sheet'!$D$45,B82,IF(A82=1,1,2),1,1))</f>
        <v/>
      </c>
      <c r="F82" s="70">
        <f ca="1">CHOOSE($G$19,OFFSET('Reference dates (hide)'!$Z$42,$G$20,$B82*3-MOD($A82,3),1,1),OFFSET('Reference dates (hide)'!$N$121,$B82*3-MOD($A82,3),$G$20,1,1),OFFSET('Reference dates (hide)'!$AA$121,$B82*3-MOD($A82,3),0,1,1))</f>
        <v>0</v>
      </c>
      <c r="G82" s="68">
        <f ca="1">CHOOSE($G$19,OFFSET('Reference dates (hide)'!$CN$42,$G$20,$B82*3-MOD($A82,3),1,1),OFFSET('Reference dates (hide)'!$N$182,$B82*3-MOD($A82,3),$G$20,1,1),OFFSET('Reference dates (hide)'!$AA$182,$B82*3-MOD($A82,3),0,1,1))</f>
        <v>0</v>
      </c>
      <c r="H82" s="68">
        <f ca="1">CHOOSE($G$19,OFFSET('Reference dates (hide)'!$HP$42,$G$20,$B82*3-MOD($A82,3),1,1),OFFSET('Reference dates (hide)'!$N$243,$B82*3-MOD($A82,3),$G$20,1,1),OFFSET('Reference dates (hide)'!$AA$243,$B82*3-MOD($A82,3),0,1,1))</f>
        <v>0</v>
      </c>
      <c r="I82" s="75">
        <f ca="1">CHOOSE($G$19,OFFSET('Reference dates (hide)'!$FB$42,$G$20,$B82*3-MOD($A82,3),1,1),OFFSET('Reference dates (hide)'!$N$319,$B82*3-MOD($A82,3),$G$20,1,1),OFFSET('Reference dates (hide)'!$AA$319,$B82*3-MOD($A82,3),0,1,1))</f>
        <v>0</v>
      </c>
      <c r="J82" s="75">
        <f ca="1">CHOOSE($G$19,OFFSET('Reference dates (hide)'!$KD$42,$G$20,$B82*3-MOD($A82,3),1,1),OFFSET('Reference dates (hide)'!$N$380,$B82*3-MOD($A82,3),$G$20,1,1),OFFSET('Reference dates (hide)'!$AA$380,$B82*3-MOD($A82,3),0,1,1))</f>
        <v>0</v>
      </c>
      <c r="K82" s="70" t="e">
        <f ca="1">IF($A82&lt;&gt;0,0.95*IF($A82=1,$Z81,$Z82),NA())</f>
        <v>#N/A</v>
      </c>
      <c r="L82" s="70" t="e">
        <f ca="1">IF($A82&lt;&gt;0,1.05*IF($A82=1,$Z81,$Z82),NA())</f>
        <v>#N/A</v>
      </c>
      <c r="M82" s="66" t="e">
        <f ca="1">L82-K82</f>
        <v>#N/A</v>
      </c>
      <c r="N82" s="70" t="e">
        <f ca="1">IF($A82&lt;&gt;0,IF($A82=1,$AA81,$AA82),NA())</f>
        <v>#N/A</v>
      </c>
      <c r="P82" s="125" t="e">
        <f ca="1">IF($A82=0,NA(),INDIRECT("'File "&amp;$B82&amp;"'!"&amp;IF($A82=1,"ROTT","FU_ROTT")))</f>
        <v>#N/A</v>
      </c>
      <c r="Q82" s="125" t="e">
        <f ca="1">IF($A82=0,NA(),INDIRECT("'File "&amp;$B82&amp;"'!"&amp;IF($A82=1,"NASRDC_Overall","FU_NASRDC_Overall")))</f>
        <v>#N/A</v>
      </c>
      <c r="R82" s="125" t="e">
        <f ca="1">IF($A82=0,NA(),INDIRECT("'File "&amp;$B82&amp;"'!"&amp;IF($A82=1,"NASL","FU_NASL")))</f>
        <v>#N/A</v>
      </c>
      <c r="S82" s="125" t="e">
        <f ca="1">IF($A82=0,NA(),INDIRECT("'File "&amp;$B82&amp;"'!"&amp;IF($A82=1,"NASLDC","FU_NASLDC")))</f>
        <v>#N/A</v>
      </c>
      <c r="V82">
        <v>15</v>
      </c>
      <c r="W82">
        <v>2</v>
      </c>
      <c r="X82" s="8">
        <f>SUMIFS(S$113:S$172,C$113:C$172,V82,D$113:D$172,W82)</f>
        <v>0</v>
      </c>
      <c r="Y82" s="8">
        <f>'File 15'!H22</f>
        <v>0</v>
      </c>
      <c r="Z82" s="8">
        <f t="shared" si="0"/>
        <v>0</v>
      </c>
      <c r="AA82" s="8">
        <f>'File 15'!G5</f>
        <v>0</v>
      </c>
    </row>
    <row r="83" spans="1:27" x14ac:dyDescent="0.25">
      <c r="A83">
        <f ca="1">IF(B83&lt;=No_Components,OFFSET('Control Sheet'!$H$45,B83,0,1,1),0)</f>
        <v>0</v>
      </c>
      <c r="B83">
        <v>15</v>
      </c>
      <c r="C83" s="134"/>
      <c r="D83" s="134">
        <f ca="1">IF(A83=1," ",OFFSET('Control Sheet'!$H$45,B83,3,1,1))</f>
        <v>0</v>
      </c>
      <c r="E83" t="str">
        <f ca="1">IF(A83=0,"",IF(A83=1,"",OFFSET('Control Sheet'!$D$45,B83,3,1,1)))</f>
        <v/>
      </c>
      <c r="F83" s="70">
        <f ca="1">IF($A83=1,NA(),CHOOSE($G$19,OFFSET('Reference dates (hide)'!$AA$42,$G$20,$B83*3,1,1),OFFSET('Reference dates (hide)'!$N$122,$B83*3,$G$20,1,1),OFFSET('Reference dates (hide)'!$AA$122,$B83*3,0,1,1)))</f>
        <v>0</v>
      </c>
      <c r="G83" s="68">
        <f ca="1">IF($A83=1,NA(),CHOOSE($G$19,OFFSET('Reference dates (hide)'!$CO$42,$G$20,$B83*3,1,1),OFFSET('Reference dates (hide)'!$N$183,$B83*3,$G$20,1,1),OFFSET('Reference dates (hide)'!$AA$183,$B83*3,0,1,1)))</f>
        <v>0</v>
      </c>
      <c r="H83" s="68">
        <f ca="1">IF($A83=1,NA(),CHOOSE($G$19,OFFSET('Reference dates (hide)'!$HQ$42,$G$20,$B83*3,1,1),OFFSET('Reference dates (hide)'!$N$244,$B83*3,$G$20,1,1),OFFSET('Reference dates (hide)'!$AA$244,$B83*3,0,1,1)))</f>
        <v>0</v>
      </c>
      <c r="I83" s="75">
        <f ca="1">IF($A83=1,NA(),CHOOSE($G$19,OFFSET('Reference dates (hide)'!$FC$42,$G$20,$B83*3,1,1),OFFSET('Reference dates (hide)'!$N$320,$B83*3,$G$20,1,1),OFFSET('Reference dates (hide)'!$AA$320,$B83*3,0,1,1)))</f>
        <v>0</v>
      </c>
      <c r="J83" s="75">
        <f ca="1">IF($A83=1,NA(),CHOOSE($G$19,OFFSET('Reference dates (hide)'!$KE$42,$G$20,$B83*3,1,1),OFFSET('Reference dates (hide)'!$N$381,$B83*3,$G$20,1,1),OFFSET('Reference dates (hide)'!$AA$381,$B83*3,0,1,1)))</f>
        <v>0</v>
      </c>
      <c r="K83" s="70" t="e">
        <f ca="1">IF($A83&lt;&gt;0,0.95*IF($A83=1,NA(),$Z83),NA())</f>
        <v>#N/A</v>
      </c>
      <c r="L83" s="70" t="e">
        <f ca="1">IF($A83&lt;&gt;0,1.05*IF($A83=1,NA(),$Z83),NA())</f>
        <v>#N/A</v>
      </c>
      <c r="M83" s="66" t="e">
        <f ca="1">L83-K83</f>
        <v>#N/A</v>
      </c>
      <c r="N83" s="70" t="e">
        <f ca="1">IF($A83&lt;&gt;0,IF($A83=1,NA(),$AA83),NA())</f>
        <v>#N/A</v>
      </c>
      <c r="P83" s="125" t="e">
        <f ca="1">IF(OR($A83=1, $A83=0),NA(),INDIRECT("'File "&amp;$B83&amp;"'!IP_ROTT"))</f>
        <v>#N/A</v>
      </c>
      <c r="Q83" s="125" t="e">
        <f ca="1">IF(OR($A83=1, $A83=0),NA(),INDIRECT("'File "&amp;$B83&amp;"'!IP_NASRDC_Overall"))</f>
        <v>#N/A</v>
      </c>
      <c r="R83" s="125" t="e">
        <f ca="1">IF(OR($A83=1, $A83=0),NA(),INDIRECT("'File "&amp;$B83&amp;"'!IP_NASL"))</f>
        <v>#N/A</v>
      </c>
      <c r="S83" s="125" t="e">
        <f ca="1">IF(OR($A83=1, $A83=0),NA(),INDIRECT("'File "&amp;$B83&amp;"'!IP_NASLDC"))</f>
        <v>#N/A</v>
      </c>
      <c r="V83">
        <v>15</v>
      </c>
      <c r="W83">
        <v>3</v>
      </c>
      <c r="X83" s="8">
        <f>SUMIFS(S$113:S$172,C$113:C$172,V83,D$113:D$172,W83)</f>
        <v>0</v>
      </c>
      <c r="Y83" s="8">
        <f>'File 15'!L22</f>
        <v>0</v>
      </c>
      <c r="Z83" s="8">
        <f t="shared" si="0"/>
        <v>0</v>
      </c>
      <c r="AA83" s="8">
        <f>'File 15'!K5</f>
        <v>0</v>
      </c>
    </row>
    <row r="84" spans="1:27" x14ac:dyDescent="0.25">
      <c r="C84" s="134" t="s">
        <v>1032</v>
      </c>
      <c r="D84" s="134"/>
      <c r="F84" s="70"/>
      <c r="G84" s="68"/>
      <c r="H84" s="68"/>
      <c r="I84" s="75"/>
      <c r="J84" s="75"/>
      <c r="K84" s="70"/>
      <c r="L84" s="70"/>
      <c r="M84" s="66"/>
      <c r="N84" s="70"/>
      <c r="P84" s="125"/>
      <c r="Q84" s="125"/>
      <c r="R84" s="125"/>
      <c r="S84" s="125"/>
      <c r="X84" s="8"/>
      <c r="Y84" s="8"/>
      <c r="Z84" s="8"/>
      <c r="AA84" s="8"/>
    </row>
    <row r="85" spans="1:27" x14ac:dyDescent="0.25">
      <c r="A85">
        <f ca="1">IF(B85&lt;=No_Components,OFFSET('Control Sheet'!$H$45,B85,0,1,1),0)</f>
        <v>0</v>
      </c>
      <c r="B85">
        <v>16</v>
      </c>
      <c r="C85" s="134">
        <f ca="1">OFFSET('Control Sheet'!$B$45,B85,0,1,1)</f>
        <v>0</v>
      </c>
      <c r="D85" s="134" t="str">
        <f ca="1">IF(A85=1,"",OFFSET('Control Sheet'!$H$45,B85,1,1,1))</f>
        <v>0</v>
      </c>
      <c r="E85" t="str">
        <f ca="1">IF(A85=0,"",IF(A85=1,"",OFFSET('Control Sheet'!$D$45,B85,1,1,1)))</f>
        <v/>
      </c>
      <c r="F85" s="70">
        <f ca="1">IF($A85=1,NA(),CHOOSE($G$19,OFFSET('Reference dates (hide)'!$Y$42,$G$20,$B85*3,1,1),OFFSET('Reference dates (hide)'!$N$120,$B85*3,$G$20,1,1),OFFSET('Reference dates (hide)'!$AA$120,$B85*3,0,1,1)))</f>
        <v>0</v>
      </c>
      <c r="G85" s="68">
        <f ca="1">IF($A85=1,NA(),CHOOSE($G$19,OFFSET('Reference dates (hide)'!$CM$42,$G$20,$B85*3,1,1),OFFSET('Reference dates (hide)'!$N$181,$B85*3,$G$20,1,1),OFFSET('Reference dates (hide)'!$AA$181,$B85*3,0,1,1)))</f>
        <v>0</v>
      </c>
      <c r="H85" s="68">
        <f ca="1">IF($A85=1,NA(),CHOOSE($G$19,OFFSET('Reference dates (hide)'!$HO$42,$G$20,$B85*3,1,1),OFFSET('Reference dates (hide)'!$N$242,$B85*3,$G$20,1,1),OFFSET('Reference dates (hide)'!$AA$242,$B85*3,0,1,1)))</f>
        <v>0</v>
      </c>
      <c r="I85" s="75">
        <f ca="1">IF($A85=1,NA(),CHOOSE($G$19,OFFSET('Reference dates (hide)'!$FA$42,$G$20,$B85*3,1,1),OFFSET('Reference dates (hide)'!$N$318,$B85*3,$G$20,1,1),OFFSET('Reference dates (hide)'!$AA$318,$B85*3,0,1,1)))</f>
        <v>0</v>
      </c>
      <c r="J85" s="75">
        <f ca="1">IF($A85=1,NA(),CHOOSE($G$19,OFFSET('Reference dates (hide)'!$KC$42,$G$20,$B85*3,1,1),OFFSET('Reference dates (hide)'!$N$379,$B85*3,$G$20,1,1),OFFSET('Reference dates (hide)'!$AA$379,$B85*3,0,1,1)))</f>
        <v>0</v>
      </c>
      <c r="K85" s="70" t="e">
        <f ca="1">IF($A85&lt;&gt;0,IF($A85=1,NA(),0.95*$Z85),NA())</f>
        <v>#N/A</v>
      </c>
      <c r="L85" s="70" t="e">
        <f ca="1">IF($A85&lt;&gt;0,IF($A85=1,NA(),1.05*$Z85),NA())</f>
        <v>#N/A</v>
      </c>
      <c r="M85" s="66" t="e">
        <f ca="1">L85-K85</f>
        <v>#N/A</v>
      </c>
      <c r="N85" s="70" t="e">
        <f ca="1">IF($A85&lt;&gt;0,IF($A85=1,NA(),$AA85),NA())</f>
        <v>#N/A</v>
      </c>
      <c r="P85" s="125" t="e">
        <f ca="1">IF(OR($A85=0, $A85=1),NA(),INDIRECT("'File "&amp;$B85&amp;"'!ROTT"))</f>
        <v>#N/A</v>
      </c>
      <c r="Q85" s="125" t="e">
        <f ca="1">IF(OR($A85=0, $A85=1),NA(),INDIRECT("'File "&amp;$B85&amp;"'!NASRDC_Overall"))</f>
        <v>#N/A</v>
      </c>
      <c r="R85" s="125" t="e">
        <f ca="1">IF(OR($A85=0, $A85=1),NA(),INDIRECT("'File "&amp;$B85&amp;"'!NASL"))</f>
        <v>#N/A</v>
      </c>
      <c r="S85" s="125" t="e">
        <f ca="1">IF(OR($A85=0, $A85=1),NA(),INDIRECT("'File "&amp;$B85&amp;"'!NASLDC"))</f>
        <v>#N/A</v>
      </c>
      <c r="V85">
        <v>16</v>
      </c>
      <c r="W85">
        <v>1</v>
      </c>
      <c r="X85" s="8">
        <f>SUMIFS(S$113:S$172,C$113:C$172,V85,D$113:D$172,W85)</f>
        <v>0</v>
      </c>
      <c r="Y85" s="8">
        <f ca="1">IF(AND(V85&lt;=No_Components,X85=0),INDIRECT("'File "&amp;V85&amp;"'!D5"),0)</f>
        <v>0</v>
      </c>
      <c r="Z85" s="8">
        <f ca="1">SUM(X85:Y85)</f>
        <v>0</v>
      </c>
      <c r="AA85" s="8">
        <f>'File 16'!D5</f>
        <v>0</v>
      </c>
    </row>
    <row r="86" spans="1:27" x14ac:dyDescent="0.25">
      <c r="A86">
        <f ca="1">IF(B86&lt;=No_Components,OFFSET('Control Sheet'!$H$45,B86,0,1,1),0)</f>
        <v>0</v>
      </c>
      <c r="B86">
        <v>16</v>
      </c>
      <c r="C86" s="134"/>
      <c r="D86" s="134">
        <f ca="1">OFFSET('Control Sheet'!$H$45,B86,IF(A86=1,1,2),1,1)</f>
        <v>0</v>
      </c>
      <c r="E86" t="str">
        <f ca="1">IF(A86=0,"",OFFSET('Control Sheet'!$D$45,B86,IF(A86=1,1,2),1,1))</f>
        <v/>
      </c>
      <c r="F86" s="70">
        <f ca="1">CHOOSE($G$19,OFFSET('Reference dates (hide)'!$Z$42,$G$20,$B86*3-MOD($A86,3),1,1),OFFSET('Reference dates (hide)'!$N$121,$B86*3-MOD($A86,3),$G$20,1,1),OFFSET('Reference dates (hide)'!$AA$121,$B86*3-MOD($A86,3),0,1,1))</f>
        <v>0</v>
      </c>
      <c r="G86" s="68">
        <f ca="1">CHOOSE($G$19,OFFSET('Reference dates (hide)'!$CN$42,$G$20,$B86*3-MOD($A86,3),1,1),OFFSET('Reference dates (hide)'!$N$182,$B86*3-MOD($A86,3),$G$20,1,1),OFFSET('Reference dates (hide)'!$AA$182,$B86*3-MOD($A86,3),0,1,1))</f>
        <v>0</v>
      </c>
      <c r="H86" s="68">
        <f ca="1">CHOOSE($G$19,OFFSET('Reference dates (hide)'!$HP$42,$G$20,$B86*3-MOD($A86,3),1,1),OFFSET('Reference dates (hide)'!$N$243,$B86*3-MOD($A86,3),$G$20,1,1),OFFSET('Reference dates (hide)'!$AA$243,$B86*3-MOD($A86,3),0,1,1))</f>
        <v>0</v>
      </c>
      <c r="I86" s="75">
        <f ca="1">CHOOSE($G$19,OFFSET('Reference dates (hide)'!$FB$42,$G$20,$B86*3-MOD($A86,3),1,1),OFFSET('Reference dates (hide)'!$N$319,$B86*3-MOD($A86,3),$G$20,1,1),OFFSET('Reference dates (hide)'!$AA$319,$B86*3-MOD($A86,3),0,1,1))</f>
        <v>0</v>
      </c>
      <c r="J86" s="75">
        <f ca="1">CHOOSE($G$19,OFFSET('Reference dates (hide)'!$KD$42,$G$20,$B86*3-MOD($A86,3),1,1),OFFSET('Reference dates (hide)'!$N$380,$B86*3-MOD($A86,3),$G$20,1,1),OFFSET('Reference dates (hide)'!$AA$380,$B86*3-MOD($A86,3),0,1,1))</f>
        <v>0</v>
      </c>
      <c r="K86" s="70" t="e">
        <f ca="1">IF($A86&lt;&gt;0,0.95*IF($A86=1,$Z85,$Z86),NA())</f>
        <v>#N/A</v>
      </c>
      <c r="L86" s="70" t="e">
        <f ca="1">IF($A86&lt;&gt;0,1.05*IF($A86=1,$Z85,$Z86),NA())</f>
        <v>#N/A</v>
      </c>
      <c r="M86" s="66" t="e">
        <f ca="1">L86-K86</f>
        <v>#N/A</v>
      </c>
      <c r="N86" s="70" t="e">
        <f ca="1">IF($A86&lt;&gt;0,IF($A86=1,$AA85,$AA86),NA())</f>
        <v>#N/A</v>
      </c>
      <c r="P86" s="125" t="e">
        <f ca="1">IF($A86=0,NA(),INDIRECT("'File "&amp;$B86&amp;"'!"&amp;IF($A86=1,"ROTT","FU_ROTT")))</f>
        <v>#N/A</v>
      </c>
      <c r="Q86" s="125" t="e">
        <f ca="1">IF($A86=0,NA(),INDIRECT("'File "&amp;$B86&amp;"'!"&amp;IF($A86=1,"NASRDC_Overall","FU_NASRDC_Overall")))</f>
        <v>#N/A</v>
      </c>
      <c r="R86" s="125" t="e">
        <f ca="1">IF($A86=0,NA(),INDIRECT("'File "&amp;$B86&amp;"'!"&amp;IF($A86=1,"NASL","FU_NASL")))</f>
        <v>#N/A</v>
      </c>
      <c r="S86" s="125" t="e">
        <f ca="1">IF($A86=0,NA(),INDIRECT("'File "&amp;$B86&amp;"'!"&amp;IF($A86=1,"NASLDC","FU_NASLDC")))</f>
        <v>#N/A</v>
      </c>
      <c r="V86">
        <v>16</v>
      </c>
      <c r="W86">
        <v>2</v>
      </c>
      <c r="X86" s="8">
        <f>SUMIFS(S$113:S$172,C$113:C$172,V86,D$113:D$172,W86)</f>
        <v>0</v>
      </c>
      <c r="Y86" s="8">
        <f>'File 16'!H22</f>
        <v>0</v>
      </c>
      <c r="Z86" s="8">
        <f t="shared" si="0"/>
        <v>0</v>
      </c>
      <c r="AA86" s="8">
        <f>'File 16'!G5</f>
        <v>0</v>
      </c>
    </row>
    <row r="87" spans="1:27" x14ac:dyDescent="0.25">
      <c r="A87">
        <f ca="1">IF(B87&lt;=No_Components,OFFSET('Control Sheet'!$H$45,B87,0,1,1),0)</f>
        <v>0</v>
      </c>
      <c r="B87">
        <v>16</v>
      </c>
      <c r="C87" s="134"/>
      <c r="D87" s="134">
        <f ca="1">IF(A87=1," ",OFFSET('Control Sheet'!$H$45,B87,3,1,1))</f>
        <v>0</v>
      </c>
      <c r="E87" t="str">
        <f ca="1">IF(A87=0,"",IF(A87=1,"",OFFSET('Control Sheet'!$D$45,B87,3,1,1)))</f>
        <v/>
      </c>
      <c r="F87" s="70">
        <f ca="1">IF($A87=1,NA(),CHOOSE($G$19,OFFSET('Reference dates (hide)'!$AA$42,$G$20,$B87*3,1,1),OFFSET('Reference dates (hide)'!$N$122,$B87*3,$G$20,1,1),OFFSET('Reference dates (hide)'!$AA$122,$B87*3,0,1,1)))</f>
        <v>0</v>
      </c>
      <c r="G87" s="68">
        <f ca="1">IF($A87=1,NA(),CHOOSE($G$19,OFFSET('Reference dates (hide)'!$CO$42,$G$20,$B87*3,1,1),OFFSET('Reference dates (hide)'!$N$183,$B87*3,$G$20,1,1),OFFSET('Reference dates (hide)'!$AA$183,$B87*3,0,1,1)))</f>
        <v>0</v>
      </c>
      <c r="H87" s="68">
        <f ca="1">IF($A87=1,NA(),CHOOSE($G$19,OFFSET('Reference dates (hide)'!$HQ$42,$G$20,$B87*3,1,1),OFFSET('Reference dates (hide)'!$N$244,$B87*3,$G$20,1,1),OFFSET('Reference dates (hide)'!$AA$244,$B87*3,0,1,1)))</f>
        <v>0</v>
      </c>
      <c r="I87" s="75">
        <f ca="1">IF($A87=1,NA(),CHOOSE($G$19,OFFSET('Reference dates (hide)'!$FC$42,$G$20,$B87*3,1,1),OFFSET('Reference dates (hide)'!$N$320,$B87*3,$G$20,1,1),OFFSET('Reference dates (hide)'!$AA$320,$B87*3,0,1,1)))</f>
        <v>0</v>
      </c>
      <c r="J87" s="75">
        <f ca="1">IF($A87=1,NA(),CHOOSE($G$19,OFFSET('Reference dates (hide)'!$KE$42,$G$20,$B87*3,1,1),OFFSET('Reference dates (hide)'!$N$381,$B87*3,$G$20,1,1),OFFSET('Reference dates (hide)'!$AA$381,$B87*3,0,1,1)))</f>
        <v>0</v>
      </c>
      <c r="K87" s="70" t="e">
        <f ca="1">IF($A87&lt;&gt;0,0.95*IF($A87=1,NA(),$Z87),NA())</f>
        <v>#N/A</v>
      </c>
      <c r="L87" s="70" t="e">
        <f ca="1">IF($A87&lt;&gt;0,1.05*IF($A87=1,NA(),$Z87),NA())</f>
        <v>#N/A</v>
      </c>
      <c r="M87" s="66" t="e">
        <f ca="1">L87-K87</f>
        <v>#N/A</v>
      </c>
      <c r="N87" s="70" t="e">
        <f ca="1">IF($A87&lt;&gt;0,IF($A87=1,NA(),$AA87),NA())</f>
        <v>#N/A</v>
      </c>
      <c r="P87" s="125" t="e">
        <f ca="1">IF(OR($A87=1, $A87=0),NA(),INDIRECT("'File "&amp;$B87&amp;"'!IP_ROTT"))</f>
        <v>#N/A</v>
      </c>
      <c r="Q87" s="125" t="e">
        <f ca="1">IF(OR($A87=1, $A87=0),NA(),INDIRECT("'File "&amp;$B87&amp;"'!IP_NASRDC_Overall"))</f>
        <v>#N/A</v>
      </c>
      <c r="R87" s="125" t="e">
        <f ca="1">IF(OR($A87=1, $A87=0),NA(),INDIRECT("'File "&amp;$B87&amp;"'!IP_NASL"))</f>
        <v>#N/A</v>
      </c>
      <c r="S87" s="125" t="e">
        <f ca="1">IF(OR($A87=1, $A87=0),NA(),INDIRECT("'File "&amp;$B87&amp;"'!IP_NASLDC"))</f>
        <v>#N/A</v>
      </c>
      <c r="V87">
        <v>16</v>
      </c>
      <c r="W87">
        <v>3</v>
      </c>
      <c r="X87" s="8">
        <f>SUMIFS(S$113:S$172,C$113:C$172,V87,D$113:D$172,W87)</f>
        <v>0</v>
      </c>
      <c r="Y87" s="8">
        <f>'File 16'!L22</f>
        <v>0</v>
      </c>
      <c r="Z87" s="8">
        <f t="shared" si="0"/>
        <v>0</v>
      </c>
      <c r="AA87" s="8">
        <f>'File 16'!K5</f>
        <v>0</v>
      </c>
    </row>
    <row r="88" spans="1:27" x14ac:dyDescent="0.25">
      <c r="C88" s="134" t="s">
        <v>1032</v>
      </c>
      <c r="D88" s="134"/>
      <c r="F88" s="70"/>
      <c r="G88" s="68"/>
      <c r="H88" s="68"/>
      <c r="I88" s="75"/>
      <c r="J88" s="75"/>
      <c r="K88" s="70"/>
      <c r="L88" s="70"/>
      <c r="M88" s="66"/>
      <c r="N88" s="70"/>
      <c r="P88" s="125"/>
      <c r="Q88" s="125"/>
      <c r="R88" s="125"/>
      <c r="S88" s="125"/>
      <c r="X88" s="8"/>
      <c r="Y88" s="8"/>
      <c r="Z88" s="8"/>
      <c r="AA88" s="8"/>
    </row>
    <row r="89" spans="1:27" x14ac:dyDescent="0.25">
      <c r="A89">
        <f ca="1">IF(B89&lt;=No_Components,OFFSET('Control Sheet'!$H$45,B89,0,1,1),0)</f>
        <v>0</v>
      </c>
      <c r="B89">
        <v>17</v>
      </c>
      <c r="C89" s="134">
        <f ca="1">OFFSET('Control Sheet'!$B$45,B89,0,1,1)</f>
        <v>0</v>
      </c>
      <c r="D89" s="134" t="str">
        <f ca="1">IF(A89=1,"",OFFSET('Control Sheet'!$H$45,B89,1,1,1))</f>
        <v>0</v>
      </c>
      <c r="E89" t="str">
        <f ca="1">IF(A89=0,"",IF(A89=1,"",OFFSET('Control Sheet'!$D$45,B89,1,1,1)))</f>
        <v/>
      </c>
      <c r="F89" s="70">
        <f ca="1">IF($A89=1,NA(),CHOOSE($G$19,OFFSET('Reference dates (hide)'!$Y$42,$G$20,$B89*3,1,1),OFFSET('Reference dates (hide)'!$N$120,$B89*3,$G$20,1,1),OFFSET('Reference dates (hide)'!$AA$120,$B89*3,0,1,1)))</f>
        <v>0</v>
      </c>
      <c r="G89" s="68">
        <f ca="1">IF($A89=1,NA(),CHOOSE($G$19,OFFSET('Reference dates (hide)'!$CM$42,$G$20,$B89*3,1,1),OFFSET('Reference dates (hide)'!$N$181,$B89*3,$G$20,1,1),OFFSET('Reference dates (hide)'!$AA$181,$B89*3,0,1,1)))</f>
        <v>0</v>
      </c>
      <c r="H89" s="68">
        <f ca="1">IF($A89=1,NA(),CHOOSE($G$19,OFFSET('Reference dates (hide)'!$HO$42,$G$20,$B89*3,1,1),OFFSET('Reference dates (hide)'!$N$242,$B89*3,$G$20,1,1),OFFSET('Reference dates (hide)'!$AA$242,$B89*3,0,1,1)))</f>
        <v>0</v>
      </c>
      <c r="I89" s="75">
        <f ca="1">IF($A89=1,NA(),CHOOSE($G$19,OFFSET('Reference dates (hide)'!$FA$42,$G$20,$B89*3,1,1),OFFSET('Reference dates (hide)'!$N$318,$B89*3,$G$20,1,1),OFFSET('Reference dates (hide)'!$AA$318,$B89*3,0,1,1)))</f>
        <v>0</v>
      </c>
      <c r="J89" s="75">
        <f ca="1">IF($A89=1,NA(),CHOOSE($G$19,OFFSET('Reference dates (hide)'!$KC$42,$G$20,$B89*3,1,1),OFFSET('Reference dates (hide)'!$N$379,$B89*3,$G$20,1,1),OFFSET('Reference dates (hide)'!$AA$379,$B89*3,0,1,1)))</f>
        <v>0</v>
      </c>
      <c r="K89" s="70" t="e">
        <f ca="1">IF($A89&lt;&gt;0,IF($A89=1,NA(),0.95*$Z89),NA())</f>
        <v>#N/A</v>
      </c>
      <c r="L89" s="70" t="e">
        <f ca="1">IF($A89&lt;&gt;0,IF($A89=1,NA(),1.05*$Z89),NA())</f>
        <v>#N/A</v>
      </c>
      <c r="M89" s="66" t="e">
        <f ca="1">L89-K89</f>
        <v>#N/A</v>
      </c>
      <c r="N89" s="70" t="e">
        <f ca="1">IF($A89&lt;&gt;0,IF($A89=1,NA(),$AA89),NA())</f>
        <v>#N/A</v>
      </c>
      <c r="P89" s="125" t="e">
        <f ca="1">IF(OR($A89=0, $A89=1),NA(),INDIRECT("'File "&amp;$B89&amp;"'!ROTT"))</f>
        <v>#N/A</v>
      </c>
      <c r="Q89" s="125" t="e">
        <f ca="1">IF(OR($A89=0, $A89=1),NA(),INDIRECT("'File "&amp;$B89&amp;"'!NASRDC_Overall"))</f>
        <v>#N/A</v>
      </c>
      <c r="R89" s="125" t="e">
        <f ca="1">IF(OR($A89=0, $A89=1),NA(),INDIRECT("'File "&amp;$B89&amp;"'!NASL"))</f>
        <v>#N/A</v>
      </c>
      <c r="S89" s="125" t="e">
        <f ca="1">IF(OR($A89=0, $A89=1),NA(),INDIRECT("'File "&amp;$B89&amp;"'!NASLDC"))</f>
        <v>#N/A</v>
      </c>
      <c r="V89">
        <v>17</v>
      </c>
      <c r="W89">
        <v>1</v>
      </c>
      <c r="X89" s="8">
        <f>SUMIFS(S$113:S$172,C$113:C$172,V89,D$113:D$172,W89)</f>
        <v>0</v>
      </c>
      <c r="Y89" s="8">
        <f ca="1">IF(AND(V89&lt;=No_Components,X89=0),INDIRECT("'File "&amp;V89&amp;"'!D5"),0)</f>
        <v>0</v>
      </c>
      <c r="Z89" s="8">
        <f ca="1">SUM(X89:Y89)</f>
        <v>0</v>
      </c>
      <c r="AA89" s="8">
        <f>'File 17'!D5</f>
        <v>0</v>
      </c>
    </row>
    <row r="90" spans="1:27" x14ac:dyDescent="0.25">
      <c r="A90">
        <f ca="1">IF(B90&lt;=No_Components,OFFSET('Control Sheet'!$H$45,B90,0,1,1),0)</f>
        <v>0</v>
      </c>
      <c r="B90">
        <v>17</v>
      </c>
      <c r="C90" s="134"/>
      <c r="D90" s="134">
        <f ca="1">OFFSET('Control Sheet'!$H$45,B90,IF(A90=1,1,2),1,1)</f>
        <v>0</v>
      </c>
      <c r="E90" t="str">
        <f ca="1">IF(A90=0,"",OFFSET('Control Sheet'!$D$45,B90,IF(A90=1,1,2),1,1))</f>
        <v/>
      </c>
      <c r="F90" s="70">
        <f ca="1">CHOOSE($G$19,OFFSET('Reference dates (hide)'!$Z$42,$G$20,$B90*3-MOD($A90,3),1,1),OFFSET('Reference dates (hide)'!$N$121,$B90*3-MOD($A90,3),$G$20,1,1),OFFSET('Reference dates (hide)'!$AA$121,$B90*3-MOD($A90,3),0,1,1))</f>
        <v>0</v>
      </c>
      <c r="G90" s="68">
        <f ca="1">CHOOSE($G$19,OFFSET('Reference dates (hide)'!$CN$42,$G$20,$B90*3-MOD($A90,3),1,1),OFFSET('Reference dates (hide)'!$N$182,$B90*3-MOD($A90,3),$G$20,1,1),OFFSET('Reference dates (hide)'!$AA$182,$B90*3-MOD($A90,3),0,1,1))</f>
        <v>0</v>
      </c>
      <c r="H90" s="68">
        <f ca="1">CHOOSE($G$19,OFFSET('Reference dates (hide)'!$HP$42,$G$20,$B90*3-MOD($A90,3),1,1),OFFSET('Reference dates (hide)'!$N$243,$B90*3-MOD($A90,3),$G$20,1,1),OFFSET('Reference dates (hide)'!$AA$243,$B90*3-MOD($A90,3),0,1,1))</f>
        <v>0</v>
      </c>
      <c r="I90" s="75">
        <f ca="1">CHOOSE($G$19,OFFSET('Reference dates (hide)'!$FB$42,$G$20,$B90*3-MOD($A90,3),1,1),OFFSET('Reference dates (hide)'!$N$319,$B90*3-MOD($A90,3),$G$20,1,1),OFFSET('Reference dates (hide)'!$AA$319,$B90*3-MOD($A90,3),0,1,1))</f>
        <v>0</v>
      </c>
      <c r="J90" s="75">
        <f ca="1">CHOOSE($G$19,OFFSET('Reference dates (hide)'!$KD$42,$G$20,$B90*3-MOD($A90,3),1,1),OFFSET('Reference dates (hide)'!$N$380,$B90*3-MOD($A90,3),$G$20,1,1),OFFSET('Reference dates (hide)'!$AA$380,$B90*3-MOD($A90,3),0,1,1))</f>
        <v>0</v>
      </c>
      <c r="K90" s="70" t="e">
        <f ca="1">IF($A90&lt;&gt;0,0.95*IF($A90=1,$Z89,$Z90),NA())</f>
        <v>#N/A</v>
      </c>
      <c r="L90" s="70" t="e">
        <f ca="1">IF($A90&lt;&gt;0,1.05*IF($A90=1,$Z89,$Z90),NA())</f>
        <v>#N/A</v>
      </c>
      <c r="M90" s="66" t="e">
        <f ca="1">L90-K90</f>
        <v>#N/A</v>
      </c>
      <c r="N90" s="70" t="e">
        <f ca="1">IF($A90&lt;&gt;0,IF($A90=1,$AA89,$AA90),NA())</f>
        <v>#N/A</v>
      </c>
      <c r="P90" s="125" t="e">
        <f ca="1">IF($A90=0,NA(),INDIRECT("'File "&amp;$B90&amp;"'!"&amp;IF($A90=1,"ROTT","FU_ROTT")))</f>
        <v>#N/A</v>
      </c>
      <c r="Q90" s="125" t="e">
        <f ca="1">IF($A90=0,NA(),INDIRECT("'File "&amp;$B90&amp;"'!"&amp;IF($A90=1,"NASRDC_Overall","FU_NASRDC_Overall")))</f>
        <v>#N/A</v>
      </c>
      <c r="R90" s="125" t="e">
        <f ca="1">IF($A90=0,NA(),INDIRECT("'File "&amp;$B90&amp;"'!"&amp;IF($A90=1,"NASL","FU_NASL")))</f>
        <v>#N/A</v>
      </c>
      <c r="S90" s="125" t="e">
        <f ca="1">IF($A90=0,NA(),INDIRECT("'File "&amp;$B90&amp;"'!"&amp;IF($A90=1,"NASLDC","FU_NASLDC")))</f>
        <v>#N/A</v>
      </c>
      <c r="V90">
        <v>17</v>
      </c>
      <c r="W90">
        <v>2</v>
      </c>
      <c r="X90" s="8">
        <f>SUMIFS(S$113:S$172,C$113:C$172,V90,D$113:D$172,W90)</f>
        <v>0</v>
      </c>
      <c r="Y90" s="8">
        <f>'File 17'!H22</f>
        <v>0</v>
      </c>
      <c r="Z90" s="8">
        <f t="shared" si="0"/>
        <v>0</v>
      </c>
      <c r="AA90" s="8">
        <f>'File 17'!G5</f>
        <v>0</v>
      </c>
    </row>
    <row r="91" spans="1:27" x14ac:dyDescent="0.25">
      <c r="A91">
        <f ca="1">IF(B91&lt;=No_Components,OFFSET('Control Sheet'!$H$45,B91,0,1,1),0)</f>
        <v>0</v>
      </c>
      <c r="B91">
        <v>17</v>
      </c>
      <c r="C91" s="134"/>
      <c r="D91" s="134">
        <f ca="1">IF(A91=1," ",OFFSET('Control Sheet'!$H$45,B91,3,1,1))</f>
        <v>0</v>
      </c>
      <c r="E91" t="str">
        <f ca="1">IF(A91=0,"",IF(A91=1,"",OFFSET('Control Sheet'!$D$45,B91,3,1,1)))</f>
        <v/>
      </c>
      <c r="F91" s="70">
        <f ca="1">IF($A91=1,NA(),CHOOSE($G$19,OFFSET('Reference dates (hide)'!$AA$42,$G$20,$B91*3,1,1),OFFSET('Reference dates (hide)'!$N$122,$B91*3,$G$20,1,1),OFFSET('Reference dates (hide)'!$AA$122,$B91*3,0,1,1)))</f>
        <v>0</v>
      </c>
      <c r="G91" s="68">
        <f ca="1">IF($A91=1,NA(),CHOOSE($G$19,OFFSET('Reference dates (hide)'!$CO$42,$G$20,$B91*3,1,1),OFFSET('Reference dates (hide)'!$N$183,$B91*3,$G$20,1,1),OFFSET('Reference dates (hide)'!$AA$183,$B91*3,0,1,1)))</f>
        <v>0</v>
      </c>
      <c r="H91" s="68">
        <f ca="1">IF($A91=1,NA(),CHOOSE($G$19,OFFSET('Reference dates (hide)'!$HQ$42,$G$20,$B91*3,1,1),OFFSET('Reference dates (hide)'!$N$244,$B91*3,$G$20,1,1),OFFSET('Reference dates (hide)'!$AA$244,$B91*3,0,1,1)))</f>
        <v>0</v>
      </c>
      <c r="I91" s="75">
        <f ca="1">IF($A91=1,NA(),CHOOSE($G$19,OFFSET('Reference dates (hide)'!$FC$42,$G$20,$B91*3,1,1),OFFSET('Reference dates (hide)'!$N$320,$B91*3,$G$20,1,1),OFFSET('Reference dates (hide)'!$AA$320,$B91*3,0,1,1)))</f>
        <v>0</v>
      </c>
      <c r="J91" s="75">
        <f ca="1">IF($A91=1,NA(),CHOOSE($G$19,OFFSET('Reference dates (hide)'!$KE$42,$G$20,$B91*3,1,1),OFFSET('Reference dates (hide)'!$N$381,$B91*3,$G$20,1,1),OFFSET('Reference dates (hide)'!$AA$381,$B91*3,0,1,1)))</f>
        <v>0</v>
      </c>
      <c r="K91" s="70" t="e">
        <f ca="1">IF($A91&lt;&gt;0,0.95*IF($A91=1,NA(),$Z91),NA())</f>
        <v>#N/A</v>
      </c>
      <c r="L91" s="70" t="e">
        <f ca="1">IF($A91&lt;&gt;0,1.05*IF($A91=1,NA(),$Z91),NA())</f>
        <v>#N/A</v>
      </c>
      <c r="M91" s="66" t="e">
        <f ca="1">L91-K91</f>
        <v>#N/A</v>
      </c>
      <c r="N91" s="70" t="e">
        <f ca="1">IF($A91&lt;&gt;0,IF($A91=1,NA(),$AA91),NA())</f>
        <v>#N/A</v>
      </c>
      <c r="P91" s="125" t="e">
        <f ca="1">IF(OR($A91=1, $A91=0),NA(),INDIRECT("'File "&amp;$B91&amp;"'!IP_ROTT"))</f>
        <v>#N/A</v>
      </c>
      <c r="Q91" s="125" t="e">
        <f ca="1">IF(OR($A91=1, $A91=0),NA(),INDIRECT("'File "&amp;$B91&amp;"'!IP_NASRDC_Overall"))</f>
        <v>#N/A</v>
      </c>
      <c r="R91" s="125" t="e">
        <f ca="1">IF(OR($A91=1, $A91=0),NA(),INDIRECT("'File "&amp;$B91&amp;"'!IP_NASL"))</f>
        <v>#N/A</v>
      </c>
      <c r="S91" s="125" t="e">
        <f ca="1">IF(OR($A91=1, $A91=0),NA(),INDIRECT("'File "&amp;$B91&amp;"'!IP_NASLDC"))</f>
        <v>#N/A</v>
      </c>
      <c r="V91">
        <v>17</v>
      </c>
      <c r="W91">
        <v>3</v>
      </c>
      <c r="X91" s="8">
        <f>SUMIFS(S$113:S$172,C$113:C$172,V91,D$113:D$172,W91)</f>
        <v>0</v>
      </c>
      <c r="Y91" s="8">
        <f>'File 17'!L22</f>
        <v>0</v>
      </c>
      <c r="Z91" s="8">
        <f t="shared" si="0"/>
        <v>0</v>
      </c>
      <c r="AA91" s="8">
        <f>'File 17'!K5</f>
        <v>0</v>
      </c>
    </row>
    <row r="92" spans="1:27" x14ac:dyDescent="0.25">
      <c r="C92" s="134" t="s">
        <v>1032</v>
      </c>
      <c r="D92" s="134"/>
      <c r="F92" s="70"/>
      <c r="G92" s="68"/>
      <c r="H92" s="68"/>
      <c r="I92" s="75"/>
      <c r="J92" s="75"/>
      <c r="K92" s="70"/>
      <c r="L92" s="70"/>
      <c r="M92" s="66"/>
      <c r="N92" s="70"/>
      <c r="P92" s="125"/>
      <c r="Q92" s="125"/>
      <c r="R92" s="125"/>
      <c r="S92" s="125"/>
      <c r="X92" s="8"/>
      <c r="Y92" s="8"/>
      <c r="Z92" s="8"/>
      <c r="AA92" s="8"/>
    </row>
    <row r="93" spans="1:27" x14ac:dyDescent="0.25">
      <c r="A93">
        <f ca="1">IF(B93&lt;=No_Components,OFFSET('Control Sheet'!$H$45,B93,0,1,1),0)</f>
        <v>0</v>
      </c>
      <c r="B93">
        <v>18</v>
      </c>
      <c r="C93" s="134">
        <f ca="1">OFFSET('Control Sheet'!$B$45,B93,0,1,1)</f>
        <v>0</v>
      </c>
      <c r="D93" s="134" t="str">
        <f ca="1">IF(A93=1,"",OFFSET('Control Sheet'!$H$45,B93,1,1,1))</f>
        <v>0</v>
      </c>
      <c r="E93" t="str">
        <f ca="1">IF(A93=0,"",IF(A93=1,"",OFFSET('Control Sheet'!$D$45,B93,1,1,1)))</f>
        <v/>
      </c>
      <c r="F93" s="70">
        <f ca="1">IF($A93=1,NA(),CHOOSE($G$19,OFFSET('Reference dates (hide)'!$Y$42,$G$20,$B93*3,1,1),OFFSET('Reference dates (hide)'!$N$120,$B93*3,$G$20,1,1),OFFSET('Reference dates (hide)'!$AA$120,$B93*3,0,1,1)))</f>
        <v>0</v>
      </c>
      <c r="G93" s="68">
        <f ca="1">IF($A93=1,NA(),CHOOSE($G$19,OFFSET('Reference dates (hide)'!$CM$42,$G$20,$B93*3,1,1),OFFSET('Reference dates (hide)'!$N$181,$B93*3,$G$20,1,1),OFFSET('Reference dates (hide)'!$AA$181,$B93*3,0,1,1)))</f>
        <v>0</v>
      </c>
      <c r="H93" s="68">
        <f ca="1">IF($A93=1,NA(),CHOOSE($G$19,OFFSET('Reference dates (hide)'!$HO$42,$G$20,$B93*3,1,1),OFFSET('Reference dates (hide)'!$N$242,$B93*3,$G$20,1,1),OFFSET('Reference dates (hide)'!$AA$242,$B93*3,0,1,1)))</f>
        <v>0</v>
      </c>
      <c r="I93" s="75">
        <f ca="1">IF($A93=1,NA(),CHOOSE($G$19,OFFSET('Reference dates (hide)'!$FA$42,$G$20,$B93*3,1,1),OFFSET('Reference dates (hide)'!$N$318,$B93*3,$G$20,1,1),OFFSET('Reference dates (hide)'!$AA$318,$B93*3,0,1,1)))</f>
        <v>0</v>
      </c>
      <c r="J93" s="75">
        <f ca="1">IF($A93=1,NA(),CHOOSE($G$19,OFFSET('Reference dates (hide)'!$KC$42,$G$20,$B93*3,1,1),OFFSET('Reference dates (hide)'!$N$379,$B93*3,$G$20,1,1),OFFSET('Reference dates (hide)'!$AA$379,$B93*3,0,1,1)))</f>
        <v>0</v>
      </c>
      <c r="K93" s="70" t="e">
        <f ca="1">IF($A93&lt;&gt;0,IF($A93=1,NA(),0.95*$Z93),NA())</f>
        <v>#N/A</v>
      </c>
      <c r="L93" s="70" t="e">
        <f ca="1">IF($A93&lt;&gt;0,IF($A93=1,NA(),1.05*$Z93),NA())</f>
        <v>#N/A</v>
      </c>
      <c r="M93" s="66" t="e">
        <f ca="1">L93-K93</f>
        <v>#N/A</v>
      </c>
      <c r="N93" s="70" t="e">
        <f ca="1">IF($A93&lt;&gt;0,IF($A93=1,NA(),$AA93),NA())</f>
        <v>#N/A</v>
      </c>
      <c r="P93" s="125" t="e">
        <f ca="1">IF(OR($A93=0, $A93=1),NA(),INDIRECT("'File "&amp;$B93&amp;"'!ROTT"))</f>
        <v>#N/A</v>
      </c>
      <c r="Q93" s="125" t="e">
        <f ca="1">IF(OR($A93=0, $A93=1),NA(),INDIRECT("'File "&amp;$B93&amp;"'!NASRDC_Overall"))</f>
        <v>#N/A</v>
      </c>
      <c r="R93" s="125" t="e">
        <f ca="1">IF(OR($A93=0, $A93=1),NA(),INDIRECT("'File "&amp;$B93&amp;"'!NASL"))</f>
        <v>#N/A</v>
      </c>
      <c r="S93" s="125" t="e">
        <f ca="1">IF(OR($A93=0, $A93=1),NA(),INDIRECT("'File "&amp;$B93&amp;"'!NASLDC"))</f>
        <v>#N/A</v>
      </c>
      <c r="V93">
        <v>18</v>
      </c>
      <c r="W93">
        <v>1</v>
      </c>
      <c r="X93" s="8">
        <f>SUMIFS(S$113:S$172,C$113:C$172,V93,D$113:D$172,W93)</f>
        <v>0</v>
      </c>
      <c r="Y93" s="8">
        <f ca="1">IF(AND(V93&lt;=No_Components,X93=0),INDIRECT("'File "&amp;V93&amp;"'!D5"),0)</f>
        <v>0</v>
      </c>
      <c r="Z93" s="8">
        <f t="shared" ref="Z93:Z103" ca="1" si="1">SUM(X93:Y93)</f>
        <v>0</v>
      </c>
      <c r="AA93" s="8">
        <f>'File 18'!D5</f>
        <v>0</v>
      </c>
    </row>
    <row r="94" spans="1:27" x14ac:dyDescent="0.25">
      <c r="A94">
        <f ca="1">IF(B94&lt;=No_Components,OFFSET('Control Sheet'!$H$45,B94,0,1,1),0)</f>
        <v>0</v>
      </c>
      <c r="B94">
        <v>18</v>
      </c>
      <c r="C94" s="134"/>
      <c r="D94" s="134">
        <f ca="1">OFFSET('Control Sheet'!$H$45,B94,IF(A94=1,1,2),1,1)</f>
        <v>0</v>
      </c>
      <c r="E94" t="str">
        <f ca="1">IF(A94=0,"",OFFSET('Control Sheet'!$D$45,B94,IF(A94=1,1,2),1,1))</f>
        <v/>
      </c>
      <c r="F94" s="70">
        <f ca="1">CHOOSE($G$19,OFFSET('Reference dates (hide)'!$Z$42,$G$20,$B94*3-MOD($A94,3),1,1),OFFSET('Reference dates (hide)'!$N$121,$B94*3-MOD($A94,3),$G$20,1,1),OFFSET('Reference dates (hide)'!$AA$121,$B94*3-MOD($A94,3),0,1,1))</f>
        <v>0</v>
      </c>
      <c r="G94" s="68">
        <f ca="1">CHOOSE($G$19,OFFSET('Reference dates (hide)'!$CN$42,$G$20,$B94*3-MOD($A94,3),1,1),OFFSET('Reference dates (hide)'!$N$182,$B94*3-MOD($A94,3),$G$20,1,1),OFFSET('Reference dates (hide)'!$AA$182,$B94*3-MOD($A94,3),0,1,1))</f>
        <v>0</v>
      </c>
      <c r="H94" s="68">
        <f ca="1">CHOOSE($G$19,OFFSET('Reference dates (hide)'!$HP$42,$G$20,$B94*3-MOD($A94,3),1,1),OFFSET('Reference dates (hide)'!$N$243,$B94*3-MOD($A94,3),$G$20,1,1),OFFSET('Reference dates (hide)'!$AA$243,$B94*3-MOD($A94,3),0,1,1))</f>
        <v>0</v>
      </c>
      <c r="I94" s="75">
        <f ca="1">CHOOSE($G$19,OFFSET('Reference dates (hide)'!$FB$42,$G$20,$B94*3-MOD($A94,3),1,1),OFFSET('Reference dates (hide)'!$N$319,$B94*3-MOD($A94,3),$G$20,1,1),OFFSET('Reference dates (hide)'!$AA$319,$B94*3-MOD($A94,3),0,1,1))</f>
        <v>0</v>
      </c>
      <c r="J94" s="75">
        <f ca="1">CHOOSE($G$19,OFFSET('Reference dates (hide)'!$KD$42,$G$20,$B94*3-MOD($A94,3),1,1),OFFSET('Reference dates (hide)'!$N$380,$B94*3-MOD($A94,3),$G$20,1,1),OFFSET('Reference dates (hide)'!$AA$380,$B94*3-MOD($A94,3),0,1,1))</f>
        <v>0</v>
      </c>
      <c r="K94" s="70" t="e">
        <f ca="1">IF($A94&lt;&gt;0,0.95*IF($A94=1,$Z93,$Z94),NA())</f>
        <v>#N/A</v>
      </c>
      <c r="L94" s="70" t="e">
        <f ca="1">IF($A94&lt;&gt;0,1.05*IF($A94=1,$Z93,$Z94),NA())</f>
        <v>#N/A</v>
      </c>
      <c r="M94" s="66" t="e">
        <f ca="1">L94-K94</f>
        <v>#N/A</v>
      </c>
      <c r="N94" s="70" t="e">
        <f ca="1">IF($A94&lt;&gt;0,IF($A94=1,$AA93,$AA94),NA())</f>
        <v>#N/A</v>
      </c>
      <c r="P94" s="125" t="e">
        <f ca="1">IF($A94=0,NA(),INDIRECT("'File "&amp;$B94&amp;"'!"&amp;IF($A94=1,"ROTT","FU_ROTT")))</f>
        <v>#N/A</v>
      </c>
      <c r="Q94" s="125" t="e">
        <f ca="1">IF($A94=0,NA(),INDIRECT("'File "&amp;$B94&amp;"'!"&amp;IF($A94=1,"NASRDC_Overall","FU_NASRDC_Overall")))</f>
        <v>#N/A</v>
      </c>
      <c r="R94" s="125" t="e">
        <f ca="1">IF($A94=0,NA(),INDIRECT("'File "&amp;$B94&amp;"'!"&amp;IF($A94=1,"NASL","FU_NASL")))</f>
        <v>#N/A</v>
      </c>
      <c r="S94" s="125" t="e">
        <f ca="1">IF($A94=0,NA(),INDIRECT("'File "&amp;$B94&amp;"'!"&amp;IF($A94=1,"NASLDC","FU_NASLDC")))</f>
        <v>#N/A</v>
      </c>
      <c r="V94">
        <v>18</v>
      </c>
      <c r="W94">
        <v>2</v>
      </c>
      <c r="X94" s="8">
        <f>SUMIFS(S$113:S$172,C$113:C$172,V94,D$113:D$172,W94)</f>
        <v>0</v>
      </c>
      <c r="Y94" s="8">
        <f>'File 18'!H22</f>
        <v>0</v>
      </c>
      <c r="Z94" s="8">
        <f t="shared" si="1"/>
        <v>0</v>
      </c>
      <c r="AA94" s="8">
        <f>'File 18'!G5</f>
        <v>0</v>
      </c>
    </row>
    <row r="95" spans="1:27" x14ac:dyDescent="0.25">
      <c r="A95">
        <f ca="1">IF(B95&lt;=No_Components,OFFSET('Control Sheet'!$H$45,B95,0,1,1),0)</f>
        <v>0</v>
      </c>
      <c r="B95">
        <v>18</v>
      </c>
      <c r="C95" s="134"/>
      <c r="D95" s="134">
        <f ca="1">IF(A95=1," ",OFFSET('Control Sheet'!$H$45,B95,3,1,1))</f>
        <v>0</v>
      </c>
      <c r="E95" t="str">
        <f ca="1">IF(A95=0,"",IF(A95=1,"",OFFSET('Control Sheet'!$D$45,B95,3,1,1)))</f>
        <v/>
      </c>
      <c r="F95" s="70">
        <f ca="1">IF($A95=1,NA(),CHOOSE($G$19,OFFSET('Reference dates (hide)'!$AA$42,$G$20,$B95*3,1,1),OFFSET('Reference dates (hide)'!$N$122,$B95*3,$G$20,1,1),OFFSET('Reference dates (hide)'!$AA$122,$B95*3,0,1,1)))</f>
        <v>0</v>
      </c>
      <c r="G95" s="68">
        <f ca="1">IF($A95=1,NA(),CHOOSE($G$19,OFFSET('Reference dates (hide)'!$CO$42,$G$20,$B95*3,1,1),OFFSET('Reference dates (hide)'!$N$183,$B95*3,$G$20,1,1),OFFSET('Reference dates (hide)'!$AA$183,$B95*3,0,1,1)))</f>
        <v>0</v>
      </c>
      <c r="H95" s="68">
        <f ca="1">IF($A95=1,NA(),CHOOSE($G$19,OFFSET('Reference dates (hide)'!$HQ$42,$G$20,$B95*3,1,1),OFFSET('Reference dates (hide)'!$N$244,$B95*3,$G$20,1,1),OFFSET('Reference dates (hide)'!$AA$244,$B95*3,0,1,1)))</f>
        <v>0</v>
      </c>
      <c r="I95" s="75">
        <f ca="1">IF($A95=1,NA(),CHOOSE($G$19,OFFSET('Reference dates (hide)'!$FC$42,$G$20,$B95*3,1,1),OFFSET('Reference dates (hide)'!$N$320,$B95*3,$G$20,1,1),OFFSET('Reference dates (hide)'!$AA$320,$B95*3,0,1,1)))</f>
        <v>0</v>
      </c>
      <c r="J95" s="75">
        <f ca="1">IF($A95=1,NA(),CHOOSE($G$19,OFFSET('Reference dates (hide)'!$KE$42,$G$20,$B95*3,1,1),OFFSET('Reference dates (hide)'!$N$381,$B95*3,$G$20,1,1),OFFSET('Reference dates (hide)'!$AA$381,$B95*3,0,1,1)))</f>
        <v>0</v>
      </c>
      <c r="K95" s="70" t="e">
        <f ca="1">IF($A95&lt;&gt;0,0.95*IF($A95=1,NA(),$Z95),NA())</f>
        <v>#N/A</v>
      </c>
      <c r="L95" s="70" t="e">
        <f ca="1">IF($A95&lt;&gt;0,1.05*IF($A95=1,NA(),$Z95),NA())</f>
        <v>#N/A</v>
      </c>
      <c r="M95" s="66" t="e">
        <f ca="1">L95-K95</f>
        <v>#N/A</v>
      </c>
      <c r="N95" s="70" t="e">
        <f ca="1">IF($A95&lt;&gt;0,IF($A95=1,NA(),$AA95),NA())</f>
        <v>#N/A</v>
      </c>
      <c r="P95" s="125" t="e">
        <f ca="1">IF(OR($A95=1, $A95=0),NA(),INDIRECT("'File "&amp;$B95&amp;"'!IP_ROTT"))</f>
        <v>#N/A</v>
      </c>
      <c r="Q95" s="125" t="e">
        <f ca="1">IF(OR($A95=1, $A95=0),NA(),INDIRECT("'File "&amp;$B95&amp;"'!IP_NASRDC_Overall"))</f>
        <v>#N/A</v>
      </c>
      <c r="R95" s="125" t="e">
        <f ca="1">IF(OR($A95=1, $A95=0),NA(),INDIRECT("'File "&amp;$B95&amp;"'!IP_NASL"))</f>
        <v>#N/A</v>
      </c>
      <c r="S95" s="125" t="e">
        <f ca="1">IF(OR($A95=1, $A95=0),NA(),INDIRECT("'File "&amp;$B95&amp;"'!IP_NASLDC"))</f>
        <v>#N/A</v>
      </c>
      <c r="V95">
        <v>18</v>
      </c>
      <c r="W95">
        <v>3</v>
      </c>
      <c r="X95" s="8">
        <f>SUMIFS(S$113:S$172,C$113:C$172,V95,D$113:D$172,W95)</f>
        <v>0</v>
      </c>
      <c r="Y95" s="8">
        <f>'File 18'!L22</f>
        <v>0</v>
      </c>
      <c r="Z95" s="8">
        <f t="shared" si="1"/>
        <v>0</v>
      </c>
      <c r="AA95" s="8">
        <f>'File 18'!K5</f>
        <v>0</v>
      </c>
    </row>
    <row r="96" spans="1:27" x14ac:dyDescent="0.25">
      <c r="C96" s="134" t="s">
        <v>1032</v>
      </c>
      <c r="D96" s="134"/>
      <c r="F96" s="70"/>
      <c r="G96" s="68"/>
      <c r="H96" s="68"/>
      <c r="I96" s="75"/>
      <c r="J96" s="75"/>
      <c r="K96" s="70"/>
      <c r="L96" s="70"/>
      <c r="M96" s="66"/>
      <c r="N96" s="70"/>
      <c r="P96" s="125"/>
      <c r="Q96" s="125"/>
      <c r="R96" s="125"/>
      <c r="S96" s="125"/>
      <c r="X96" s="8"/>
      <c r="Y96" s="8"/>
      <c r="Z96" s="8"/>
      <c r="AA96" s="8"/>
    </row>
    <row r="97" spans="1:27" x14ac:dyDescent="0.25">
      <c r="A97">
        <f ca="1">IF(B97&lt;=No_Components,OFFSET('Control Sheet'!$H$45,B97,0,1,1),0)</f>
        <v>0</v>
      </c>
      <c r="B97">
        <v>19</v>
      </c>
      <c r="C97" s="134">
        <f ca="1">OFFSET('Control Sheet'!$B$45,B97,0,1,1)</f>
        <v>0</v>
      </c>
      <c r="D97" s="134" t="str">
        <f ca="1">IF(A97=1,"",OFFSET('Control Sheet'!$H$45,B97,1,1,1))</f>
        <v>0</v>
      </c>
      <c r="E97" t="str">
        <f ca="1">IF(A97=0,"",IF(A97=1,"",OFFSET('Control Sheet'!$D$45,B97,1,1,1)))</f>
        <v/>
      </c>
      <c r="F97" s="70">
        <f ca="1">IF($A97=1,NA(),CHOOSE($G$19,OFFSET('Reference dates (hide)'!$Y$42,$G$20,$B97*3,1,1),OFFSET('Reference dates (hide)'!$N$120,$B97*3,$G$20,1,1),OFFSET('Reference dates (hide)'!$AA$120,$B97*3,0,1,1)))</f>
        <v>0</v>
      </c>
      <c r="G97" s="68">
        <f ca="1">IF($A97=1,NA(),CHOOSE($G$19,OFFSET('Reference dates (hide)'!$CM$42,$G$20,$B97*3,1,1),OFFSET('Reference dates (hide)'!$N$181,$B97*3,$G$20,1,1),OFFSET('Reference dates (hide)'!$AA$181,$B97*3,0,1,1)))</f>
        <v>0</v>
      </c>
      <c r="H97" s="68">
        <f ca="1">IF($A97=1,NA(),CHOOSE($G$19,OFFSET('Reference dates (hide)'!$HO$42,$G$20,$B97*3,1,1),OFFSET('Reference dates (hide)'!$N$242,$B97*3,$G$20,1,1),OFFSET('Reference dates (hide)'!$AA$242,$B97*3,0,1,1)))</f>
        <v>0</v>
      </c>
      <c r="I97" s="75">
        <f ca="1">IF($A97=1,NA(),CHOOSE($G$19,OFFSET('Reference dates (hide)'!$FA$42,$G$20,$B97*3,1,1),OFFSET('Reference dates (hide)'!$N$318,$B97*3,$G$20,1,1),OFFSET('Reference dates (hide)'!$AA$318,$B97*3,0,1,1)))</f>
        <v>0</v>
      </c>
      <c r="J97" s="75">
        <f ca="1">IF($A97=1,NA(),CHOOSE($G$19,OFFSET('Reference dates (hide)'!$KC$42,$G$20,$B97*3,1,1),OFFSET('Reference dates (hide)'!$N$379,$B97*3,$G$20,1,1),OFFSET('Reference dates (hide)'!$AA$379,$B97*3,0,1,1)))</f>
        <v>0</v>
      </c>
      <c r="K97" s="70" t="e">
        <f ca="1">IF($A97&lt;&gt;0,IF($A97=1,NA(),0.95*$Z97),NA())</f>
        <v>#N/A</v>
      </c>
      <c r="L97" s="70" t="e">
        <f ca="1">IF($A97&lt;&gt;0,IF($A97=1,NA(),1.05*$Z97),NA())</f>
        <v>#N/A</v>
      </c>
      <c r="M97" s="66" t="e">
        <f ca="1">L97-K97</f>
        <v>#N/A</v>
      </c>
      <c r="N97" s="70" t="e">
        <f ca="1">IF($A97&lt;&gt;0,IF($A97=1,NA(),$AA97),NA())</f>
        <v>#N/A</v>
      </c>
      <c r="P97" s="125" t="e">
        <f ca="1">IF(OR($A97=0, $A97=1),NA(),INDIRECT("'File "&amp;$B97&amp;"'!ROTT"))</f>
        <v>#N/A</v>
      </c>
      <c r="Q97" s="125" t="e">
        <f ca="1">IF(OR($A97=0, $A97=1),NA(),INDIRECT("'File "&amp;$B97&amp;"'!NASRDC_Overall"))</f>
        <v>#N/A</v>
      </c>
      <c r="R97" s="125" t="e">
        <f ca="1">IF(OR($A97=0, $A97=1),NA(),INDIRECT("'File "&amp;$B97&amp;"'!NASL"))</f>
        <v>#N/A</v>
      </c>
      <c r="S97" s="125" t="e">
        <f ca="1">IF(OR($A97=0, $A97=1),NA(),INDIRECT("'File "&amp;$B97&amp;"'!NASLDC"))</f>
        <v>#N/A</v>
      </c>
      <c r="V97">
        <v>19</v>
      </c>
      <c r="W97">
        <v>1</v>
      </c>
      <c r="X97" s="8">
        <f>SUMIFS(S$113:S$172,C$113:C$172,V97,D$113:D$172,W97)</f>
        <v>0</v>
      </c>
      <c r="Y97" s="8">
        <f ca="1">IF(AND(V97&lt;=No_Components,X97=0),INDIRECT("'File "&amp;V97&amp;"'!D5"),0)</f>
        <v>0</v>
      </c>
      <c r="Z97" s="8">
        <f ca="1">SUM(X97:Y97)</f>
        <v>0</v>
      </c>
      <c r="AA97" s="8">
        <f>'File 19'!D5</f>
        <v>0</v>
      </c>
    </row>
    <row r="98" spans="1:27" x14ac:dyDescent="0.25">
      <c r="A98">
        <f ca="1">IF(B98&lt;=No_Components,OFFSET('Control Sheet'!$H$45,B98,0,1,1),0)</f>
        <v>0</v>
      </c>
      <c r="B98">
        <v>19</v>
      </c>
      <c r="C98" s="134"/>
      <c r="D98" s="134">
        <f ca="1">OFFSET('Control Sheet'!$H$45,B98,IF(A98=1,1,2),1,1)</f>
        <v>0</v>
      </c>
      <c r="E98" t="str">
        <f ca="1">IF(A98=0,"",OFFSET('Control Sheet'!$D$45,B98,IF(A98=1,1,2),1,1))</f>
        <v/>
      </c>
      <c r="F98" s="70">
        <f ca="1">CHOOSE($G$19,OFFSET('Reference dates (hide)'!$Z$42,$G$20,$B98*3-MOD($A98,3),1,1),OFFSET('Reference dates (hide)'!$N$121,$B98*3-MOD($A98,3),$G$20,1,1),OFFSET('Reference dates (hide)'!$AA$121,$B98*3-MOD($A98,3),0,1,1))</f>
        <v>0</v>
      </c>
      <c r="G98" s="68">
        <f ca="1">CHOOSE($G$19,OFFSET('Reference dates (hide)'!$CN$42,$G$20,$B98*3-MOD($A98,3),1,1),OFFSET('Reference dates (hide)'!$N$182,$B98*3-MOD($A98,3),$G$20,1,1),OFFSET('Reference dates (hide)'!$AA$182,$B98*3-MOD($A98,3),0,1,1))</f>
        <v>0</v>
      </c>
      <c r="H98" s="68">
        <f ca="1">CHOOSE($G$19,OFFSET('Reference dates (hide)'!$HP$42,$G$20,$B98*3-MOD($A98,3),1,1),OFFSET('Reference dates (hide)'!$N$243,$B98*3-MOD($A98,3),$G$20,1,1),OFFSET('Reference dates (hide)'!$AA$243,$B98*3-MOD($A98,3),0,1,1))</f>
        <v>0</v>
      </c>
      <c r="I98" s="75">
        <f ca="1">CHOOSE($G$19,OFFSET('Reference dates (hide)'!$FB$42,$G$20,$B98*3-MOD($A98,3),1,1),OFFSET('Reference dates (hide)'!$N$319,$B98*3-MOD($A98,3),$G$20,1,1),OFFSET('Reference dates (hide)'!$AA$319,$B98*3-MOD($A98,3),0,1,1))</f>
        <v>0</v>
      </c>
      <c r="J98" s="75">
        <f ca="1">CHOOSE($G$19,OFFSET('Reference dates (hide)'!$KD$42,$G$20,$B98*3-MOD($A98,3),1,1),OFFSET('Reference dates (hide)'!$N$380,$B98*3-MOD($A98,3),$G$20,1,1),OFFSET('Reference dates (hide)'!$AA$380,$B98*3-MOD($A98,3),0,1,1))</f>
        <v>0</v>
      </c>
      <c r="K98" s="70" t="e">
        <f ca="1">IF($A98&lt;&gt;0,0.95*IF($A98=1,$Z97,$Z98),NA())</f>
        <v>#N/A</v>
      </c>
      <c r="L98" s="70" t="e">
        <f ca="1">IF($A98&lt;&gt;0,1.05*IF($A98=1,$Z97,$Z98),NA())</f>
        <v>#N/A</v>
      </c>
      <c r="M98" s="66" t="e">
        <f ca="1">L98-K98</f>
        <v>#N/A</v>
      </c>
      <c r="N98" s="70" t="e">
        <f ca="1">IF($A98&lt;&gt;0,IF($A98=1,$AA97,$AA98),NA())</f>
        <v>#N/A</v>
      </c>
      <c r="P98" s="125" t="e">
        <f ca="1">IF($A98=0,NA(),INDIRECT("'File "&amp;$B98&amp;"'!"&amp;IF($A98=1,"ROTT","FU_ROTT")))</f>
        <v>#N/A</v>
      </c>
      <c r="Q98" s="125" t="e">
        <f ca="1">IF($A98=0,NA(),INDIRECT("'File "&amp;$B98&amp;"'!"&amp;IF($A98=1,"NASRDC_Overall","FU_NASRDC_Overall")))</f>
        <v>#N/A</v>
      </c>
      <c r="R98" s="125" t="e">
        <f ca="1">IF($A98=0,NA(),INDIRECT("'File "&amp;$B98&amp;"'!"&amp;IF($A98=1,"NASL","FU_NASL")))</f>
        <v>#N/A</v>
      </c>
      <c r="S98" s="125" t="e">
        <f ca="1">IF($A98=0,NA(),INDIRECT("'File "&amp;$B98&amp;"'!"&amp;IF($A98=1,"NASLDC","FU_NASLDC")))</f>
        <v>#N/A</v>
      </c>
      <c r="V98">
        <v>19</v>
      </c>
      <c r="W98">
        <v>2</v>
      </c>
      <c r="X98" s="8">
        <f>SUMIFS(S$113:S$172,C$113:C$172,V98,D$113:D$172,W98)</f>
        <v>0</v>
      </c>
      <c r="Y98" s="8">
        <f>'File 19'!H22</f>
        <v>0</v>
      </c>
      <c r="Z98" s="8">
        <f t="shared" si="1"/>
        <v>0</v>
      </c>
      <c r="AA98" s="8">
        <f>'File 19'!G5</f>
        <v>0</v>
      </c>
    </row>
    <row r="99" spans="1:27" x14ac:dyDescent="0.25">
      <c r="A99">
        <f ca="1">IF(B99&lt;=No_Components,OFFSET('Control Sheet'!$H$45,B99,0,1,1),0)</f>
        <v>0</v>
      </c>
      <c r="B99">
        <v>19</v>
      </c>
      <c r="C99" s="134"/>
      <c r="D99" s="134">
        <f ca="1">IF(A99=1," ",OFFSET('Control Sheet'!$H$45,B99,3,1,1))</f>
        <v>0</v>
      </c>
      <c r="E99" t="str">
        <f ca="1">IF(A99=0,"",IF(A99=1,"",OFFSET('Control Sheet'!$D$45,B99,3,1,1)))</f>
        <v/>
      </c>
      <c r="F99" s="70">
        <f ca="1">IF($A99=1,NA(),CHOOSE($G$19,OFFSET('Reference dates (hide)'!$AA$42,$G$20,$B99*3,1,1),OFFSET('Reference dates (hide)'!$N$122,$B99*3,$G$20,1,1),OFFSET('Reference dates (hide)'!$AA$122,$B99*3,0,1,1)))</f>
        <v>0</v>
      </c>
      <c r="G99" s="68">
        <f ca="1">IF($A99=1,NA(),CHOOSE($G$19,OFFSET('Reference dates (hide)'!$CO$42,$G$20,$B99*3,1,1),OFFSET('Reference dates (hide)'!$N$183,$B99*3,$G$20,1,1),OFFSET('Reference dates (hide)'!$AA$183,$B99*3,0,1,1)))</f>
        <v>0</v>
      </c>
      <c r="H99" s="68">
        <f ca="1">IF($A99=1,NA(),CHOOSE($G$19,OFFSET('Reference dates (hide)'!$HQ$42,$G$20,$B99*3,1,1),OFFSET('Reference dates (hide)'!$N$244,$B99*3,$G$20,1,1),OFFSET('Reference dates (hide)'!$AA$244,$B99*3,0,1,1)))</f>
        <v>0</v>
      </c>
      <c r="I99" s="75">
        <f ca="1">IF($A99=1,NA(),CHOOSE($G$19,OFFSET('Reference dates (hide)'!$FC$42,$G$20,$B99*3,1,1),OFFSET('Reference dates (hide)'!$N$320,$B99*3,$G$20,1,1),OFFSET('Reference dates (hide)'!$AA$320,$B99*3,0,1,1)))</f>
        <v>0</v>
      </c>
      <c r="J99" s="75">
        <f ca="1">IF($A99=1,NA(),CHOOSE($G$19,OFFSET('Reference dates (hide)'!$KE$42,$G$20,$B99*3,1,1),OFFSET('Reference dates (hide)'!$N$381,$B99*3,$G$20,1,1),OFFSET('Reference dates (hide)'!$AA$381,$B99*3,0,1,1)))</f>
        <v>0</v>
      </c>
      <c r="K99" s="70" t="e">
        <f ca="1">IF($A99&lt;&gt;0,0.95*IF($A99=1,NA(),$Z99),NA())</f>
        <v>#N/A</v>
      </c>
      <c r="L99" s="70" t="e">
        <f ca="1">IF($A99&lt;&gt;0,1.05*IF($A99=1,NA(),$Z99),NA())</f>
        <v>#N/A</v>
      </c>
      <c r="M99" s="66" t="e">
        <f ca="1">L99-K99</f>
        <v>#N/A</v>
      </c>
      <c r="N99" s="70" t="e">
        <f ca="1">IF($A99&lt;&gt;0,IF($A99=1,NA(),$AA99),NA())</f>
        <v>#N/A</v>
      </c>
      <c r="P99" s="125" t="e">
        <f ca="1">IF(OR($A99=1, $A99=0),NA(),INDIRECT("'File "&amp;$B99&amp;"'!IP_ROTT"))</f>
        <v>#N/A</v>
      </c>
      <c r="Q99" s="125" t="e">
        <f ca="1">IF(OR($A99=1, $A99=0),NA(),INDIRECT("'File "&amp;$B99&amp;"'!IP_NASRDC_Overall"))</f>
        <v>#N/A</v>
      </c>
      <c r="R99" s="125" t="e">
        <f ca="1">IF(OR($A99=1, $A99=0),NA(),INDIRECT("'File "&amp;$B99&amp;"'!IP_NASL"))</f>
        <v>#N/A</v>
      </c>
      <c r="S99" s="125" t="e">
        <f ca="1">IF(OR($A99=1, $A99=0),NA(),INDIRECT("'File "&amp;$B99&amp;"'!IP_NASLDC"))</f>
        <v>#N/A</v>
      </c>
      <c r="V99">
        <v>19</v>
      </c>
      <c r="W99">
        <v>3</v>
      </c>
      <c r="X99" s="8">
        <f>SUMIFS(S$113:S$172,C$113:C$172,V99,D$113:D$172,W99)</f>
        <v>0</v>
      </c>
      <c r="Y99" s="8">
        <f>'File 19'!L22</f>
        <v>0</v>
      </c>
      <c r="Z99" s="8">
        <f t="shared" si="1"/>
        <v>0</v>
      </c>
      <c r="AA99" s="8">
        <f>'File 19'!K5</f>
        <v>0</v>
      </c>
    </row>
    <row r="100" spans="1:27" x14ac:dyDescent="0.25">
      <c r="C100" s="134" t="s">
        <v>1032</v>
      </c>
      <c r="D100" s="134"/>
      <c r="F100" s="70"/>
      <c r="G100" s="68"/>
      <c r="H100" s="68"/>
      <c r="I100" s="75"/>
      <c r="J100" s="75"/>
      <c r="K100" s="70"/>
      <c r="L100" s="70"/>
      <c r="M100" s="66"/>
      <c r="N100" s="70"/>
      <c r="P100" s="125"/>
      <c r="Q100" s="125"/>
      <c r="R100" s="125"/>
      <c r="S100" s="125"/>
      <c r="X100" s="8"/>
      <c r="Y100" s="8"/>
      <c r="Z100" s="8"/>
      <c r="AA100" s="8"/>
    </row>
    <row r="101" spans="1:27" x14ac:dyDescent="0.25">
      <c r="A101">
        <f ca="1">IF(B101&lt;=No_Components,OFFSET('Control Sheet'!$H$45,B101,0,1,1),0)</f>
        <v>0</v>
      </c>
      <c r="B101">
        <v>20</v>
      </c>
      <c r="C101" s="134">
        <f ca="1">OFFSET('Control Sheet'!$B$45,B101,0,1,1)</f>
        <v>0</v>
      </c>
      <c r="D101" s="134" t="str">
        <f ca="1">IF(A101=1,"",OFFSET('Control Sheet'!$H$45,B101,1,1,1))</f>
        <v>0</v>
      </c>
      <c r="E101" t="str">
        <f ca="1">IF(A101=0,"",IF(A101=1,"",OFFSET('Control Sheet'!$D$45,B101,1,1,1)))</f>
        <v/>
      </c>
      <c r="F101" s="70">
        <f ca="1">IF($A101=1,NA(),CHOOSE($G$19,OFFSET('Reference dates (hide)'!$Y$42,$G$20,$B101*3,1,1),OFFSET('Reference dates (hide)'!$N$120,$B101*3,$G$20,1,1),OFFSET('Reference dates (hide)'!$AA$120,$B101*3,0,1,1)))</f>
        <v>0</v>
      </c>
      <c r="G101" s="68">
        <f ca="1">IF($A101=1,NA(),CHOOSE($G$19,OFFSET('Reference dates (hide)'!$CM$42,$G$20,$B101*3,1,1),OFFSET('Reference dates (hide)'!$N$181,$B101*3,$G$20,1,1),OFFSET('Reference dates (hide)'!$AA$181,$B101*3,0,1,1)))</f>
        <v>0</v>
      </c>
      <c r="H101" s="68">
        <f ca="1">IF($A101=1,NA(),CHOOSE($G$19,OFFSET('Reference dates (hide)'!$HO$42,$G$20,$B101*3,1,1),OFFSET('Reference dates (hide)'!$N$242,$B101*3,$G$20,1,1),OFFSET('Reference dates (hide)'!$AA$242,$B101*3,0,1,1)))</f>
        <v>0</v>
      </c>
      <c r="I101" s="75">
        <f ca="1">IF($A101=1,NA(),CHOOSE($G$19,OFFSET('Reference dates (hide)'!$FA$42,$G$20,$B101*3,1,1),OFFSET('Reference dates (hide)'!$N$318,$B101*3,$G$20,1,1),OFFSET('Reference dates (hide)'!$AA$318,$B101*3,0,1,1)))</f>
        <v>0</v>
      </c>
      <c r="J101" s="75">
        <f ca="1">IF($A101=1,NA(),CHOOSE($G$19,OFFSET('Reference dates (hide)'!$KC$42,$G$20,$B101*3,1,1),OFFSET('Reference dates (hide)'!$N$379,$B101*3,$G$20,1,1),OFFSET('Reference dates (hide)'!$AA$379,$B101*3,0,1,1)))</f>
        <v>0</v>
      </c>
      <c r="K101" s="70" t="e">
        <f ca="1">IF($A101&lt;&gt;0,IF($A101=1,NA(),0.95*$Z101),NA())</f>
        <v>#N/A</v>
      </c>
      <c r="L101" s="70" t="e">
        <f ca="1">IF($A101&lt;&gt;0,IF($A101=1,NA(),1.05*$Z101),NA())</f>
        <v>#N/A</v>
      </c>
      <c r="M101" s="66" t="e">
        <f ca="1">L101-K101</f>
        <v>#N/A</v>
      </c>
      <c r="N101" s="70" t="e">
        <f ca="1">IF($A101&lt;&gt;0,IF($A101=1,NA(),$AA101),NA())</f>
        <v>#N/A</v>
      </c>
      <c r="P101" s="125" t="e">
        <f ca="1">IF(OR($A101=0, $A101=1),NA(),INDIRECT("'File "&amp;$B101&amp;"'!ROTT"))</f>
        <v>#N/A</v>
      </c>
      <c r="Q101" s="125" t="e">
        <f ca="1">IF(OR($A101=0, $A101=1),NA(),INDIRECT("'File "&amp;$B101&amp;"'!NASRDC_Overall"))</f>
        <v>#N/A</v>
      </c>
      <c r="R101" s="125" t="e">
        <f ca="1">IF(OR($A101=0, $A101=1),NA(),INDIRECT("'File "&amp;$B101&amp;"'!NASL"))</f>
        <v>#N/A</v>
      </c>
      <c r="S101" s="125" t="e">
        <f ca="1">IF(OR($A101=0, $A101=1),NA(),INDIRECT("'File "&amp;$B101&amp;"'!NASLDC"))</f>
        <v>#N/A</v>
      </c>
      <c r="V101">
        <v>20</v>
      </c>
      <c r="W101">
        <v>1</v>
      </c>
      <c r="X101" s="8">
        <f>SUMIFS(S$113:S$172,C$113:C$172,V101,D$113:D$172,W101)</f>
        <v>0</v>
      </c>
      <c r="Y101" s="8">
        <f ca="1">IF(AND(V101&lt;=No_Components,X101=0),INDIRECT("'File "&amp;V101&amp;"'!D5"),0)</f>
        <v>0</v>
      </c>
      <c r="Z101" s="8">
        <f ca="1">SUM(X101:Y101)</f>
        <v>0</v>
      </c>
      <c r="AA101" s="8">
        <f>'File 20'!D5</f>
        <v>0</v>
      </c>
    </row>
    <row r="102" spans="1:27" x14ac:dyDescent="0.25">
      <c r="A102">
        <f ca="1">IF(B102&lt;=No_Components,OFFSET('Control Sheet'!$H$45,B102,0,1,1),0)</f>
        <v>0</v>
      </c>
      <c r="B102">
        <v>20</v>
      </c>
      <c r="C102" s="134"/>
      <c r="D102" s="134">
        <f ca="1">OFFSET('Control Sheet'!$H$45,B102,IF(A102=1,1,2),1,1)</f>
        <v>0</v>
      </c>
      <c r="E102" t="str">
        <f ca="1">IF(A102=0,"",OFFSET('Control Sheet'!$D$45,B102,IF(A102=1,1,2),1,1))</f>
        <v/>
      </c>
      <c r="F102" s="70">
        <f ca="1">CHOOSE($G$19,OFFSET('Reference dates (hide)'!$Z$42,$G$20,$B102*3-MOD($A102,3),1,1),OFFSET('Reference dates (hide)'!$N$121,$B102*3-MOD($A102,3),$G$20,1,1),OFFSET('Reference dates (hide)'!$AA$121,$B102*3-MOD($A102,3),0,1,1))</f>
        <v>0</v>
      </c>
      <c r="G102" s="68">
        <f ca="1">CHOOSE($G$19,OFFSET('Reference dates (hide)'!$CN$42,$G$20,$B102*3-MOD($A102,3),1,1),OFFSET('Reference dates (hide)'!$N$182,$B102*3-MOD($A102,3),$G$20,1,1),OFFSET('Reference dates (hide)'!$AA$182,$B102*3-MOD($A102,3),0,1,1))</f>
        <v>0</v>
      </c>
      <c r="H102" s="68">
        <f ca="1">CHOOSE($G$19,OFFSET('Reference dates (hide)'!$HP$42,$G$20,$B102*3-MOD($A102,3),1,1),OFFSET('Reference dates (hide)'!$N$243,$B102*3-MOD($A102,3),$G$20,1,1),OFFSET('Reference dates (hide)'!$AA$243,$B102*3-MOD($A102,3),0,1,1))</f>
        <v>0</v>
      </c>
      <c r="I102" s="75">
        <f ca="1">CHOOSE($G$19,OFFSET('Reference dates (hide)'!$FB$42,$G$20,$B102*3-MOD($A102,3),1,1),OFFSET('Reference dates (hide)'!$N$319,$B102*3-MOD($A102,3),$G$20,1,1),OFFSET('Reference dates (hide)'!$AA$319,$B102*3-MOD($A102,3),0,1,1))</f>
        <v>0</v>
      </c>
      <c r="J102" s="75">
        <f ca="1">CHOOSE($G$19,OFFSET('Reference dates (hide)'!$KD$42,$G$20,$B102*3-MOD($A102,3),1,1),OFFSET('Reference dates (hide)'!$N$380,$B102*3-MOD($A102,3),$G$20,1,1),OFFSET('Reference dates (hide)'!$AA$380,$B102*3-MOD($A102,3),0,1,1))</f>
        <v>0</v>
      </c>
      <c r="K102" s="70" t="e">
        <f ca="1">IF($A102&lt;&gt;0,0.95*IF($A102=1,$Z101,$Z102),NA())</f>
        <v>#N/A</v>
      </c>
      <c r="L102" s="70" t="e">
        <f ca="1">IF($A102&lt;&gt;0,1.05*IF($A102=1,$Z101,$Z102),NA())</f>
        <v>#N/A</v>
      </c>
      <c r="M102" s="66" t="e">
        <f ca="1">L102-K102</f>
        <v>#N/A</v>
      </c>
      <c r="N102" s="70" t="e">
        <f ca="1">IF($A102&lt;&gt;0,IF($A102=1,$AA101,$AA102),NA())</f>
        <v>#N/A</v>
      </c>
      <c r="P102" s="125" t="e">
        <f ca="1">IF($A102=0,NA(),INDIRECT("'File "&amp;$B102&amp;"'!"&amp;IF($A102=1,"ROTT","FU_ROTT")))</f>
        <v>#N/A</v>
      </c>
      <c r="Q102" s="125" t="e">
        <f ca="1">IF($A102=0,NA(),INDIRECT("'File "&amp;$B102&amp;"'!"&amp;IF($A102=1,"NASRDC_Overall","FU_NASRDC_Overall")))</f>
        <v>#N/A</v>
      </c>
      <c r="R102" s="125" t="e">
        <f ca="1">IF($A102=0,NA(),INDIRECT("'File "&amp;$B102&amp;"'!"&amp;IF($A102=1,"NASL","FU_NASL")))</f>
        <v>#N/A</v>
      </c>
      <c r="S102" s="125" t="e">
        <f ca="1">IF($A102=0,NA(),INDIRECT("'File "&amp;$B102&amp;"'!"&amp;IF($A102=1,"NASLDC","FU_NASLDC")))</f>
        <v>#N/A</v>
      </c>
      <c r="V102">
        <v>20</v>
      </c>
      <c r="W102">
        <v>2</v>
      </c>
      <c r="X102" s="8">
        <f>SUMIFS(S$113:S$172,C$113:C$172,V102,D$113:D$172,W102)</f>
        <v>0</v>
      </c>
      <c r="Y102" s="8">
        <f>'File 20'!H22</f>
        <v>0</v>
      </c>
      <c r="Z102" s="8">
        <f t="shared" si="1"/>
        <v>0</v>
      </c>
      <c r="AA102" s="8">
        <f>'File 20'!G5</f>
        <v>0</v>
      </c>
    </row>
    <row r="103" spans="1:27" x14ac:dyDescent="0.25">
      <c r="A103">
        <f ca="1">IF(B103&lt;=No_Components,OFFSET('Control Sheet'!$H$45,B103,0,1,1),0)</f>
        <v>0</v>
      </c>
      <c r="B103">
        <v>20</v>
      </c>
      <c r="C103" s="134"/>
      <c r="D103" s="134">
        <f ca="1">IF(A103=1," ",OFFSET('Control Sheet'!$H$45,B103,3,1,1))</f>
        <v>0</v>
      </c>
      <c r="E103" t="str">
        <f ca="1">IF(A103=0,"",IF(A103=1,"",OFFSET('Control Sheet'!$D$45,B103,3,1,1)))</f>
        <v/>
      </c>
      <c r="F103" s="70">
        <f ca="1">IF($A103=1,NA(),CHOOSE($G$19,OFFSET('Reference dates (hide)'!$AA$42,$G$20,$B103*3,1,1),OFFSET('Reference dates (hide)'!$N$122,$B103*3,$G$20,1,1),OFFSET('Reference dates (hide)'!$AA$122,$B103*3,0,1,1)))</f>
        <v>0</v>
      </c>
      <c r="G103" s="68">
        <f ca="1">IF($A103=1,NA(),CHOOSE($G$19,OFFSET('Reference dates (hide)'!$CO$42,$G$20,$B103*3,1,1),OFFSET('Reference dates (hide)'!$N$183,$B103*3,$G$20,1,1),OFFSET('Reference dates (hide)'!$AA$183,$B103*3,0,1,1)))</f>
        <v>0</v>
      </c>
      <c r="H103" s="68">
        <f ca="1">IF($A103=1,NA(),CHOOSE($G$19,OFFSET('Reference dates (hide)'!$HQ$42,$G$20,$B103*3,1,1),OFFSET('Reference dates (hide)'!$N$244,$B103*3,$G$20,1,1),OFFSET('Reference dates (hide)'!$AA$244,$B103*3,0,1,1)))</f>
        <v>0</v>
      </c>
      <c r="I103" s="75">
        <f ca="1">IF($A103=1,NA(),CHOOSE($G$19,OFFSET('Reference dates (hide)'!$FC$42,$G$20,$B103*3,1,1),OFFSET('Reference dates (hide)'!$N$320,$B103*3,$G$20,1,1),OFFSET('Reference dates (hide)'!$AA$320,$B103*3,0,1,1)))</f>
        <v>0</v>
      </c>
      <c r="J103" s="75">
        <f ca="1">IF($A103=1,NA(),CHOOSE($G$19,OFFSET('Reference dates (hide)'!$KE$42,$G$20,$B103*3,1,1),OFFSET('Reference dates (hide)'!$N$381,$B103*3,$G$20,1,1),OFFSET('Reference dates (hide)'!$AA$381,$B103*3,0,1,1)))</f>
        <v>0</v>
      </c>
      <c r="K103" s="70" t="e">
        <f ca="1">IF($A103&lt;&gt;0,0.95*IF($A103=1,NA(),$Z103),NA())</f>
        <v>#N/A</v>
      </c>
      <c r="L103" s="70" t="e">
        <f ca="1">IF($A103&lt;&gt;0,1.05*IF($A103=1,NA(),$Z103),NA())</f>
        <v>#N/A</v>
      </c>
      <c r="M103" s="66" t="e">
        <f ca="1">L103-K103</f>
        <v>#N/A</v>
      </c>
      <c r="N103" s="70" t="e">
        <f ca="1">IF($A103&lt;&gt;0,IF($A103=1,NA(),$AA103),NA())</f>
        <v>#N/A</v>
      </c>
      <c r="P103" s="125" t="e">
        <f ca="1">IF(OR($A103=1, $A103=0),NA(),INDIRECT("'File "&amp;$B103&amp;"'!IP_ROTT"))</f>
        <v>#N/A</v>
      </c>
      <c r="Q103" s="125" t="e">
        <f ca="1">IF(OR($A103=1, $A103=0),NA(),INDIRECT("'File "&amp;$B103&amp;"'!IP_NASRDC_Overall"))</f>
        <v>#N/A</v>
      </c>
      <c r="R103" s="125" t="e">
        <f ca="1">IF(OR($A103=1, $A103=0),NA(),INDIRECT("'File "&amp;$B103&amp;"'!IP_NASL"))</f>
        <v>#N/A</v>
      </c>
      <c r="S103" s="125" t="e">
        <f ca="1">IF(OR($A103=1, $A103=0),NA(),INDIRECT("'File "&amp;$B103&amp;"'!IP_NASLDC"))</f>
        <v>#N/A</v>
      </c>
      <c r="V103">
        <v>20</v>
      </c>
      <c r="W103">
        <v>3</v>
      </c>
      <c r="X103" s="8">
        <f>SUMIFS(S$113:S$172,C$113:C$172,V103,D$113:D$172,W103)</f>
        <v>0</v>
      </c>
      <c r="Y103" s="8">
        <f>'File 20'!L22</f>
        <v>0</v>
      </c>
      <c r="Z103" s="8">
        <f t="shared" si="1"/>
        <v>0</v>
      </c>
      <c r="AA103" s="8">
        <f>'File 20'!K5</f>
        <v>0</v>
      </c>
    </row>
    <row r="104" spans="1:27" x14ac:dyDescent="0.25">
      <c r="O104" s="125"/>
      <c r="P104" s="125"/>
      <c r="Q104" s="125"/>
      <c r="R104" s="125"/>
      <c r="Z104" s="8"/>
    </row>
    <row r="110" spans="1:27" x14ac:dyDescent="0.25">
      <c r="A110" t="s">
        <v>1332</v>
      </c>
      <c r="D110" t="s">
        <v>1032</v>
      </c>
      <c r="F110" t="s">
        <v>1336</v>
      </c>
      <c r="I110" t="s">
        <v>1342</v>
      </c>
      <c r="K110" s="65"/>
      <c r="L110" s="65"/>
      <c r="M110" s="65"/>
    </row>
    <row r="111" spans="1:27" x14ac:dyDescent="0.25">
      <c r="A111" t="s">
        <v>1333</v>
      </c>
      <c r="F111">
        <f>MAX(F113:F172)</f>
        <v>0</v>
      </c>
      <c r="G111" t="s">
        <v>1353</v>
      </c>
      <c r="N111" t="s">
        <v>1352</v>
      </c>
    </row>
    <row r="112" spans="1:27" x14ac:dyDescent="0.25">
      <c r="A112" t="s">
        <v>961</v>
      </c>
      <c r="B112" t="s">
        <v>1334</v>
      </c>
      <c r="C112" t="s">
        <v>962</v>
      </c>
      <c r="D112" t="s">
        <v>1403</v>
      </c>
      <c r="E112" t="s">
        <v>1335</v>
      </c>
      <c r="G112" t="s">
        <v>1354</v>
      </c>
      <c r="H112" t="s">
        <v>1355</v>
      </c>
      <c r="I112" t="s">
        <v>1357</v>
      </c>
      <c r="K112" t="s">
        <v>1340</v>
      </c>
      <c r="L112" t="s">
        <v>1341</v>
      </c>
      <c r="N112" t="s">
        <v>1350</v>
      </c>
      <c r="O112" t="s">
        <v>1351</v>
      </c>
      <c r="P112" t="s">
        <v>1397</v>
      </c>
      <c r="Q112" t="s">
        <v>1396</v>
      </c>
      <c r="R112" t="s">
        <v>1399</v>
      </c>
      <c r="S112" t="s">
        <v>1398</v>
      </c>
      <c r="T112" s="65" t="s">
        <v>1391</v>
      </c>
      <c r="U112" s="65"/>
      <c r="V112" s="65"/>
    </row>
    <row r="113" spans="1:28" x14ac:dyDescent="0.25">
      <c r="A113" s="157" t="str">
        <f>IF(AND('Dependency setup'!B8&lt;&gt;"",'Dependency setup'!A8=1), MATCH('Dependency setup'!B8,'Data files'!$A$16:$A$35,0),"")</f>
        <v/>
      </c>
      <c r="B113" t="str">
        <f>IF(A113&lt;&gt;"",MATCH('Dependency setup'!C8,INDEX('Control Sheet'!$I$46:$K$65,'Dependency (hide)'!A113,0),0),"")</f>
        <v/>
      </c>
      <c r="C113" s="157" t="str">
        <f>IF(A113&lt;&gt;"", MATCH('Dependency setup'!F8,'Data files'!$A$16:$A$35,0),"")</f>
        <v/>
      </c>
      <c r="D113" t="str">
        <f>IF(C113&lt;&gt;"",MATCH('Dependency setup'!G8,INDEX('Control Sheet'!$I$46:$K$65,'Dependency (hide)'!C113,0),0),"")</f>
        <v/>
      </c>
      <c r="E113">
        <f>IF(A113&lt;&gt;"",'Dependency setup'!D8*'Dependency setup'!E8,0)</f>
        <v>0</v>
      </c>
      <c r="F113" t="str">
        <f>IFERROR(IF(A113&lt;&gt;"",ROW(A1),""),0)</f>
        <v/>
      </c>
      <c r="G113">
        <f>'Dependency setup'!H8</f>
        <v>0</v>
      </c>
      <c r="H113">
        <f>'Dependency setup'!I8</f>
        <v>0</v>
      </c>
      <c r="I113">
        <f>IF('Dependency setup'!A8=1,IF(AND(ISNA(A113)=FALSE,ISNA(B113)=FALSE,ISNA(C113)=FALSE,ISNA(D113)=FALSE),IF(AND(A113=C113,B113=D113),0,1),0),0)</f>
        <v>0</v>
      </c>
      <c r="K113" t="str">
        <f>IF(ISNA(MATCH(ROW(A1),$A$113:$A$172,0))=FALSE,ROW(A1),"")</f>
        <v/>
      </c>
      <c r="L113" t="str">
        <f>IF(ISNA(MATCH(ROW(B1),$C$113:$C$172,0))=FALSE,ROW(B1),"")</f>
        <v/>
      </c>
      <c r="N113" t="str">
        <f>IF('Dependency setup'!B8&lt;&gt;"",MATCH('Dependency setup'!B8,'Data files'!$A$16:$A$35,0),"")</f>
        <v/>
      </c>
      <c r="O113" t="str">
        <f>IF('Dependency setup'!F8&lt;&gt;"",MATCH('Dependency setup'!F8,'Data files'!$A$16:$A$35,0),"")</f>
        <v/>
      </c>
      <c r="P113" t="str">
        <f>IF(I113=1,"'File "&amp;N113&amp;"'!","")</f>
        <v/>
      </c>
      <c r="Q113" t="str">
        <f>IF(I113=1,IF(B113=1,"D5",IF(B113=2,"G5","K5")),"")</f>
        <v/>
      </c>
      <c r="R113" t="str">
        <f>IF(I113=1,IF(B113=1,"Q",IF(B113=2,"R","S"))&amp;"54","")</f>
        <v/>
      </c>
      <c r="S113" s="103" t="str">
        <f ca="1">IF(I113=1,INDIRECT(P113&amp;Q113)*INDIRECT(P113&amp;R113)*E113,"")</f>
        <v/>
      </c>
      <c r="T113" s="65"/>
      <c r="U113" s="65"/>
      <c r="V113" s="65"/>
      <c r="X113">
        <v>0</v>
      </c>
      <c r="Z113">
        <v>0</v>
      </c>
      <c r="AA113">
        <v>0</v>
      </c>
      <c r="AB113">
        <v>0</v>
      </c>
    </row>
    <row r="114" spans="1:28" x14ac:dyDescent="0.25">
      <c r="A114" s="157" t="str">
        <f>IF(AND('Dependency setup'!B9&lt;&gt;"",'Dependency setup'!A9=1), MATCH('Dependency setup'!B9,'Data files'!$A$16:$A$35,0),"")</f>
        <v/>
      </c>
      <c r="B114" t="str">
        <f>IF(A114&lt;&gt;"",MATCH('Dependency setup'!C9,INDEX('Control Sheet'!$I$46:$K$65,'Dependency (hide)'!A114,0),0),"")</f>
        <v/>
      </c>
      <c r="C114" s="157" t="str">
        <f>IF(A114&lt;&gt;"", MATCH('Dependency setup'!F9,'Data files'!$A$16:$A$35,0),"")</f>
        <v/>
      </c>
      <c r="D114" t="str">
        <f>IF(C114&lt;&gt;"",MATCH('Dependency setup'!G9,INDEX('Control Sheet'!$I$46:$K$65,'Dependency (hide)'!C114,0),0),"")</f>
        <v/>
      </c>
      <c r="E114">
        <f>IF(A114&lt;&gt;"",'Dependency setup'!D9*'Dependency setup'!E9,0)</f>
        <v>0</v>
      </c>
      <c r="F114" t="str">
        <f t="shared" ref="F114:F172" si="2">IFERROR(IF(A114&lt;&gt;"",ROW(A2),""),0)</f>
        <v/>
      </c>
      <c r="G114">
        <f>'Dependency setup'!H9</f>
        <v>0</v>
      </c>
      <c r="H114">
        <f>'Dependency setup'!I9</f>
        <v>0</v>
      </c>
      <c r="I114">
        <f>IF('Dependency setup'!A9=1,IF(AND(ISNA(A114)=FALSE,ISNA(B114)=FALSE,ISNA(C114)=FALSE,ISNA(D114)=FALSE),IF(AND(A114=C114,B114=D114),0,1),0),0)</f>
        <v>0</v>
      </c>
      <c r="K114" t="str">
        <f t="shared" ref="K114:K172" si="3">IF(ISNA(MATCH(ROW(A2),$A$113:$A$172,0))=FALSE,ROW(A2),"")</f>
        <v/>
      </c>
      <c r="L114" t="str">
        <f t="shared" ref="L114:L172" si="4">IF(ISNA(MATCH(ROW(B2),$C$113:$C$172,0))=FALSE,ROW(B2),"")</f>
        <v/>
      </c>
      <c r="N114" t="str">
        <f>IF('Dependency setup'!B9&lt;&gt;"",MATCH('Dependency setup'!B9,'Data files'!$A$16:$A$35,0),"")</f>
        <v/>
      </c>
      <c r="O114" t="str">
        <f>IF('Dependency setup'!F9&lt;&gt;"",MATCH('Dependency setup'!F9,'Data files'!$A$16:$A$35,0),"")</f>
        <v/>
      </c>
      <c r="P114" t="str">
        <f t="shared" ref="P114:P172" si="5">IF(I114=1,"'File "&amp;N114&amp;"'!","")</f>
        <v/>
      </c>
      <c r="Q114" t="str">
        <f t="shared" ref="Q114:Q172" si="6">IF(I114=1,IF(B114=1,"D5",IF(B114=2,"G5","K5")),"")</f>
        <v/>
      </c>
      <c r="R114" t="str">
        <f t="shared" ref="R114:R172" si="7">IF(I114=1,IF(B114=1,"Q",IF(B114=2,"R","S"))&amp;"54","")</f>
        <v/>
      </c>
      <c r="S114" s="103" t="str">
        <f t="shared" ref="S114:S172" ca="1" si="8">IF(I114=1,INDIRECT(P114&amp;Q114)*INDIRECT(P114&amp;R114)*E114,"")</f>
        <v/>
      </c>
      <c r="T114" s="65"/>
      <c r="U114" s="65"/>
      <c r="V114" s="65"/>
      <c r="X114">
        <v>0</v>
      </c>
      <c r="Z114">
        <v>0</v>
      </c>
      <c r="AA114">
        <v>0</v>
      </c>
      <c r="AB114">
        <v>0</v>
      </c>
    </row>
    <row r="115" spans="1:28" x14ac:dyDescent="0.25">
      <c r="A115" s="157" t="str">
        <f>IF(AND('Dependency setup'!B10&lt;&gt;"",'Dependency setup'!A10=1), MATCH('Dependency setup'!B10,'Data files'!$A$16:$A$35,0),"")</f>
        <v/>
      </c>
      <c r="B115" t="str">
        <f>IF(A115&lt;&gt;"",MATCH('Dependency setup'!C10,INDEX('Control Sheet'!$I$46:$K$65,'Dependency (hide)'!A115,0),0),"")</f>
        <v/>
      </c>
      <c r="C115" s="157" t="str">
        <f>IF(A115&lt;&gt;"", MATCH('Dependency setup'!F10,'Data files'!$A$16:$A$35,0),"")</f>
        <v/>
      </c>
      <c r="D115" t="str">
        <f>IF(C115&lt;&gt;"",MATCH('Dependency setup'!G10,INDEX('Control Sheet'!$I$46:$K$65,'Dependency (hide)'!C115,0),0),"")</f>
        <v/>
      </c>
      <c r="E115">
        <f>IF(A115&lt;&gt;"",'Dependency setup'!D10*'Dependency setup'!E10,0)</f>
        <v>0</v>
      </c>
      <c r="F115" t="str">
        <f t="shared" si="2"/>
        <v/>
      </c>
      <c r="G115">
        <f>'Dependency setup'!H10</f>
        <v>0</v>
      </c>
      <c r="H115">
        <f>'Dependency setup'!I10</f>
        <v>0</v>
      </c>
      <c r="I115">
        <f>IF('Dependency setup'!A10=1,IF(AND(ISNA(A115)=FALSE,ISNA(B115)=FALSE,ISNA(C115)=FALSE,ISNA(D115)=FALSE),IF(AND(A115=C115,B115=D115),0,1),0),0)</f>
        <v>0</v>
      </c>
      <c r="K115" t="str">
        <f t="shared" si="3"/>
        <v/>
      </c>
      <c r="L115" t="str">
        <f t="shared" si="4"/>
        <v/>
      </c>
      <c r="N115" t="str">
        <f>IF('Dependency setup'!B10&lt;&gt;"",MATCH('Dependency setup'!B10,'Data files'!$A$16:$A$35,0),"")</f>
        <v/>
      </c>
      <c r="O115" t="str">
        <f>IF('Dependency setup'!F10&lt;&gt;"",MATCH('Dependency setup'!F10,'Data files'!$A$16:$A$35,0),"")</f>
        <v/>
      </c>
      <c r="P115" t="str">
        <f t="shared" si="5"/>
        <v/>
      </c>
      <c r="Q115" t="str">
        <f t="shared" si="6"/>
        <v/>
      </c>
      <c r="R115" t="str">
        <f t="shared" si="7"/>
        <v/>
      </c>
      <c r="S115" s="103" t="str">
        <f t="shared" ca="1" si="8"/>
        <v/>
      </c>
      <c r="T115" s="65"/>
      <c r="U115" s="65"/>
      <c r="V115" s="65"/>
      <c r="X115">
        <v>0</v>
      </c>
      <c r="Z115">
        <v>0</v>
      </c>
      <c r="AA115">
        <v>0</v>
      </c>
      <c r="AB115">
        <v>0</v>
      </c>
    </row>
    <row r="116" spans="1:28" x14ac:dyDescent="0.25">
      <c r="A116" s="157" t="str">
        <f>IF(AND('Dependency setup'!B11&lt;&gt;"",'Dependency setup'!A11=1), MATCH('Dependency setup'!B11,'Data files'!$A$16:$A$35,0),"")</f>
        <v/>
      </c>
      <c r="B116" t="str">
        <f>IF(A116&lt;&gt;"",MATCH('Dependency setup'!C11,INDEX('Control Sheet'!$I$46:$K$65,'Dependency (hide)'!A116,0),0),"")</f>
        <v/>
      </c>
      <c r="C116" s="157" t="str">
        <f>IF(A116&lt;&gt;"", MATCH('Dependency setup'!F11,'Data files'!$A$16:$A$35,0),"")</f>
        <v/>
      </c>
      <c r="D116" t="str">
        <f>IF(C116&lt;&gt;"",MATCH('Dependency setup'!G11,INDEX('Control Sheet'!$I$46:$K$65,'Dependency (hide)'!C116,0),0),"")</f>
        <v/>
      </c>
      <c r="E116">
        <f>IF(A116&lt;&gt;"",'Dependency setup'!D11*'Dependency setup'!E11,0)</f>
        <v>0</v>
      </c>
      <c r="F116" t="str">
        <f t="shared" si="2"/>
        <v/>
      </c>
      <c r="G116">
        <f>'Dependency setup'!H11</f>
        <v>0</v>
      </c>
      <c r="H116">
        <f>'Dependency setup'!I11</f>
        <v>0</v>
      </c>
      <c r="I116">
        <f>IF('Dependency setup'!A11=1,IF(AND(ISNA(A116)=FALSE,ISNA(B116)=FALSE,ISNA(C116)=FALSE,ISNA(D116)=FALSE),IF(AND(A116=C116,B116=D116),0,1),0),0)</f>
        <v>0</v>
      </c>
      <c r="K116" t="str">
        <f t="shared" si="3"/>
        <v/>
      </c>
      <c r="L116" t="str">
        <f t="shared" si="4"/>
        <v/>
      </c>
      <c r="N116" t="str">
        <f>IF('Dependency setup'!B11&lt;&gt;"",MATCH('Dependency setup'!B11,'Data files'!$A$16:$A$35,0),"")</f>
        <v/>
      </c>
      <c r="O116" t="str">
        <f>IF('Dependency setup'!F11&lt;&gt;"",MATCH('Dependency setup'!F11,'Data files'!$A$16:$A$35,0),"")</f>
        <v/>
      </c>
      <c r="P116" t="str">
        <f t="shared" si="5"/>
        <v/>
      </c>
      <c r="Q116" t="str">
        <f t="shared" si="6"/>
        <v/>
      </c>
      <c r="R116" t="str">
        <f t="shared" si="7"/>
        <v/>
      </c>
      <c r="S116" s="103" t="str">
        <f t="shared" ca="1" si="8"/>
        <v/>
      </c>
      <c r="T116" s="65"/>
      <c r="U116" s="65"/>
      <c r="V116" s="65"/>
      <c r="X116">
        <v>0</v>
      </c>
      <c r="Z116">
        <v>0</v>
      </c>
      <c r="AA116">
        <v>0</v>
      </c>
      <c r="AB116">
        <v>0</v>
      </c>
    </row>
    <row r="117" spans="1:28" x14ac:dyDescent="0.25">
      <c r="A117" s="157" t="str">
        <f>IF(AND('Dependency setup'!B12&lt;&gt;"",'Dependency setup'!A12=1), MATCH('Dependency setup'!B12,'Data files'!$A$16:$A$35,0),"")</f>
        <v/>
      </c>
      <c r="B117" t="str">
        <f>IF(A117&lt;&gt;"",MATCH('Dependency setup'!C12,INDEX('Control Sheet'!$I$46:$K$65,'Dependency (hide)'!A117,0),0),"")</f>
        <v/>
      </c>
      <c r="C117" s="157" t="str">
        <f>IF(A117&lt;&gt;"", MATCH('Dependency setup'!F12,'Data files'!$A$16:$A$35,0),"")</f>
        <v/>
      </c>
      <c r="D117" t="str">
        <f>IF(C117&lt;&gt;"",MATCH('Dependency setup'!G12,INDEX('Control Sheet'!$I$46:$K$65,'Dependency (hide)'!C117,0),0),"")</f>
        <v/>
      </c>
      <c r="E117">
        <f>IF(A117&lt;&gt;"",'Dependency setup'!D12*'Dependency setup'!E12,0)</f>
        <v>0</v>
      </c>
      <c r="F117" t="str">
        <f t="shared" si="2"/>
        <v/>
      </c>
      <c r="G117">
        <f>'Dependency setup'!H12</f>
        <v>0</v>
      </c>
      <c r="H117">
        <f>'Dependency setup'!I12</f>
        <v>0</v>
      </c>
      <c r="I117">
        <f>IF('Dependency setup'!A12=1,IF(AND(ISNA(A117)=FALSE,ISNA(B117)=FALSE,ISNA(C117)=FALSE,ISNA(D117)=FALSE),IF(AND(A117=C117,B117=D117),0,1),0),0)</f>
        <v>0</v>
      </c>
      <c r="K117" t="str">
        <f t="shared" si="3"/>
        <v/>
      </c>
      <c r="L117" t="str">
        <f t="shared" si="4"/>
        <v/>
      </c>
      <c r="N117" t="str">
        <f>IF('Dependency setup'!B12&lt;&gt;"",MATCH('Dependency setup'!B12,'Data files'!$A$16:$A$35,0),"")</f>
        <v/>
      </c>
      <c r="O117" t="str">
        <f>IF('Dependency setup'!F12&lt;&gt;"",MATCH('Dependency setup'!F12,'Data files'!$A$16:$A$35,0),"")</f>
        <v/>
      </c>
      <c r="P117" t="str">
        <f t="shared" si="5"/>
        <v/>
      </c>
      <c r="Q117" t="str">
        <f t="shared" si="6"/>
        <v/>
      </c>
      <c r="R117" t="str">
        <f t="shared" si="7"/>
        <v/>
      </c>
      <c r="S117" s="103" t="str">
        <f t="shared" ca="1" si="8"/>
        <v/>
      </c>
      <c r="T117" s="65"/>
      <c r="U117" s="65"/>
      <c r="V117" s="65"/>
      <c r="X117">
        <v>0</v>
      </c>
      <c r="Z117">
        <v>0</v>
      </c>
      <c r="AA117">
        <v>0</v>
      </c>
      <c r="AB117">
        <v>0</v>
      </c>
    </row>
    <row r="118" spans="1:28" x14ac:dyDescent="0.25">
      <c r="A118" s="157" t="str">
        <f>IF(AND('Dependency setup'!B13&lt;&gt;"",'Dependency setup'!A13=1), MATCH('Dependency setup'!B13,'Data files'!$A$16:$A$35,0),"")</f>
        <v/>
      </c>
      <c r="B118" t="str">
        <f>IF(A118&lt;&gt;"",MATCH('Dependency setup'!C13,INDEX('Control Sheet'!$I$46:$K$65,'Dependency (hide)'!A118,0),0),"")</f>
        <v/>
      </c>
      <c r="C118" s="157" t="str">
        <f>IF(A118&lt;&gt;"", MATCH('Dependency setup'!F13,'Data files'!$A$16:$A$35,0),"")</f>
        <v/>
      </c>
      <c r="D118" t="str">
        <f>IF(C118&lt;&gt;"",MATCH('Dependency setup'!G13,INDEX('Control Sheet'!$I$46:$K$65,'Dependency (hide)'!C118,0),0),"")</f>
        <v/>
      </c>
      <c r="E118">
        <f>IF(A118&lt;&gt;"",'Dependency setup'!D13*'Dependency setup'!E13,0)</f>
        <v>0</v>
      </c>
      <c r="F118" t="str">
        <f t="shared" si="2"/>
        <v/>
      </c>
      <c r="G118">
        <f>'Dependency setup'!H13</f>
        <v>0</v>
      </c>
      <c r="H118">
        <f>'Dependency setup'!I13</f>
        <v>0</v>
      </c>
      <c r="I118">
        <f>IF('Dependency setup'!A13=1,IF(AND(ISNA(A118)=FALSE,ISNA(B118)=FALSE,ISNA(C118)=FALSE,ISNA(D118)=FALSE),IF(AND(A118=C118,B118=D118),0,1),0),0)</f>
        <v>0</v>
      </c>
      <c r="K118" t="str">
        <f t="shared" si="3"/>
        <v/>
      </c>
      <c r="L118" t="str">
        <f t="shared" si="4"/>
        <v/>
      </c>
      <c r="N118" t="str">
        <f>IF('Dependency setup'!B13&lt;&gt;"",MATCH('Dependency setup'!B13,'Data files'!$A$16:$A$35,0),"")</f>
        <v/>
      </c>
      <c r="O118" t="str">
        <f>IF('Dependency setup'!F13&lt;&gt;"",MATCH('Dependency setup'!F13,'Data files'!$A$16:$A$35,0),"")</f>
        <v/>
      </c>
      <c r="P118" t="str">
        <f t="shared" si="5"/>
        <v/>
      </c>
      <c r="Q118" t="str">
        <f t="shared" si="6"/>
        <v/>
      </c>
      <c r="R118" t="str">
        <f t="shared" si="7"/>
        <v/>
      </c>
      <c r="S118" s="103" t="str">
        <f t="shared" ca="1" si="8"/>
        <v/>
      </c>
      <c r="T118" s="65"/>
      <c r="U118" s="65"/>
      <c r="V118" s="65"/>
      <c r="X118">
        <v>0</v>
      </c>
      <c r="Z118">
        <v>0</v>
      </c>
      <c r="AA118">
        <v>0</v>
      </c>
      <c r="AB118">
        <v>0</v>
      </c>
    </row>
    <row r="119" spans="1:28" x14ac:dyDescent="0.25">
      <c r="A119" s="157" t="str">
        <f>IF(AND('Dependency setup'!B14&lt;&gt;"",'Dependency setup'!A14=1), MATCH('Dependency setup'!B14,'Data files'!$A$16:$A$35,0),"")</f>
        <v/>
      </c>
      <c r="B119" t="str">
        <f>IF(A119&lt;&gt;"",MATCH('Dependency setup'!C14,INDEX('Control Sheet'!$I$46:$K$65,'Dependency (hide)'!A119,0),0),"")</f>
        <v/>
      </c>
      <c r="C119" s="157" t="str">
        <f>IF(A119&lt;&gt;"", MATCH('Dependency setup'!F14,'Data files'!$A$16:$A$35,0),"")</f>
        <v/>
      </c>
      <c r="D119" t="str">
        <f>IF(C119&lt;&gt;"",MATCH('Dependency setup'!G14,INDEX('Control Sheet'!$I$46:$K$65,'Dependency (hide)'!C119,0),0),"")</f>
        <v/>
      </c>
      <c r="E119">
        <f>IF(A119&lt;&gt;"",'Dependency setup'!D14*'Dependency setup'!E14,0)</f>
        <v>0</v>
      </c>
      <c r="F119" t="str">
        <f t="shared" si="2"/>
        <v/>
      </c>
      <c r="G119">
        <f>'Dependency setup'!H14</f>
        <v>0</v>
      </c>
      <c r="H119">
        <f>'Dependency setup'!I14</f>
        <v>0</v>
      </c>
      <c r="I119">
        <f>IF('Dependency setup'!A14=1,IF(AND(ISNA(A119)=FALSE,ISNA(B119)=FALSE,ISNA(C119)=FALSE,ISNA(D119)=FALSE),IF(AND(A119=C119,B119=D119),0,1),0),0)</f>
        <v>0</v>
      </c>
      <c r="K119" t="str">
        <f t="shared" si="3"/>
        <v/>
      </c>
      <c r="L119" t="str">
        <f t="shared" si="4"/>
        <v/>
      </c>
      <c r="N119" t="str">
        <f>IF('Dependency setup'!B14&lt;&gt;"",MATCH('Dependency setup'!B14,'Data files'!$A$16:$A$35,0),"")</f>
        <v/>
      </c>
      <c r="O119" t="str">
        <f>IF('Dependency setup'!F14&lt;&gt;"",MATCH('Dependency setup'!F14,'Data files'!$A$16:$A$35,0),"")</f>
        <v/>
      </c>
      <c r="P119" t="str">
        <f t="shared" si="5"/>
        <v/>
      </c>
      <c r="Q119" t="str">
        <f t="shared" si="6"/>
        <v/>
      </c>
      <c r="R119" t="str">
        <f t="shared" si="7"/>
        <v/>
      </c>
      <c r="S119" s="103" t="str">
        <f t="shared" ca="1" si="8"/>
        <v/>
      </c>
      <c r="T119" s="65"/>
      <c r="U119" s="65"/>
      <c r="V119" s="65"/>
      <c r="X119">
        <v>0</v>
      </c>
      <c r="Z119">
        <v>0</v>
      </c>
      <c r="AA119">
        <v>0</v>
      </c>
      <c r="AB119">
        <v>0</v>
      </c>
    </row>
    <row r="120" spans="1:28" x14ac:dyDescent="0.25">
      <c r="A120" s="157" t="str">
        <f>IF(AND('Dependency setup'!B15&lt;&gt;"",'Dependency setup'!A15=1), MATCH('Dependency setup'!B15,'Data files'!$A$16:$A$35,0),"")</f>
        <v/>
      </c>
      <c r="B120" t="str">
        <f>IF(A120&lt;&gt;"",MATCH('Dependency setup'!C15,INDEX('Control Sheet'!$I$46:$K$65,'Dependency (hide)'!A120,0),0),"")</f>
        <v/>
      </c>
      <c r="C120" s="157" t="str">
        <f>IF(A120&lt;&gt;"", MATCH('Dependency setup'!F15,'Data files'!$A$16:$A$35,0),"")</f>
        <v/>
      </c>
      <c r="D120" t="str">
        <f>IF(C120&lt;&gt;"",MATCH('Dependency setup'!G15,INDEX('Control Sheet'!$I$46:$K$65,'Dependency (hide)'!C120,0),0),"")</f>
        <v/>
      </c>
      <c r="E120">
        <f>IF(A120&lt;&gt;"",'Dependency setup'!D15*'Dependency setup'!E15,0)</f>
        <v>0</v>
      </c>
      <c r="F120" t="str">
        <f t="shared" si="2"/>
        <v/>
      </c>
      <c r="G120">
        <f>'Dependency setup'!H15</f>
        <v>0</v>
      </c>
      <c r="H120">
        <f>'Dependency setup'!I15</f>
        <v>0</v>
      </c>
      <c r="I120">
        <f>IF('Dependency setup'!A15=1,IF(AND(ISNA(A120)=FALSE,ISNA(B120)=FALSE,ISNA(C120)=FALSE,ISNA(D120)=FALSE),IF(AND(A120=C120,B120=D120),0,1),0),0)</f>
        <v>0</v>
      </c>
      <c r="K120" t="str">
        <f t="shared" si="3"/>
        <v/>
      </c>
      <c r="L120" t="str">
        <f t="shared" si="4"/>
        <v/>
      </c>
      <c r="N120" t="str">
        <f>IF('Dependency setup'!B15&lt;&gt;"",MATCH('Dependency setup'!B15,'Data files'!$A$16:$A$35,0),"")</f>
        <v/>
      </c>
      <c r="O120" t="str">
        <f>IF('Dependency setup'!F15&lt;&gt;"",MATCH('Dependency setup'!F15,'Data files'!$A$16:$A$35,0),"")</f>
        <v/>
      </c>
      <c r="P120" t="str">
        <f t="shared" si="5"/>
        <v/>
      </c>
      <c r="Q120" t="str">
        <f t="shared" si="6"/>
        <v/>
      </c>
      <c r="R120" t="str">
        <f t="shared" si="7"/>
        <v/>
      </c>
      <c r="S120" s="103" t="str">
        <f t="shared" ca="1" si="8"/>
        <v/>
      </c>
      <c r="T120" s="65"/>
      <c r="U120" s="65"/>
      <c r="V120" s="65"/>
      <c r="X120">
        <v>0</v>
      </c>
      <c r="Z120">
        <v>0</v>
      </c>
      <c r="AA120">
        <v>0</v>
      </c>
      <c r="AB120">
        <v>0</v>
      </c>
    </row>
    <row r="121" spans="1:28" x14ac:dyDescent="0.25">
      <c r="A121" s="157" t="str">
        <f>IF(AND('Dependency setup'!B16&lt;&gt;"",'Dependency setup'!A16=1), MATCH('Dependency setup'!B16,'Data files'!$A$16:$A$35,0),"")</f>
        <v/>
      </c>
      <c r="B121" t="str">
        <f>IF(A121&lt;&gt;"",MATCH('Dependency setup'!C16,INDEX('Control Sheet'!$I$46:$K$65,'Dependency (hide)'!A121,0),0),"")</f>
        <v/>
      </c>
      <c r="C121" s="157" t="str">
        <f>IF(A121&lt;&gt;"", MATCH('Dependency setup'!F16,'Data files'!$A$16:$A$35,0),"")</f>
        <v/>
      </c>
      <c r="D121" t="str">
        <f>IF(C121&lt;&gt;"",MATCH('Dependency setup'!G16,INDEX('Control Sheet'!$I$46:$K$65,'Dependency (hide)'!C121,0),0),"")</f>
        <v/>
      </c>
      <c r="E121">
        <f>IF(A121&lt;&gt;"",'Dependency setup'!D16*'Dependency setup'!E16,0)</f>
        <v>0</v>
      </c>
      <c r="F121" t="str">
        <f t="shared" si="2"/>
        <v/>
      </c>
      <c r="G121">
        <f>'Dependency setup'!H16</f>
        <v>0</v>
      </c>
      <c r="H121">
        <f>'Dependency setup'!I16</f>
        <v>0</v>
      </c>
      <c r="I121">
        <f>IF('Dependency setup'!A16=1,IF(AND(ISNA(A121)=FALSE,ISNA(B121)=FALSE,ISNA(C121)=FALSE,ISNA(D121)=FALSE),IF(AND(A121=C121,B121=D121),0,1),0),0)</f>
        <v>0</v>
      </c>
      <c r="K121" t="str">
        <f t="shared" si="3"/>
        <v/>
      </c>
      <c r="L121" t="str">
        <f t="shared" si="4"/>
        <v/>
      </c>
      <c r="N121" t="str">
        <f>IF('Dependency setup'!B16&lt;&gt;"",MATCH('Dependency setup'!B16,'Data files'!$A$16:$A$35,0),"")</f>
        <v/>
      </c>
      <c r="O121" t="str">
        <f>IF('Dependency setup'!F16&lt;&gt;"",MATCH('Dependency setup'!F16,'Data files'!$A$16:$A$35,0),"")</f>
        <v/>
      </c>
      <c r="P121" t="str">
        <f t="shared" si="5"/>
        <v/>
      </c>
      <c r="Q121" t="str">
        <f t="shared" si="6"/>
        <v/>
      </c>
      <c r="R121" t="str">
        <f t="shared" si="7"/>
        <v/>
      </c>
      <c r="S121" s="103" t="str">
        <f t="shared" ca="1" si="8"/>
        <v/>
      </c>
      <c r="T121" s="65"/>
      <c r="U121" s="65"/>
      <c r="V121" s="65"/>
      <c r="X121">
        <v>0</v>
      </c>
      <c r="Z121">
        <v>0</v>
      </c>
      <c r="AA121">
        <v>0</v>
      </c>
      <c r="AB121">
        <v>0</v>
      </c>
    </row>
    <row r="122" spans="1:28" x14ac:dyDescent="0.25">
      <c r="A122" s="157" t="str">
        <f>IF(AND('Dependency setup'!B17&lt;&gt;"",'Dependency setup'!A17=1), MATCH('Dependency setup'!B17,'Data files'!$A$16:$A$35,0),"")</f>
        <v/>
      </c>
      <c r="B122" t="str">
        <f>IF(A122&lt;&gt;"",MATCH('Dependency setup'!C17,INDEX('Control Sheet'!$I$46:$K$65,'Dependency (hide)'!A122,0),0),"")</f>
        <v/>
      </c>
      <c r="C122" s="157" t="str">
        <f>IF(A122&lt;&gt;"", MATCH('Dependency setup'!F17,'Data files'!$A$16:$A$35,0),"")</f>
        <v/>
      </c>
      <c r="D122" t="str">
        <f>IF(C122&lt;&gt;"",MATCH('Dependency setup'!G17,INDEX('Control Sheet'!$I$46:$K$65,'Dependency (hide)'!C122,0),0),"")</f>
        <v/>
      </c>
      <c r="E122">
        <f>IF(A122&lt;&gt;"",'Dependency setup'!D17*'Dependency setup'!E17,0)</f>
        <v>0</v>
      </c>
      <c r="F122" t="str">
        <f t="shared" si="2"/>
        <v/>
      </c>
      <c r="G122">
        <f>'Dependency setup'!H17</f>
        <v>0</v>
      </c>
      <c r="H122">
        <f>'Dependency setup'!I17</f>
        <v>0</v>
      </c>
      <c r="I122">
        <f>IF('Dependency setup'!A17=1,IF(AND(ISNA(A122)=FALSE,ISNA(B122)=FALSE,ISNA(C122)=FALSE,ISNA(D122)=FALSE),IF(AND(A122=C122,B122=D122),0,1),0),0)</f>
        <v>0</v>
      </c>
      <c r="K122" t="str">
        <f t="shared" si="3"/>
        <v/>
      </c>
      <c r="L122" t="str">
        <f t="shared" si="4"/>
        <v/>
      </c>
      <c r="N122" t="str">
        <f>IF('Dependency setup'!B17&lt;&gt;"",MATCH('Dependency setup'!B17,'Data files'!$A$16:$A$35,0),"")</f>
        <v/>
      </c>
      <c r="O122" t="str">
        <f>IF('Dependency setup'!F17&lt;&gt;"",MATCH('Dependency setup'!F17,'Data files'!$A$16:$A$35,0),"")</f>
        <v/>
      </c>
      <c r="P122" t="str">
        <f t="shared" si="5"/>
        <v/>
      </c>
      <c r="Q122" t="str">
        <f t="shared" si="6"/>
        <v/>
      </c>
      <c r="R122" t="str">
        <f t="shared" si="7"/>
        <v/>
      </c>
      <c r="S122" s="103" t="str">
        <f t="shared" ca="1" si="8"/>
        <v/>
      </c>
      <c r="T122" s="65"/>
      <c r="U122" s="65"/>
      <c r="V122" s="65"/>
      <c r="X122">
        <v>0</v>
      </c>
      <c r="Z122">
        <v>0</v>
      </c>
      <c r="AA122">
        <v>0</v>
      </c>
      <c r="AB122">
        <v>0</v>
      </c>
    </row>
    <row r="123" spans="1:28" x14ac:dyDescent="0.25">
      <c r="A123" s="157" t="str">
        <f>IF(AND('Dependency setup'!B18&lt;&gt;"",'Dependency setup'!A18=1), MATCH('Dependency setup'!B18,'Data files'!$A$16:$A$35,0),"")</f>
        <v/>
      </c>
      <c r="B123" t="str">
        <f>IF(A123&lt;&gt;"",MATCH('Dependency setup'!C18,INDEX('Control Sheet'!$I$46:$K$65,'Dependency (hide)'!A123,0),0),"")</f>
        <v/>
      </c>
      <c r="C123" s="157" t="str">
        <f>IF(A123&lt;&gt;"", MATCH('Dependency setup'!F18,'Data files'!$A$16:$A$35,0),"")</f>
        <v/>
      </c>
      <c r="D123" t="str">
        <f>IF(C123&lt;&gt;"",MATCH('Dependency setup'!G18,INDEX('Control Sheet'!$I$46:$K$65,'Dependency (hide)'!C123,0),0),"")</f>
        <v/>
      </c>
      <c r="E123">
        <f>IF(A123&lt;&gt;"",'Dependency setup'!D18*'Dependency setup'!E18,0)</f>
        <v>0</v>
      </c>
      <c r="F123" t="str">
        <f t="shared" si="2"/>
        <v/>
      </c>
      <c r="G123">
        <f>'Dependency setup'!H18</f>
        <v>0</v>
      </c>
      <c r="H123">
        <f>'Dependency setup'!I18</f>
        <v>0</v>
      </c>
      <c r="I123">
        <f>IF('Dependency setup'!A18=1,IF(AND(ISNA(A123)=FALSE,ISNA(B123)=FALSE,ISNA(C123)=FALSE,ISNA(D123)=FALSE),IF(AND(A123=C123,B123=D123),0,1),0),0)</f>
        <v>0</v>
      </c>
      <c r="K123" t="str">
        <f t="shared" si="3"/>
        <v/>
      </c>
      <c r="L123" t="str">
        <f t="shared" si="4"/>
        <v/>
      </c>
      <c r="O123" t="str">
        <f>IF('Dependency setup'!F18&lt;&gt;"",MATCH('Dependency setup'!F18,'Data files'!$A$16:$A$35,0),"")</f>
        <v/>
      </c>
      <c r="P123" t="str">
        <f t="shared" si="5"/>
        <v/>
      </c>
      <c r="Q123" t="str">
        <f t="shared" si="6"/>
        <v/>
      </c>
      <c r="R123" t="str">
        <f t="shared" si="7"/>
        <v/>
      </c>
      <c r="S123" s="103" t="str">
        <f t="shared" ca="1" si="8"/>
        <v/>
      </c>
      <c r="T123" s="65"/>
      <c r="U123" s="65"/>
      <c r="V123" s="65"/>
      <c r="X123">
        <v>0</v>
      </c>
      <c r="Z123">
        <v>0</v>
      </c>
      <c r="AA123">
        <v>0</v>
      </c>
      <c r="AB123">
        <v>0</v>
      </c>
    </row>
    <row r="124" spans="1:28" x14ac:dyDescent="0.25">
      <c r="A124" s="157" t="str">
        <f>IF(AND('Dependency setup'!B19&lt;&gt;"",'Dependency setup'!A19=1), MATCH('Dependency setup'!B19,'Data files'!$A$16:$A$35,0),"")</f>
        <v/>
      </c>
      <c r="B124" t="str">
        <f>IF(A124&lt;&gt;"",MATCH('Dependency setup'!C19,INDEX('Control Sheet'!$I$46:$K$65,'Dependency (hide)'!A124,0),0),"")</f>
        <v/>
      </c>
      <c r="C124" s="157" t="str">
        <f>IF(A124&lt;&gt;"", MATCH('Dependency setup'!F19,'Data files'!$A$16:$A$35,0),"")</f>
        <v/>
      </c>
      <c r="D124" t="str">
        <f>IF(C124&lt;&gt;"",MATCH('Dependency setup'!G19,INDEX('Control Sheet'!$I$46:$K$65,'Dependency (hide)'!C124,0),0),"")</f>
        <v/>
      </c>
      <c r="E124">
        <f>IF(A124&lt;&gt;"",'Dependency setup'!D19*'Dependency setup'!E19,0)</f>
        <v>0</v>
      </c>
      <c r="F124" t="str">
        <f t="shared" si="2"/>
        <v/>
      </c>
      <c r="G124">
        <f>'Dependency setup'!H19</f>
        <v>0</v>
      </c>
      <c r="H124">
        <f>'Dependency setup'!I19</f>
        <v>0</v>
      </c>
      <c r="I124">
        <f>IF('Dependency setup'!A19=1,IF(AND(ISNA(A124)=FALSE,ISNA(B124)=FALSE,ISNA(C124)=FALSE,ISNA(D124)=FALSE),IF(AND(A124=C124,B124=D124),0,1),0),0)</f>
        <v>0</v>
      </c>
      <c r="K124" t="str">
        <f t="shared" si="3"/>
        <v/>
      </c>
      <c r="L124" t="str">
        <f t="shared" si="4"/>
        <v/>
      </c>
      <c r="N124" t="str">
        <f>IF('Dependency setup'!B19&lt;&gt;"",MATCH('Dependency setup'!B19,'Data files'!$A$16:$A$35,0),"")</f>
        <v/>
      </c>
      <c r="O124" t="str">
        <f>IF('Dependency setup'!F19&lt;&gt;"",MATCH('Dependency setup'!F19,'Data files'!$A$16:$A$35,0),"")</f>
        <v/>
      </c>
      <c r="P124" t="str">
        <f t="shared" si="5"/>
        <v/>
      </c>
      <c r="Q124" t="str">
        <f t="shared" si="6"/>
        <v/>
      </c>
      <c r="R124" t="str">
        <f t="shared" si="7"/>
        <v/>
      </c>
      <c r="S124" s="103" t="str">
        <f t="shared" ca="1" si="8"/>
        <v/>
      </c>
      <c r="T124" s="65"/>
      <c r="U124" s="65"/>
      <c r="V124" s="65"/>
      <c r="X124">
        <v>0</v>
      </c>
      <c r="Z124">
        <v>0</v>
      </c>
      <c r="AA124">
        <v>0</v>
      </c>
      <c r="AB124">
        <v>0</v>
      </c>
    </row>
    <row r="125" spans="1:28" x14ac:dyDescent="0.25">
      <c r="A125" s="157" t="str">
        <f>IF(AND('Dependency setup'!B20&lt;&gt;"",'Dependency setup'!A20=1), MATCH('Dependency setup'!B20,'Data files'!$A$16:$A$35,0),"")</f>
        <v/>
      </c>
      <c r="B125" t="str">
        <f>IF(A125&lt;&gt;"",MATCH('Dependency setup'!C20,INDEX('Control Sheet'!$I$46:$K$65,'Dependency (hide)'!A125,0),0),"")</f>
        <v/>
      </c>
      <c r="C125" s="157" t="str">
        <f>IF(A125&lt;&gt;"", MATCH('Dependency setup'!F20,'Data files'!$A$16:$A$35,0),"")</f>
        <v/>
      </c>
      <c r="D125" t="str">
        <f>IF(C125&lt;&gt;"",MATCH('Dependency setup'!G20,INDEX('Control Sheet'!$I$46:$K$65,'Dependency (hide)'!C125,0),0),"")</f>
        <v/>
      </c>
      <c r="E125">
        <f>IF(A125&lt;&gt;"",'Dependency setup'!D20*'Dependency setup'!E20,0)</f>
        <v>0</v>
      </c>
      <c r="F125" t="str">
        <f t="shared" si="2"/>
        <v/>
      </c>
      <c r="G125">
        <f>'Dependency setup'!H20</f>
        <v>0</v>
      </c>
      <c r="H125">
        <f>'Dependency setup'!I20</f>
        <v>0</v>
      </c>
      <c r="I125">
        <f>IF('Dependency setup'!A20=1,IF(AND(ISNA(A125)=FALSE,ISNA(B125)=FALSE,ISNA(C125)=FALSE,ISNA(D125)=FALSE),IF(AND(A125=C125,B125=D125),0,1),0),0)</f>
        <v>0</v>
      </c>
      <c r="K125" t="str">
        <f t="shared" si="3"/>
        <v/>
      </c>
      <c r="L125" t="str">
        <f t="shared" si="4"/>
        <v/>
      </c>
      <c r="N125" t="str">
        <f>IF('Dependency setup'!B20&lt;&gt;"",MATCH('Dependency setup'!B20,'Data files'!$A$16:$A$35,0),"")</f>
        <v/>
      </c>
      <c r="O125" t="str">
        <f>IF('Dependency setup'!F20&lt;&gt;"",MATCH('Dependency setup'!F20,'Data files'!$A$16:$A$35,0),"")</f>
        <v/>
      </c>
      <c r="P125" t="str">
        <f t="shared" si="5"/>
        <v/>
      </c>
      <c r="Q125" t="str">
        <f t="shared" si="6"/>
        <v/>
      </c>
      <c r="R125" t="str">
        <f t="shared" si="7"/>
        <v/>
      </c>
      <c r="S125" s="103" t="str">
        <f t="shared" ca="1" si="8"/>
        <v/>
      </c>
      <c r="T125" s="65"/>
      <c r="U125" s="65"/>
      <c r="V125" s="65"/>
      <c r="X125">
        <v>0</v>
      </c>
      <c r="Z125">
        <v>0</v>
      </c>
      <c r="AA125">
        <v>0</v>
      </c>
      <c r="AB125">
        <v>0</v>
      </c>
    </row>
    <row r="126" spans="1:28" x14ac:dyDescent="0.25">
      <c r="A126" s="157" t="str">
        <f>IF(AND('Dependency setup'!B21&lt;&gt;"",'Dependency setup'!A21=1), MATCH('Dependency setup'!B21,'Data files'!$A$16:$A$35,0),"")</f>
        <v/>
      </c>
      <c r="B126" t="str">
        <f>IF(A126&lt;&gt;"",MATCH('Dependency setup'!C21,INDEX('Control Sheet'!$I$46:$K$65,'Dependency (hide)'!A126,0),0),"")</f>
        <v/>
      </c>
      <c r="C126" s="157" t="str">
        <f>IF(A126&lt;&gt;"", MATCH('Dependency setup'!F21,'Data files'!$A$16:$A$35,0),"")</f>
        <v/>
      </c>
      <c r="D126" t="str">
        <f>IF(C126&lt;&gt;"",MATCH('Dependency setup'!G21,INDEX('Control Sheet'!$I$46:$K$65,'Dependency (hide)'!C126,0),0),"")</f>
        <v/>
      </c>
      <c r="E126">
        <f>IF(A126&lt;&gt;"",'Dependency setup'!D21*'Dependency setup'!E21,0)</f>
        <v>0</v>
      </c>
      <c r="F126" t="str">
        <f t="shared" si="2"/>
        <v/>
      </c>
      <c r="G126">
        <f>'Dependency setup'!H21</f>
        <v>0</v>
      </c>
      <c r="H126">
        <f>'Dependency setup'!I21</f>
        <v>0</v>
      </c>
      <c r="I126">
        <f>IF('Dependency setup'!A21=1,IF(AND(ISNA(A126)=FALSE,ISNA(B126)=FALSE,ISNA(C126)=FALSE,ISNA(D126)=FALSE),IF(AND(A126=C126,B126=D126),0,1),0),0)</f>
        <v>0</v>
      </c>
      <c r="K126" t="str">
        <f t="shared" si="3"/>
        <v/>
      </c>
      <c r="L126" t="str">
        <f t="shared" si="4"/>
        <v/>
      </c>
      <c r="N126" t="str">
        <f>IF('Dependency setup'!B21&lt;&gt;"",MATCH('Dependency setup'!B21,'Data files'!$A$16:$A$35,0),"")</f>
        <v/>
      </c>
      <c r="O126" t="str">
        <f>IF('Dependency setup'!F21&lt;&gt;"",MATCH('Dependency setup'!F21,'Data files'!$A$16:$A$35,0),"")</f>
        <v/>
      </c>
      <c r="P126" t="str">
        <f t="shared" si="5"/>
        <v/>
      </c>
      <c r="Q126" t="str">
        <f t="shared" si="6"/>
        <v/>
      </c>
      <c r="R126" t="str">
        <f t="shared" si="7"/>
        <v/>
      </c>
      <c r="S126" s="103" t="str">
        <f t="shared" ca="1" si="8"/>
        <v/>
      </c>
      <c r="T126" s="65"/>
      <c r="U126" s="65"/>
      <c r="V126" s="65"/>
      <c r="X126">
        <v>0</v>
      </c>
      <c r="Z126">
        <v>0</v>
      </c>
      <c r="AA126">
        <v>0</v>
      </c>
      <c r="AB126">
        <v>0</v>
      </c>
    </row>
    <row r="127" spans="1:28" x14ac:dyDescent="0.25">
      <c r="A127" s="157" t="str">
        <f>IF(AND('Dependency setup'!B22&lt;&gt;"",'Dependency setup'!A22=1), MATCH('Dependency setup'!B22,'Data files'!$A$16:$A$35,0),"")</f>
        <v/>
      </c>
      <c r="B127" t="str">
        <f>IF(A127&lt;&gt;"",MATCH('Dependency setup'!C22,INDEX('Control Sheet'!$I$46:$K$65,'Dependency (hide)'!A127,0),0),"")</f>
        <v/>
      </c>
      <c r="C127" s="157" t="str">
        <f>IF(A127&lt;&gt;"", MATCH('Dependency setup'!F22,'Data files'!$A$16:$A$35,0),"")</f>
        <v/>
      </c>
      <c r="D127" t="str">
        <f>IF(C127&lt;&gt;"",MATCH('Dependency setup'!G22,INDEX('Control Sheet'!$I$46:$K$65,'Dependency (hide)'!C127,0),0),"")</f>
        <v/>
      </c>
      <c r="E127">
        <f>IF(A127&lt;&gt;"",'Dependency setup'!D22*'Dependency setup'!E22,0)</f>
        <v>0</v>
      </c>
      <c r="F127" t="str">
        <f t="shared" si="2"/>
        <v/>
      </c>
      <c r="G127">
        <f>'Dependency setup'!H22</f>
        <v>0</v>
      </c>
      <c r="H127">
        <f>'Dependency setup'!I22</f>
        <v>0</v>
      </c>
      <c r="I127">
        <f>IF('Dependency setup'!A22=1,IF(AND(ISNA(A127)=FALSE,ISNA(B127)=FALSE,ISNA(C127)=FALSE,ISNA(D127)=FALSE),IF(AND(A127=C127,B127=D127),0,1),0),0)</f>
        <v>0</v>
      </c>
      <c r="K127" t="str">
        <f t="shared" si="3"/>
        <v/>
      </c>
      <c r="L127" t="str">
        <f t="shared" si="4"/>
        <v/>
      </c>
      <c r="N127" t="str">
        <f>IF('Dependency setup'!B22&lt;&gt;"",MATCH('Dependency setup'!B22,'Data files'!$A$16:$A$35,0),"")</f>
        <v/>
      </c>
      <c r="O127" t="str">
        <f>IF('Dependency setup'!F22&lt;&gt;"",MATCH('Dependency setup'!F22,'Data files'!$A$16:$A$35,0),"")</f>
        <v/>
      </c>
      <c r="P127" t="str">
        <f t="shared" si="5"/>
        <v/>
      </c>
      <c r="Q127" t="str">
        <f t="shared" si="6"/>
        <v/>
      </c>
      <c r="R127" t="str">
        <f t="shared" si="7"/>
        <v/>
      </c>
      <c r="S127" s="103" t="str">
        <f t="shared" ca="1" si="8"/>
        <v/>
      </c>
      <c r="T127" s="65"/>
      <c r="U127" s="65"/>
      <c r="V127" s="65"/>
      <c r="X127">
        <v>0</v>
      </c>
      <c r="Z127">
        <v>0</v>
      </c>
      <c r="AA127">
        <v>0</v>
      </c>
      <c r="AB127">
        <v>0</v>
      </c>
    </row>
    <row r="128" spans="1:28" x14ac:dyDescent="0.25">
      <c r="A128" s="157" t="str">
        <f>IF(AND('Dependency setup'!B23&lt;&gt;"",'Dependency setup'!A23=1), MATCH('Dependency setup'!B23,'Data files'!$A$16:$A$35,0),"")</f>
        <v/>
      </c>
      <c r="B128" t="str">
        <f>IF(A128&lt;&gt;"",MATCH('Dependency setup'!C23,INDEX('Control Sheet'!$I$46:$K$65,'Dependency (hide)'!A128,0),0),"")</f>
        <v/>
      </c>
      <c r="C128" s="157" t="str">
        <f>IF(A128&lt;&gt;"", MATCH('Dependency setup'!F23,'Data files'!$A$16:$A$35,0),"")</f>
        <v/>
      </c>
      <c r="D128" t="str">
        <f>IF(C128&lt;&gt;"",MATCH('Dependency setup'!G23,INDEX('Control Sheet'!$I$46:$K$65,'Dependency (hide)'!C128,0),0),"")</f>
        <v/>
      </c>
      <c r="E128">
        <f>IF(A128&lt;&gt;"",'Dependency setup'!D23*'Dependency setup'!E23,0)</f>
        <v>0</v>
      </c>
      <c r="F128" t="str">
        <f t="shared" si="2"/>
        <v/>
      </c>
      <c r="G128">
        <f>'Dependency setup'!H23</f>
        <v>0</v>
      </c>
      <c r="H128">
        <f>'Dependency setup'!I23</f>
        <v>0</v>
      </c>
      <c r="I128">
        <f>IF('Dependency setup'!A23=1,IF(AND(ISNA(A128)=FALSE,ISNA(B128)=FALSE,ISNA(C128)=FALSE,ISNA(D128)=FALSE),IF(AND(A128=C128,B128=D128),0,1),0),0)</f>
        <v>0</v>
      </c>
      <c r="K128" t="str">
        <f t="shared" si="3"/>
        <v/>
      </c>
      <c r="L128" t="str">
        <f t="shared" si="4"/>
        <v/>
      </c>
      <c r="N128" t="str">
        <f>IF('Dependency setup'!B23&lt;&gt;"",MATCH('Dependency setup'!B23,'Data files'!$A$16:$A$35,0),"")</f>
        <v/>
      </c>
      <c r="O128" t="str">
        <f>IF('Dependency setup'!F23&lt;&gt;"",MATCH('Dependency setup'!F23,'Data files'!$A$16:$A$35,0),"")</f>
        <v/>
      </c>
      <c r="P128" t="str">
        <f t="shared" si="5"/>
        <v/>
      </c>
      <c r="Q128" t="str">
        <f t="shared" si="6"/>
        <v/>
      </c>
      <c r="R128" t="str">
        <f t="shared" si="7"/>
        <v/>
      </c>
      <c r="S128" s="103" t="str">
        <f t="shared" ca="1" si="8"/>
        <v/>
      </c>
      <c r="T128" s="65"/>
      <c r="U128" s="65"/>
      <c r="V128" s="65"/>
      <c r="X128">
        <v>0</v>
      </c>
      <c r="Z128">
        <v>0</v>
      </c>
      <c r="AA128">
        <v>0</v>
      </c>
      <c r="AB128">
        <v>0</v>
      </c>
    </row>
    <row r="129" spans="1:28" x14ac:dyDescent="0.25">
      <c r="A129" s="157" t="str">
        <f>IF(AND('Dependency setup'!B24&lt;&gt;"",'Dependency setup'!A24=1), MATCH('Dependency setup'!B24,'Data files'!$A$16:$A$35,0),"")</f>
        <v/>
      </c>
      <c r="B129" t="str">
        <f>IF(A129&lt;&gt;"",MATCH('Dependency setup'!C24,INDEX('Control Sheet'!$I$46:$K$65,'Dependency (hide)'!A129,0),0),"")</f>
        <v/>
      </c>
      <c r="C129" s="157" t="str">
        <f>IF(A129&lt;&gt;"", MATCH('Dependency setup'!F24,'Data files'!$A$16:$A$35,0),"")</f>
        <v/>
      </c>
      <c r="D129" t="str">
        <f>IF(C129&lt;&gt;"",MATCH('Dependency setup'!G24,INDEX('Control Sheet'!$I$46:$K$65,'Dependency (hide)'!C129,0),0),"")</f>
        <v/>
      </c>
      <c r="E129">
        <f>IF(A129&lt;&gt;"",'Dependency setup'!D24*'Dependency setup'!E24,0)</f>
        <v>0</v>
      </c>
      <c r="F129" t="str">
        <f t="shared" si="2"/>
        <v/>
      </c>
      <c r="G129">
        <f>'Dependency setup'!H24</f>
        <v>0</v>
      </c>
      <c r="H129">
        <f>'Dependency setup'!I24</f>
        <v>0</v>
      </c>
      <c r="I129">
        <f>IF('Dependency setup'!A24=1,IF(AND(ISNA(A129)=FALSE,ISNA(B129)=FALSE,ISNA(C129)=FALSE,ISNA(D129)=FALSE),IF(AND(A129=C129,B129=D129),0,1),0),0)</f>
        <v>0</v>
      </c>
      <c r="K129" t="str">
        <f t="shared" si="3"/>
        <v/>
      </c>
      <c r="L129" t="str">
        <f t="shared" si="4"/>
        <v/>
      </c>
      <c r="N129" t="str">
        <f>IF('Dependency setup'!B24&lt;&gt;"",MATCH('Dependency setup'!B24,'Data files'!$A$16:$A$35,0),"")</f>
        <v/>
      </c>
      <c r="O129" t="str">
        <f>IF('Dependency setup'!F24&lt;&gt;"",MATCH('Dependency setup'!F24,'Data files'!$A$16:$A$35,0),"")</f>
        <v/>
      </c>
      <c r="P129" t="str">
        <f t="shared" si="5"/>
        <v/>
      </c>
      <c r="Q129" t="str">
        <f t="shared" si="6"/>
        <v/>
      </c>
      <c r="R129" t="str">
        <f t="shared" si="7"/>
        <v/>
      </c>
      <c r="S129" s="103" t="str">
        <f t="shared" ca="1" si="8"/>
        <v/>
      </c>
      <c r="T129" s="65"/>
      <c r="U129" s="65"/>
      <c r="V129" s="65"/>
      <c r="X129">
        <v>0</v>
      </c>
      <c r="Z129">
        <v>0</v>
      </c>
      <c r="AA129">
        <v>0</v>
      </c>
      <c r="AB129">
        <v>0</v>
      </c>
    </row>
    <row r="130" spans="1:28" x14ac:dyDescent="0.25">
      <c r="A130" s="157" t="str">
        <f>IF(AND('Dependency setup'!B25&lt;&gt;"",'Dependency setup'!A25=1), MATCH('Dependency setup'!B25,'Data files'!$A$16:$A$35,0),"")</f>
        <v/>
      </c>
      <c r="B130" t="str">
        <f>IF(A130&lt;&gt;"",MATCH('Dependency setup'!C25,INDEX('Control Sheet'!$I$46:$K$65,'Dependency (hide)'!A130,0),0),"")</f>
        <v/>
      </c>
      <c r="C130" s="157" t="str">
        <f>IF(A130&lt;&gt;"", MATCH('Dependency setup'!F25,'Data files'!$A$16:$A$35,0),"")</f>
        <v/>
      </c>
      <c r="D130" t="str">
        <f>IF(C130&lt;&gt;"",MATCH('Dependency setup'!G25,INDEX('Control Sheet'!$I$46:$K$65,'Dependency (hide)'!C130,0),0),"")</f>
        <v/>
      </c>
      <c r="E130">
        <f>IF(A130&lt;&gt;"",'Dependency setup'!D25*'Dependency setup'!E25,0)</f>
        <v>0</v>
      </c>
      <c r="F130" t="str">
        <f t="shared" si="2"/>
        <v/>
      </c>
      <c r="G130">
        <f>'Dependency setup'!H25</f>
        <v>0</v>
      </c>
      <c r="H130">
        <f>'Dependency setup'!I25</f>
        <v>0</v>
      </c>
      <c r="I130">
        <f>IF('Dependency setup'!A25=1,IF(AND(ISNA(A130)=FALSE,ISNA(B130)=FALSE,ISNA(C130)=FALSE,ISNA(D130)=FALSE),IF(AND(A130=C130,B130=D130),0,1),0),0)</f>
        <v>0</v>
      </c>
      <c r="K130" t="str">
        <f t="shared" si="3"/>
        <v/>
      </c>
      <c r="L130" t="str">
        <f t="shared" si="4"/>
        <v/>
      </c>
      <c r="N130" t="str">
        <f>IF('Dependency setup'!B25&lt;&gt;"",MATCH('Dependency setup'!B25,'Data files'!$A$16:$A$35,0),"")</f>
        <v/>
      </c>
      <c r="O130" t="str">
        <f>IF('Dependency setup'!F25&lt;&gt;"",MATCH('Dependency setup'!F25,'Data files'!$A$16:$A$35,0),"")</f>
        <v/>
      </c>
      <c r="P130" t="str">
        <f t="shared" si="5"/>
        <v/>
      </c>
      <c r="Q130" t="str">
        <f t="shared" si="6"/>
        <v/>
      </c>
      <c r="R130" t="str">
        <f t="shared" si="7"/>
        <v/>
      </c>
      <c r="S130" s="103" t="str">
        <f t="shared" ca="1" si="8"/>
        <v/>
      </c>
      <c r="T130" s="65"/>
      <c r="U130" s="65"/>
      <c r="V130" s="65"/>
      <c r="X130">
        <v>0</v>
      </c>
      <c r="Z130">
        <v>0</v>
      </c>
      <c r="AA130">
        <v>0</v>
      </c>
      <c r="AB130">
        <v>0</v>
      </c>
    </row>
    <row r="131" spans="1:28" x14ac:dyDescent="0.25">
      <c r="A131" s="157" t="str">
        <f>IF(AND('Dependency setup'!B26&lt;&gt;"",'Dependency setup'!A26=1), MATCH('Dependency setup'!B26,'Data files'!$A$16:$A$35,0),"")</f>
        <v/>
      </c>
      <c r="B131" t="str">
        <f>IF(A131&lt;&gt;"",MATCH('Dependency setup'!C26,INDEX('Control Sheet'!$I$46:$K$65,'Dependency (hide)'!A131,0),0),"")</f>
        <v/>
      </c>
      <c r="C131" s="157" t="str">
        <f>IF(A131&lt;&gt;"", MATCH('Dependency setup'!F26,'Data files'!$A$16:$A$35,0),"")</f>
        <v/>
      </c>
      <c r="D131" t="str">
        <f>IF(C131&lt;&gt;"",MATCH('Dependency setup'!G26,INDEX('Control Sheet'!$I$46:$K$65,'Dependency (hide)'!C131,0),0),"")</f>
        <v/>
      </c>
      <c r="E131">
        <f>IF(A131&lt;&gt;"",'Dependency setup'!D26*'Dependency setup'!E26,0)</f>
        <v>0</v>
      </c>
      <c r="F131" t="str">
        <f t="shared" si="2"/>
        <v/>
      </c>
      <c r="G131">
        <f>'Dependency setup'!H26</f>
        <v>0</v>
      </c>
      <c r="H131">
        <f>'Dependency setup'!I26</f>
        <v>0</v>
      </c>
      <c r="I131">
        <f>IF('Dependency setup'!A26=1,IF(AND(ISNA(A131)=FALSE,ISNA(B131)=FALSE,ISNA(C131)=FALSE,ISNA(D131)=FALSE),IF(AND(A131=C131,B131=D131),0,1),0),0)</f>
        <v>0</v>
      </c>
      <c r="K131" t="str">
        <f t="shared" si="3"/>
        <v/>
      </c>
      <c r="L131" t="str">
        <f t="shared" si="4"/>
        <v/>
      </c>
      <c r="N131" t="str">
        <f>IF('Dependency setup'!B26&lt;&gt;"",MATCH('Dependency setup'!B26,'Data files'!$A$16:$A$35,0),"")</f>
        <v/>
      </c>
      <c r="O131" t="str">
        <f>IF('Dependency setup'!F26&lt;&gt;"",MATCH('Dependency setup'!F26,'Data files'!$A$16:$A$35,0),"")</f>
        <v/>
      </c>
      <c r="P131" t="str">
        <f t="shared" si="5"/>
        <v/>
      </c>
      <c r="Q131" t="str">
        <f t="shared" si="6"/>
        <v/>
      </c>
      <c r="R131" t="str">
        <f t="shared" si="7"/>
        <v/>
      </c>
      <c r="S131" s="103" t="str">
        <f t="shared" ca="1" si="8"/>
        <v/>
      </c>
      <c r="T131" s="65"/>
      <c r="U131" s="65"/>
      <c r="V131" s="65"/>
      <c r="X131">
        <v>0</v>
      </c>
      <c r="Z131">
        <v>0</v>
      </c>
      <c r="AA131">
        <v>0</v>
      </c>
      <c r="AB131">
        <v>0</v>
      </c>
    </row>
    <row r="132" spans="1:28" x14ac:dyDescent="0.25">
      <c r="A132" s="157" t="str">
        <f>IF(AND('Dependency setup'!B27&lt;&gt;"",'Dependency setup'!A27=1), MATCH('Dependency setup'!B27,'Data files'!$A$16:$A$35,0),"")</f>
        <v/>
      </c>
      <c r="B132" t="str">
        <f>IF(A132&lt;&gt;"",MATCH('Dependency setup'!C27,INDEX('Control Sheet'!$I$46:$K$65,'Dependency (hide)'!A132,0),0),"")</f>
        <v/>
      </c>
      <c r="C132" s="157" t="str">
        <f>IF(A132&lt;&gt;"", MATCH('Dependency setup'!F27,'Data files'!$A$16:$A$35,0),"")</f>
        <v/>
      </c>
      <c r="D132" t="str">
        <f>IF(C132&lt;&gt;"",MATCH('Dependency setup'!G27,INDEX('Control Sheet'!$I$46:$K$65,'Dependency (hide)'!C132,0),0),"")</f>
        <v/>
      </c>
      <c r="E132">
        <f>IF(A132&lt;&gt;"",'Dependency setup'!D27*'Dependency setup'!E27,0)</f>
        <v>0</v>
      </c>
      <c r="F132" t="str">
        <f t="shared" si="2"/>
        <v/>
      </c>
      <c r="G132">
        <f>'Dependency setup'!H27</f>
        <v>0</v>
      </c>
      <c r="H132">
        <f>'Dependency setup'!I27</f>
        <v>0</v>
      </c>
      <c r="I132">
        <f>IF('Dependency setup'!A27=1,IF(AND(ISNA(A132)=FALSE,ISNA(B132)=FALSE,ISNA(C132)=FALSE,ISNA(D132)=FALSE),IF(AND(A132=C132,B132=D132),0,1),0),0)</f>
        <v>0</v>
      </c>
      <c r="K132" t="str">
        <f t="shared" si="3"/>
        <v/>
      </c>
      <c r="L132" t="str">
        <f t="shared" si="4"/>
        <v/>
      </c>
      <c r="N132" t="str">
        <f>IF('Dependency setup'!B27&lt;&gt;"",MATCH('Dependency setup'!B27,'Data files'!$A$16:$A$35,0),"")</f>
        <v/>
      </c>
      <c r="O132" t="str">
        <f>IF('Dependency setup'!F27&lt;&gt;"",MATCH('Dependency setup'!F27,'Data files'!$A$16:$A$35,0),"")</f>
        <v/>
      </c>
      <c r="P132" t="str">
        <f t="shared" si="5"/>
        <v/>
      </c>
      <c r="Q132" t="str">
        <f t="shared" si="6"/>
        <v/>
      </c>
      <c r="R132" t="str">
        <f t="shared" si="7"/>
        <v/>
      </c>
      <c r="S132" s="103" t="str">
        <f t="shared" ca="1" si="8"/>
        <v/>
      </c>
      <c r="T132" s="65"/>
      <c r="U132" s="65"/>
      <c r="V132" s="65"/>
      <c r="X132">
        <v>0</v>
      </c>
      <c r="Z132">
        <v>0</v>
      </c>
      <c r="AA132">
        <v>0</v>
      </c>
      <c r="AB132">
        <v>0</v>
      </c>
    </row>
    <row r="133" spans="1:28" x14ac:dyDescent="0.25">
      <c r="A133" s="157" t="str">
        <f>IF(AND('Dependency setup'!B28&lt;&gt;"",'Dependency setup'!A28=1), MATCH('Dependency setup'!B28,'Data files'!$A$16:$A$35,0),"")</f>
        <v/>
      </c>
      <c r="B133" t="str">
        <f>IF(A133&lt;&gt;"",MATCH('Dependency setup'!C28,INDEX('Control Sheet'!$I$46:$K$65,'Dependency (hide)'!A133,0),0),"")</f>
        <v/>
      </c>
      <c r="C133" s="157" t="str">
        <f>IF(A133&lt;&gt;"", MATCH('Dependency setup'!F28,'Data files'!$A$16:$A$35,0),"")</f>
        <v/>
      </c>
      <c r="D133" t="str">
        <f>IF(C133&lt;&gt;"",MATCH('Dependency setup'!G28,INDEX('Control Sheet'!$I$46:$K$65,'Dependency (hide)'!C133,0),0),"")</f>
        <v/>
      </c>
      <c r="E133">
        <f>IF(A133&lt;&gt;"",'Dependency setup'!D28*'Dependency setup'!E28,0)</f>
        <v>0</v>
      </c>
      <c r="F133" t="str">
        <f t="shared" si="2"/>
        <v/>
      </c>
      <c r="G133">
        <f>'Dependency setup'!H28</f>
        <v>0</v>
      </c>
      <c r="H133">
        <f>'Dependency setup'!I28</f>
        <v>0</v>
      </c>
      <c r="I133">
        <f>IF('Dependency setup'!A28=1,IF(AND(ISNA(A133)=FALSE,ISNA(B133)=FALSE,ISNA(C133)=FALSE,ISNA(D133)=FALSE),IF(AND(A133=C133,B133=D133),0,1),0),0)</f>
        <v>0</v>
      </c>
      <c r="K133" t="str">
        <f t="shared" si="3"/>
        <v/>
      </c>
      <c r="L133" t="str">
        <f t="shared" si="4"/>
        <v/>
      </c>
      <c r="N133" t="str">
        <f>IF('Dependency setup'!B28&lt;&gt;"",MATCH('Dependency setup'!B28,'Data files'!$A$16:$A$35,0),"")</f>
        <v/>
      </c>
      <c r="O133" t="str">
        <f>IF('Dependency setup'!F28&lt;&gt;"",MATCH('Dependency setup'!F28,'Data files'!$A$16:$A$35,0),"")</f>
        <v/>
      </c>
      <c r="P133" t="str">
        <f t="shared" si="5"/>
        <v/>
      </c>
      <c r="Q133" t="str">
        <f t="shared" si="6"/>
        <v/>
      </c>
      <c r="R133" t="str">
        <f t="shared" si="7"/>
        <v/>
      </c>
      <c r="S133" s="103" t="str">
        <f t="shared" ca="1" si="8"/>
        <v/>
      </c>
      <c r="T133" s="65"/>
      <c r="U133" s="65"/>
      <c r="V133" s="65"/>
      <c r="X133">
        <v>0</v>
      </c>
      <c r="Z133">
        <v>0</v>
      </c>
      <c r="AA133">
        <v>0</v>
      </c>
      <c r="AB133">
        <v>0</v>
      </c>
    </row>
    <row r="134" spans="1:28" x14ac:dyDescent="0.25">
      <c r="A134" s="157" t="str">
        <f>IF(AND('Dependency setup'!B29&lt;&gt;"",'Dependency setup'!A29=1), MATCH('Dependency setup'!B29,'Data files'!$A$16:$A$35,0),"")</f>
        <v/>
      </c>
      <c r="B134" t="str">
        <f>IF(A134&lt;&gt;"",MATCH('Dependency setup'!C29,INDEX('Control Sheet'!$I$46:$K$65,'Dependency (hide)'!A134,0),0),"")</f>
        <v/>
      </c>
      <c r="C134" s="157" t="str">
        <f>IF(A134&lt;&gt;"", MATCH('Dependency setup'!F29,'Data files'!$A$16:$A$35,0),"")</f>
        <v/>
      </c>
      <c r="D134" t="str">
        <f>IF(C134&lt;&gt;"",MATCH('Dependency setup'!G29,INDEX('Control Sheet'!$I$46:$K$65,'Dependency (hide)'!C134,0),0),"")</f>
        <v/>
      </c>
      <c r="E134">
        <f>IF(A134&lt;&gt;"",'Dependency setup'!D29*'Dependency setup'!E29,0)</f>
        <v>0</v>
      </c>
      <c r="F134" t="str">
        <f t="shared" si="2"/>
        <v/>
      </c>
      <c r="G134">
        <f>'Dependency setup'!H29</f>
        <v>0</v>
      </c>
      <c r="H134">
        <f>'Dependency setup'!I29</f>
        <v>0</v>
      </c>
      <c r="I134">
        <f>IF('Dependency setup'!A29=1,IF(AND(ISNA(A134)=FALSE,ISNA(B134)=FALSE,ISNA(C134)=FALSE,ISNA(D134)=FALSE),IF(AND(A134=C134,B134=D134),0,1),0),0)</f>
        <v>0</v>
      </c>
      <c r="K134" t="str">
        <f t="shared" si="3"/>
        <v/>
      </c>
      <c r="L134" t="str">
        <f t="shared" si="4"/>
        <v/>
      </c>
      <c r="N134" t="str">
        <f>IF('Dependency setup'!B29&lt;&gt;"",MATCH('Dependency setup'!B29,'Data files'!$A$16:$A$35,0),"")</f>
        <v/>
      </c>
      <c r="O134" t="str">
        <f>IF('Dependency setup'!F29&lt;&gt;"",MATCH('Dependency setup'!F29,'Data files'!$A$16:$A$35,0),"")</f>
        <v/>
      </c>
      <c r="P134" t="str">
        <f t="shared" si="5"/>
        <v/>
      </c>
      <c r="Q134" t="str">
        <f t="shared" si="6"/>
        <v/>
      </c>
      <c r="R134" t="str">
        <f t="shared" si="7"/>
        <v/>
      </c>
      <c r="S134" s="103" t="str">
        <f t="shared" ca="1" si="8"/>
        <v/>
      </c>
      <c r="T134" s="65"/>
      <c r="U134" s="65"/>
      <c r="V134" s="65"/>
      <c r="X134">
        <v>0</v>
      </c>
      <c r="Z134">
        <v>0</v>
      </c>
      <c r="AA134">
        <v>0</v>
      </c>
      <c r="AB134">
        <v>0</v>
      </c>
    </row>
    <row r="135" spans="1:28" x14ac:dyDescent="0.25">
      <c r="A135" s="157" t="str">
        <f>IF(AND('Dependency setup'!B30&lt;&gt;"",'Dependency setup'!A30=1), MATCH('Dependency setup'!B30,'Data files'!$A$16:$A$35,0),"")</f>
        <v/>
      </c>
      <c r="B135" t="str">
        <f>IF(A135&lt;&gt;"",MATCH('Dependency setup'!C30,INDEX('Control Sheet'!$I$46:$K$65,'Dependency (hide)'!A135,0),0),"")</f>
        <v/>
      </c>
      <c r="C135" s="157" t="str">
        <f>IF(A135&lt;&gt;"", MATCH('Dependency setup'!F30,'Data files'!$A$16:$A$35,0),"")</f>
        <v/>
      </c>
      <c r="D135" t="str">
        <f>IF(C135&lt;&gt;"",MATCH('Dependency setup'!G30,INDEX('Control Sheet'!$I$46:$K$65,'Dependency (hide)'!C135,0),0),"")</f>
        <v/>
      </c>
      <c r="E135">
        <f>IF(A135&lt;&gt;"",'Dependency setup'!D30*'Dependency setup'!E30,0)</f>
        <v>0</v>
      </c>
      <c r="F135" t="str">
        <f t="shared" si="2"/>
        <v/>
      </c>
      <c r="G135">
        <f>'Dependency setup'!H30</f>
        <v>0</v>
      </c>
      <c r="H135">
        <f>'Dependency setup'!I30</f>
        <v>0</v>
      </c>
      <c r="I135">
        <f>IF('Dependency setup'!A30=1,IF(AND(ISNA(A135)=FALSE,ISNA(B135)=FALSE,ISNA(C135)=FALSE,ISNA(D135)=FALSE),IF(AND(A135=C135,B135=D135),0,1),0),0)</f>
        <v>0</v>
      </c>
      <c r="K135" t="str">
        <f t="shared" si="3"/>
        <v/>
      </c>
      <c r="L135" t="str">
        <f t="shared" si="4"/>
        <v/>
      </c>
      <c r="N135" t="str">
        <f>IF('Dependency setup'!B30&lt;&gt;"",MATCH('Dependency setup'!B30,'Data files'!$A$16:$A$35,0),"")</f>
        <v/>
      </c>
      <c r="O135" t="str">
        <f>IF('Dependency setup'!F30&lt;&gt;"",MATCH('Dependency setup'!F30,'Data files'!$A$16:$A$35,0),"")</f>
        <v/>
      </c>
      <c r="P135" t="str">
        <f t="shared" si="5"/>
        <v/>
      </c>
      <c r="Q135" t="str">
        <f t="shared" si="6"/>
        <v/>
      </c>
      <c r="R135" t="str">
        <f t="shared" si="7"/>
        <v/>
      </c>
      <c r="S135" s="103" t="str">
        <f t="shared" ca="1" si="8"/>
        <v/>
      </c>
      <c r="X135">
        <v>0</v>
      </c>
      <c r="Z135">
        <v>0</v>
      </c>
      <c r="AA135">
        <v>0</v>
      </c>
      <c r="AB135">
        <v>0</v>
      </c>
    </row>
    <row r="136" spans="1:28" x14ac:dyDescent="0.25">
      <c r="A136" s="157" t="str">
        <f>IF(AND('Dependency setup'!B31&lt;&gt;"",'Dependency setup'!A31=1), MATCH('Dependency setup'!B31,'Data files'!$A$16:$A$35,0),"")</f>
        <v/>
      </c>
      <c r="B136" t="str">
        <f>IF(A136&lt;&gt;"",MATCH('Dependency setup'!C31,INDEX('Control Sheet'!$I$46:$K$65,'Dependency (hide)'!A136,0),0),"")</f>
        <v/>
      </c>
      <c r="C136" s="157" t="str">
        <f>IF(A136&lt;&gt;"", MATCH('Dependency setup'!F31,'Data files'!$A$16:$A$35,0),"")</f>
        <v/>
      </c>
      <c r="D136" t="str">
        <f>IF(C136&lt;&gt;"",MATCH('Dependency setup'!G31,INDEX('Control Sheet'!$I$46:$K$65,'Dependency (hide)'!C136,0),0),"")</f>
        <v/>
      </c>
      <c r="E136">
        <f>IF(A136&lt;&gt;"",'Dependency setup'!D31*'Dependency setup'!E31,0)</f>
        <v>0</v>
      </c>
      <c r="F136" t="str">
        <f t="shared" si="2"/>
        <v/>
      </c>
      <c r="G136">
        <f>'Dependency setup'!H31</f>
        <v>0</v>
      </c>
      <c r="H136">
        <f>'Dependency setup'!I31</f>
        <v>0</v>
      </c>
      <c r="I136">
        <f>IF('Dependency setup'!A31=1,IF(AND(ISNA(A136)=FALSE,ISNA(B136)=FALSE,ISNA(C136)=FALSE,ISNA(D136)=FALSE),IF(AND(A136=C136,B136=D136),0,1),0),0)</f>
        <v>0</v>
      </c>
      <c r="K136" t="str">
        <f t="shared" si="3"/>
        <v/>
      </c>
      <c r="L136" t="str">
        <f t="shared" si="4"/>
        <v/>
      </c>
      <c r="N136" t="str">
        <f>IF('Dependency setup'!B31&lt;&gt;"",MATCH('Dependency setup'!B31,'Data files'!$A$16:$A$35,0),"")</f>
        <v/>
      </c>
      <c r="O136" t="str">
        <f>IF('Dependency setup'!F31&lt;&gt;"",MATCH('Dependency setup'!F31,'Data files'!$A$16:$A$35,0),"")</f>
        <v/>
      </c>
      <c r="P136" t="str">
        <f t="shared" si="5"/>
        <v/>
      </c>
      <c r="Q136" t="str">
        <f t="shared" si="6"/>
        <v/>
      </c>
      <c r="R136" t="str">
        <f t="shared" si="7"/>
        <v/>
      </c>
      <c r="S136" s="103" t="str">
        <f t="shared" ca="1" si="8"/>
        <v/>
      </c>
      <c r="X136">
        <v>0</v>
      </c>
      <c r="Z136">
        <v>0</v>
      </c>
      <c r="AA136">
        <v>0</v>
      </c>
      <c r="AB136">
        <v>0</v>
      </c>
    </row>
    <row r="137" spans="1:28" x14ac:dyDescent="0.25">
      <c r="A137" s="157" t="str">
        <f>IF(AND('Dependency setup'!B32&lt;&gt;"",'Dependency setup'!A32=1), MATCH('Dependency setup'!B32,'Data files'!$A$16:$A$35,0),"")</f>
        <v/>
      </c>
      <c r="B137" t="str">
        <f>IF(A137&lt;&gt;"",MATCH('Dependency setup'!C32,INDEX('Control Sheet'!$I$46:$K$65,'Dependency (hide)'!A137,0),0),"")</f>
        <v/>
      </c>
      <c r="C137" s="157" t="str">
        <f>IF(A137&lt;&gt;"", MATCH('Dependency setup'!F32,'Data files'!$A$16:$A$35,0),"")</f>
        <v/>
      </c>
      <c r="D137" t="str">
        <f>IF(C137&lt;&gt;"",MATCH('Dependency setup'!G32,INDEX('Control Sheet'!$I$46:$K$65,'Dependency (hide)'!C137,0),0),"")</f>
        <v/>
      </c>
      <c r="E137">
        <f>IF(A137&lt;&gt;"",'Dependency setup'!D32*'Dependency setup'!E32,0)</f>
        <v>0</v>
      </c>
      <c r="F137" t="str">
        <f t="shared" si="2"/>
        <v/>
      </c>
      <c r="G137">
        <f>'Dependency setup'!H32</f>
        <v>0</v>
      </c>
      <c r="H137">
        <f>'Dependency setup'!I32</f>
        <v>0</v>
      </c>
      <c r="I137">
        <f>IF('Dependency setup'!A32=1,IF(AND(ISNA(A137)=FALSE,ISNA(B137)=FALSE,ISNA(C137)=FALSE,ISNA(D137)=FALSE),IF(AND(A137=C137,B137=D137),0,1),0),0)</f>
        <v>0</v>
      </c>
      <c r="K137" t="str">
        <f t="shared" si="3"/>
        <v/>
      </c>
      <c r="L137" t="str">
        <f t="shared" si="4"/>
        <v/>
      </c>
      <c r="N137" t="str">
        <f>IF('Dependency setup'!B32&lt;&gt;"",MATCH('Dependency setup'!B32,'Data files'!$A$16:$A$35,0),"")</f>
        <v/>
      </c>
      <c r="O137" t="str">
        <f>IF('Dependency setup'!F32&lt;&gt;"",MATCH('Dependency setup'!F32,'Data files'!$A$16:$A$35,0),"")</f>
        <v/>
      </c>
      <c r="P137" t="str">
        <f t="shared" si="5"/>
        <v/>
      </c>
      <c r="Q137" t="str">
        <f t="shared" si="6"/>
        <v/>
      </c>
      <c r="R137" t="str">
        <f t="shared" si="7"/>
        <v/>
      </c>
      <c r="S137" s="103" t="str">
        <f t="shared" ca="1" si="8"/>
        <v/>
      </c>
      <c r="X137">
        <v>0</v>
      </c>
      <c r="Z137">
        <v>0</v>
      </c>
      <c r="AA137">
        <v>0</v>
      </c>
      <c r="AB137">
        <v>0</v>
      </c>
    </row>
    <row r="138" spans="1:28" x14ac:dyDescent="0.25">
      <c r="A138" s="157" t="str">
        <f>IF(AND('Dependency setup'!B33&lt;&gt;"",'Dependency setup'!A33=1), MATCH('Dependency setup'!B33,'Data files'!$A$16:$A$35,0),"")</f>
        <v/>
      </c>
      <c r="B138" t="str">
        <f>IF(A138&lt;&gt;"",MATCH('Dependency setup'!C33,INDEX('Control Sheet'!$I$46:$K$65,'Dependency (hide)'!A138,0),0),"")</f>
        <v/>
      </c>
      <c r="C138" s="157" t="str">
        <f>IF(A138&lt;&gt;"", MATCH('Dependency setup'!F33,'Data files'!$A$16:$A$35,0),"")</f>
        <v/>
      </c>
      <c r="D138" t="str">
        <f>IF(C138&lt;&gt;"",MATCH('Dependency setup'!G33,INDEX('Control Sheet'!$I$46:$K$65,'Dependency (hide)'!C138,0),0),"")</f>
        <v/>
      </c>
      <c r="E138">
        <f>IF(A138&lt;&gt;"",'Dependency setup'!D33*'Dependency setup'!E33,0)</f>
        <v>0</v>
      </c>
      <c r="F138" t="str">
        <f t="shared" si="2"/>
        <v/>
      </c>
      <c r="G138">
        <f>'Dependency setup'!H33</f>
        <v>0</v>
      </c>
      <c r="H138">
        <f>'Dependency setup'!I33</f>
        <v>0</v>
      </c>
      <c r="I138">
        <f>IF('Dependency setup'!A33=1,IF(AND(ISNA(A138)=FALSE,ISNA(B138)=FALSE,ISNA(C138)=FALSE,ISNA(D138)=FALSE),IF(AND(A138=C138,B138=D138),0,1),0),0)</f>
        <v>0</v>
      </c>
      <c r="K138" t="str">
        <f t="shared" si="3"/>
        <v/>
      </c>
      <c r="L138" t="str">
        <f t="shared" si="4"/>
        <v/>
      </c>
      <c r="N138" t="str">
        <f>IF('Dependency setup'!B33&lt;&gt;"",MATCH('Dependency setup'!B33,'Data files'!$A$16:$A$35,0),"")</f>
        <v/>
      </c>
      <c r="O138" t="str">
        <f>IF('Dependency setup'!F33&lt;&gt;"",MATCH('Dependency setup'!F33,'Data files'!$A$16:$A$35,0),"")</f>
        <v/>
      </c>
      <c r="P138" t="str">
        <f t="shared" si="5"/>
        <v/>
      </c>
      <c r="Q138" t="str">
        <f t="shared" si="6"/>
        <v/>
      </c>
      <c r="R138" t="str">
        <f t="shared" si="7"/>
        <v/>
      </c>
      <c r="S138" s="103" t="str">
        <f t="shared" ca="1" si="8"/>
        <v/>
      </c>
      <c r="X138">
        <v>0</v>
      </c>
      <c r="Z138">
        <v>0</v>
      </c>
      <c r="AA138">
        <v>0</v>
      </c>
      <c r="AB138">
        <v>0</v>
      </c>
    </row>
    <row r="139" spans="1:28" x14ac:dyDescent="0.25">
      <c r="A139" s="157" t="str">
        <f>IF(AND('Dependency setup'!B34&lt;&gt;"",'Dependency setup'!A34=1), MATCH('Dependency setup'!B34,'Data files'!$A$16:$A$35,0),"")</f>
        <v/>
      </c>
      <c r="B139" t="str">
        <f>IF(A139&lt;&gt;"",MATCH('Dependency setup'!C34,INDEX('Control Sheet'!$I$46:$K$65,'Dependency (hide)'!A139,0),0),"")</f>
        <v/>
      </c>
      <c r="C139" s="157" t="str">
        <f>IF(A139&lt;&gt;"", MATCH('Dependency setup'!F34,'Data files'!$A$16:$A$35,0),"")</f>
        <v/>
      </c>
      <c r="D139" t="str">
        <f>IF(C139&lt;&gt;"",MATCH('Dependency setup'!G34,INDEX('Control Sheet'!$I$46:$K$65,'Dependency (hide)'!C139,0),0),"")</f>
        <v/>
      </c>
      <c r="E139">
        <f>IF(A139&lt;&gt;"",'Dependency setup'!D34*'Dependency setup'!E34,0)</f>
        <v>0</v>
      </c>
      <c r="F139" t="str">
        <f t="shared" si="2"/>
        <v/>
      </c>
      <c r="G139">
        <f>'Dependency setup'!H34</f>
        <v>0</v>
      </c>
      <c r="H139">
        <f>'Dependency setup'!I34</f>
        <v>0</v>
      </c>
      <c r="I139">
        <f>IF('Dependency setup'!A34=1,IF(AND(ISNA(A139)=FALSE,ISNA(B139)=FALSE,ISNA(C139)=FALSE,ISNA(D139)=FALSE),IF(AND(A139=C139,B139=D139),0,1),0),0)</f>
        <v>0</v>
      </c>
      <c r="K139" t="str">
        <f t="shared" si="3"/>
        <v/>
      </c>
      <c r="L139" t="str">
        <f t="shared" si="4"/>
        <v/>
      </c>
      <c r="N139" t="str">
        <f>IF('Dependency setup'!B34&lt;&gt;"",MATCH('Dependency setup'!B34,'Data files'!$A$16:$A$35,0),"")</f>
        <v/>
      </c>
      <c r="O139" t="str">
        <f>IF('Dependency setup'!F34&lt;&gt;"",MATCH('Dependency setup'!F34,'Data files'!$A$16:$A$35,0),"")</f>
        <v/>
      </c>
      <c r="P139" t="str">
        <f t="shared" si="5"/>
        <v/>
      </c>
      <c r="Q139" t="str">
        <f t="shared" si="6"/>
        <v/>
      </c>
      <c r="R139" t="str">
        <f t="shared" si="7"/>
        <v/>
      </c>
      <c r="S139" s="103" t="str">
        <f t="shared" ca="1" si="8"/>
        <v/>
      </c>
      <c r="X139">
        <v>0</v>
      </c>
      <c r="Z139">
        <v>0</v>
      </c>
      <c r="AA139">
        <v>0</v>
      </c>
      <c r="AB139">
        <v>0</v>
      </c>
    </row>
    <row r="140" spans="1:28" x14ac:dyDescent="0.25">
      <c r="A140" s="157" t="str">
        <f>IF(AND('Dependency setup'!B35&lt;&gt;"",'Dependency setup'!A35=1), MATCH('Dependency setup'!B35,'Data files'!$A$16:$A$35,0),"")</f>
        <v/>
      </c>
      <c r="B140" t="str">
        <f>IF(A140&lt;&gt;"",MATCH('Dependency setup'!C35,INDEX('Control Sheet'!$I$46:$K$65,'Dependency (hide)'!A140,0),0),"")</f>
        <v/>
      </c>
      <c r="C140" s="157" t="str">
        <f>IF(A140&lt;&gt;"", MATCH('Dependency setup'!F35,'Data files'!$A$16:$A$35,0),"")</f>
        <v/>
      </c>
      <c r="D140" t="str">
        <f>IF(C140&lt;&gt;"",MATCH('Dependency setup'!G35,INDEX('Control Sheet'!$I$46:$K$65,'Dependency (hide)'!C140,0),0),"")</f>
        <v/>
      </c>
      <c r="E140">
        <f>IF(A140&lt;&gt;"",'Dependency setup'!D35*'Dependency setup'!E35,0)</f>
        <v>0</v>
      </c>
      <c r="F140" t="str">
        <f t="shared" si="2"/>
        <v/>
      </c>
      <c r="G140">
        <f>'Dependency setup'!H35</f>
        <v>0</v>
      </c>
      <c r="H140">
        <f>'Dependency setup'!I35</f>
        <v>0</v>
      </c>
      <c r="I140">
        <f>IF('Dependency setup'!A35=1,IF(AND(ISNA(A140)=FALSE,ISNA(B140)=FALSE,ISNA(C140)=FALSE,ISNA(D140)=FALSE),IF(AND(A140=C140,B140=D140),0,1),0),0)</f>
        <v>0</v>
      </c>
      <c r="K140" t="str">
        <f t="shared" si="3"/>
        <v/>
      </c>
      <c r="L140" t="str">
        <f t="shared" si="4"/>
        <v/>
      </c>
      <c r="N140" t="str">
        <f>IF('Dependency setup'!B35&lt;&gt;"",MATCH('Dependency setup'!B35,'Data files'!$A$16:$A$35,0),"")</f>
        <v/>
      </c>
      <c r="O140" t="str">
        <f>IF('Dependency setup'!F35&lt;&gt;"",MATCH('Dependency setup'!F35,'Data files'!$A$16:$A$35,0),"")</f>
        <v/>
      </c>
      <c r="P140" t="str">
        <f t="shared" si="5"/>
        <v/>
      </c>
      <c r="Q140" t="str">
        <f t="shared" si="6"/>
        <v/>
      </c>
      <c r="R140" t="str">
        <f t="shared" si="7"/>
        <v/>
      </c>
      <c r="S140" s="103" t="str">
        <f t="shared" ca="1" si="8"/>
        <v/>
      </c>
      <c r="X140">
        <v>0</v>
      </c>
      <c r="Z140">
        <v>0</v>
      </c>
      <c r="AA140">
        <v>0</v>
      </c>
      <c r="AB140">
        <v>0</v>
      </c>
    </row>
    <row r="141" spans="1:28" x14ac:dyDescent="0.25">
      <c r="A141" s="157" t="str">
        <f>IF(AND('Dependency setup'!B36&lt;&gt;"",'Dependency setup'!A36=1), MATCH('Dependency setup'!B36,'Data files'!$A$16:$A$35,0),"")</f>
        <v/>
      </c>
      <c r="B141" t="str">
        <f>IF(A141&lt;&gt;"",MATCH('Dependency setup'!C36,INDEX('Control Sheet'!$I$46:$K$65,'Dependency (hide)'!A141,0),0),"")</f>
        <v/>
      </c>
      <c r="C141" s="157" t="str">
        <f>IF(A141&lt;&gt;"", MATCH('Dependency setup'!F36,'Data files'!$A$16:$A$35,0),"")</f>
        <v/>
      </c>
      <c r="D141" t="str">
        <f>IF(C141&lt;&gt;"",MATCH('Dependency setup'!G36,INDEX('Control Sheet'!$I$46:$K$65,'Dependency (hide)'!C141,0),0),"")</f>
        <v/>
      </c>
      <c r="E141">
        <f>IF(A141&lt;&gt;"",'Dependency setup'!D36*'Dependency setup'!E36,0)</f>
        <v>0</v>
      </c>
      <c r="F141" t="str">
        <f t="shared" si="2"/>
        <v/>
      </c>
      <c r="G141">
        <f>'Dependency setup'!H36</f>
        <v>0</v>
      </c>
      <c r="H141">
        <f>'Dependency setup'!I36</f>
        <v>0</v>
      </c>
      <c r="I141">
        <f>IF('Dependency setup'!A36=1,IF(AND(ISNA(A141)=FALSE,ISNA(B141)=FALSE,ISNA(C141)=FALSE,ISNA(D141)=FALSE),IF(AND(A141=C141,B141=D141),0,1),0),0)</f>
        <v>0</v>
      </c>
      <c r="K141" t="str">
        <f t="shared" si="3"/>
        <v/>
      </c>
      <c r="L141" t="str">
        <f t="shared" si="4"/>
        <v/>
      </c>
      <c r="N141" t="str">
        <f>IF('Dependency setup'!B36&lt;&gt;"",MATCH('Dependency setup'!B36,'Data files'!$A$16:$A$35,0),"")</f>
        <v/>
      </c>
      <c r="O141" t="str">
        <f>IF('Dependency setup'!F36&lt;&gt;"",MATCH('Dependency setup'!F36,'Data files'!$A$16:$A$35,0),"")</f>
        <v/>
      </c>
      <c r="P141" t="str">
        <f t="shared" si="5"/>
        <v/>
      </c>
      <c r="Q141" t="str">
        <f t="shared" si="6"/>
        <v/>
      </c>
      <c r="R141" t="str">
        <f t="shared" si="7"/>
        <v/>
      </c>
      <c r="S141" s="103" t="str">
        <f t="shared" ca="1" si="8"/>
        <v/>
      </c>
      <c r="X141">
        <v>0</v>
      </c>
      <c r="Z141">
        <v>0</v>
      </c>
      <c r="AA141">
        <v>0</v>
      </c>
      <c r="AB141">
        <v>0</v>
      </c>
    </row>
    <row r="142" spans="1:28" x14ac:dyDescent="0.25">
      <c r="A142" s="157" t="str">
        <f>IF(AND('Dependency setup'!B37&lt;&gt;"",'Dependency setup'!A37=1), MATCH('Dependency setup'!B37,'Data files'!$A$16:$A$35,0),"")</f>
        <v/>
      </c>
      <c r="B142" t="str">
        <f>IF(A142&lt;&gt;"",MATCH('Dependency setup'!C37,INDEX('Control Sheet'!$I$46:$K$65,'Dependency (hide)'!A142,0),0),"")</f>
        <v/>
      </c>
      <c r="C142" s="157" t="str">
        <f>IF(A142&lt;&gt;"", MATCH('Dependency setup'!F37,'Data files'!$A$16:$A$35,0),"")</f>
        <v/>
      </c>
      <c r="D142" t="str">
        <f>IF(C142&lt;&gt;"",MATCH('Dependency setup'!G37,INDEX('Control Sheet'!$I$46:$K$65,'Dependency (hide)'!C142,0),0),"")</f>
        <v/>
      </c>
      <c r="E142">
        <f>IF(A142&lt;&gt;"",'Dependency setup'!D37*'Dependency setup'!E37,0)</f>
        <v>0</v>
      </c>
      <c r="F142" t="str">
        <f t="shared" si="2"/>
        <v/>
      </c>
      <c r="G142">
        <f>'Dependency setup'!H37</f>
        <v>0</v>
      </c>
      <c r="H142">
        <f>'Dependency setup'!I37</f>
        <v>0</v>
      </c>
      <c r="I142">
        <f>IF('Dependency setup'!A37=1,IF(AND(ISNA(A142)=FALSE,ISNA(B142)=FALSE,ISNA(C142)=FALSE,ISNA(D142)=FALSE),IF(AND(A142=C142,B142=D142),0,1),0),0)</f>
        <v>0</v>
      </c>
      <c r="K142" t="str">
        <f t="shared" si="3"/>
        <v/>
      </c>
      <c r="L142" t="str">
        <f t="shared" si="4"/>
        <v/>
      </c>
      <c r="N142" t="str">
        <f>IF('Dependency setup'!B37&lt;&gt;"",MATCH('Dependency setup'!B37,'Data files'!$A$16:$A$35,0),"")</f>
        <v/>
      </c>
      <c r="O142" t="str">
        <f>IF('Dependency setup'!F37&lt;&gt;"",MATCH('Dependency setup'!F37,'Data files'!$A$16:$A$35,0),"")</f>
        <v/>
      </c>
      <c r="P142" t="str">
        <f t="shared" si="5"/>
        <v/>
      </c>
      <c r="Q142" t="str">
        <f t="shared" si="6"/>
        <v/>
      </c>
      <c r="R142" t="str">
        <f t="shared" si="7"/>
        <v/>
      </c>
      <c r="S142" s="103" t="str">
        <f t="shared" ca="1" si="8"/>
        <v/>
      </c>
      <c r="X142">
        <v>0</v>
      </c>
      <c r="Z142">
        <v>0</v>
      </c>
      <c r="AA142">
        <v>0</v>
      </c>
      <c r="AB142">
        <v>0</v>
      </c>
    </row>
    <row r="143" spans="1:28" x14ac:dyDescent="0.25">
      <c r="A143" s="157" t="str">
        <f>IF(AND('Dependency setup'!B38&lt;&gt;"",'Dependency setup'!A38=1), MATCH('Dependency setup'!B38,'Data files'!$A$16:$A$35,0),"")</f>
        <v/>
      </c>
      <c r="B143" t="str">
        <f>IF(A143&lt;&gt;"",MATCH('Dependency setup'!C38,INDEX('Control Sheet'!$I$46:$K$65,'Dependency (hide)'!A143,0),0),"")</f>
        <v/>
      </c>
      <c r="C143" s="157" t="str">
        <f>IF(A143&lt;&gt;"", MATCH('Dependency setup'!F38,'Data files'!$A$16:$A$35,0),"")</f>
        <v/>
      </c>
      <c r="D143" t="str">
        <f>IF(C143&lt;&gt;"",MATCH('Dependency setup'!G38,INDEX('Control Sheet'!$I$46:$K$65,'Dependency (hide)'!C143,0),0),"")</f>
        <v/>
      </c>
      <c r="E143">
        <f>IF(A143&lt;&gt;"",'Dependency setup'!D38*'Dependency setup'!E38,0)</f>
        <v>0</v>
      </c>
      <c r="F143" t="str">
        <f t="shared" si="2"/>
        <v/>
      </c>
      <c r="G143">
        <f>'Dependency setup'!H38</f>
        <v>0</v>
      </c>
      <c r="H143">
        <f>'Dependency setup'!I38</f>
        <v>0</v>
      </c>
      <c r="I143">
        <f>IF('Dependency setup'!A38=1,IF(AND(ISNA(A143)=FALSE,ISNA(B143)=FALSE,ISNA(C143)=FALSE,ISNA(D143)=FALSE),IF(AND(A143=C143,B143=D143),0,1),0),0)</f>
        <v>0</v>
      </c>
      <c r="K143" t="str">
        <f t="shared" si="3"/>
        <v/>
      </c>
      <c r="L143" t="str">
        <f t="shared" si="4"/>
        <v/>
      </c>
      <c r="N143" t="str">
        <f>IF('Dependency setup'!B38&lt;&gt;"",MATCH('Dependency setup'!B38,'Data files'!$A$16:$A$35,0),"")</f>
        <v/>
      </c>
      <c r="O143" t="str">
        <f>IF('Dependency setup'!F38&lt;&gt;"",MATCH('Dependency setup'!F38,'Data files'!$A$16:$A$35,0),"")</f>
        <v/>
      </c>
      <c r="P143" t="str">
        <f t="shared" si="5"/>
        <v/>
      </c>
      <c r="Q143" t="str">
        <f t="shared" si="6"/>
        <v/>
      </c>
      <c r="R143" t="str">
        <f t="shared" si="7"/>
        <v/>
      </c>
      <c r="S143" s="103" t="str">
        <f t="shared" ca="1" si="8"/>
        <v/>
      </c>
      <c r="X143">
        <v>0</v>
      </c>
      <c r="Z143">
        <v>0</v>
      </c>
      <c r="AA143">
        <v>0</v>
      </c>
      <c r="AB143">
        <v>0</v>
      </c>
    </row>
    <row r="144" spans="1:28" x14ac:dyDescent="0.25">
      <c r="A144" s="157" t="str">
        <f>IF(AND('Dependency setup'!B39&lt;&gt;"",'Dependency setup'!A39=1), MATCH('Dependency setup'!B39,'Data files'!$A$16:$A$35,0),"")</f>
        <v/>
      </c>
      <c r="B144" t="str">
        <f>IF(A144&lt;&gt;"",MATCH('Dependency setup'!C39,INDEX('Control Sheet'!$I$46:$K$65,'Dependency (hide)'!A144,0),0),"")</f>
        <v/>
      </c>
      <c r="C144" s="157" t="str">
        <f>IF(A144&lt;&gt;"", MATCH('Dependency setup'!F39,'Data files'!$A$16:$A$35,0),"")</f>
        <v/>
      </c>
      <c r="D144" t="str">
        <f>IF(C144&lt;&gt;"",MATCH('Dependency setup'!G39,INDEX('Control Sheet'!$I$46:$K$65,'Dependency (hide)'!C144,0),0),"")</f>
        <v/>
      </c>
      <c r="E144">
        <f>IF(A144&lt;&gt;"",'Dependency setup'!D39*'Dependency setup'!E39,0)</f>
        <v>0</v>
      </c>
      <c r="F144" t="str">
        <f t="shared" si="2"/>
        <v/>
      </c>
      <c r="G144">
        <f>'Dependency setup'!H39</f>
        <v>0</v>
      </c>
      <c r="H144">
        <f>'Dependency setup'!I39</f>
        <v>0</v>
      </c>
      <c r="I144">
        <f>IF('Dependency setup'!A39=1,IF(AND(ISNA(A144)=FALSE,ISNA(B144)=FALSE,ISNA(C144)=FALSE,ISNA(D144)=FALSE),IF(AND(A144=C144,B144=D144),0,1),0),0)</f>
        <v>0</v>
      </c>
      <c r="K144" t="str">
        <f t="shared" si="3"/>
        <v/>
      </c>
      <c r="L144" t="str">
        <f t="shared" si="4"/>
        <v/>
      </c>
      <c r="N144" t="str">
        <f>IF('Dependency setup'!B39&lt;&gt;"",MATCH('Dependency setup'!B39,'Data files'!$A$16:$A$35,0),"")</f>
        <v/>
      </c>
      <c r="O144" t="str">
        <f>IF('Dependency setup'!F39&lt;&gt;"",MATCH('Dependency setup'!F39,'Data files'!$A$16:$A$35,0),"")</f>
        <v/>
      </c>
      <c r="P144" t="str">
        <f t="shared" si="5"/>
        <v/>
      </c>
      <c r="Q144" t="str">
        <f t="shared" si="6"/>
        <v/>
      </c>
      <c r="R144" t="str">
        <f t="shared" si="7"/>
        <v/>
      </c>
      <c r="S144" s="103" t="str">
        <f t="shared" ca="1" si="8"/>
        <v/>
      </c>
      <c r="X144">
        <v>0</v>
      </c>
      <c r="Z144">
        <v>0</v>
      </c>
      <c r="AA144">
        <v>0</v>
      </c>
      <c r="AB144">
        <v>0</v>
      </c>
    </row>
    <row r="145" spans="1:28" x14ac:dyDescent="0.25">
      <c r="A145" s="157" t="str">
        <f>IF(AND('Dependency setup'!B40&lt;&gt;"",'Dependency setup'!A40=1), MATCH('Dependency setup'!B40,'Data files'!$A$16:$A$35,0),"")</f>
        <v/>
      </c>
      <c r="B145" t="str">
        <f>IF(A145&lt;&gt;"",MATCH('Dependency setup'!C40,INDEX('Control Sheet'!$I$46:$K$65,'Dependency (hide)'!A145,0),0),"")</f>
        <v/>
      </c>
      <c r="C145" s="157" t="str">
        <f>IF(A145&lt;&gt;"", MATCH('Dependency setup'!F40,'Data files'!$A$16:$A$35,0),"")</f>
        <v/>
      </c>
      <c r="D145" t="str">
        <f>IF(C145&lt;&gt;"",MATCH('Dependency setup'!G40,INDEX('Control Sheet'!$I$46:$K$65,'Dependency (hide)'!C145,0),0),"")</f>
        <v/>
      </c>
      <c r="E145">
        <f>IF(A145&lt;&gt;"",'Dependency setup'!D40*'Dependency setup'!E40,0)</f>
        <v>0</v>
      </c>
      <c r="F145" t="str">
        <f t="shared" si="2"/>
        <v/>
      </c>
      <c r="G145">
        <f>'Dependency setup'!H40</f>
        <v>0</v>
      </c>
      <c r="H145">
        <f>'Dependency setup'!I40</f>
        <v>0</v>
      </c>
      <c r="I145">
        <f>IF('Dependency setup'!A40=1,IF(AND(ISNA(A145)=FALSE,ISNA(B145)=FALSE,ISNA(C145)=FALSE,ISNA(D145)=FALSE),IF(AND(A145=C145,B145=D145),0,1),0),0)</f>
        <v>0</v>
      </c>
      <c r="K145" t="str">
        <f t="shared" si="3"/>
        <v/>
      </c>
      <c r="L145" t="str">
        <f t="shared" si="4"/>
        <v/>
      </c>
      <c r="N145" t="str">
        <f>IF('Dependency setup'!B40&lt;&gt;"",MATCH('Dependency setup'!B40,'Data files'!$A$16:$A$35,0),"")</f>
        <v/>
      </c>
      <c r="O145" t="str">
        <f>IF('Dependency setup'!F40&lt;&gt;"",MATCH('Dependency setup'!F40,'Data files'!$A$16:$A$35,0),"")</f>
        <v/>
      </c>
      <c r="P145" t="str">
        <f t="shared" si="5"/>
        <v/>
      </c>
      <c r="Q145" t="str">
        <f t="shared" si="6"/>
        <v/>
      </c>
      <c r="R145" t="str">
        <f t="shared" si="7"/>
        <v/>
      </c>
      <c r="S145" s="103" t="str">
        <f t="shared" ca="1" si="8"/>
        <v/>
      </c>
      <c r="X145">
        <v>0</v>
      </c>
      <c r="Z145">
        <v>0</v>
      </c>
      <c r="AA145">
        <v>0</v>
      </c>
      <c r="AB145">
        <v>0</v>
      </c>
    </row>
    <row r="146" spans="1:28" x14ac:dyDescent="0.25">
      <c r="A146" s="157" t="str">
        <f>IF(AND('Dependency setup'!B41&lt;&gt;"",'Dependency setup'!A41=1), MATCH('Dependency setup'!B41,'Data files'!$A$16:$A$35,0),"")</f>
        <v/>
      </c>
      <c r="B146" t="str">
        <f>IF(A146&lt;&gt;"",MATCH('Dependency setup'!C41,INDEX('Control Sheet'!$I$46:$K$65,'Dependency (hide)'!A146,0),0),"")</f>
        <v/>
      </c>
      <c r="C146" s="157" t="str">
        <f>IF(A146&lt;&gt;"", MATCH('Dependency setup'!F41,'Data files'!$A$16:$A$35,0),"")</f>
        <v/>
      </c>
      <c r="D146" t="str">
        <f>IF(C146&lt;&gt;"",MATCH('Dependency setup'!G41,INDEX('Control Sheet'!$I$46:$K$65,'Dependency (hide)'!C146,0),0),"")</f>
        <v/>
      </c>
      <c r="E146">
        <f>IF(A146&lt;&gt;"",'Dependency setup'!D41*'Dependency setup'!E41,0)</f>
        <v>0</v>
      </c>
      <c r="F146" t="str">
        <f t="shared" si="2"/>
        <v/>
      </c>
      <c r="G146">
        <f>'Dependency setup'!H41</f>
        <v>0</v>
      </c>
      <c r="H146">
        <f>'Dependency setup'!I41</f>
        <v>0</v>
      </c>
      <c r="I146">
        <f>IF('Dependency setup'!A41=1,IF(AND(ISNA(A146)=FALSE,ISNA(B146)=FALSE,ISNA(C146)=FALSE,ISNA(D146)=FALSE),IF(AND(A146=C146,B146=D146),0,1),0),0)</f>
        <v>0</v>
      </c>
      <c r="K146" t="str">
        <f t="shared" si="3"/>
        <v/>
      </c>
      <c r="L146" t="str">
        <f t="shared" si="4"/>
        <v/>
      </c>
      <c r="N146" t="str">
        <f>IF('Dependency setup'!B41&lt;&gt;"",MATCH('Dependency setup'!B41,'Data files'!$A$16:$A$35,0),"")</f>
        <v/>
      </c>
      <c r="O146" t="str">
        <f>IF('Dependency setup'!F41&lt;&gt;"",MATCH('Dependency setup'!F41,'Data files'!$A$16:$A$35,0),"")</f>
        <v/>
      </c>
      <c r="P146" t="str">
        <f t="shared" si="5"/>
        <v/>
      </c>
      <c r="Q146" t="str">
        <f t="shared" si="6"/>
        <v/>
      </c>
      <c r="R146" t="str">
        <f t="shared" si="7"/>
        <v/>
      </c>
      <c r="S146" s="103" t="str">
        <f t="shared" ca="1" si="8"/>
        <v/>
      </c>
      <c r="X146">
        <v>0</v>
      </c>
      <c r="Z146">
        <v>0</v>
      </c>
      <c r="AA146">
        <v>0</v>
      </c>
      <c r="AB146">
        <v>0</v>
      </c>
    </row>
    <row r="147" spans="1:28" x14ac:dyDescent="0.25">
      <c r="A147" s="157" t="str">
        <f>IF(AND('Dependency setup'!B42&lt;&gt;"",'Dependency setup'!A42=1), MATCH('Dependency setup'!B42,'Data files'!$A$16:$A$35,0),"")</f>
        <v/>
      </c>
      <c r="B147" t="str">
        <f>IF(A147&lt;&gt;"",MATCH('Dependency setup'!C42,INDEX('Control Sheet'!$I$46:$K$65,'Dependency (hide)'!A147,0),0),"")</f>
        <v/>
      </c>
      <c r="C147" s="157" t="str">
        <f>IF(A147&lt;&gt;"", MATCH('Dependency setup'!F42,'Data files'!$A$16:$A$35,0),"")</f>
        <v/>
      </c>
      <c r="D147" t="str">
        <f>IF(C147&lt;&gt;"",MATCH('Dependency setup'!G42,INDEX('Control Sheet'!$I$46:$K$65,'Dependency (hide)'!C147,0),0),"")</f>
        <v/>
      </c>
      <c r="E147">
        <f>IF(A147&lt;&gt;"",'Dependency setup'!D42*'Dependency setup'!E42,0)</f>
        <v>0</v>
      </c>
      <c r="F147" t="str">
        <f t="shared" si="2"/>
        <v/>
      </c>
      <c r="G147">
        <f>'Dependency setup'!H42</f>
        <v>0</v>
      </c>
      <c r="H147">
        <f>'Dependency setup'!I42</f>
        <v>0</v>
      </c>
      <c r="I147">
        <f>IF('Dependency setup'!A42=1,IF(AND(ISNA(A147)=FALSE,ISNA(B147)=FALSE,ISNA(C147)=FALSE,ISNA(D147)=FALSE),IF(AND(A147=C147,B147=D147),0,1),0),0)</f>
        <v>0</v>
      </c>
      <c r="K147" t="str">
        <f t="shared" si="3"/>
        <v/>
      </c>
      <c r="L147" t="str">
        <f t="shared" si="4"/>
        <v/>
      </c>
      <c r="N147" t="str">
        <f>IF('Dependency setup'!B42&lt;&gt;"",MATCH('Dependency setup'!B42,'Data files'!$A$16:$A$35,0),"")</f>
        <v/>
      </c>
      <c r="O147" t="str">
        <f>IF('Dependency setup'!F42&lt;&gt;"",MATCH('Dependency setup'!F42,'Data files'!$A$16:$A$35,0),"")</f>
        <v/>
      </c>
      <c r="P147" t="str">
        <f t="shared" si="5"/>
        <v/>
      </c>
      <c r="Q147" t="str">
        <f t="shared" si="6"/>
        <v/>
      </c>
      <c r="R147" t="str">
        <f t="shared" si="7"/>
        <v/>
      </c>
      <c r="S147" s="103" t="str">
        <f t="shared" ca="1" si="8"/>
        <v/>
      </c>
      <c r="X147">
        <v>0</v>
      </c>
      <c r="Z147">
        <v>0</v>
      </c>
      <c r="AA147">
        <v>0</v>
      </c>
      <c r="AB147">
        <v>0</v>
      </c>
    </row>
    <row r="148" spans="1:28" x14ac:dyDescent="0.25">
      <c r="A148" s="157" t="str">
        <f>IF(AND('Dependency setup'!B43&lt;&gt;"",'Dependency setup'!A43=1), MATCH('Dependency setup'!B43,'Data files'!$A$16:$A$35,0),"")</f>
        <v/>
      </c>
      <c r="B148" t="str">
        <f>IF(A148&lt;&gt;"",MATCH('Dependency setup'!C43,INDEX('Control Sheet'!$I$46:$K$65,'Dependency (hide)'!A148,0),0),"")</f>
        <v/>
      </c>
      <c r="C148" s="157" t="str">
        <f>IF(A148&lt;&gt;"", MATCH('Dependency setup'!F43,'Data files'!$A$16:$A$35,0),"")</f>
        <v/>
      </c>
      <c r="D148" t="str">
        <f>IF(C148&lt;&gt;"",MATCH('Dependency setup'!G43,INDEX('Control Sheet'!$I$46:$K$65,'Dependency (hide)'!C148,0),0),"")</f>
        <v/>
      </c>
      <c r="E148">
        <f>IF(A148&lt;&gt;"",'Dependency setup'!D43*'Dependency setup'!E43,0)</f>
        <v>0</v>
      </c>
      <c r="F148" t="str">
        <f t="shared" si="2"/>
        <v/>
      </c>
      <c r="G148">
        <f>'Dependency setup'!H43</f>
        <v>0</v>
      </c>
      <c r="H148">
        <f>'Dependency setup'!I43</f>
        <v>0</v>
      </c>
      <c r="I148">
        <f>IF('Dependency setup'!A43=1,IF(AND(ISNA(A148)=FALSE,ISNA(B148)=FALSE,ISNA(C148)=FALSE,ISNA(D148)=FALSE),IF(AND(A148=C148,B148=D148),0,1),0),0)</f>
        <v>0</v>
      </c>
      <c r="K148" t="str">
        <f t="shared" si="3"/>
        <v/>
      </c>
      <c r="L148" t="str">
        <f t="shared" si="4"/>
        <v/>
      </c>
      <c r="N148" t="str">
        <f>IF('Dependency setup'!B43&lt;&gt;"",MATCH('Dependency setup'!B43,'Data files'!$A$16:$A$35,0),"")</f>
        <v/>
      </c>
      <c r="O148" t="str">
        <f>IF('Dependency setup'!F43&lt;&gt;"",MATCH('Dependency setup'!F43,'Data files'!$A$16:$A$35,0),"")</f>
        <v/>
      </c>
      <c r="P148" t="str">
        <f t="shared" si="5"/>
        <v/>
      </c>
      <c r="Q148" t="str">
        <f t="shared" si="6"/>
        <v/>
      </c>
      <c r="R148" t="str">
        <f t="shared" si="7"/>
        <v/>
      </c>
      <c r="S148" s="103" t="str">
        <f t="shared" ca="1" si="8"/>
        <v/>
      </c>
      <c r="X148">
        <v>0</v>
      </c>
      <c r="Z148">
        <v>0</v>
      </c>
      <c r="AA148">
        <v>0</v>
      </c>
      <c r="AB148">
        <v>0</v>
      </c>
    </row>
    <row r="149" spans="1:28" x14ac:dyDescent="0.25">
      <c r="A149" s="157" t="str">
        <f>IF(AND('Dependency setup'!B44&lt;&gt;"",'Dependency setup'!A44=1), MATCH('Dependency setup'!B44,'Data files'!$A$16:$A$35,0),"")</f>
        <v/>
      </c>
      <c r="B149" t="str">
        <f>IF(A149&lt;&gt;"",MATCH('Dependency setup'!C44,INDEX('Control Sheet'!$I$46:$K$65,'Dependency (hide)'!A149,0),0),"")</f>
        <v/>
      </c>
      <c r="C149" s="157" t="str">
        <f>IF(A149&lt;&gt;"", MATCH('Dependency setup'!F44,'Data files'!$A$16:$A$35,0),"")</f>
        <v/>
      </c>
      <c r="D149" t="str">
        <f>IF(C149&lt;&gt;"",MATCH('Dependency setup'!G44,INDEX('Control Sheet'!$I$46:$K$65,'Dependency (hide)'!C149,0),0),"")</f>
        <v/>
      </c>
      <c r="E149">
        <f>IF(A149&lt;&gt;"",'Dependency setup'!D44*'Dependency setup'!E44,0)</f>
        <v>0</v>
      </c>
      <c r="F149" t="str">
        <f t="shared" si="2"/>
        <v/>
      </c>
      <c r="G149">
        <f>'Dependency setup'!H44</f>
        <v>0</v>
      </c>
      <c r="H149">
        <f>'Dependency setup'!I44</f>
        <v>0</v>
      </c>
      <c r="I149">
        <f>IF('Dependency setup'!A44=1,IF(AND(ISNA(A149)=FALSE,ISNA(B149)=FALSE,ISNA(C149)=FALSE,ISNA(D149)=FALSE),IF(AND(A149=C149,B149=D149),0,1),0),0)</f>
        <v>0</v>
      </c>
      <c r="K149" t="str">
        <f t="shared" si="3"/>
        <v/>
      </c>
      <c r="L149" t="str">
        <f t="shared" si="4"/>
        <v/>
      </c>
      <c r="N149" t="str">
        <f>IF('Dependency setup'!B44&lt;&gt;"",MATCH('Dependency setup'!B44,'Data files'!$A$16:$A$35,0),"")</f>
        <v/>
      </c>
      <c r="O149" t="str">
        <f>IF('Dependency setup'!F44&lt;&gt;"",MATCH('Dependency setup'!F44,'Data files'!$A$16:$A$35,0),"")</f>
        <v/>
      </c>
      <c r="P149" t="str">
        <f t="shared" si="5"/>
        <v/>
      </c>
      <c r="Q149" t="str">
        <f t="shared" si="6"/>
        <v/>
      </c>
      <c r="R149" t="str">
        <f t="shared" si="7"/>
        <v/>
      </c>
      <c r="S149" s="103" t="str">
        <f t="shared" ca="1" si="8"/>
        <v/>
      </c>
      <c r="X149">
        <v>0</v>
      </c>
      <c r="Z149">
        <v>0</v>
      </c>
      <c r="AA149">
        <v>0</v>
      </c>
      <c r="AB149">
        <v>0</v>
      </c>
    </row>
    <row r="150" spans="1:28" x14ac:dyDescent="0.25">
      <c r="A150" s="157" t="str">
        <f>IF(AND('Dependency setup'!B45&lt;&gt;"",'Dependency setup'!A45=1), MATCH('Dependency setup'!B45,'Data files'!$A$16:$A$35,0),"")</f>
        <v/>
      </c>
      <c r="B150" t="str">
        <f>IF(A150&lt;&gt;"",MATCH('Dependency setup'!C45,INDEX('Control Sheet'!$I$46:$K$65,'Dependency (hide)'!A150,0),0),"")</f>
        <v/>
      </c>
      <c r="C150" s="157" t="str">
        <f>IF(A150&lt;&gt;"", MATCH('Dependency setup'!F45,'Data files'!$A$16:$A$35,0),"")</f>
        <v/>
      </c>
      <c r="D150" t="str">
        <f>IF(C150&lt;&gt;"",MATCH('Dependency setup'!G45,INDEX('Control Sheet'!$I$46:$K$65,'Dependency (hide)'!C150,0),0),"")</f>
        <v/>
      </c>
      <c r="E150">
        <f>IF(A150&lt;&gt;"",'Dependency setup'!D45*'Dependency setup'!E45,0)</f>
        <v>0</v>
      </c>
      <c r="F150" t="str">
        <f t="shared" si="2"/>
        <v/>
      </c>
      <c r="G150">
        <f>'Dependency setup'!H45</f>
        <v>0</v>
      </c>
      <c r="H150">
        <f>'Dependency setup'!I45</f>
        <v>0</v>
      </c>
      <c r="I150">
        <f>IF('Dependency setup'!A45=1,IF(AND(ISNA(A150)=FALSE,ISNA(B150)=FALSE,ISNA(C150)=FALSE,ISNA(D150)=FALSE),IF(AND(A150=C150,B150=D150),0,1),0),0)</f>
        <v>0</v>
      </c>
      <c r="K150" t="str">
        <f t="shared" si="3"/>
        <v/>
      </c>
      <c r="L150" t="str">
        <f t="shared" si="4"/>
        <v/>
      </c>
      <c r="N150" t="str">
        <f>IF('Dependency setup'!B45&lt;&gt;"",MATCH('Dependency setup'!B45,'Data files'!$A$16:$A$35,0),"")</f>
        <v/>
      </c>
      <c r="O150" t="str">
        <f>IF('Dependency setup'!F45&lt;&gt;"",MATCH('Dependency setup'!F45,'Data files'!$A$16:$A$35,0),"")</f>
        <v/>
      </c>
      <c r="P150" t="str">
        <f t="shared" si="5"/>
        <v/>
      </c>
      <c r="Q150" t="str">
        <f t="shared" si="6"/>
        <v/>
      </c>
      <c r="R150" t="str">
        <f t="shared" si="7"/>
        <v/>
      </c>
      <c r="S150" s="103" t="str">
        <f t="shared" ca="1" si="8"/>
        <v/>
      </c>
      <c r="X150">
        <v>0</v>
      </c>
      <c r="Z150">
        <v>0</v>
      </c>
      <c r="AA150">
        <v>0</v>
      </c>
      <c r="AB150">
        <v>0</v>
      </c>
    </row>
    <row r="151" spans="1:28" x14ac:dyDescent="0.25">
      <c r="A151" s="157" t="str">
        <f>IF(AND('Dependency setup'!B46&lt;&gt;"",'Dependency setup'!A46=1), MATCH('Dependency setup'!B46,'Data files'!$A$16:$A$35,0),"")</f>
        <v/>
      </c>
      <c r="B151" t="str">
        <f>IF(A151&lt;&gt;"",MATCH('Dependency setup'!C46,INDEX('Control Sheet'!$I$46:$K$65,'Dependency (hide)'!A151,0),0),"")</f>
        <v/>
      </c>
      <c r="C151" s="157" t="str">
        <f>IF(A151&lt;&gt;"", MATCH('Dependency setup'!F46,'Data files'!$A$16:$A$35,0),"")</f>
        <v/>
      </c>
      <c r="D151" t="str">
        <f>IF(C151&lt;&gt;"",MATCH('Dependency setup'!G46,INDEX('Control Sheet'!$I$46:$K$65,'Dependency (hide)'!C151,0),0),"")</f>
        <v/>
      </c>
      <c r="E151">
        <f>IF(A151&lt;&gt;"",'Dependency setup'!D46*'Dependency setup'!E46,0)</f>
        <v>0</v>
      </c>
      <c r="F151" t="str">
        <f t="shared" si="2"/>
        <v/>
      </c>
      <c r="G151">
        <f>'Dependency setup'!H46</f>
        <v>0</v>
      </c>
      <c r="H151">
        <f>'Dependency setup'!I46</f>
        <v>0</v>
      </c>
      <c r="I151">
        <f>IF('Dependency setup'!A46=1,IF(AND(ISNA(A151)=FALSE,ISNA(B151)=FALSE,ISNA(C151)=FALSE,ISNA(D151)=FALSE),IF(AND(A151=C151,B151=D151),0,1),0),0)</f>
        <v>0</v>
      </c>
      <c r="K151" t="str">
        <f t="shared" si="3"/>
        <v/>
      </c>
      <c r="L151" t="str">
        <f t="shared" si="4"/>
        <v/>
      </c>
      <c r="N151" t="str">
        <f>IF('Dependency setup'!B46&lt;&gt;"",MATCH('Dependency setup'!B46,'Data files'!$A$16:$A$35,0),"")</f>
        <v/>
      </c>
      <c r="O151" t="str">
        <f>IF('Dependency setup'!F46&lt;&gt;"",MATCH('Dependency setup'!F46,'Data files'!$A$16:$A$35,0),"")</f>
        <v/>
      </c>
      <c r="P151" t="str">
        <f t="shared" si="5"/>
        <v/>
      </c>
      <c r="Q151" t="str">
        <f t="shared" si="6"/>
        <v/>
      </c>
      <c r="R151" t="str">
        <f t="shared" si="7"/>
        <v/>
      </c>
      <c r="S151" s="103" t="str">
        <f t="shared" ca="1" si="8"/>
        <v/>
      </c>
      <c r="X151">
        <v>0</v>
      </c>
      <c r="Z151">
        <v>0</v>
      </c>
      <c r="AA151">
        <v>0</v>
      </c>
      <c r="AB151">
        <v>0</v>
      </c>
    </row>
    <row r="152" spans="1:28" x14ac:dyDescent="0.25">
      <c r="A152" s="157" t="str">
        <f>IF(AND('Dependency setup'!B47&lt;&gt;"",'Dependency setup'!A47=1), MATCH('Dependency setup'!B47,'Data files'!$A$16:$A$35,0),"")</f>
        <v/>
      </c>
      <c r="B152" t="str">
        <f>IF(A152&lt;&gt;"",MATCH('Dependency setup'!C47,INDEX('Control Sheet'!$I$46:$K$65,'Dependency (hide)'!A152,0),0),"")</f>
        <v/>
      </c>
      <c r="C152" s="157" t="str">
        <f>IF(A152&lt;&gt;"", MATCH('Dependency setup'!F47,'Data files'!$A$16:$A$35,0),"")</f>
        <v/>
      </c>
      <c r="D152" t="str">
        <f>IF(C152&lt;&gt;"",MATCH('Dependency setup'!G47,INDEX('Control Sheet'!$I$46:$K$65,'Dependency (hide)'!C152,0),0),"")</f>
        <v/>
      </c>
      <c r="E152">
        <f>IF(A152&lt;&gt;"",'Dependency setup'!D47*'Dependency setup'!E47,0)</f>
        <v>0</v>
      </c>
      <c r="F152" t="str">
        <f t="shared" si="2"/>
        <v/>
      </c>
      <c r="G152">
        <f>'Dependency setup'!H47</f>
        <v>0</v>
      </c>
      <c r="H152">
        <f>'Dependency setup'!I47</f>
        <v>0</v>
      </c>
      <c r="I152">
        <f>IF('Dependency setup'!A47=1,IF(AND(ISNA(A152)=FALSE,ISNA(B152)=FALSE,ISNA(C152)=FALSE,ISNA(D152)=FALSE),IF(AND(A152=C152,B152=D152),0,1),0),0)</f>
        <v>0</v>
      </c>
      <c r="K152" t="str">
        <f t="shared" si="3"/>
        <v/>
      </c>
      <c r="L152" t="str">
        <f t="shared" si="4"/>
        <v/>
      </c>
      <c r="N152" t="str">
        <f>IF('Dependency setup'!B47&lt;&gt;"",MATCH('Dependency setup'!B47,'Data files'!$A$16:$A$35,0),"")</f>
        <v/>
      </c>
      <c r="O152" t="str">
        <f>IF('Dependency setup'!F47&lt;&gt;"",MATCH('Dependency setup'!F47,'Data files'!$A$16:$A$35,0),"")</f>
        <v/>
      </c>
      <c r="P152" t="str">
        <f t="shared" si="5"/>
        <v/>
      </c>
      <c r="Q152" t="str">
        <f t="shared" si="6"/>
        <v/>
      </c>
      <c r="R152" t="str">
        <f t="shared" si="7"/>
        <v/>
      </c>
      <c r="S152" s="103" t="str">
        <f t="shared" ca="1" si="8"/>
        <v/>
      </c>
      <c r="X152">
        <v>0</v>
      </c>
      <c r="Z152">
        <v>0</v>
      </c>
      <c r="AA152">
        <v>0</v>
      </c>
      <c r="AB152">
        <v>0</v>
      </c>
    </row>
    <row r="153" spans="1:28" x14ac:dyDescent="0.25">
      <c r="A153" s="157" t="str">
        <f>IF(AND('Dependency setup'!B48&lt;&gt;"",'Dependency setup'!A48=1), MATCH('Dependency setup'!B48,'Data files'!$A$16:$A$35,0),"")</f>
        <v/>
      </c>
      <c r="B153" t="str">
        <f>IF(A153&lt;&gt;"",MATCH('Dependency setup'!C48,INDEX('Control Sheet'!$I$46:$K$65,'Dependency (hide)'!A153,0),0),"")</f>
        <v/>
      </c>
      <c r="C153" s="157" t="str">
        <f>IF(A153&lt;&gt;"", MATCH('Dependency setup'!F48,'Data files'!$A$16:$A$35,0),"")</f>
        <v/>
      </c>
      <c r="D153" t="str">
        <f>IF(C153&lt;&gt;"",MATCH('Dependency setup'!G48,INDEX('Control Sheet'!$I$46:$K$65,'Dependency (hide)'!C153,0),0),"")</f>
        <v/>
      </c>
      <c r="E153">
        <f>IF(A153&lt;&gt;"",'Dependency setup'!D48*'Dependency setup'!E48,0)</f>
        <v>0</v>
      </c>
      <c r="F153" t="str">
        <f t="shared" si="2"/>
        <v/>
      </c>
      <c r="G153">
        <f>'Dependency setup'!H48</f>
        <v>0</v>
      </c>
      <c r="H153">
        <f>'Dependency setup'!I48</f>
        <v>0</v>
      </c>
      <c r="I153">
        <f>IF('Dependency setup'!A48=1,IF(AND(ISNA(A153)=FALSE,ISNA(B153)=FALSE,ISNA(C153)=FALSE,ISNA(D153)=FALSE),IF(AND(A153=C153,B153=D153),0,1),0),0)</f>
        <v>0</v>
      </c>
      <c r="K153" t="str">
        <f t="shared" si="3"/>
        <v/>
      </c>
      <c r="L153" t="str">
        <f t="shared" si="4"/>
        <v/>
      </c>
      <c r="N153" t="str">
        <f>IF('Dependency setup'!B48&lt;&gt;"",MATCH('Dependency setup'!B48,'Data files'!$A$16:$A$35,0),"")</f>
        <v/>
      </c>
      <c r="O153" t="str">
        <f>IF('Dependency setup'!F48&lt;&gt;"",MATCH('Dependency setup'!F48,'Data files'!$A$16:$A$35,0),"")</f>
        <v/>
      </c>
      <c r="P153" t="str">
        <f t="shared" si="5"/>
        <v/>
      </c>
      <c r="Q153" t="str">
        <f t="shared" si="6"/>
        <v/>
      </c>
      <c r="R153" t="str">
        <f t="shared" si="7"/>
        <v/>
      </c>
      <c r="S153" s="103" t="str">
        <f t="shared" ca="1" si="8"/>
        <v/>
      </c>
      <c r="X153">
        <v>0</v>
      </c>
      <c r="Z153">
        <v>0</v>
      </c>
      <c r="AA153">
        <v>0</v>
      </c>
      <c r="AB153">
        <v>0</v>
      </c>
    </row>
    <row r="154" spans="1:28" x14ac:dyDescent="0.25">
      <c r="A154" s="157" t="str">
        <f>IF(AND('Dependency setup'!B49&lt;&gt;"",'Dependency setup'!A49=1), MATCH('Dependency setup'!B49,'Data files'!$A$16:$A$35,0),"")</f>
        <v/>
      </c>
      <c r="B154" t="str">
        <f>IF(A154&lt;&gt;"",MATCH('Dependency setup'!C49,INDEX('Control Sheet'!$I$46:$K$65,'Dependency (hide)'!A154,0),0),"")</f>
        <v/>
      </c>
      <c r="C154" s="157" t="str">
        <f>IF(A154&lt;&gt;"", MATCH('Dependency setup'!F49,'Data files'!$A$16:$A$35,0),"")</f>
        <v/>
      </c>
      <c r="D154" t="str">
        <f>IF(C154&lt;&gt;"",MATCH('Dependency setup'!G49,INDEX('Control Sheet'!$I$46:$K$65,'Dependency (hide)'!C154,0),0),"")</f>
        <v/>
      </c>
      <c r="E154">
        <f>IF(A154&lt;&gt;"",'Dependency setup'!D49*'Dependency setup'!E49,0)</f>
        <v>0</v>
      </c>
      <c r="F154" t="str">
        <f t="shared" si="2"/>
        <v/>
      </c>
      <c r="G154">
        <f>'Dependency setup'!H49</f>
        <v>0</v>
      </c>
      <c r="H154">
        <f>'Dependency setup'!I49</f>
        <v>0</v>
      </c>
      <c r="I154">
        <f>IF('Dependency setup'!A49=1,IF(AND(ISNA(A154)=FALSE,ISNA(B154)=FALSE,ISNA(C154)=FALSE,ISNA(D154)=FALSE),IF(AND(A154=C154,B154=D154),0,1),0),0)</f>
        <v>0</v>
      </c>
      <c r="K154" t="str">
        <f t="shared" si="3"/>
        <v/>
      </c>
      <c r="L154" t="str">
        <f t="shared" si="4"/>
        <v/>
      </c>
      <c r="N154" t="str">
        <f>IF('Dependency setup'!B49&lt;&gt;"",MATCH('Dependency setup'!B49,'Data files'!$A$16:$A$35,0),"")</f>
        <v/>
      </c>
      <c r="O154" t="str">
        <f>IF('Dependency setup'!F49&lt;&gt;"",MATCH('Dependency setup'!F49,'Data files'!$A$16:$A$35,0),"")</f>
        <v/>
      </c>
      <c r="P154" t="str">
        <f t="shared" si="5"/>
        <v/>
      </c>
      <c r="Q154" t="str">
        <f t="shared" si="6"/>
        <v/>
      </c>
      <c r="R154" t="str">
        <f t="shared" si="7"/>
        <v/>
      </c>
      <c r="S154" s="103" t="str">
        <f t="shared" ca="1" si="8"/>
        <v/>
      </c>
      <c r="X154">
        <v>0</v>
      </c>
      <c r="Z154">
        <v>0</v>
      </c>
      <c r="AA154">
        <v>0</v>
      </c>
      <c r="AB154">
        <v>0</v>
      </c>
    </row>
    <row r="155" spans="1:28" x14ac:dyDescent="0.25">
      <c r="A155" s="157" t="str">
        <f>IF(AND('Dependency setup'!B50&lt;&gt;"",'Dependency setup'!A50=1), MATCH('Dependency setup'!B50,'Data files'!$A$16:$A$35,0),"")</f>
        <v/>
      </c>
      <c r="B155" t="str">
        <f>IF(A155&lt;&gt;"",MATCH('Dependency setup'!C50,INDEX('Control Sheet'!$I$46:$K$65,'Dependency (hide)'!A155,0),0),"")</f>
        <v/>
      </c>
      <c r="C155" s="157" t="str">
        <f>IF(A155&lt;&gt;"", MATCH('Dependency setup'!F50,'Data files'!$A$16:$A$35,0),"")</f>
        <v/>
      </c>
      <c r="D155" t="str">
        <f>IF(C155&lt;&gt;"",MATCH('Dependency setup'!G50,INDEX('Control Sheet'!$I$46:$K$65,'Dependency (hide)'!C155,0),0),"")</f>
        <v/>
      </c>
      <c r="E155">
        <f>IF(A155&lt;&gt;"",'Dependency setup'!D50*'Dependency setup'!E50,0)</f>
        <v>0</v>
      </c>
      <c r="F155" t="str">
        <f t="shared" si="2"/>
        <v/>
      </c>
      <c r="G155">
        <f>'Dependency setup'!H50</f>
        <v>0</v>
      </c>
      <c r="H155">
        <f>'Dependency setup'!I50</f>
        <v>0</v>
      </c>
      <c r="I155">
        <f>IF('Dependency setup'!A50=1,IF(AND(ISNA(A155)=FALSE,ISNA(B155)=FALSE,ISNA(C155)=FALSE,ISNA(D155)=FALSE),IF(AND(A155=C155,B155=D155),0,1),0),0)</f>
        <v>0</v>
      </c>
      <c r="K155" t="str">
        <f t="shared" si="3"/>
        <v/>
      </c>
      <c r="L155" t="str">
        <f t="shared" si="4"/>
        <v/>
      </c>
      <c r="N155" t="str">
        <f>IF('Dependency setup'!B50&lt;&gt;"",MATCH('Dependency setup'!B50,'Data files'!$A$16:$A$35,0),"")</f>
        <v/>
      </c>
      <c r="O155" t="str">
        <f>IF('Dependency setup'!F50&lt;&gt;"",MATCH('Dependency setup'!F50,'Data files'!$A$16:$A$35,0),"")</f>
        <v/>
      </c>
      <c r="P155" t="str">
        <f t="shared" si="5"/>
        <v/>
      </c>
      <c r="Q155" t="str">
        <f t="shared" si="6"/>
        <v/>
      </c>
      <c r="R155" t="str">
        <f t="shared" si="7"/>
        <v/>
      </c>
      <c r="S155" s="103" t="str">
        <f t="shared" ca="1" si="8"/>
        <v/>
      </c>
      <c r="X155">
        <v>0</v>
      </c>
      <c r="Z155">
        <v>0</v>
      </c>
      <c r="AA155">
        <v>0</v>
      </c>
      <c r="AB155">
        <v>0</v>
      </c>
    </row>
    <row r="156" spans="1:28" x14ac:dyDescent="0.25">
      <c r="A156" s="157" t="str">
        <f>IF(AND('Dependency setup'!B51&lt;&gt;"",'Dependency setup'!A51=1), MATCH('Dependency setup'!B51,'Data files'!$A$16:$A$35,0),"")</f>
        <v/>
      </c>
      <c r="B156" t="str">
        <f>IF(A156&lt;&gt;"",MATCH('Dependency setup'!C51,INDEX('Control Sheet'!$I$46:$K$65,'Dependency (hide)'!A156,0),0),"")</f>
        <v/>
      </c>
      <c r="C156" s="157" t="str">
        <f>IF(A156&lt;&gt;"", MATCH('Dependency setup'!F51,'Data files'!$A$16:$A$35,0),"")</f>
        <v/>
      </c>
      <c r="D156" t="str">
        <f>IF(C156&lt;&gt;"",MATCH('Dependency setup'!G51,INDEX('Control Sheet'!$I$46:$K$65,'Dependency (hide)'!C156,0),0),"")</f>
        <v/>
      </c>
      <c r="E156">
        <f>IF(A156&lt;&gt;"",'Dependency setup'!D51*'Dependency setup'!E51,0)</f>
        <v>0</v>
      </c>
      <c r="F156" t="str">
        <f t="shared" si="2"/>
        <v/>
      </c>
      <c r="G156">
        <f>'Dependency setup'!H51</f>
        <v>0</v>
      </c>
      <c r="H156">
        <f>'Dependency setup'!I51</f>
        <v>0</v>
      </c>
      <c r="I156">
        <f>IF('Dependency setup'!A51=1,IF(AND(ISNA(A156)=FALSE,ISNA(B156)=FALSE,ISNA(C156)=FALSE,ISNA(D156)=FALSE),IF(AND(A156=C156,B156=D156),0,1),0),0)</f>
        <v>0</v>
      </c>
      <c r="K156" t="str">
        <f t="shared" si="3"/>
        <v/>
      </c>
      <c r="L156" t="str">
        <f t="shared" si="4"/>
        <v/>
      </c>
      <c r="N156" t="str">
        <f>IF('Dependency setup'!B51&lt;&gt;"",MATCH('Dependency setup'!B51,'Data files'!$A$16:$A$35,0),"")</f>
        <v/>
      </c>
      <c r="O156" t="str">
        <f>IF('Dependency setup'!F51&lt;&gt;"",MATCH('Dependency setup'!F51,'Data files'!$A$16:$A$35,0),"")</f>
        <v/>
      </c>
      <c r="P156" t="str">
        <f t="shared" si="5"/>
        <v/>
      </c>
      <c r="Q156" t="str">
        <f t="shared" si="6"/>
        <v/>
      </c>
      <c r="R156" t="str">
        <f t="shared" si="7"/>
        <v/>
      </c>
      <c r="S156" s="103" t="str">
        <f t="shared" ca="1" si="8"/>
        <v/>
      </c>
      <c r="X156">
        <v>0</v>
      </c>
      <c r="Z156">
        <v>0</v>
      </c>
      <c r="AA156">
        <v>0</v>
      </c>
      <c r="AB156">
        <v>0</v>
      </c>
    </row>
    <row r="157" spans="1:28" x14ac:dyDescent="0.25">
      <c r="A157" s="157" t="str">
        <f>IF(AND('Dependency setup'!B52&lt;&gt;"",'Dependency setup'!A52=1), MATCH('Dependency setup'!B52,'Data files'!$A$16:$A$35,0),"")</f>
        <v/>
      </c>
      <c r="B157" t="str">
        <f>IF(A157&lt;&gt;"",MATCH('Dependency setup'!C52,INDEX('Control Sheet'!$I$46:$K$65,'Dependency (hide)'!A157,0),0),"")</f>
        <v/>
      </c>
      <c r="C157" s="157" t="str">
        <f>IF(A157&lt;&gt;"", MATCH('Dependency setup'!F52,'Data files'!$A$16:$A$35,0),"")</f>
        <v/>
      </c>
      <c r="D157" t="str">
        <f>IF(C157&lt;&gt;"",MATCH('Dependency setup'!G52,INDEX('Control Sheet'!$I$46:$K$65,'Dependency (hide)'!C157,0),0),"")</f>
        <v/>
      </c>
      <c r="E157">
        <f>IF(A157&lt;&gt;"",'Dependency setup'!D52*'Dependency setup'!E52,0)</f>
        <v>0</v>
      </c>
      <c r="F157" t="str">
        <f t="shared" si="2"/>
        <v/>
      </c>
      <c r="G157">
        <f>'Dependency setup'!H52</f>
        <v>0</v>
      </c>
      <c r="H157">
        <f>'Dependency setup'!I52</f>
        <v>0</v>
      </c>
      <c r="I157">
        <f>IF('Dependency setup'!A52=1,IF(AND(ISNA(A157)=FALSE,ISNA(B157)=FALSE,ISNA(C157)=FALSE,ISNA(D157)=FALSE),IF(AND(A157=C157,B157=D157),0,1),0),0)</f>
        <v>0</v>
      </c>
      <c r="K157" t="str">
        <f t="shared" si="3"/>
        <v/>
      </c>
      <c r="L157" t="str">
        <f t="shared" si="4"/>
        <v/>
      </c>
      <c r="N157" t="str">
        <f>IF('Dependency setup'!B52&lt;&gt;"",MATCH('Dependency setup'!B52,'Data files'!$A$16:$A$35,0),"")</f>
        <v/>
      </c>
      <c r="O157" t="str">
        <f>IF('Dependency setup'!F52&lt;&gt;"",MATCH('Dependency setup'!F52,'Data files'!$A$16:$A$35,0),"")</f>
        <v/>
      </c>
      <c r="P157" t="str">
        <f t="shared" si="5"/>
        <v/>
      </c>
      <c r="Q157" t="str">
        <f t="shared" si="6"/>
        <v/>
      </c>
      <c r="R157" t="str">
        <f t="shared" si="7"/>
        <v/>
      </c>
      <c r="S157" s="103" t="str">
        <f t="shared" ca="1" si="8"/>
        <v/>
      </c>
      <c r="X157">
        <v>0</v>
      </c>
      <c r="Z157">
        <v>0</v>
      </c>
      <c r="AA157">
        <v>0</v>
      </c>
      <c r="AB157">
        <v>0</v>
      </c>
    </row>
    <row r="158" spans="1:28" x14ac:dyDescent="0.25">
      <c r="A158" s="157" t="str">
        <f>IF(AND('Dependency setup'!B53&lt;&gt;"",'Dependency setup'!A53=1), MATCH('Dependency setup'!B53,'Data files'!$A$16:$A$35,0),"")</f>
        <v/>
      </c>
      <c r="B158" t="str">
        <f>IF(A158&lt;&gt;"",MATCH('Dependency setup'!C53,INDEX('Control Sheet'!$I$46:$K$65,'Dependency (hide)'!A158,0),0),"")</f>
        <v/>
      </c>
      <c r="C158" s="157" t="str">
        <f>IF(A158&lt;&gt;"", MATCH('Dependency setup'!F53,'Data files'!$A$16:$A$35,0),"")</f>
        <v/>
      </c>
      <c r="D158" t="str">
        <f>IF(C158&lt;&gt;"",MATCH('Dependency setup'!G53,INDEX('Control Sheet'!$I$46:$K$65,'Dependency (hide)'!C158,0),0),"")</f>
        <v/>
      </c>
      <c r="E158">
        <f>IF(A158&lt;&gt;"",'Dependency setup'!D53*'Dependency setup'!E53,0)</f>
        <v>0</v>
      </c>
      <c r="F158" t="str">
        <f t="shared" si="2"/>
        <v/>
      </c>
      <c r="G158">
        <f>'Dependency setup'!H53</f>
        <v>0</v>
      </c>
      <c r="H158">
        <f>'Dependency setup'!I53</f>
        <v>0</v>
      </c>
      <c r="I158">
        <f>IF('Dependency setup'!A53=1,IF(AND(ISNA(A158)=FALSE,ISNA(B158)=FALSE,ISNA(C158)=FALSE,ISNA(D158)=FALSE),IF(AND(A158=C158,B158=D158),0,1),0),0)</f>
        <v>0</v>
      </c>
      <c r="K158" t="str">
        <f t="shared" si="3"/>
        <v/>
      </c>
      <c r="L158" t="str">
        <f t="shared" si="4"/>
        <v/>
      </c>
      <c r="N158" t="str">
        <f>IF('Dependency setup'!B53&lt;&gt;"",MATCH('Dependency setup'!B53,'Data files'!$A$16:$A$35,0),"")</f>
        <v/>
      </c>
      <c r="O158" t="str">
        <f>IF('Dependency setup'!F53&lt;&gt;"",MATCH('Dependency setup'!F53,'Data files'!$A$16:$A$35,0),"")</f>
        <v/>
      </c>
      <c r="P158" t="str">
        <f t="shared" si="5"/>
        <v/>
      </c>
      <c r="Q158" t="str">
        <f t="shared" si="6"/>
        <v/>
      </c>
      <c r="R158" t="str">
        <f t="shared" si="7"/>
        <v/>
      </c>
      <c r="S158" s="103" t="str">
        <f t="shared" ca="1" si="8"/>
        <v/>
      </c>
      <c r="X158">
        <v>0</v>
      </c>
      <c r="Z158">
        <v>0</v>
      </c>
      <c r="AA158">
        <v>0</v>
      </c>
      <c r="AB158">
        <v>0</v>
      </c>
    </row>
    <row r="159" spans="1:28" x14ac:dyDescent="0.25">
      <c r="A159" s="157" t="str">
        <f>IF(AND('Dependency setup'!B54&lt;&gt;"",'Dependency setup'!A54=1), MATCH('Dependency setup'!B54,'Data files'!$A$16:$A$35,0),"")</f>
        <v/>
      </c>
      <c r="B159" t="str">
        <f>IF(A159&lt;&gt;"",MATCH('Dependency setup'!C54,INDEX('Control Sheet'!$I$46:$K$65,'Dependency (hide)'!A159,0),0),"")</f>
        <v/>
      </c>
      <c r="C159" s="157" t="str">
        <f>IF(A159&lt;&gt;"", MATCH('Dependency setup'!F54,'Data files'!$A$16:$A$35,0),"")</f>
        <v/>
      </c>
      <c r="D159" t="str">
        <f>IF(C159&lt;&gt;"",MATCH('Dependency setup'!G54,INDEX('Control Sheet'!$I$46:$K$65,'Dependency (hide)'!C159,0),0),"")</f>
        <v/>
      </c>
      <c r="E159">
        <f>IF(A159&lt;&gt;"",'Dependency setup'!D54*'Dependency setup'!E54,0)</f>
        <v>0</v>
      </c>
      <c r="F159" t="str">
        <f t="shared" si="2"/>
        <v/>
      </c>
      <c r="G159">
        <f>'Dependency setup'!H54</f>
        <v>0</v>
      </c>
      <c r="H159">
        <f>'Dependency setup'!I54</f>
        <v>0</v>
      </c>
      <c r="I159">
        <f>IF('Dependency setup'!A54=1,IF(AND(ISNA(A159)=FALSE,ISNA(B159)=FALSE,ISNA(C159)=FALSE,ISNA(D159)=FALSE),IF(AND(A159=C159,B159=D159),0,1),0),0)</f>
        <v>0</v>
      </c>
      <c r="K159" t="str">
        <f t="shared" si="3"/>
        <v/>
      </c>
      <c r="L159" t="str">
        <f t="shared" si="4"/>
        <v/>
      </c>
      <c r="N159" t="str">
        <f>IF('Dependency setup'!B54&lt;&gt;"",MATCH('Dependency setup'!B54,'Data files'!$A$16:$A$35,0),"")</f>
        <v/>
      </c>
      <c r="O159" t="str">
        <f>IF('Dependency setup'!F54&lt;&gt;"",MATCH('Dependency setup'!F54,'Data files'!$A$16:$A$35,0),"")</f>
        <v/>
      </c>
      <c r="P159" t="str">
        <f t="shared" si="5"/>
        <v/>
      </c>
      <c r="Q159" t="str">
        <f t="shared" si="6"/>
        <v/>
      </c>
      <c r="R159" t="str">
        <f t="shared" si="7"/>
        <v/>
      </c>
      <c r="S159" s="103" t="str">
        <f t="shared" ca="1" si="8"/>
        <v/>
      </c>
      <c r="X159">
        <v>0</v>
      </c>
      <c r="Z159">
        <v>0</v>
      </c>
      <c r="AA159">
        <v>0</v>
      </c>
      <c r="AB159">
        <v>0</v>
      </c>
    </row>
    <row r="160" spans="1:28" x14ac:dyDescent="0.25">
      <c r="A160" s="157" t="str">
        <f>IF(AND('Dependency setup'!B55&lt;&gt;"",'Dependency setup'!A55=1), MATCH('Dependency setup'!B55,'Data files'!$A$16:$A$35,0),"")</f>
        <v/>
      </c>
      <c r="B160" t="str">
        <f>IF(A160&lt;&gt;"",MATCH('Dependency setup'!C55,INDEX('Control Sheet'!$I$46:$K$65,'Dependency (hide)'!A160,0),0),"")</f>
        <v/>
      </c>
      <c r="C160" s="157" t="str">
        <f>IF(A160&lt;&gt;"", MATCH('Dependency setup'!F55,'Data files'!$A$16:$A$35,0),"")</f>
        <v/>
      </c>
      <c r="D160" t="str">
        <f>IF(C160&lt;&gt;"",MATCH('Dependency setup'!G55,INDEX('Control Sheet'!$I$46:$K$65,'Dependency (hide)'!C160,0),0),"")</f>
        <v/>
      </c>
      <c r="E160">
        <f>IF(A160&lt;&gt;"",'Dependency setup'!D55*'Dependency setup'!E55,0)</f>
        <v>0</v>
      </c>
      <c r="F160" t="str">
        <f t="shared" si="2"/>
        <v/>
      </c>
      <c r="G160">
        <f>'Dependency setup'!H55</f>
        <v>0</v>
      </c>
      <c r="H160">
        <f>'Dependency setup'!I55</f>
        <v>0</v>
      </c>
      <c r="I160">
        <f>IF('Dependency setup'!A55=1,IF(AND(ISNA(A160)=FALSE,ISNA(B160)=FALSE,ISNA(C160)=FALSE,ISNA(D160)=FALSE),IF(AND(A160=C160,B160=D160),0,1),0),0)</f>
        <v>0</v>
      </c>
      <c r="K160" t="str">
        <f t="shared" si="3"/>
        <v/>
      </c>
      <c r="L160" t="str">
        <f t="shared" si="4"/>
        <v/>
      </c>
      <c r="N160" t="str">
        <f>IF('Dependency setup'!B55&lt;&gt;"",MATCH('Dependency setup'!B55,'Data files'!$A$16:$A$35,0),"")</f>
        <v/>
      </c>
      <c r="O160" t="str">
        <f>IF('Dependency setup'!F55&lt;&gt;"",MATCH('Dependency setup'!F55,'Data files'!$A$16:$A$35,0),"")</f>
        <v/>
      </c>
      <c r="P160" t="str">
        <f t="shared" si="5"/>
        <v/>
      </c>
      <c r="Q160" t="str">
        <f t="shared" si="6"/>
        <v/>
      </c>
      <c r="R160" t="str">
        <f t="shared" si="7"/>
        <v/>
      </c>
      <c r="S160" s="103" t="str">
        <f t="shared" ca="1" si="8"/>
        <v/>
      </c>
      <c r="X160">
        <v>0</v>
      </c>
      <c r="Z160">
        <v>0</v>
      </c>
      <c r="AA160">
        <v>0</v>
      </c>
      <c r="AB160">
        <v>0</v>
      </c>
    </row>
    <row r="161" spans="1:28" x14ac:dyDescent="0.25">
      <c r="A161" s="157" t="str">
        <f>IF(AND('Dependency setup'!B56&lt;&gt;"",'Dependency setup'!A56=1), MATCH('Dependency setup'!B56,'Data files'!$A$16:$A$35,0),"")</f>
        <v/>
      </c>
      <c r="B161" t="str">
        <f>IF(A161&lt;&gt;"",MATCH('Dependency setup'!C56,INDEX('Control Sheet'!$I$46:$K$65,'Dependency (hide)'!A161,0),0),"")</f>
        <v/>
      </c>
      <c r="C161" s="157" t="str">
        <f>IF(A161&lt;&gt;"", MATCH('Dependency setup'!F56,'Data files'!$A$16:$A$35,0),"")</f>
        <v/>
      </c>
      <c r="D161" t="str">
        <f>IF(C161&lt;&gt;"",MATCH('Dependency setup'!G56,INDEX('Control Sheet'!$I$46:$K$65,'Dependency (hide)'!C161,0),0),"")</f>
        <v/>
      </c>
      <c r="E161">
        <f>IF(A161&lt;&gt;"",'Dependency setup'!D56*'Dependency setup'!E56,0)</f>
        <v>0</v>
      </c>
      <c r="F161" t="str">
        <f t="shared" si="2"/>
        <v/>
      </c>
      <c r="G161">
        <f>'Dependency setup'!H56</f>
        <v>0</v>
      </c>
      <c r="H161">
        <f>'Dependency setup'!I56</f>
        <v>0</v>
      </c>
      <c r="I161">
        <f>IF('Dependency setup'!A56=1,IF(AND(ISNA(A161)=FALSE,ISNA(B161)=FALSE,ISNA(C161)=FALSE,ISNA(D161)=FALSE),IF(AND(A161=C161,B161=D161),0,1),0),0)</f>
        <v>0</v>
      </c>
      <c r="K161" t="str">
        <f t="shared" si="3"/>
        <v/>
      </c>
      <c r="L161" t="str">
        <f t="shared" si="4"/>
        <v/>
      </c>
      <c r="N161" t="str">
        <f>IF('Dependency setup'!B56&lt;&gt;"",MATCH('Dependency setup'!B56,'Data files'!$A$16:$A$35,0),"")</f>
        <v/>
      </c>
      <c r="O161" t="str">
        <f>IF('Dependency setup'!F56&lt;&gt;"",MATCH('Dependency setup'!F56,'Data files'!$A$16:$A$35,0),"")</f>
        <v/>
      </c>
      <c r="P161" t="str">
        <f t="shared" si="5"/>
        <v/>
      </c>
      <c r="Q161" t="str">
        <f t="shared" si="6"/>
        <v/>
      </c>
      <c r="R161" t="str">
        <f t="shared" si="7"/>
        <v/>
      </c>
      <c r="S161" s="103" t="str">
        <f t="shared" ca="1" si="8"/>
        <v/>
      </c>
      <c r="X161">
        <v>0</v>
      </c>
      <c r="Z161">
        <v>0</v>
      </c>
      <c r="AA161">
        <v>0</v>
      </c>
      <c r="AB161">
        <v>0</v>
      </c>
    </row>
    <row r="162" spans="1:28" x14ac:dyDescent="0.25">
      <c r="A162" s="157" t="str">
        <f>IF(AND('Dependency setup'!B57&lt;&gt;"",'Dependency setup'!A57=1), MATCH('Dependency setup'!B57,'Data files'!$A$16:$A$35,0),"")</f>
        <v/>
      </c>
      <c r="B162" t="str">
        <f>IF(A162&lt;&gt;"",MATCH('Dependency setup'!C57,INDEX('Control Sheet'!$I$46:$K$65,'Dependency (hide)'!A162,0),0),"")</f>
        <v/>
      </c>
      <c r="C162" s="157" t="str">
        <f>IF(A162&lt;&gt;"", MATCH('Dependency setup'!F57,'Data files'!$A$16:$A$35,0),"")</f>
        <v/>
      </c>
      <c r="D162" t="str">
        <f>IF(C162&lt;&gt;"",MATCH('Dependency setup'!G57,INDEX('Control Sheet'!$I$46:$K$65,'Dependency (hide)'!C162,0),0),"")</f>
        <v/>
      </c>
      <c r="E162">
        <f>IF(A162&lt;&gt;"",'Dependency setup'!D57*'Dependency setup'!E57,0)</f>
        <v>0</v>
      </c>
      <c r="F162" t="str">
        <f t="shared" si="2"/>
        <v/>
      </c>
      <c r="G162">
        <f>'Dependency setup'!H57</f>
        <v>0</v>
      </c>
      <c r="H162">
        <f>'Dependency setup'!I57</f>
        <v>0</v>
      </c>
      <c r="I162">
        <f>IF('Dependency setup'!A57=1,IF(AND(ISNA(A162)=FALSE,ISNA(B162)=FALSE,ISNA(C162)=FALSE,ISNA(D162)=FALSE),IF(AND(A162=C162,B162=D162),0,1),0),0)</f>
        <v>0</v>
      </c>
      <c r="K162" t="str">
        <f t="shared" si="3"/>
        <v/>
      </c>
      <c r="L162" t="str">
        <f t="shared" si="4"/>
        <v/>
      </c>
      <c r="N162" t="str">
        <f>IF('Dependency setup'!B57&lt;&gt;"",MATCH('Dependency setup'!B57,'Data files'!$A$16:$A$35,0),"")</f>
        <v/>
      </c>
      <c r="O162" t="str">
        <f>IF('Dependency setup'!F57&lt;&gt;"",MATCH('Dependency setup'!F57,'Data files'!$A$16:$A$35,0),"")</f>
        <v/>
      </c>
      <c r="P162" t="str">
        <f t="shared" si="5"/>
        <v/>
      </c>
      <c r="Q162" t="str">
        <f t="shared" si="6"/>
        <v/>
      </c>
      <c r="R162" t="str">
        <f t="shared" si="7"/>
        <v/>
      </c>
      <c r="S162" s="103" t="str">
        <f t="shared" ca="1" si="8"/>
        <v/>
      </c>
      <c r="X162">
        <v>0</v>
      </c>
      <c r="Z162">
        <v>0</v>
      </c>
      <c r="AA162">
        <v>0</v>
      </c>
      <c r="AB162">
        <v>0</v>
      </c>
    </row>
    <row r="163" spans="1:28" x14ac:dyDescent="0.25">
      <c r="A163" s="157" t="str">
        <f>IF(AND('Dependency setup'!B58&lt;&gt;"",'Dependency setup'!A58=1), MATCH('Dependency setup'!B58,'Data files'!$A$16:$A$35,0),"")</f>
        <v/>
      </c>
      <c r="B163" t="str">
        <f>IF(A163&lt;&gt;"",MATCH('Dependency setup'!C58,INDEX('Control Sheet'!$I$46:$K$65,'Dependency (hide)'!A163,0),0),"")</f>
        <v/>
      </c>
      <c r="C163" s="157" t="str">
        <f>IF(A163&lt;&gt;"", MATCH('Dependency setup'!F58,'Data files'!$A$16:$A$35,0),"")</f>
        <v/>
      </c>
      <c r="D163" t="str">
        <f>IF(C163&lt;&gt;"",MATCH('Dependency setup'!G58,INDEX('Control Sheet'!$I$46:$K$65,'Dependency (hide)'!C163,0),0),"")</f>
        <v/>
      </c>
      <c r="E163">
        <f>IF(A163&lt;&gt;"",'Dependency setup'!D58*'Dependency setup'!E58,0)</f>
        <v>0</v>
      </c>
      <c r="F163" t="str">
        <f t="shared" si="2"/>
        <v/>
      </c>
      <c r="G163">
        <f>'Dependency setup'!H58</f>
        <v>0</v>
      </c>
      <c r="H163">
        <f>'Dependency setup'!I58</f>
        <v>0</v>
      </c>
      <c r="I163">
        <f>IF('Dependency setup'!A58=1,IF(AND(ISNA(A163)=FALSE,ISNA(B163)=FALSE,ISNA(C163)=FALSE,ISNA(D163)=FALSE),IF(AND(A163=C163,B163=D163),0,1),0),0)</f>
        <v>0</v>
      </c>
      <c r="K163" t="str">
        <f t="shared" si="3"/>
        <v/>
      </c>
      <c r="L163" t="str">
        <f t="shared" si="4"/>
        <v/>
      </c>
      <c r="N163" t="str">
        <f>IF('Dependency setup'!B58&lt;&gt;"",MATCH('Dependency setup'!B58,'Data files'!$A$16:$A$35,0),"")</f>
        <v/>
      </c>
      <c r="O163" t="str">
        <f>IF('Dependency setup'!F58&lt;&gt;"",MATCH('Dependency setup'!F58,'Data files'!$A$16:$A$35,0),"")</f>
        <v/>
      </c>
      <c r="P163" t="str">
        <f t="shared" si="5"/>
        <v/>
      </c>
      <c r="Q163" t="str">
        <f t="shared" si="6"/>
        <v/>
      </c>
      <c r="R163" t="str">
        <f t="shared" si="7"/>
        <v/>
      </c>
      <c r="S163" s="103" t="str">
        <f t="shared" ca="1" si="8"/>
        <v/>
      </c>
      <c r="X163">
        <v>0</v>
      </c>
      <c r="Z163">
        <v>0</v>
      </c>
      <c r="AA163">
        <v>0</v>
      </c>
      <c r="AB163">
        <v>0</v>
      </c>
    </row>
    <row r="164" spans="1:28" x14ac:dyDescent="0.25">
      <c r="A164" s="157" t="str">
        <f>IF(AND('Dependency setup'!B59&lt;&gt;"",'Dependency setup'!A59=1), MATCH('Dependency setup'!B59,'Data files'!$A$16:$A$35,0),"")</f>
        <v/>
      </c>
      <c r="B164" t="str">
        <f>IF(A164&lt;&gt;"",MATCH('Dependency setup'!C59,INDEX('Control Sheet'!$I$46:$K$65,'Dependency (hide)'!A164,0),0),"")</f>
        <v/>
      </c>
      <c r="C164" s="157" t="str">
        <f>IF(A164&lt;&gt;"", MATCH('Dependency setup'!F59,'Data files'!$A$16:$A$35,0),"")</f>
        <v/>
      </c>
      <c r="D164" t="str">
        <f>IF(C164&lt;&gt;"",MATCH('Dependency setup'!G59,INDEX('Control Sheet'!$I$46:$K$65,'Dependency (hide)'!C164,0),0),"")</f>
        <v/>
      </c>
      <c r="E164">
        <f>IF(A164&lt;&gt;"",'Dependency setup'!D59*'Dependency setup'!E59,0)</f>
        <v>0</v>
      </c>
      <c r="F164" t="str">
        <f t="shared" si="2"/>
        <v/>
      </c>
      <c r="G164">
        <f>'Dependency setup'!H59</f>
        <v>0</v>
      </c>
      <c r="H164">
        <f>'Dependency setup'!I59</f>
        <v>0</v>
      </c>
      <c r="I164">
        <f>IF('Dependency setup'!A59=1,IF(AND(ISNA(A164)=FALSE,ISNA(B164)=FALSE,ISNA(C164)=FALSE,ISNA(D164)=FALSE),IF(AND(A164=C164,B164=D164),0,1),0),0)</f>
        <v>0</v>
      </c>
      <c r="K164" t="str">
        <f t="shared" si="3"/>
        <v/>
      </c>
      <c r="L164" t="str">
        <f t="shared" si="4"/>
        <v/>
      </c>
      <c r="N164" t="str">
        <f>IF('Dependency setup'!B59&lt;&gt;"",MATCH('Dependency setup'!B59,'Data files'!$A$16:$A$35,0),"")</f>
        <v/>
      </c>
      <c r="O164" t="str">
        <f>IF('Dependency setup'!F59&lt;&gt;"",MATCH('Dependency setup'!F59,'Data files'!$A$16:$A$35,0),"")</f>
        <v/>
      </c>
      <c r="P164" t="str">
        <f t="shared" si="5"/>
        <v/>
      </c>
      <c r="Q164" t="str">
        <f t="shared" si="6"/>
        <v/>
      </c>
      <c r="R164" t="str">
        <f t="shared" si="7"/>
        <v/>
      </c>
      <c r="S164" s="103" t="str">
        <f t="shared" ca="1" si="8"/>
        <v/>
      </c>
      <c r="X164">
        <v>0</v>
      </c>
      <c r="Z164">
        <v>0</v>
      </c>
      <c r="AA164">
        <v>0</v>
      </c>
      <c r="AB164">
        <v>0</v>
      </c>
    </row>
    <row r="165" spans="1:28" x14ac:dyDescent="0.25">
      <c r="A165" s="157" t="str">
        <f>IF(AND('Dependency setup'!B60&lt;&gt;"",'Dependency setup'!A60=1), MATCH('Dependency setup'!B60,'Data files'!$A$16:$A$35,0),"")</f>
        <v/>
      </c>
      <c r="B165" t="str">
        <f>IF(A165&lt;&gt;"",MATCH('Dependency setup'!C60,INDEX('Control Sheet'!$I$46:$K$65,'Dependency (hide)'!A165,0),0),"")</f>
        <v/>
      </c>
      <c r="C165" s="157" t="str">
        <f>IF(A165&lt;&gt;"", MATCH('Dependency setup'!F60,'Data files'!$A$16:$A$35,0),"")</f>
        <v/>
      </c>
      <c r="D165" t="str">
        <f>IF(C165&lt;&gt;"",MATCH('Dependency setup'!G60,INDEX('Control Sheet'!$I$46:$K$65,'Dependency (hide)'!C165,0),0),"")</f>
        <v/>
      </c>
      <c r="E165">
        <f>IF(A165&lt;&gt;"",'Dependency setup'!D60*'Dependency setup'!E60,0)</f>
        <v>0</v>
      </c>
      <c r="F165" t="str">
        <f t="shared" si="2"/>
        <v/>
      </c>
      <c r="G165">
        <f>'Dependency setup'!H60</f>
        <v>0</v>
      </c>
      <c r="H165">
        <f>'Dependency setup'!I60</f>
        <v>0</v>
      </c>
      <c r="I165">
        <f>IF('Dependency setup'!A60=1,IF(AND(ISNA(A165)=FALSE,ISNA(B165)=FALSE,ISNA(C165)=FALSE,ISNA(D165)=FALSE),IF(AND(A165=C165,B165=D165),0,1),0),0)</f>
        <v>0</v>
      </c>
      <c r="K165" t="str">
        <f t="shared" si="3"/>
        <v/>
      </c>
      <c r="L165" t="str">
        <f t="shared" si="4"/>
        <v/>
      </c>
      <c r="N165" t="str">
        <f>IF('Dependency setup'!B60&lt;&gt;"",MATCH('Dependency setup'!B60,'Data files'!$A$16:$A$35,0),"")</f>
        <v/>
      </c>
      <c r="O165" t="str">
        <f>IF('Dependency setup'!F60&lt;&gt;"",MATCH('Dependency setup'!F60,'Data files'!$A$16:$A$35,0),"")</f>
        <v/>
      </c>
      <c r="P165" t="str">
        <f t="shared" si="5"/>
        <v/>
      </c>
      <c r="Q165" t="str">
        <f t="shared" si="6"/>
        <v/>
      </c>
      <c r="R165" t="str">
        <f t="shared" si="7"/>
        <v/>
      </c>
      <c r="S165" s="103" t="str">
        <f t="shared" ca="1" si="8"/>
        <v/>
      </c>
      <c r="X165">
        <v>0</v>
      </c>
      <c r="Z165">
        <v>0</v>
      </c>
      <c r="AA165">
        <v>0</v>
      </c>
      <c r="AB165">
        <v>0</v>
      </c>
    </row>
    <row r="166" spans="1:28" x14ac:dyDescent="0.25">
      <c r="A166" s="157" t="str">
        <f>IF(AND('Dependency setup'!B61&lt;&gt;"",'Dependency setup'!A61=1), MATCH('Dependency setup'!B61,'Data files'!$A$16:$A$35,0),"")</f>
        <v/>
      </c>
      <c r="B166" t="str">
        <f>IF(A166&lt;&gt;"",MATCH('Dependency setup'!C61,INDEX('Control Sheet'!$I$46:$K$65,'Dependency (hide)'!A166,0),0),"")</f>
        <v/>
      </c>
      <c r="C166" s="157" t="str">
        <f>IF(A166&lt;&gt;"", MATCH('Dependency setup'!F61,'Data files'!$A$16:$A$35,0),"")</f>
        <v/>
      </c>
      <c r="D166" t="str">
        <f>IF(C166&lt;&gt;"",MATCH('Dependency setup'!G61,INDEX('Control Sheet'!$I$46:$K$65,'Dependency (hide)'!C166,0),0),"")</f>
        <v/>
      </c>
      <c r="E166">
        <f>IF(A166&lt;&gt;"",'Dependency setup'!D61*'Dependency setup'!E61,0)</f>
        <v>0</v>
      </c>
      <c r="F166" t="str">
        <f t="shared" si="2"/>
        <v/>
      </c>
      <c r="G166">
        <f>'Dependency setup'!H61</f>
        <v>0</v>
      </c>
      <c r="H166">
        <f>'Dependency setup'!I61</f>
        <v>0</v>
      </c>
      <c r="I166">
        <f>IF('Dependency setup'!A61=1,IF(AND(ISNA(A166)=FALSE,ISNA(B166)=FALSE,ISNA(C166)=FALSE,ISNA(D166)=FALSE),IF(AND(A166=C166,B166=D166),0,1),0),0)</f>
        <v>0</v>
      </c>
      <c r="K166" t="str">
        <f t="shared" si="3"/>
        <v/>
      </c>
      <c r="L166" t="str">
        <f t="shared" si="4"/>
        <v/>
      </c>
      <c r="N166" t="str">
        <f>IF('Dependency setup'!B61&lt;&gt;"",MATCH('Dependency setup'!B61,'Data files'!$A$16:$A$35,0),"")</f>
        <v/>
      </c>
      <c r="O166" t="str">
        <f>IF('Dependency setup'!F61&lt;&gt;"",MATCH('Dependency setup'!F61,'Data files'!$A$16:$A$35,0),"")</f>
        <v/>
      </c>
      <c r="P166" t="str">
        <f t="shared" si="5"/>
        <v/>
      </c>
      <c r="Q166" t="str">
        <f t="shared" si="6"/>
        <v/>
      </c>
      <c r="R166" t="str">
        <f t="shared" si="7"/>
        <v/>
      </c>
      <c r="S166" s="103" t="str">
        <f t="shared" ca="1" si="8"/>
        <v/>
      </c>
      <c r="X166">
        <v>0</v>
      </c>
      <c r="Z166">
        <v>0</v>
      </c>
      <c r="AA166">
        <v>0</v>
      </c>
      <c r="AB166">
        <v>0</v>
      </c>
    </row>
    <row r="167" spans="1:28" x14ac:dyDescent="0.25">
      <c r="A167" s="157" t="str">
        <f>IF(AND('Dependency setup'!B62&lt;&gt;"",'Dependency setup'!A62=1), MATCH('Dependency setup'!B62,'Data files'!$A$16:$A$35,0),"")</f>
        <v/>
      </c>
      <c r="B167" t="str">
        <f>IF(A167&lt;&gt;"",MATCH('Dependency setup'!C62,INDEX('Control Sheet'!$I$46:$K$65,'Dependency (hide)'!A167,0),0),"")</f>
        <v/>
      </c>
      <c r="C167" s="157" t="str">
        <f>IF(A167&lt;&gt;"", MATCH('Dependency setup'!F62,'Data files'!$A$16:$A$35,0),"")</f>
        <v/>
      </c>
      <c r="D167" t="str">
        <f>IF(C167&lt;&gt;"",MATCH('Dependency setup'!G62,INDEX('Control Sheet'!$I$46:$K$65,'Dependency (hide)'!C167,0),0),"")</f>
        <v/>
      </c>
      <c r="E167">
        <f>IF(A167&lt;&gt;"",'Dependency setup'!D62*'Dependency setup'!E62,0)</f>
        <v>0</v>
      </c>
      <c r="F167" t="str">
        <f t="shared" si="2"/>
        <v/>
      </c>
      <c r="G167">
        <f>'Dependency setup'!H62</f>
        <v>0</v>
      </c>
      <c r="H167">
        <f>'Dependency setup'!I62</f>
        <v>0</v>
      </c>
      <c r="I167">
        <f>IF('Dependency setup'!A62=1,IF(AND(ISNA(A167)=FALSE,ISNA(B167)=FALSE,ISNA(C167)=FALSE,ISNA(D167)=FALSE),IF(AND(A167=C167,B167=D167),0,1),0),0)</f>
        <v>0</v>
      </c>
      <c r="K167" t="str">
        <f t="shared" si="3"/>
        <v/>
      </c>
      <c r="L167" t="str">
        <f t="shared" si="4"/>
        <v/>
      </c>
      <c r="N167" t="str">
        <f>IF('Dependency setup'!B62&lt;&gt;"",MATCH('Dependency setup'!B62,'Data files'!$A$16:$A$35,0),"")</f>
        <v/>
      </c>
      <c r="O167" t="str">
        <f>IF('Dependency setup'!F62&lt;&gt;"",MATCH('Dependency setup'!F62,'Data files'!$A$16:$A$35,0),"")</f>
        <v/>
      </c>
      <c r="P167" t="str">
        <f t="shared" si="5"/>
        <v/>
      </c>
      <c r="Q167" t="str">
        <f t="shared" si="6"/>
        <v/>
      </c>
      <c r="R167" t="str">
        <f t="shared" si="7"/>
        <v/>
      </c>
      <c r="S167" s="103" t="str">
        <f t="shared" ca="1" si="8"/>
        <v/>
      </c>
      <c r="X167">
        <v>0</v>
      </c>
      <c r="Z167">
        <v>0</v>
      </c>
      <c r="AA167">
        <v>0</v>
      </c>
      <c r="AB167">
        <v>0</v>
      </c>
    </row>
    <row r="168" spans="1:28" x14ac:dyDescent="0.25">
      <c r="A168" s="157" t="str">
        <f>IF(AND('Dependency setup'!B63&lt;&gt;"",'Dependency setup'!A63=1), MATCH('Dependency setup'!B63,'Data files'!$A$16:$A$35,0),"")</f>
        <v/>
      </c>
      <c r="B168" t="str">
        <f>IF(A168&lt;&gt;"",MATCH('Dependency setup'!C63,INDEX('Control Sheet'!$I$46:$K$65,'Dependency (hide)'!A168,0),0),"")</f>
        <v/>
      </c>
      <c r="C168" s="157" t="str">
        <f>IF(A168&lt;&gt;"", MATCH('Dependency setup'!F63,'Data files'!$A$16:$A$35,0),"")</f>
        <v/>
      </c>
      <c r="D168" t="str">
        <f>IF(C168&lt;&gt;"",MATCH('Dependency setup'!G63,INDEX('Control Sheet'!$I$46:$K$65,'Dependency (hide)'!C168,0),0),"")</f>
        <v/>
      </c>
      <c r="E168">
        <f>IF(A168&lt;&gt;"",'Dependency setup'!D63*'Dependency setup'!E63,0)</f>
        <v>0</v>
      </c>
      <c r="F168" t="str">
        <f t="shared" si="2"/>
        <v/>
      </c>
      <c r="G168">
        <f>'Dependency setup'!H63</f>
        <v>0</v>
      </c>
      <c r="H168">
        <f>'Dependency setup'!I63</f>
        <v>0</v>
      </c>
      <c r="I168">
        <f>IF('Dependency setup'!A63=1,IF(AND(ISNA(A168)=FALSE,ISNA(B168)=FALSE,ISNA(C168)=FALSE,ISNA(D168)=FALSE),IF(AND(A168=C168,B168=D168),0,1),0),0)</f>
        <v>0</v>
      </c>
      <c r="K168" t="str">
        <f t="shared" si="3"/>
        <v/>
      </c>
      <c r="L168" t="str">
        <f t="shared" si="4"/>
        <v/>
      </c>
      <c r="N168" t="str">
        <f>IF('Dependency setup'!B63&lt;&gt;"",MATCH('Dependency setup'!B63,'Data files'!$A$16:$A$35,0),"")</f>
        <v/>
      </c>
      <c r="O168" t="str">
        <f>IF('Dependency setup'!F63&lt;&gt;"",MATCH('Dependency setup'!F63,'Data files'!$A$16:$A$35,0),"")</f>
        <v/>
      </c>
      <c r="P168" t="str">
        <f t="shared" si="5"/>
        <v/>
      </c>
      <c r="Q168" t="str">
        <f t="shared" si="6"/>
        <v/>
      </c>
      <c r="R168" t="str">
        <f t="shared" si="7"/>
        <v/>
      </c>
      <c r="S168" s="103" t="str">
        <f t="shared" ca="1" si="8"/>
        <v/>
      </c>
      <c r="X168">
        <v>0</v>
      </c>
      <c r="Z168">
        <v>0</v>
      </c>
      <c r="AA168">
        <v>0</v>
      </c>
      <c r="AB168">
        <v>0</v>
      </c>
    </row>
    <row r="169" spans="1:28" x14ac:dyDescent="0.25">
      <c r="A169" s="157" t="str">
        <f>IF(AND('Dependency setup'!B64&lt;&gt;"",'Dependency setup'!A64=1), MATCH('Dependency setup'!B64,'Data files'!$A$16:$A$35,0),"")</f>
        <v/>
      </c>
      <c r="B169" t="str">
        <f>IF(A169&lt;&gt;"",MATCH('Dependency setup'!C64,INDEX('Control Sheet'!$I$46:$K$65,'Dependency (hide)'!A169,0),0),"")</f>
        <v/>
      </c>
      <c r="C169" s="157" t="str">
        <f>IF(A169&lt;&gt;"", MATCH('Dependency setup'!F64,'Data files'!$A$16:$A$35,0),"")</f>
        <v/>
      </c>
      <c r="D169" t="str">
        <f>IF(C169&lt;&gt;"",MATCH('Dependency setup'!G64,INDEX('Control Sheet'!$I$46:$K$65,'Dependency (hide)'!C169,0),0),"")</f>
        <v/>
      </c>
      <c r="E169">
        <f>IF(A169&lt;&gt;"",'Dependency setup'!D64*'Dependency setup'!E64,0)</f>
        <v>0</v>
      </c>
      <c r="F169" t="str">
        <f t="shared" si="2"/>
        <v/>
      </c>
      <c r="G169">
        <f>'Dependency setup'!H64</f>
        <v>0</v>
      </c>
      <c r="H169">
        <f>'Dependency setup'!I64</f>
        <v>0</v>
      </c>
      <c r="I169">
        <f>IF('Dependency setup'!A64=1,IF(AND(ISNA(A169)=FALSE,ISNA(B169)=FALSE,ISNA(C169)=FALSE,ISNA(D169)=FALSE),IF(AND(A169=C169,B169=D169),0,1),0),0)</f>
        <v>0</v>
      </c>
      <c r="K169" t="str">
        <f t="shared" si="3"/>
        <v/>
      </c>
      <c r="L169" t="str">
        <f t="shared" si="4"/>
        <v/>
      </c>
      <c r="N169" t="str">
        <f>IF('Dependency setup'!B64&lt;&gt;"",MATCH('Dependency setup'!B64,'Data files'!$A$16:$A$35,0),"")</f>
        <v/>
      </c>
      <c r="O169" t="str">
        <f>IF('Dependency setup'!F64&lt;&gt;"",MATCH('Dependency setup'!F64,'Data files'!$A$16:$A$35,0),"")</f>
        <v/>
      </c>
      <c r="P169" t="str">
        <f t="shared" si="5"/>
        <v/>
      </c>
      <c r="Q169" t="str">
        <f t="shared" si="6"/>
        <v/>
      </c>
      <c r="R169" t="str">
        <f t="shared" si="7"/>
        <v/>
      </c>
      <c r="S169" s="103" t="str">
        <f t="shared" ca="1" si="8"/>
        <v/>
      </c>
      <c r="X169">
        <v>0</v>
      </c>
      <c r="Z169">
        <v>0</v>
      </c>
      <c r="AA169">
        <v>0</v>
      </c>
      <c r="AB169">
        <v>0</v>
      </c>
    </row>
    <row r="170" spans="1:28" x14ac:dyDescent="0.25">
      <c r="A170" s="157" t="str">
        <f>IF(AND('Dependency setup'!B65&lt;&gt;"",'Dependency setup'!A65=1), MATCH('Dependency setup'!B65,'Data files'!$A$16:$A$35,0),"")</f>
        <v/>
      </c>
      <c r="B170" t="str">
        <f>IF(A170&lt;&gt;"",MATCH('Dependency setup'!C65,INDEX('Control Sheet'!$I$46:$K$65,'Dependency (hide)'!A170,0),0),"")</f>
        <v/>
      </c>
      <c r="C170" s="157" t="str">
        <f>IF(A170&lt;&gt;"", MATCH('Dependency setup'!F65,'Data files'!$A$16:$A$35,0),"")</f>
        <v/>
      </c>
      <c r="D170" t="str">
        <f>IF(C170&lt;&gt;"",MATCH('Dependency setup'!G65,INDEX('Control Sheet'!$I$46:$K$65,'Dependency (hide)'!C170,0),0),"")</f>
        <v/>
      </c>
      <c r="E170">
        <f>IF(A170&lt;&gt;"",'Dependency setup'!D65*'Dependency setup'!E65,0)</f>
        <v>0</v>
      </c>
      <c r="F170" t="str">
        <f t="shared" si="2"/>
        <v/>
      </c>
      <c r="G170">
        <f>'Dependency setup'!H65</f>
        <v>0</v>
      </c>
      <c r="H170">
        <f>'Dependency setup'!I65</f>
        <v>0</v>
      </c>
      <c r="I170">
        <f>IF('Dependency setup'!A65=1,IF(AND(ISNA(A170)=FALSE,ISNA(B170)=FALSE,ISNA(C170)=FALSE,ISNA(D170)=FALSE),IF(AND(A170=C170,B170=D170),0,1),0),0)</f>
        <v>0</v>
      </c>
      <c r="K170" t="str">
        <f t="shared" si="3"/>
        <v/>
      </c>
      <c r="L170" t="str">
        <f t="shared" si="4"/>
        <v/>
      </c>
      <c r="N170" t="str">
        <f>IF('Dependency setup'!B65&lt;&gt;"",MATCH('Dependency setup'!B65,'Data files'!$A$16:$A$35,0),"")</f>
        <v/>
      </c>
      <c r="O170" t="str">
        <f>IF('Dependency setup'!F65&lt;&gt;"",MATCH('Dependency setup'!F65,'Data files'!$A$16:$A$35,0),"")</f>
        <v/>
      </c>
      <c r="P170" t="str">
        <f t="shared" si="5"/>
        <v/>
      </c>
      <c r="Q170" t="str">
        <f t="shared" si="6"/>
        <v/>
      </c>
      <c r="R170" t="str">
        <f t="shared" si="7"/>
        <v/>
      </c>
      <c r="S170" s="103" t="str">
        <f t="shared" ca="1" si="8"/>
        <v/>
      </c>
      <c r="X170">
        <v>0</v>
      </c>
      <c r="Z170">
        <v>0</v>
      </c>
      <c r="AA170">
        <v>0</v>
      </c>
      <c r="AB170">
        <v>0</v>
      </c>
    </row>
    <row r="171" spans="1:28" x14ac:dyDescent="0.25">
      <c r="A171" s="157" t="str">
        <f>IF(AND('Dependency setup'!B66&lt;&gt;"",'Dependency setup'!A66=1), MATCH('Dependency setup'!B66,'Data files'!$A$16:$A$35,0),"")</f>
        <v/>
      </c>
      <c r="B171" t="str">
        <f>IF(A171&lt;&gt;"",MATCH('Dependency setup'!C66,INDEX('Control Sheet'!$I$46:$K$65,'Dependency (hide)'!A171,0),0),"")</f>
        <v/>
      </c>
      <c r="C171" s="157" t="str">
        <f>IF(A171&lt;&gt;"", MATCH('Dependency setup'!F66,'Data files'!$A$16:$A$35,0),"")</f>
        <v/>
      </c>
      <c r="D171" t="str">
        <f>IF(C171&lt;&gt;"",MATCH('Dependency setup'!G66,INDEX('Control Sheet'!$I$46:$K$65,'Dependency (hide)'!C171,0),0),"")</f>
        <v/>
      </c>
      <c r="E171">
        <f>IF(A171&lt;&gt;"",'Dependency setup'!D66*'Dependency setup'!E66,0)</f>
        <v>0</v>
      </c>
      <c r="F171" t="str">
        <f t="shared" si="2"/>
        <v/>
      </c>
      <c r="G171">
        <f>'Dependency setup'!H66</f>
        <v>0</v>
      </c>
      <c r="H171">
        <f>'Dependency setup'!I66</f>
        <v>0</v>
      </c>
      <c r="I171">
        <f>IF('Dependency setup'!A66=1,IF(AND(ISNA(A171)=FALSE,ISNA(B171)=FALSE,ISNA(C171)=FALSE,ISNA(D171)=FALSE),IF(AND(A171=C171,B171=D171),0,1),0),0)</f>
        <v>0</v>
      </c>
      <c r="K171" t="str">
        <f t="shared" si="3"/>
        <v/>
      </c>
      <c r="L171" t="str">
        <f t="shared" si="4"/>
        <v/>
      </c>
      <c r="N171" t="str">
        <f>IF('Dependency setup'!B66&lt;&gt;"",MATCH('Dependency setup'!B66,'Data files'!$A$16:$A$35,0),"")</f>
        <v/>
      </c>
      <c r="O171" t="str">
        <f>IF('Dependency setup'!F66&lt;&gt;"",MATCH('Dependency setup'!F66,'Data files'!$A$16:$A$35,0),"")</f>
        <v/>
      </c>
      <c r="P171" t="str">
        <f t="shared" si="5"/>
        <v/>
      </c>
      <c r="Q171" t="str">
        <f t="shared" si="6"/>
        <v/>
      </c>
      <c r="R171" t="str">
        <f t="shared" si="7"/>
        <v/>
      </c>
      <c r="S171" s="103" t="str">
        <f t="shared" ca="1" si="8"/>
        <v/>
      </c>
      <c r="X171">
        <v>0</v>
      </c>
      <c r="Z171">
        <v>0</v>
      </c>
      <c r="AA171">
        <v>0</v>
      </c>
      <c r="AB171">
        <v>0</v>
      </c>
    </row>
    <row r="172" spans="1:28" x14ac:dyDescent="0.25">
      <c r="A172" s="157" t="str">
        <f>IF(AND('Dependency setup'!B67&lt;&gt;"",'Dependency setup'!A67=1), MATCH('Dependency setup'!B67,'Data files'!$A$16:$A$35,0),"")</f>
        <v/>
      </c>
      <c r="B172" t="str">
        <f>IF(A172&lt;&gt;"",MATCH('Dependency setup'!C67,INDEX('Control Sheet'!$I$46:$K$65,'Dependency (hide)'!A172,0),0),"")</f>
        <v/>
      </c>
      <c r="C172" s="157" t="str">
        <f>IF(A172&lt;&gt;"", MATCH('Dependency setup'!F67,'Data files'!$A$16:$A$35,0),"")</f>
        <v/>
      </c>
      <c r="D172" t="str">
        <f>IF(C172&lt;&gt;"",MATCH('Dependency setup'!G67,INDEX('Control Sheet'!$I$46:$K$65,'Dependency (hide)'!C172,0),0),"")</f>
        <v/>
      </c>
      <c r="E172">
        <f>IF(A172&lt;&gt;"",'Dependency setup'!D67*'Dependency setup'!E67,0)</f>
        <v>0</v>
      </c>
      <c r="F172" t="str">
        <f t="shared" si="2"/>
        <v/>
      </c>
      <c r="G172">
        <f>'Dependency setup'!H67</f>
        <v>0</v>
      </c>
      <c r="H172">
        <f>'Dependency setup'!I67</f>
        <v>0</v>
      </c>
      <c r="I172">
        <f>IF('Dependency setup'!A67=1,IF(AND(ISNA(A172)=FALSE,ISNA(B172)=FALSE,ISNA(C172)=FALSE,ISNA(D172)=FALSE),IF(AND(A172=C172,B172=D172),0,1),0),0)</f>
        <v>0</v>
      </c>
      <c r="K172" t="str">
        <f t="shared" si="3"/>
        <v/>
      </c>
      <c r="L172" t="str">
        <f t="shared" si="4"/>
        <v/>
      </c>
      <c r="N172" t="str">
        <f>IF('Dependency setup'!B67&lt;&gt;"",MATCH('Dependency setup'!B67,'Data files'!$A$16:$A$35,0),"")</f>
        <v/>
      </c>
      <c r="O172" t="str">
        <f>IF('Dependency setup'!F67&lt;&gt;"",MATCH('Dependency setup'!F67,'Data files'!$A$16:$A$35,0),"")</f>
        <v/>
      </c>
      <c r="P172" t="str">
        <f t="shared" si="5"/>
        <v/>
      </c>
      <c r="Q172" t="str">
        <f t="shared" si="6"/>
        <v/>
      </c>
      <c r="R172" t="str">
        <f t="shared" si="7"/>
        <v/>
      </c>
      <c r="S172" s="103" t="str">
        <f t="shared" ca="1" si="8"/>
        <v/>
      </c>
      <c r="X172">
        <v>0</v>
      </c>
      <c r="Z172">
        <v>0</v>
      </c>
      <c r="AA172">
        <v>0</v>
      </c>
      <c r="AB172">
        <v>0</v>
      </c>
    </row>
    <row r="237" ht="18" customHeight="1" x14ac:dyDescent="0.25"/>
  </sheetData>
  <dataConsolidate link="1"/>
  <conditionalFormatting sqref="W112:X112 A112:I112 T112">
    <cfRule type="duplicateValues" dxfId="10" priority="4"/>
  </conditionalFormatting>
  <conditionalFormatting sqref="G11">
    <cfRule type="expression" priority="2">
      <formula>IF(ina($D113),1,0)</formula>
    </cfRule>
  </conditionalFormatting>
  <conditionalFormatting sqref="E8:E67">
    <cfRule type="expression" priority="1">
      <formula>IF(ISNA($D113),1,0)</formula>
    </cfRule>
  </conditionalFormatting>
  <conditionalFormatting sqref="N111:N112 O112:S112">
    <cfRule type="duplicateValues" dxfId="9" priority="28"/>
  </conditionalFormatting>
  <pageMargins left="0.7" right="0.7" top="0.75" bottom="0.75" header="0.3" footer="0.3"/>
  <pageSetup paperSize="9" orientation="portrait" horizontalDpi="90" verticalDpi="90" r:id="rId1"/>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FB9D0A-A65B-4DA3-A8AA-5DFF64AA890F}">
  <sheetPr codeName="Sheet31"/>
  <dimension ref="A2:AC69"/>
  <sheetViews>
    <sheetView showGridLines="0" showRowColHeaders="0" workbookViewId="0">
      <pane ySplit="17" topLeftCell="A18" activePane="bottomLeft" state="frozenSplit"/>
      <selection pane="bottomLeft" activeCell="E4" sqref="E4:H4"/>
    </sheetView>
  </sheetViews>
  <sheetFormatPr defaultRowHeight="13.8" x14ac:dyDescent="0.25"/>
  <cols>
    <col min="1" max="1" width="28.19921875" bestFit="1" customWidth="1"/>
    <col min="2" max="2" width="20.59765625" customWidth="1"/>
    <col min="5" max="5" width="9.8984375" bestFit="1" customWidth="1"/>
  </cols>
  <sheetData>
    <row r="2" spans="1:29" x14ac:dyDescent="0.25">
      <c r="A2" s="26" t="str">
        <f>'Data files'!D4&amp;IF('Data files'!D4&lt;&gt;"",", ","")&amp;'Data files'!D7&amp;IF(ISERROR(FIND("SERVICE",UPPER('Data files'!D7),1))=FALSE,""," Service")</f>
        <v>Test Trust, Test service</v>
      </c>
      <c r="B2" s="27"/>
      <c r="C2" s="27"/>
      <c r="D2" s="27"/>
      <c r="E2" s="27"/>
      <c r="F2" s="27"/>
      <c r="G2" s="27"/>
      <c r="H2" s="27"/>
      <c r="I2" s="27"/>
      <c r="J2" s="27"/>
      <c r="K2" s="27"/>
      <c r="L2" s="27"/>
      <c r="M2" s="27"/>
      <c r="N2" s="27"/>
      <c r="O2" s="27"/>
      <c r="P2" s="27"/>
      <c r="Q2" s="27"/>
      <c r="R2" s="27"/>
      <c r="S2" s="27"/>
      <c r="T2" s="119"/>
      <c r="U2" s="119"/>
      <c r="V2" s="119"/>
      <c r="W2" s="119"/>
      <c r="X2" s="119"/>
      <c r="Y2" s="119"/>
      <c r="Z2" s="119"/>
      <c r="AA2" s="119"/>
      <c r="AB2" s="119"/>
      <c r="AC2" s="119"/>
    </row>
    <row r="4" spans="1:29" x14ac:dyDescent="0.25">
      <c r="A4" t="s">
        <v>1042</v>
      </c>
      <c r="E4" s="270" t="s">
        <v>1475</v>
      </c>
      <c r="F4" s="271"/>
      <c r="G4" s="271"/>
      <c r="H4" s="272"/>
    </row>
    <row r="5" spans="1:29" x14ac:dyDescent="0.25">
      <c r="A5" t="s">
        <v>1358</v>
      </c>
      <c r="E5" s="259" t="s">
        <v>815</v>
      </c>
      <c r="F5" s="277"/>
      <c r="G5" s="277"/>
      <c r="H5" s="260"/>
    </row>
    <row r="7" spans="1:29" x14ac:dyDescent="0.25">
      <c r="A7" s="161" t="s">
        <v>1337</v>
      </c>
      <c r="B7" s="169">
        <f>INDEX('WL Balance (hide)'!WL_Current,'Time based aggregation (hide)'!$D$1,'Time based aggregation (hide)'!$J$1)</f>
        <v>56.78321678321678</v>
      </c>
    </row>
    <row r="8" spans="1:29" x14ac:dyDescent="0.25">
      <c r="A8" s="161" t="s">
        <v>1338</v>
      </c>
      <c r="B8" s="170" t="str">
        <f>TEXT('Time based aggregation (hide)'!D2,"#,#")&amp;" - "&amp;TEXT('Time based aggregation (hide)'!E2,"#,#")</f>
        <v>40 - 44</v>
      </c>
    </row>
    <row r="9" spans="1:29" x14ac:dyDescent="0.25">
      <c r="A9" s="161" t="s">
        <v>1373</v>
      </c>
      <c r="B9" s="176">
        <f>IF(B7&gt;'Time based aggregation (hide)'!E2,B7-'Time based aggregation (hide)'!E2,"--")</f>
        <v>12.78321678321678</v>
      </c>
      <c r="E9" s="171" t="s">
        <v>1375</v>
      </c>
      <c r="F9" s="172">
        <f>SUM(B18:B69)</f>
        <v>0</v>
      </c>
    </row>
    <row r="10" spans="1:29" x14ac:dyDescent="0.25">
      <c r="E10" s="171" t="s">
        <v>1376</v>
      </c>
      <c r="F10" s="175">
        <f>IF(B9="--","--",IF(B9-F9&lt;=0,"--",B9-F9))</f>
        <v>12.78321678321678</v>
      </c>
      <c r="G10" t="str">
        <f>IF(F9&gt;=B7,"You are clearing more patients than you currently have on your waiting list: Please check if you are certain you want to do this.","")</f>
        <v/>
      </c>
    </row>
    <row r="11" spans="1:29" hidden="1" x14ac:dyDescent="0.25"/>
    <row r="12" spans="1:29" hidden="1" x14ac:dyDescent="0.25"/>
    <row r="13" spans="1:29" hidden="1" x14ac:dyDescent="0.25"/>
    <row r="14" spans="1:29" hidden="1" x14ac:dyDescent="0.25"/>
    <row r="16" spans="1:29" x14ac:dyDescent="0.25">
      <c r="A16" s="292" t="s">
        <v>1347</v>
      </c>
      <c r="B16" s="291" t="s">
        <v>1339</v>
      </c>
    </row>
    <row r="17" spans="1:2" x14ac:dyDescent="0.25">
      <c r="A17" s="292"/>
      <c r="B17" s="291"/>
    </row>
    <row r="18" spans="1:2" x14ac:dyDescent="0.25">
      <c r="A18" s="162">
        <f>'Reference dates (hide)'!C43</f>
        <v>43829</v>
      </c>
      <c r="B18" s="173">
        <v>0</v>
      </c>
    </row>
    <row r="19" spans="1:2" x14ac:dyDescent="0.25">
      <c r="A19" s="162">
        <f>A18+7</f>
        <v>43836</v>
      </c>
      <c r="B19" s="173">
        <v>0</v>
      </c>
    </row>
    <row r="20" spans="1:2" x14ac:dyDescent="0.25">
      <c r="A20" s="162">
        <f t="shared" ref="A20:A69" si="0">A19+7</f>
        <v>43843</v>
      </c>
      <c r="B20" s="173">
        <v>0</v>
      </c>
    </row>
    <row r="21" spans="1:2" x14ac:dyDescent="0.25">
      <c r="A21" s="162">
        <f t="shared" si="0"/>
        <v>43850</v>
      </c>
      <c r="B21" s="173">
        <v>0</v>
      </c>
    </row>
    <row r="22" spans="1:2" x14ac:dyDescent="0.25">
      <c r="A22" s="162">
        <f t="shared" si="0"/>
        <v>43857</v>
      </c>
      <c r="B22" s="173">
        <v>0</v>
      </c>
    </row>
    <row r="23" spans="1:2" x14ac:dyDescent="0.25">
      <c r="A23" s="162">
        <f t="shared" si="0"/>
        <v>43864</v>
      </c>
      <c r="B23" s="173">
        <v>0</v>
      </c>
    </row>
    <row r="24" spans="1:2" x14ac:dyDescent="0.25">
      <c r="A24" s="162">
        <f t="shared" si="0"/>
        <v>43871</v>
      </c>
      <c r="B24" s="173">
        <v>0</v>
      </c>
    </row>
    <row r="25" spans="1:2" x14ac:dyDescent="0.25">
      <c r="A25" s="162">
        <f t="shared" si="0"/>
        <v>43878</v>
      </c>
      <c r="B25" s="173">
        <v>0</v>
      </c>
    </row>
    <row r="26" spans="1:2" x14ac:dyDescent="0.25">
      <c r="A26" s="162">
        <f t="shared" si="0"/>
        <v>43885</v>
      </c>
      <c r="B26" s="173">
        <v>0</v>
      </c>
    </row>
    <row r="27" spans="1:2" x14ac:dyDescent="0.25">
      <c r="A27" s="162">
        <f t="shared" si="0"/>
        <v>43892</v>
      </c>
      <c r="B27" s="173">
        <v>0</v>
      </c>
    </row>
    <row r="28" spans="1:2" x14ac:dyDescent="0.25">
      <c r="A28" s="162">
        <f t="shared" si="0"/>
        <v>43899</v>
      </c>
      <c r="B28" s="173">
        <v>0</v>
      </c>
    </row>
    <row r="29" spans="1:2" x14ac:dyDescent="0.25">
      <c r="A29" s="162">
        <f t="shared" si="0"/>
        <v>43906</v>
      </c>
      <c r="B29" s="173">
        <v>0</v>
      </c>
    </row>
    <row r="30" spans="1:2" x14ac:dyDescent="0.25">
      <c r="A30" s="162">
        <f t="shared" si="0"/>
        <v>43913</v>
      </c>
      <c r="B30" s="173">
        <v>0</v>
      </c>
    </row>
    <row r="31" spans="1:2" x14ac:dyDescent="0.25">
      <c r="A31" s="162">
        <f t="shared" si="0"/>
        <v>43920</v>
      </c>
      <c r="B31" s="173">
        <v>0</v>
      </c>
    </row>
    <row r="32" spans="1:2" x14ac:dyDescent="0.25">
      <c r="A32" s="162">
        <f t="shared" si="0"/>
        <v>43927</v>
      </c>
      <c r="B32" s="173">
        <v>0</v>
      </c>
    </row>
    <row r="33" spans="1:2" x14ac:dyDescent="0.25">
      <c r="A33" s="162">
        <f t="shared" si="0"/>
        <v>43934</v>
      </c>
      <c r="B33" s="173">
        <v>0</v>
      </c>
    </row>
    <row r="34" spans="1:2" x14ac:dyDescent="0.25">
      <c r="A34" s="162">
        <f t="shared" si="0"/>
        <v>43941</v>
      </c>
      <c r="B34" s="173">
        <v>0</v>
      </c>
    </row>
    <row r="35" spans="1:2" x14ac:dyDescent="0.25">
      <c r="A35" s="162">
        <f t="shared" si="0"/>
        <v>43948</v>
      </c>
      <c r="B35" s="173">
        <v>0</v>
      </c>
    </row>
    <row r="36" spans="1:2" x14ac:dyDescent="0.25">
      <c r="A36" s="162">
        <f t="shared" si="0"/>
        <v>43955</v>
      </c>
      <c r="B36" s="173">
        <v>0</v>
      </c>
    </row>
    <row r="37" spans="1:2" x14ac:dyDescent="0.25">
      <c r="A37" s="162">
        <f t="shared" si="0"/>
        <v>43962</v>
      </c>
      <c r="B37" s="173">
        <v>0</v>
      </c>
    </row>
    <row r="38" spans="1:2" x14ac:dyDescent="0.25">
      <c r="A38" s="162">
        <f t="shared" si="0"/>
        <v>43969</v>
      </c>
      <c r="B38" s="173">
        <v>0</v>
      </c>
    </row>
    <row r="39" spans="1:2" x14ac:dyDescent="0.25">
      <c r="A39" s="162">
        <f t="shared" si="0"/>
        <v>43976</v>
      </c>
      <c r="B39" s="173">
        <v>0</v>
      </c>
    </row>
    <row r="40" spans="1:2" x14ac:dyDescent="0.25">
      <c r="A40" s="162">
        <f t="shared" si="0"/>
        <v>43983</v>
      </c>
      <c r="B40" s="173">
        <v>0</v>
      </c>
    </row>
    <row r="41" spans="1:2" x14ac:dyDescent="0.25">
      <c r="A41" s="162">
        <f t="shared" si="0"/>
        <v>43990</v>
      </c>
      <c r="B41" s="173">
        <v>0</v>
      </c>
    </row>
    <row r="42" spans="1:2" x14ac:dyDescent="0.25">
      <c r="A42" s="162">
        <f t="shared" si="0"/>
        <v>43997</v>
      </c>
      <c r="B42" s="173">
        <v>0</v>
      </c>
    </row>
    <row r="43" spans="1:2" x14ac:dyDescent="0.25">
      <c r="A43" s="162">
        <f t="shared" si="0"/>
        <v>44004</v>
      </c>
      <c r="B43" s="173">
        <v>0</v>
      </c>
    </row>
    <row r="44" spans="1:2" x14ac:dyDescent="0.25">
      <c r="A44" s="162">
        <f t="shared" si="0"/>
        <v>44011</v>
      </c>
      <c r="B44" s="173">
        <v>0</v>
      </c>
    </row>
    <row r="45" spans="1:2" x14ac:dyDescent="0.25">
      <c r="A45" s="162">
        <f t="shared" si="0"/>
        <v>44018</v>
      </c>
      <c r="B45" s="173">
        <v>0</v>
      </c>
    </row>
    <row r="46" spans="1:2" x14ac:dyDescent="0.25">
      <c r="A46" s="162">
        <f t="shared" si="0"/>
        <v>44025</v>
      </c>
      <c r="B46" s="173">
        <v>0</v>
      </c>
    </row>
    <row r="47" spans="1:2" x14ac:dyDescent="0.25">
      <c r="A47" s="162">
        <f t="shared" si="0"/>
        <v>44032</v>
      </c>
      <c r="B47" s="173">
        <v>0</v>
      </c>
    </row>
    <row r="48" spans="1:2" x14ac:dyDescent="0.25">
      <c r="A48" s="162">
        <f t="shared" si="0"/>
        <v>44039</v>
      </c>
      <c r="B48" s="173">
        <v>0</v>
      </c>
    </row>
    <row r="49" spans="1:2" x14ac:dyDescent="0.25">
      <c r="A49" s="162">
        <f t="shared" si="0"/>
        <v>44046</v>
      </c>
      <c r="B49" s="173">
        <v>0</v>
      </c>
    </row>
    <row r="50" spans="1:2" x14ac:dyDescent="0.25">
      <c r="A50" s="162">
        <f t="shared" si="0"/>
        <v>44053</v>
      </c>
      <c r="B50" s="173">
        <v>0</v>
      </c>
    </row>
    <row r="51" spans="1:2" x14ac:dyDescent="0.25">
      <c r="A51" s="162">
        <f t="shared" si="0"/>
        <v>44060</v>
      </c>
      <c r="B51" s="173">
        <v>0</v>
      </c>
    </row>
    <row r="52" spans="1:2" x14ac:dyDescent="0.25">
      <c r="A52" s="162">
        <f t="shared" si="0"/>
        <v>44067</v>
      </c>
      <c r="B52" s="173">
        <v>0</v>
      </c>
    </row>
    <row r="53" spans="1:2" x14ac:dyDescent="0.25">
      <c r="A53" s="162">
        <f t="shared" si="0"/>
        <v>44074</v>
      </c>
      <c r="B53" s="173">
        <v>0</v>
      </c>
    </row>
    <row r="54" spans="1:2" x14ac:dyDescent="0.25">
      <c r="A54" s="162">
        <f t="shared" si="0"/>
        <v>44081</v>
      </c>
      <c r="B54" s="173">
        <v>0</v>
      </c>
    </row>
    <row r="55" spans="1:2" x14ac:dyDescent="0.25">
      <c r="A55" s="162">
        <f t="shared" si="0"/>
        <v>44088</v>
      </c>
      <c r="B55" s="173">
        <v>0</v>
      </c>
    </row>
    <row r="56" spans="1:2" x14ac:dyDescent="0.25">
      <c r="A56" s="162">
        <f t="shared" si="0"/>
        <v>44095</v>
      </c>
      <c r="B56" s="173">
        <v>0</v>
      </c>
    </row>
    <row r="57" spans="1:2" x14ac:dyDescent="0.25">
      <c r="A57" s="162">
        <f t="shared" si="0"/>
        <v>44102</v>
      </c>
      <c r="B57" s="173">
        <v>0</v>
      </c>
    </row>
    <row r="58" spans="1:2" x14ac:dyDescent="0.25">
      <c r="A58" s="162">
        <f t="shared" si="0"/>
        <v>44109</v>
      </c>
      <c r="B58" s="173">
        <v>0</v>
      </c>
    </row>
    <row r="59" spans="1:2" x14ac:dyDescent="0.25">
      <c r="A59" s="162">
        <f t="shared" si="0"/>
        <v>44116</v>
      </c>
      <c r="B59" s="173">
        <v>0</v>
      </c>
    </row>
    <row r="60" spans="1:2" x14ac:dyDescent="0.25">
      <c r="A60" s="162">
        <f t="shared" si="0"/>
        <v>44123</v>
      </c>
      <c r="B60" s="173">
        <v>0</v>
      </c>
    </row>
    <row r="61" spans="1:2" x14ac:dyDescent="0.25">
      <c r="A61" s="162">
        <f t="shared" si="0"/>
        <v>44130</v>
      </c>
      <c r="B61" s="173">
        <v>0</v>
      </c>
    </row>
    <row r="62" spans="1:2" x14ac:dyDescent="0.25">
      <c r="A62" s="162">
        <f t="shared" si="0"/>
        <v>44137</v>
      </c>
      <c r="B62" s="173">
        <v>0</v>
      </c>
    </row>
    <row r="63" spans="1:2" x14ac:dyDescent="0.25">
      <c r="A63" s="162">
        <f t="shared" si="0"/>
        <v>44144</v>
      </c>
      <c r="B63" s="173">
        <v>0</v>
      </c>
    </row>
    <row r="64" spans="1:2" x14ac:dyDescent="0.25">
      <c r="A64" s="162">
        <f t="shared" si="0"/>
        <v>44151</v>
      </c>
      <c r="B64" s="173">
        <v>0</v>
      </c>
    </row>
    <row r="65" spans="1:2" x14ac:dyDescent="0.25">
      <c r="A65" s="162">
        <f t="shared" si="0"/>
        <v>44158</v>
      </c>
      <c r="B65" s="173">
        <v>0</v>
      </c>
    </row>
    <row r="66" spans="1:2" x14ac:dyDescent="0.25">
      <c r="A66" s="162">
        <f t="shared" si="0"/>
        <v>44165</v>
      </c>
      <c r="B66" s="173">
        <v>0</v>
      </c>
    </row>
    <row r="67" spans="1:2" x14ac:dyDescent="0.25">
      <c r="A67" s="162">
        <f t="shared" si="0"/>
        <v>44172</v>
      </c>
      <c r="B67" s="173">
        <v>0</v>
      </c>
    </row>
    <row r="68" spans="1:2" x14ac:dyDescent="0.25">
      <c r="A68" s="162">
        <f t="shared" si="0"/>
        <v>44179</v>
      </c>
      <c r="B68" s="173">
        <v>0</v>
      </c>
    </row>
    <row r="69" spans="1:2" x14ac:dyDescent="0.25">
      <c r="A69" s="162">
        <f t="shared" si="0"/>
        <v>44186</v>
      </c>
      <c r="B69" s="173">
        <v>0</v>
      </c>
    </row>
  </sheetData>
  <dataConsolidate link="1"/>
  <mergeCells count="4">
    <mergeCell ref="E4:H4"/>
    <mergeCell ref="B16:B17"/>
    <mergeCell ref="E5:H5"/>
    <mergeCell ref="A16:A17"/>
  </mergeCells>
  <conditionalFormatting sqref="F10">
    <cfRule type="expression" dxfId="8" priority="1">
      <formula>IF($F$9&gt;=$B$7,1,0)</formula>
    </cfRule>
  </conditionalFormatting>
  <dataValidations count="1">
    <dataValidation type="list" allowBlank="1" showInputMessage="1" showErrorMessage="1" sqref="E4" xr:uid="{64E10537-3F6B-4AF0-BCBD-EB31DF107F62}">
      <formula1>range_Desc</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DB1CF52-62E6-4901-9582-92FA27794D8B}">
          <x14:formula1>
            <xm:f>CHOOSE('Time based aggregation (hide)'!$D$1,INDEX('Control Sheet'!$E$46:$E$65,'Time based aggregation (hide)'!$D$1),"",INDEX('Control Sheet'!$I$46:$K$65,'Time based aggregation (hide)'!$D$1,0))</xm:f>
          </x14:formula1>
          <xm:sqref>E5</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4"/>
  <dimension ref="A1:MR441"/>
  <sheetViews>
    <sheetView zoomScaleNormal="100" workbookViewId="0">
      <selection activeCell="AG244" sqref="AG244"/>
    </sheetView>
  </sheetViews>
  <sheetFormatPr defaultRowHeight="13.8" x14ac:dyDescent="0.25"/>
  <cols>
    <col min="2" max="2" width="19.09765625" customWidth="1"/>
    <col min="3" max="3" width="14" customWidth="1"/>
    <col min="4" max="4" width="13.09765625" bestFit="1" customWidth="1"/>
    <col min="5" max="5" width="9.8984375" bestFit="1" customWidth="1"/>
    <col min="6" max="6" width="10.09765625" bestFit="1" customWidth="1"/>
    <col min="7" max="8" width="9.8984375" bestFit="1" customWidth="1"/>
    <col min="9" max="9" width="13.69921875" customWidth="1"/>
    <col min="10" max="11" width="9.8984375" bestFit="1" customWidth="1"/>
    <col min="12" max="12" width="10.69921875" bestFit="1" customWidth="1"/>
    <col min="13" max="13" width="13.69921875" customWidth="1"/>
    <col min="14" max="14" width="14.09765625" bestFit="1" customWidth="1"/>
    <col min="15" max="26" width="10.3984375" bestFit="1" customWidth="1"/>
    <col min="27" max="27" width="11.3984375" bestFit="1" customWidth="1"/>
    <col min="29" max="29" width="9.8984375" bestFit="1" customWidth="1"/>
    <col min="31" max="31" width="18.8984375" bestFit="1" customWidth="1"/>
  </cols>
  <sheetData>
    <row r="1" spans="1:17" x14ac:dyDescent="0.25">
      <c r="A1" t="s">
        <v>1172</v>
      </c>
    </row>
    <row r="3" spans="1:17" x14ac:dyDescent="0.25">
      <c r="C3" s="4"/>
      <c r="D3" s="4"/>
    </row>
    <row r="4" spans="1:17" ht="14.4" x14ac:dyDescent="0.3">
      <c r="B4" s="10" t="s">
        <v>1161</v>
      </c>
    </row>
    <row r="5" spans="1:17" ht="14.4" x14ac:dyDescent="0.3">
      <c r="B5" s="10" t="s">
        <v>1162</v>
      </c>
      <c r="C5" s="253" t="s">
        <v>1160</v>
      </c>
      <c r="D5" s="253"/>
      <c r="E5" s="253"/>
      <c r="K5" s="1" t="s">
        <v>1179</v>
      </c>
      <c r="L5" s="253" t="s">
        <v>1160</v>
      </c>
      <c r="M5" s="253"/>
      <c r="N5" s="253"/>
    </row>
    <row r="6" spans="1:17" x14ac:dyDescent="0.25">
      <c r="A6" t="s">
        <v>1159</v>
      </c>
      <c r="B6" s="1" t="s">
        <v>1166</v>
      </c>
      <c r="C6" s="1" t="s">
        <v>1164</v>
      </c>
      <c r="D6" s="1" t="s">
        <v>1163</v>
      </c>
      <c r="E6" s="1" t="s">
        <v>1165</v>
      </c>
      <c r="F6" s="106" t="s">
        <v>1170</v>
      </c>
      <c r="G6" s="1" t="s">
        <v>1171</v>
      </c>
      <c r="H6" s="1" t="s">
        <v>1169</v>
      </c>
      <c r="I6" s="1" t="s">
        <v>1167</v>
      </c>
      <c r="J6" s="1" t="s">
        <v>1168</v>
      </c>
      <c r="K6" s="1" t="s">
        <v>1166</v>
      </c>
      <c r="L6" s="1" t="s">
        <v>1164</v>
      </c>
      <c r="M6" s="1" t="s">
        <v>1163</v>
      </c>
      <c r="N6" s="1" t="s">
        <v>1165</v>
      </c>
    </row>
    <row r="7" spans="1:17" x14ac:dyDescent="0.25">
      <c r="A7" s="103">
        <v>2019</v>
      </c>
      <c r="B7" s="85">
        <f t="shared" ref="B7:B33" si="0">DATE(A7,1,IF(WEEKDAY(DATE(A7,1,1),2)&lt;6,1,9-WEEKDAY(DATE(A7,1,1),2)))</f>
        <v>43466</v>
      </c>
      <c r="C7" s="85">
        <f t="shared" ref="C7:C33" si="1">D7-2</f>
        <v>43574</v>
      </c>
      <c r="D7" s="85">
        <f t="shared" ref="D7:D33" si="2">FLOOR(DAY(MINUTE(A7/38)/2+56)&amp;"/5/"&amp;A7,7)-34</f>
        <v>43576</v>
      </c>
      <c r="E7" s="85">
        <f t="shared" ref="E7:E33" si="3">D7+1</f>
        <v>43577</v>
      </c>
      <c r="F7" s="85">
        <f t="shared" ref="F7:F33" si="4">IF(WEEKDAY(DATE(A7,5,1),3)&gt;0,DATE(A7,5,1)+(7-WEEKDAY(DATE(A7,5,1),3)),DATE(A7,5,1))</f>
        <v>43591</v>
      </c>
      <c r="G7" s="85">
        <f t="shared" ref="G7:G33" si="5">IF(WEEKDAY(DATE(A7,5,25),3)&gt;0,DATE(A7,5,25)+(7-WEEKDAY(DATE(A7,5,25),3)),DATE(A7,5,25))</f>
        <v>43612</v>
      </c>
      <c r="H7" s="85">
        <f t="shared" ref="H7:H33" si="6">IF(WEEKDAY(DATE(A7,8,25),3)&gt;0,DATE(A7,8,25)+(7-WEEKDAY(DATE(A7,8,25),3)),DATE(A7,8,25))</f>
        <v>43703</v>
      </c>
      <c r="I7" s="85">
        <f t="shared" ref="I7:I33" si="7">DATE(A7,12,IF(WEEKDAY(DATE(A7,12,25),2)&lt;6,25,33-WEEKDAY(DATE(A7,12,25),2)))</f>
        <v>43824</v>
      </c>
      <c r="J7" s="85">
        <f t="shared" ref="J7:J33" si="8">DATE(A7,12,IF(WEEKDAY(DATE(A7,12,26),2)&lt;6,IF(WEEKDAY(DATE(A7,12,26),2)=1,27,26),34-WEEKDAY(DATE(A7,12,25),2)))</f>
        <v>43825</v>
      </c>
      <c r="K7" s="85">
        <f>B8</f>
        <v>43831</v>
      </c>
      <c r="L7" s="85">
        <f>C8</f>
        <v>43931</v>
      </c>
      <c r="M7" s="85">
        <f>D8</f>
        <v>43933</v>
      </c>
      <c r="N7" s="85">
        <f>E8</f>
        <v>43934</v>
      </c>
      <c r="P7">
        <f t="array" ref="P7:Q18">TRANSPOSE(O40:Z41)</f>
        <v>2020</v>
      </c>
      <c r="Q7" t="str">
        <v>Jan</v>
      </c>
    </row>
    <row r="8" spans="1:17" x14ac:dyDescent="0.25">
      <c r="A8">
        <f>A7+1</f>
        <v>2020</v>
      </c>
      <c r="B8" s="85">
        <f t="shared" si="0"/>
        <v>43831</v>
      </c>
      <c r="C8" s="85">
        <f t="shared" si="1"/>
        <v>43931</v>
      </c>
      <c r="D8" s="85">
        <f t="shared" si="2"/>
        <v>43933</v>
      </c>
      <c r="E8" s="85">
        <f t="shared" si="3"/>
        <v>43934</v>
      </c>
      <c r="F8" s="85">
        <f t="shared" si="4"/>
        <v>43955</v>
      </c>
      <c r="G8" s="85">
        <f t="shared" si="5"/>
        <v>43976</v>
      </c>
      <c r="H8" s="85">
        <f t="shared" si="6"/>
        <v>44074</v>
      </c>
      <c r="I8" s="85">
        <f t="shared" si="7"/>
        <v>44190</v>
      </c>
      <c r="J8" s="85">
        <f t="shared" si="8"/>
        <v>44194</v>
      </c>
      <c r="K8" s="85">
        <f t="shared" ref="K8:K32" si="9">B9</f>
        <v>44197</v>
      </c>
      <c r="L8" s="85">
        <f t="shared" ref="L8:L32" si="10">C9</f>
        <v>44288</v>
      </c>
      <c r="M8" s="85">
        <f t="shared" ref="M8:M32" si="11">D9</f>
        <v>44290</v>
      </c>
      <c r="N8" s="85">
        <f t="shared" ref="N8:N32" si="12">E9</f>
        <v>44291</v>
      </c>
      <c r="P8" t="str">
        <v/>
      </c>
      <c r="Q8" t="str">
        <v>Feb</v>
      </c>
    </row>
    <row r="9" spans="1:17" x14ac:dyDescent="0.25">
      <c r="A9">
        <f t="shared" ref="A9:A33" si="13">A8+1</f>
        <v>2021</v>
      </c>
      <c r="B9" s="85">
        <f t="shared" si="0"/>
        <v>44197</v>
      </c>
      <c r="C9" s="85">
        <f t="shared" si="1"/>
        <v>44288</v>
      </c>
      <c r="D9" s="85">
        <f t="shared" si="2"/>
        <v>44290</v>
      </c>
      <c r="E9" s="85">
        <f t="shared" si="3"/>
        <v>44291</v>
      </c>
      <c r="F9" s="85">
        <f t="shared" si="4"/>
        <v>44319</v>
      </c>
      <c r="G9" s="85">
        <f t="shared" si="5"/>
        <v>44347</v>
      </c>
      <c r="H9" s="85">
        <f t="shared" si="6"/>
        <v>44438</v>
      </c>
      <c r="I9" s="85">
        <f t="shared" si="7"/>
        <v>44557</v>
      </c>
      <c r="J9" s="85">
        <f t="shared" si="8"/>
        <v>44558</v>
      </c>
      <c r="K9" s="85">
        <f t="shared" si="9"/>
        <v>44564</v>
      </c>
      <c r="L9" s="85">
        <f t="shared" si="10"/>
        <v>44666</v>
      </c>
      <c r="M9" s="85">
        <f t="shared" si="11"/>
        <v>44668</v>
      </c>
      <c r="N9" s="85">
        <f t="shared" si="12"/>
        <v>44669</v>
      </c>
      <c r="O9" s="99"/>
      <c r="P9" t="str">
        <v/>
      </c>
      <c r="Q9" t="str">
        <v>Mar</v>
      </c>
    </row>
    <row r="10" spans="1:17" x14ac:dyDescent="0.25">
      <c r="A10">
        <f t="shared" si="13"/>
        <v>2022</v>
      </c>
      <c r="B10" s="85">
        <f t="shared" si="0"/>
        <v>44564</v>
      </c>
      <c r="C10" s="85">
        <f t="shared" si="1"/>
        <v>44666</v>
      </c>
      <c r="D10" s="85">
        <f t="shared" si="2"/>
        <v>44668</v>
      </c>
      <c r="E10" s="85">
        <f t="shared" si="3"/>
        <v>44669</v>
      </c>
      <c r="F10" s="85">
        <f t="shared" si="4"/>
        <v>44683</v>
      </c>
      <c r="G10" s="85">
        <f t="shared" si="5"/>
        <v>44711</v>
      </c>
      <c r="H10" s="85">
        <f t="shared" si="6"/>
        <v>44802</v>
      </c>
      <c r="I10" s="85">
        <f t="shared" si="7"/>
        <v>44921</v>
      </c>
      <c r="J10" s="85">
        <f t="shared" si="8"/>
        <v>44922</v>
      </c>
      <c r="K10" s="85">
        <f t="shared" si="9"/>
        <v>44928</v>
      </c>
      <c r="L10" s="85">
        <f t="shared" si="10"/>
        <v>45023</v>
      </c>
      <c r="M10" s="85">
        <f t="shared" si="11"/>
        <v>45025</v>
      </c>
      <c r="N10" s="85">
        <f t="shared" si="12"/>
        <v>45026</v>
      </c>
      <c r="O10" s="99"/>
      <c r="P10" t="str">
        <v/>
      </c>
      <c r="Q10" t="str">
        <v>Apr</v>
      </c>
    </row>
    <row r="11" spans="1:17" x14ac:dyDescent="0.25">
      <c r="A11">
        <f t="shared" si="13"/>
        <v>2023</v>
      </c>
      <c r="B11" s="85">
        <f t="shared" si="0"/>
        <v>44928</v>
      </c>
      <c r="C11" s="85">
        <f t="shared" si="1"/>
        <v>45023</v>
      </c>
      <c r="D11" s="85">
        <f t="shared" si="2"/>
        <v>45025</v>
      </c>
      <c r="E11" s="85">
        <f t="shared" si="3"/>
        <v>45026</v>
      </c>
      <c r="F11" s="85">
        <f t="shared" si="4"/>
        <v>45047</v>
      </c>
      <c r="G11" s="85">
        <f t="shared" si="5"/>
        <v>45075</v>
      </c>
      <c r="H11" s="85">
        <f t="shared" si="6"/>
        <v>45166</v>
      </c>
      <c r="I11" s="85">
        <f t="shared" si="7"/>
        <v>45285</v>
      </c>
      <c r="J11" s="85">
        <f t="shared" si="8"/>
        <v>45286</v>
      </c>
      <c r="K11" s="85">
        <f t="shared" si="9"/>
        <v>45292</v>
      </c>
      <c r="L11" s="85">
        <f t="shared" si="10"/>
        <v>45380</v>
      </c>
      <c r="M11" s="85">
        <f t="shared" si="11"/>
        <v>45382</v>
      </c>
      <c r="N11" s="85">
        <f t="shared" si="12"/>
        <v>45383</v>
      </c>
      <c r="O11" s="99"/>
      <c r="P11" t="str">
        <v/>
      </c>
      <c r="Q11" t="str">
        <v>May</v>
      </c>
    </row>
    <row r="12" spans="1:17" x14ac:dyDescent="0.25">
      <c r="A12">
        <f t="shared" si="13"/>
        <v>2024</v>
      </c>
      <c r="B12" s="85">
        <f t="shared" si="0"/>
        <v>45292</v>
      </c>
      <c r="C12" s="85">
        <f t="shared" si="1"/>
        <v>45380</v>
      </c>
      <c r="D12" s="85">
        <f t="shared" si="2"/>
        <v>45382</v>
      </c>
      <c r="E12" s="85">
        <f t="shared" si="3"/>
        <v>45383</v>
      </c>
      <c r="F12" s="85">
        <f t="shared" si="4"/>
        <v>45418</v>
      </c>
      <c r="G12" s="85">
        <f t="shared" si="5"/>
        <v>45439</v>
      </c>
      <c r="H12" s="85">
        <f t="shared" si="6"/>
        <v>45530</v>
      </c>
      <c r="I12" s="85">
        <f t="shared" si="7"/>
        <v>45651</v>
      </c>
      <c r="J12" s="85">
        <f t="shared" si="8"/>
        <v>45652</v>
      </c>
      <c r="K12" s="85">
        <f t="shared" si="9"/>
        <v>45658</v>
      </c>
      <c r="L12" s="85">
        <f t="shared" si="10"/>
        <v>45765</v>
      </c>
      <c r="M12" s="85">
        <f t="shared" si="11"/>
        <v>45767</v>
      </c>
      <c r="N12" s="85">
        <f t="shared" si="12"/>
        <v>45768</v>
      </c>
      <c r="O12" s="99"/>
      <c r="P12" t="str">
        <v/>
      </c>
      <c r="Q12" t="str">
        <v>Jun</v>
      </c>
    </row>
    <row r="13" spans="1:17" x14ac:dyDescent="0.25">
      <c r="A13">
        <f t="shared" si="13"/>
        <v>2025</v>
      </c>
      <c r="B13" s="85">
        <f t="shared" si="0"/>
        <v>45658</v>
      </c>
      <c r="C13" s="85">
        <f t="shared" si="1"/>
        <v>45765</v>
      </c>
      <c r="D13" s="85">
        <f t="shared" si="2"/>
        <v>45767</v>
      </c>
      <c r="E13" s="85">
        <f t="shared" si="3"/>
        <v>45768</v>
      </c>
      <c r="F13" s="85">
        <f t="shared" si="4"/>
        <v>45782</v>
      </c>
      <c r="G13" s="85">
        <f t="shared" si="5"/>
        <v>45803</v>
      </c>
      <c r="H13" s="85">
        <f t="shared" si="6"/>
        <v>45894</v>
      </c>
      <c r="I13" s="85">
        <f t="shared" si="7"/>
        <v>46016</v>
      </c>
      <c r="J13" s="85">
        <f t="shared" si="8"/>
        <v>46017</v>
      </c>
      <c r="K13" s="85">
        <f t="shared" si="9"/>
        <v>46023</v>
      </c>
      <c r="L13" s="85">
        <f t="shared" si="10"/>
        <v>46115</v>
      </c>
      <c r="M13" s="85">
        <f t="shared" si="11"/>
        <v>46117</v>
      </c>
      <c r="N13" s="85">
        <f t="shared" si="12"/>
        <v>46118</v>
      </c>
      <c r="O13" s="99"/>
      <c r="P13" t="str">
        <v/>
      </c>
      <c r="Q13" t="str">
        <v>Jul</v>
      </c>
    </row>
    <row r="14" spans="1:17" x14ac:dyDescent="0.25">
      <c r="A14">
        <f t="shared" si="13"/>
        <v>2026</v>
      </c>
      <c r="B14" s="85">
        <f t="shared" si="0"/>
        <v>46023</v>
      </c>
      <c r="C14" s="85">
        <f t="shared" si="1"/>
        <v>46115</v>
      </c>
      <c r="D14" s="85">
        <f t="shared" si="2"/>
        <v>46117</v>
      </c>
      <c r="E14" s="85">
        <f t="shared" si="3"/>
        <v>46118</v>
      </c>
      <c r="F14" s="85">
        <f t="shared" si="4"/>
        <v>46146</v>
      </c>
      <c r="G14" s="85">
        <f t="shared" si="5"/>
        <v>46167</v>
      </c>
      <c r="H14" s="85">
        <f t="shared" si="6"/>
        <v>46265</v>
      </c>
      <c r="I14" s="85">
        <f t="shared" si="7"/>
        <v>46381</v>
      </c>
      <c r="J14" s="85">
        <f t="shared" si="8"/>
        <v>46385</v>
      </c>
      <c r="K14" s="85">
        <f t="shared" si="9"/>
        <v>46388</v>
      </c>
      <c r="L14" s="85">
        <f t="shared" si="10"/>
        <v>46472</v>
      </c>
      <c r="M14" s="85">
        <f t="shared" si="11"/>
        <v>46474</v>
      </c>
      <c r="N14" s="85">
        <f t="shared" si="12"/>
        <v>46475</v>
      </c>
      <c r="O14" s="99"/>
      <c r="P14" t="str">
        <v/>
      </c>
      <c r="Q14" t="str">
        <v>Aug</v>
      </c>
    </row>
    <row r="15" spans="1:17" x14ac:dyDescent="0.25">
      <c r="A15">
        <f t="shared" si="13"/>
        <v>2027</v>
      </c>
      <c r="B15" s="85">
        <f t="shared" si="0"/>
        <v>46388</v>
      </c>
      <c r="C15" s="85">
        <f t="shared" si="1"/>
        <v>46472</v>
      </c>
      <c r="D15" s="85">
        <f t="shared" si="2"/>
        <v>46474</v>
      </c>
      <c r="E15" s="85">
        <f t="shared" si="3"/>
        <v>46475</v>
      </c>
      <c r="F15" s="85">
        <f t="shared" si="4"/>
        <v>46510</v>
      </c>
      <c r="G15" s="85">
        <f t="shared" si="5"/>
        <v>46538</v>
      </c>
      <c r="H15" s="85">
        <f t="shared" si="6"/>
        <v>46629</v>
      </c>
      <c r="I15" s="85">
        <f t="shared" si="7"/>
        <v>46748</v>
      </c>
      <c r="J15" s="85">
        <f t="shared" si="8"/>
        <v>46749</v>
      </c>
      <c r="K15" s="85">
        <f t="shared" si="9"/>
        <v>46755</v>
      </c>
      <c r="L15" s="85">
        <f t="shared" si="10"/>
        <v>46857</v>
      </c>
      <c r="M15" s="85">
        <f t="shared" si="11"/>
        <v>46859</v>
      </c>
      <c r="N15" s="85">
        <f t="shared" si="12"/>
        <v>46860</v>
      </c>
      <c r="O15" s="99"/>
      <c r="P15" t="str">
        <v/>
      </c>
      <c r="Q15" t="str">
        <v>Sep</v>
      </c>
    </row>
    <row r="16" spans="1:17" x14ac:dyDescent="0.25">
      <c r="A16">
        <f t="shared" si="13"/>
        <v>2028</v>
      </c>
      <c r="B16" s="85">
        <f t="shared" si="0"/>
        <v>46755</v>
      </c>
      <c r="C16" s="85">
        <f t="shared" si="1"/>
        <v>46857</v>
      </c>
      <c r="D16" s="85">
        <f t="shared" si="2"/>
        <v>46859</v>
      </c>
      <c r="E16" s="85">
        <f t="shared" si="3"/>
        <v>46860</v>
      </c>
      <c r="F16" s="85">
        <f t="shared" si="4"/>
        <v>46874</v>
      </c>
      <c r="G16" s="85">
        <f t="shared" si="5"/>
        <v>46902</v>
      </c>
      <c r="H16" s="85">
        <f t="shared" si="6"/>
        <v>46993</v>
      </c>
      <c r="I16" s="85">
        <f t="shared" si="7"/>
        <v>47112</v>
      </c>
      <c r="J16" s="85">
        <f t="shared" si="8"/>
        <v>47113</v>
      </c>
      <c r="K16" s="85">
        <f t="shared" si="9"/>
        <v>47119</v>
      </c>
      <c r="L16" s="85">
        <f t="shared" si="10"/>
        <v>47207</v>
      </c>
      <c r="M16" s="85">
        <f t="shared" si="11"/>
        <v>47209</v>
      </c>
      <c r="N16" s="85">
        <f t="shared" si="12"/>
        <v>47210</v>
      </c>
      <c r="P16" t="str">
        <v/>
      </c>
      <c r="Q16" t="str">
        <v>Oct</v>
      </c>
    </row>
    <row r="17" spans="1:18" x14ac:dyDescent="0.25">
      <c r="A17">
        <f t="shared" si="13"/>
        <v>2029</v>
      </c>
      <c r="B17" s="85">
        <f t="shared" si="0"/>
        <v>47119</v>
      </c>
      <c r="C17" s="85">
        <f t="shared" si="1"/>
        <v>47207</v>
      </c>
      <c r="D17" s="85">
        <f t="shared" si="2"/>
        <v>47209</v>
      </c>
      <c r="E17" s="85">
        <f t="shared" si="3"/>
        <v>47210</v>
      </c>
      <c r="F17" s="85">
        <f t="shared" si="4"/>
        <v>47245</v>
      </c>
      <c r="G17" s="85">
        <f t="shared" si="5"/>
        <v>47266</v>
      </c>
      <c r="H17" s="85">
        <f t="shared" si="6"/>
        <v>47357</v>
      </c>
      <c r="I17" s="85">
        <f t="shared" si="7"/>
        <v>47477</v>
      </c>
      <c r="J17" s="85">
        <f t="shared" si="8"/>
        <v>47478</v>
      </c>
      <c r="K17" s="85">
        <f t="shared" si="9"/>
        <v>47484</v>
      </c>
      <c r="L17" s="85">
        <f t="shared" si="10"/>
        <v>47592</v>
      </c>
      <c r="M17" s="85">
        <f t="shared" si="11"/>
        <v>47594</v>
      </c>
      <c r="N17" s="85">
        <f t="shared" si="12"/>
        <v>47595</v>
      </c>
      <c r="P17" t="str">
        <v/>
      </c>
      <c r="Q17" t="str">
        <v>Nov</v>
      </c>
    </row>
    <row r="18" spans="1:18" x14ac:dyDescent="0.25">
      <c r="A18">
        <f t="shared" si="13"/>
        <v>2030</v>
      </c>
      <c r="B18" s="85">
        <f t="shared" si="0"/>
        <v>47484</v>
      </c>
      <c r="C18" s="85">
        <f t="shared" si="1"/>
        <v>47592</v>
      </c>
      <c r="D18" s="85">
        <f t="shared" si="2"/>
        <v>47594</v>
      </c>
      <c r="E18" s="85">
        <f t="shared" si="3"/>
        <v>47595</v>
      </c>
      <c r="F18" s="85">
        <f t="shared" si="4"/>
        <v>47609</v>
      </c>
      <c r="G18" s="85">
        <f t="shared" si="5"/>
        <v>47630</v>
      </c>
      <c r="H18" s="85">
        <f t="shared" si="6"/>
        <v>47721</v>
      </c>
      <c r="I18" s="85">
        <f t="shared" si="7"/>
        <v>47842</v>
      </c>
      <c r="J18" s="85">
        <f t="shared" si="8"/>
        <v>47843</v>
      </c>
      <c r="K18" s="85">
        <f t="shared" si="9"/>
        <v>47849</v>
      </c>
      <c r="L18" s="85">
        <f t="shared" si="10"/>
        <v>47949</v>
      </c>
      <c r="M18" s="85">
        <f t="shared" si="11"/>
        <v>47951</v>
      </c>
      <c r="N18" s="85">
        <f t="shared" si="12"/>
        <v>47952</v>
      </c>
      <c r="P18" t="str">
        <v/>
      </c>
      <c r="Q18" t="str">
        <v>Dec</v>
      </c>
    </row>
    <row r="19" spans="1:18" x14ac:dyDescent="0.25">
      <c r="A19">
        <f t="shared" si="13"/>
        <v>2031</v>
      </c>
      <c r="B19" s="85">
        <f t="shared" si="0"/>
        <v>47849</v>
      </c>
      <c r="C19" s="85">
        <f t="shared" si="1"/>
        <v>47949</v>
      </c>
      <c r="D19" s="85">
        <f t="shared" si="2"/>
        <v>47951</v>
      </c>
      <c r="E19" s="85">
        <f t="shared" si="3"/>
        <v>47952</v>
      </c>
      <c r="F19" s="85">
        <f t="shared" si="4"/>
        <v>47973</v>
      </c>
      <c r="G19" s="85">
        <f t="shared" si="5"/>
        <v>47994</v>
      </c>
      <c r="H19" s="85">
        <f t="shared" si="6"/>
        <v>48085</v>
      </c>
      <c r="I19" s="85">
        <f t="shared" si="7"/>
        <v>48207</v>
      </c>
      <c r="J19" s="85">
        <f t="shared" si="8"/>
        <v>48208</v>
      </c>
      <c r="K19" s="85">
        <f t="shared" si="9"/>
        <v>48214</v>
      </c>
      <c r="L19" s="85">
        <f t="shared" si="10"/>
        <v>48299</v>
      </c>
      <c r="M19" s="85">
        <f t="shared" si="11"/>
        <v>48301</v>
      </c>
      <c r="N19" s="85">
        <f t="shared" si="12"/>
        <v>48302</v>
      </c>
    </row>
    <row r="20" spans="1:18" x14ac:dyDescent="0.25">
      <c r="A20">
        <f t="shared" si="13"/>
        <v>2032</v>
      </c>
      <c r="B20" s="85">
        <f t="shared" si="0"/>
        <v>48214</v>
      </c>
      <c r="C20" s="85">
        <f t="shared" si="1"/>
        <v>48299</v>
      </c>
      <c r="D20" s="85">
        <f t="shared" si="2"/>
        <v>48301</v>
      </c>
      <c r="E20" s="85">
        <f t="shared" si="3"/>
        <v>48302</v>
      </c>
      <c r="F20" s="85">
        <f t="shared" si="4"/>
        <v>48337</v>
      </c>
      <c r="G20" s="85">
        <f t="shared" si="5"/>
        <v>48365</v>
      </c>
      <c r="H20" s="85">
        <f t="shared" si="6"/>
        <v>48456</v>
      </c>
      <c r="I20" s="85">
        <f t="shared" si="7"/>
        <v>48575</v>
      </c>
      <c r="J20" s="85">
        <f t="shared" si="8"/>
        <v>48576</v>
      </c>
      <c r="K20" s="85">
        <f t="shared" si="9"/>
        <v>48582</v>
      </c>
      <c r="L20" s="85">
        <f t="shared" si="10"/>
        <v>48684</v>
      </c>
      <c r="M20" s="85">
        <f t="shared" si="11"/>
        <v>48686</v>
      </c>
      <c r="N20" s="85">
        <f t="shared" si="12"/>
        <v>48687</v>
      </c>
    </row>
    <row r="21" spans="1:18" x14ac:dyDescent="0.25">
      <c r="A21">
        <f t="shared" si="13"/>
        <v>2033</v>
      </c>
      <c r="B21" s="85">
        <f t="shared" si="0"/>
        <v>48582</v>
      </c>
      <c r="C21" s="85">
        <f t="shared" si="1"/>
        <v>48684</v>
      </c>
      <c r="D21" s="85">
        <f t="shared" si="2"/>
        <v>48686</v>
      </c>
      <c r="E21" s="85">
        <f t="shared" si="3"/>
        <v>48687</v>
      </c>
      <c r="F21" s="85">
        <f t="shared" si="4"/>
        <v>48701</v>
      </c>
      <c r="G21" s="85">
        <f t="shared" si="5"/>
        <v>48729</v>
      </c>
      <c r="H21" s="85">
        <f t="shared" si="6"/>
        <v>48820</v>
      </c>
      <c r="I21" s="85">
        <f t="shared" si="7"/>
        <v>48939</v>
      </c>
      <c r="J21" s="85">
        <f t="shared" si="8"/>
        <v>48940</v>
      </c>
      <c r="K21" s="85">
        <f t="shared" si="9"/>
        <v>48946</v>
      </c>
      <c r="L21" s="85">
        <f t="shared" si="10"/>
        <v>49041</v>
      </c>
      <c r="M21" s="85">
        <f t="shared" si="11"/>
        <v>49043</v>
      </c>
      <c r="N21" s="85">
        <f t="shared" si="12"/>
        <v>49044</v>
      </c>
    </row>
    <row r="22" spans="1:18" x14ac:dyDescent="0.25">
      <c r="A22">
        <f t="shared" si="13"/>
        <v>2034</v>
      </c>
      <c r="B22" s="85">
        <f t="shared" si="0"/>
        <v>48946</v>
      </c>
      <c r="C22" s="85">
        <f t="shared" si="1"/>
        <v>49041</v>
      </c>
      <c r="D22" s="85">
        <f t="shared" si="2"/>
        <v>49043</v>
      </c>
      <c r="E22" s="85">
        <f t="shared" si="3"/>
        <v>49044</v>
      </c>
      <c r="F22" s="85">
        <f t="shared" si="4"/>
        <v>49065</v>
      </c>
      <c r="G22" s="85">
        <f t="shared" si="5"/>
        <v>49093</v>
      </c>
      <c r="H22" s="85">
        <f t="shared" si="6"/>
        <v>49184</v>
      </c>
      <c r="I22" s="85">
        <f t="shared" si="7"/>
        <v>49303</v>
      </c>
      <c r="J22" s="85">
        <f t="shared" si="8"/>
        <v>49304</v>
      </c>
      <c r="K22" s="85">
        <f t="shared" si="9"/>
        <v>49310</v>
      </c>
      <c r="L22" s="85">
        <f t="shared" si="10"/>
        <v>49391</v>
      </c>
      <c r="M22" s="85">
        <f t="shared" si="11"/>
        <v>49393</v>
      </c>
      <c r="N22" s="85">
        <f t="shared" si="12"/>
        <v>49394</v>
      </c>
    </row>
    <row r="23" spans="1:18" x14ac:dyDescent="0.25">
      <c r="A23">
        <f t="shared" si="13"/>
        <v>2035</v>
      </c>
      <c r="B23" s="85">
        <f t="shared" si="0"/>
        <v>49310</v>
      </c>
      <c r="C23" s="85">
        <f t="shared" si="1"/>
        <v>49391</v>
      </c>
      <c r="D23" s="85">
        <f t="shared" si="2"/>
        <v>49393</v>
      </c>
      <c r="E23" s="85">
        <f t="shared" si="3"/>
        <v>49394</v>
      </c>
      <c r="F23" s="85">
        <f t="shared" si="4"/>
        <v>49436</v>
      </c>
      <c r="G23" s="85">
        <f t="shared" si="5"/>
        <v>49457</v>
      </c>
      <c r="H23" s="85">
        <f t="shared" si="6"/>
        <v>49548</v>
      </c>
      <c r="I23" s="85">
        <f t="shared" si="7"/>
        <v>49668</v>
      </c>
      <c r="J23" s="85">
        <f t="shared" si="8"/>
        <v>49669</v>
      </c>
      <c r="K23" s="85">
        <f t="shared" si="9"/>
        <v>49675</v>
      </c>
      <c r="L23" s="85">
        <f t="shared" si="10"/>
        <v>49776</v>
      </c>
      <c r="M23" s="85">
        <f t="shared" si="11"/>
        <v>49778</v>
      </c>
      <c r="N23" s="85">
        <f t="shared" si="12"/>
        <v>49779</v>
      </c>
    </row>
    <row r="24" spans="1:18" x14ac:dyDescent="0.25">
      <c r="A24">
        <f t="shared" si="13"/>
        <v>2036</v>
      </c>
      <c r="B24" s="85">
        <f t="shared" si="0"/>
        <v>49675</v>
      </c>
      <c r="C24" s="85">
        <f t="shared" si="1"/>
        <v>49776</v>
      </c>
      <c r="D24" s="85">
        <f t="shared" si="2"/>
        <v>49778</v>
      </c>
      <c r="E24" s="85">
        <f t="shared" si="3"/>
        <v>49779</v>
      </c>
      <c r="F24" s="85">
        <f t="shared" si="4"/>
        <v>49800</v>
      </c>
      <c r="G24" s="85">
        <f t="shared" si="5"/>
        <v>49821</v>
      </c>
      <c r="H24" s="85">
        <f t="shared" si="6"/>
        <v>49912</v>
      </c>
      <c r="I24" s="85">
        <f t="shared" si="7"/>
        <v>50034</v>
      </c>
      <c r="J24" s="85">
        <f t="shared" si="8"/>
        <v>50035</v>
      </c>
      <c r="K24" s="85">
        <f t="shared" si="9"/>
        <v>50041</v>
      </c>
      <c r="L24" s="85">
        <f t="shared" si="10"/>
        <v>50133</v>
      </c>
      <c r="M24" s="85">
        <f t="shared" si="11"/>
        <v>50135</v>
      </c>
      <c r="N24" s="85">
        <f t="shared" si="12"/>
        <v>50136</v>
      </c>
    </row>
    <row r="25" spans="1:18" x14ac:dyDescent="0.25">
      <c r="A25">
        <f t="shared" si="13"/>
        <v>2037</v>
      </c>
      <c r="B25" s="85">
        <f t="shared" si="0"/>
        <v>50041</v>
      </c>
      <c r="C25" s="85">
        <f t="shared" si="1"/>
        <v>50133</v>
      </c>
      <c r="D25" s="85">
        <f t="shared" si="2"/>
        <v>50135</v>
      </c>
      <c r="E25" s="85">
        <f t="shared" si="3"/>
        <v>50136</v>
      </c>
      <c r="F25" s="85">
        <f t="shared" si="4"/>
        <v>50164</v>
      </c>
      <c r="G25" s="85">
        <f t="shared" si="5"/>
        <v>50185</v>
      </c>
      <c r="H25" s="85">
        <f t="shared" si="6"/>
        <v>50283</v>
      </c>
      <c r="I25" s="85">
        <f t="shared" si="7"/>
        <v>50399</v>
      </c>
      <c r="J25" s="85">
        <f t="shared" si="8"/>
        <v>50403</v>
      </c>
      <c r="K25" s="85">
        <f t="shared" si="9"/>
        <v>50406</v>
      </c>
      <c r="L25" s="85">
        <f t="shared" si="10"/>
        <v>50518</v>
      </c>
      <c r="M25" s="85">
        <f t="shared" si="11"/>
        <v>50520</v>
      </c>
      <c r="N25" s="85">
        <f t="shared" si="12"/>
        <v>50521</v>
      </c>
    </row>
    <row r="26" spans="1:18" x14ac:dyDescent="0.25">
      <c r="A26">
        <f t="shared" si="13"/>
        <v>2038</v>
      </c>
      <c r="B26" s="85">
        <f t="shared" si="0"/>
        <v>50406</v>
      </c>
      <c r="C26" s="85">
        <f t="shared" si="1"/>
        <v>50518</v>
      </c>
      <c r="D26" s="85">
        <f t="shared" si="2"/>
        <v>50520</v>
      </c>
      <c r="E26" s="85">
        <f t="shared" si="3"/>
        <v>50521</v>
      </c>
      <c r="F26" s="85">
        <f t="shared" si="4"/>
        <v>50528</v>
      </c>
      <c r="G26" s="85">
        <f t="shared" si="5"/>
        <v>50556</v>
      </c>
      <c r="H26" s="85">
        <f t="shared" si="6"/>
        <v>50647</v>
      </c>
      <c r="I26" s="85">
        <f t="shared" si="7"/>
        <v>50766</v>
      </c>
      <c r="J26" s="85">
        <f t="shared" si="8"/>
        <v>50767</v>
      </c>
      <c r="K26" s="85">
        <f t="shared" si="9"/>
        <v>50773</v>
      </c>
      <c r="L26" s="85">
        <f t="shared" si="10"/>
        <v>50868</v>
      </c>
      <c r="M26" s="85">
        <f t="shared" si="11"/>
        <v>50870</v>
      </c>
      <c r="N26" s="85">
        <f t="shared" si="12"/>
        <v>50871</v>
      </c>
    </row>
    <row r="27" spans="1:18" x14ac:dyDescent="0.25">
      <c r="A27">
        <f t="shared" si="13"/>
        <v>2039</v>
      </c>
      <c r="B27" s="85">
        <f t="shared" si="0"/>
        <v>50773</v>
      </c>
      <c r="C27" s="85">
        <f t="shared" si="1"/>
        <v>50868</v>
      </c>
      <c r="D27" s="85">
        <f t="shared" si="2"/>
        <v>50870</v>
      </c>
      <c r="E27" s="85">
        <f t="shared" si="3"/>
        <v>50871</v>
      </c>
      <c r="F27" s="85">
        <f t="shared" si="4"/>
        <v>50892</v>
      </c>
      <c r="G27" s="85">
        <f t="shared" si="5"/>
        <v>50920</v>
      </c>
      <c r="H27" s="85">
        <f t="shared" si="6"/>
        <v>51011</v>
      </c>
      <c r="I27" s="85">
        <f t="shared" si="7"/>
        <v>51130</v>
      </c>
      <c r="J27" s="85">
        <f t="shared" si="8"/>
        <v>51131</v>
      </c>
      <c r="K27" s="85">
        <f t="shared" si="9"/>
        <v>51137</v>
      </c>
      <c r="L27" s="85">
        <f t="shared" si="10"/>
        <v>51225</v>
      </c>
      <c r="M27" s="85">
        <f t="shared" si="11"/>
        <v>51227</v>
      </c>
      <c r="N27" s="85">
        <f t="shared" si="12"/>
        <v>51228</v>
      </c>
      <c r="R27" s="85"/>
    </row>
    <row r="28" spans="1:18" x14ac:dyDescent="0.25">
      <c r="A28">
        <f t="shared" si="13"/>
        <v>2040</v>
      </c>
      <c r="B28" s="85">
        <f t="shared" si="0"/>
        <v>51137</v>
      </c>
      <c r="C28" s="85">
        <f t="shared" si="1"/>
        <v>51225</v>
      </c>
      <c r="D28" s="85">
        <f t="shared" si="2"/>
        <v>51227</v>
      </c>
      <c r="E28" s="85">
        <f t="shared" si="3"/>
        <v>51228</v>
      </c>
      <c r="F28" s="85">
        <f t="shared" si="4"/>
        <v>51263</v>
      </c>
      <c r="G28" s="85">
        <f t="shared" si="5"/>
        <v>51284</v>
      </c>
      <c r="H28" s="85">
        <f t="shared" si="6"/>
        <v>51375</v>
      </c>
      <c r="I28" s="85">
        <f t="shared" si="7"/>
        <v>51495</v>
      </c>
      <c r="J28" s="85">
        <f t="shared" si="8"/>
        <v>51496</v>
      </c>
      <c r="K28" s="85">
        <f t="shared" si="9"/>
        <v>51502</v>
      </c>
      <c r="L28" s="85">
        <f t="shared" si="10"/>
        <v>51610</v>
      </c>
      <c r="M28" s="85">
        <f t="shared" si="11"/>
        <v>51612</v>
      </c>
      <c r="N28" s="85">
        <f t="shared" si="12"/>
        <v>51613</v>
      </c>
      <c r="R28" s="85"/>
    </row>
    <row r="29" spans="1:18" x14ac:dyDescent="0.25">
      <c r="A29">
        <f t="shared" si="13"/>
        <v>2041</v>
      </c>
      <c r="B29" s="85">
        <f t="shared" si="0"/>
        <v>51502</v>
      </c>
      <c r="C29" s="85">
        <f t="shared" si="1"/>
        <v>51610</v>
      </c>
      <c r="D29" s="85">
        <f t="shared" si="2"/>
        <v>51612</v>
      </c>
      <c r="E29" s="85">
        <f t="shared" si="3"/>
        <v>51613</v>
      </c>
      <c r="F29" s="85">
        <f t="shared" si="4"/>
        <v>51627</v>
      </c>
      <c r="G29" s="85">
        <f t="shared" si="5"/>
        <v>51648</v>
      </c>
      <c r="H29" s="85">
        <f t="shared" si="6"/>
        <v>51739</v>
      </c>
      <c r="I29" s="85">
        <f t="shared" si="7"/>
        <v>51860</v>
      </c>
      <c r="J29" s="85">
        <f t="shared" si="8"/>
        <v>51861</v>
      </c>
      <c r="K29" s="85">
        <f t="shared" si="9"/>
        <v>51867</v>
      </c>
      <c r="L29" s="85">
        <f t="shared" si="10"/>
        <v>51960</v>
      </c>
      <c r="M29" s="85">
        <f t="shared" si="11"/>
        <v>51962</v>
      </c>
      <c r="N29" s="85">
        <f t="shared" si="12"/>
        <v>51963</v>
      </c>
      <c r="R29" s="85"/>
    </row>
    <row r="30" spans="1:18" x14ac:dyDescent="0.25">
      <c r="A30">
        <f t="shared" si="13"/>
        <v>2042</v>
      </c>
      <c r="B30" s="85">
        <f t="shared" si="0"/>
        <v>51867</v>
      </c>
      <c r="C30" s="85">
        <f t="shared" si="1"/>
        <v>51960</v>
      </c>
      <c r="D30" s="85">
        <f t="shared" si="2"/>
        <v>51962</v>
      </c>
      <c r="E30" s="85">
        <f t="shared" si="3"/>
        <v>51963</v>
      </c>
      <c r="F30" s="85">
        <f t="shared" si="4"/>
        <v>51991</v>
      </c>
      <c r="G30" s="85">
        <f t="shared" si="5"/>
        <v>52012</v>
      </c>
      <c r="H30" s="85">
        <f t="shared" si="6"/>
        <v>52103</v>
      </c>
      <c r="I30" s="85">
        <f t="shared" si="7"/>
        <v>52225</v>
      </c>
      <c r="J30" s="85">
        <f t="shared" si="8"/>
        <v>52226</v>
      </c>
      <c r="K30" s="85">
        <f t="shared" si="9"/>
        <v>52232</v>
      </c>
      <c r="L30" s="85">
        <f t="shared" si="10"/>
        <v>52317</v>
      </c>
      <c r="M30" s="85">
        <f t="shared" si="11"/>
        <v>52319</v>
      </c>
      <c r="N30" s="85">
        <f t="shared" si="12"/>
        <v>52320</v>
      </c>
      <c r="R30" s="85"/>
    </row>
    <row r="31" spans="1:18" x14ac:dyDescent="0.25">
      <c r="A31">
        <f t="shared" si="13"/>
        <v>2043</v>
      </c>
      <c r="B31" s="85">
        <f t="shared" si="0"/>
        <v>52232</v>
      </c>
      <c r="C31" s="85">
        <f t="shared" si="1"/>
        <v>52317</v>
      </c>
      <c r="D31" s="85">
        <f t="shared" si="2"/>
        <v>52319</v>
      </c>
      <c r="E31" s="85">
        <f t="shared" si="3"/>
        <v>52320</v>
      </c>
      <c r="F31" s="85">
        <f t="shared" si="4"/>
        <v>52355</v>
      </c>
      <c r="G31" s="85">
        <f t="shared" si="5"/>
        <v>52376</v>
      </c>
      <c r="H31" s="85">
        <f t="shared" si="6"/>
        <v>52474</v>
      </c>
      <c r="I31" s="85">
        <f t="shared" si="7"/>
        <v>52590</v>
      </c>
      <c r="J31" s="85">
        <f t="shared" si="8"/>
        <v>52594</v>
      </c>
      <c r="K31" s="85">
        <f t="shared" si="9"/>
        <v>52597</v>
      </c>
      <c r="L31" s="85">
        <f t="shared" si="10"/>
        <v>52702</v>
      </c>
      <c r="M31" s="85">
        <f t="shared" si="11"/>
        <v>52704</v>
      </c>
      <c r="N31" s="85">
        <f t="shared" si="12"/>
        <v>52705</v>
      </c>
      <c r="R31" s="85"/>
    </row>
    <row r="32" spans="1:18" x14ac:dyDescent="0.25">
      <c r="A32">
        <f t="shared" si="13"/>
        <v>2044</v>
      </c>
      <c r="B32" s="85">
        <f t="shared" si="0"/>
        <v>52597</v>
      </c>
      <c r="C32" s="85">
        <f t="shared" si="1"/>
        <v>52702</v>
      </c>
      <c r="D32" s="85">
        <f t="shared" si="2"/>
        <v>52704</v>
      </c>
      <c r="E32" s="85">
        <f t="shared" si="3"/>
        <v>52705</v>
      </c>
      <c r="F32" s="85">
        <f t="shared" si="4"/>
        <v>52719</v>
      </c>
      <c r="G32" s="85">
        <f t="shared" si="5"/>
        <v>52747</v>
      </c>
      <c r="H32" s="85">
        <f t="shared" si="6"/>
        <v>52838</v>
      </c>
      <c r="I32" s="85">
        <f t="shared" si="7"/>
        <v>52957</v>
      </c>
      <c r="J32" s="85">
        <f t="shared" si="8"/>
        <v>52958</v>
      </c>
      <c r="K32" s="85">
        <f t="shared" si="9"/>
        <v>52964</v>
      </c>
      <c r="L32" s="85">
        <f t="shared" si="10"/>
        <v>53059</v>
      </c>
      <c r="M32" s="85">
        <f t="shared" si="11"/>
        <v>53061</v>
      </c>
      <c r="N32" s="85">
        <f t="shared" si="12"/>
        <v>53062</v>
      </c>
      <c r="R32" s="85"/>
    </row>
    <row r="33" spans="1:356" x14ac:dyDescent="0.25">
      <c r="A33" s="104">
        <f t="shared" si="13"/>
        <v>2045</v>
      </c>
      <c r="B33" s="105">
        <f t="shared" si="0"/>
        <v>52964</v>
      </c>
      <c r="C33" s="105">
        <f t="shared" si="1"/>
        <v>53059</v>
      </c>
      <c r="D33" s="105">
        <f t="shared" si="2"/>
        <v>53061</v>
      </c>
      <c r="E33" s="105">
        <f t="shared" si="3"/>
        <v>53062</v>
      </c>
      <c r="F33" s="105">
        <f t="shared" si="4"/>
        <v>53083</v>
      </c>
      <c r="G33" s="105">
        <f t="shared" si="5"/>
        <v>53111</v>
      </c>
      <c r="H33" s="105">
        <f t="shared" si="6"/>
        <v>53202</v>
      </c>
      <c r="I33" s="105">
        <f t="shared" si="7"/>
        <v>53321</v>
      </c>
      <c r="J33" s="105">
        <f t="shared" si="8"/>
        <v>53322</v>
      </c>
      <c r="K33" s="105"/>
      <c r="L33" s="105"/>
      <c r="M33" s="105"/>
      <c r="N33" s="105"/>
      <c r="R33" s="85"/>
    </row>
    <row r="37" spans="1:356" x14ac:dyDescent="0.25">
      <c r="A37" t="s">
        <v>1173</v>
      </c>
    </row>
    <row r="38" spans="1:356" x14ac:dyDescent="0.25">
      <c r="AB38" t="s">
        <v>947</v>
      </c>
      <c r="CP38" t="s">
        <v>951</v>
      </c>
      <c r="FD38" t="s">
        <v>1363</v>
      </c>
      <c r="HR38" t="s">
        <v>1312</v>
      </c>
      <c r="KF38" t="s">
        <v>1368</v>
      </c>
    </row>
    <row r="39" spans="1:356" x14ac:dyDescent="0.25">
      <c r="B39" t="s">
        <v>1174</v>
      </c>
      <c r="C39" t="s">
        <v>1178</v>
      </c>
      <c r="D39" t="s">
        <v>1195</v>
      </c>
      <c r="H39" t="s">
        <v>1183</v>
      </c>
      <c r="N39" t="s">
        <v>1186</v>
      </c>
      <c r="O39" s="1" t="s">
        <v>1211</v>
      </c>
      <c r="AB39" t="s">
        <v>1156</v>
      </c>
      <c r="CJ39" s="112"/>
      <c r="CK39" s="112"/>
      <c r="CP39" t="s">
        <v>1156</v>
      </c>
      <c r="FD39" t="s">
        <v>1156</v>
      </c>
      <c r="HR39" t="s">
        <v>1156</v>
      </c>
      <c r="KF39" t="s">
        <v>1156</v>
      </c>
    </row>
    <row r="40" spans="1:356" x14ac:dyDescent="0.25">
      <c r="A40" t="s">
        <v>1143</v>
      </c>
      <c r="B40" s="85">
        <f>DATE('Data files'!$H$9,IF('Data files'!$G$9="Calendar year",1,4),1)</f>
        <v>43831</v>
      </c>
      <c r="C40">
        <f>MATCH('Data files'!$H$9,'Reference dates (hide)'!$A$7:$A$33,0)</f>
        <v>2</v>
      </c>
      <c r="D40">
        <v>5</v>
      </c>
      <c r="F40" s="85">
        <f>B40+365</f>
        <v>44196</v>
      </c>
      <c r="O40">
        <f>YEAR(O42)</f>
        <v>2020</v>
      </c>
      <c r="P40" t="str">
        <f t="shared" ref="P40:Z40" si="14">IF(YEAR(P42)=YEAR(O42),"",YEAR(P42))</f>
        <v/>
      </c>
      <c r="Q40" t="str">
        <f t="shared" si="14"/>
        <v/>
      </c>
      <c r="R40" t="str">
        <f t="shared" si="14"/>
        <v/>
      </c>
      <c r="S40" t="str">
        <f t="shared" si="14"/>
        <v/>
      </c>
      <c r="T40" t="str">
        <f t="shared" si="14"/>
        <v/>
      </c>
      <c r="U40" t="str">
        <f t="shared" si="14"/>
        <v/>
      </c>
      <c r="V40" t="str">
        <f t="shared" si="14"/>
        <v/>
      </c>
      <c r="W40" t="str">
        <f t="shared" si="14"/>
        <v/>
      </c>
      <c r="X40" t="str">
        <f t="shared" si="14"/>
        <v/>
      </c>
      <c r="Y40" t="str">
        <f t="shared" si="14"/>
        <v/>
      </c>
      <c r="Z40" t="str">
        <f t="shared" si="14"/>
        <v/>
      </c>
      <c r="AB40" s="117">
        <v>1</v>
      </c>
      <c r="AC40" s="117" t="str">
        <f>'Data files'!$C$16</f>
        <v>test service</v>
      </c>
      <c r="AD40" s="117" t="s">
        <v>1032</v>
      </c>
      <c r="AE40" s="117">
        <v>2</v>
      </c>
      <c r="AF40" s="117">
        <f>'Data files'!$C$17</f>
        <v>0</v>
      </c>
      <c r="AG40" s="117" t="s">
        <v>1032</v>
      </c>
      <c r="AH40" s="117">
        <v>3</v>
      </c>
      <c r="AI40" s="117">
        <f>'Data files'!$C$18</f>
        <v>0</v>
      </c>
      <c r="AJ40" s="117" t="s">
        <v>1032</v>
      </c>
      <c r="AK40" s="117">
        <v>4</v>
      </c>
      <c r="AL40" s="117">
        <f>'Data files'!$C$19</f>
        <v>0</v>
      </c>
      <c r="AM40" s="117" t="s">
        <v>1032</v>
      </c>
      <c r="AN40" s="117">
        <v>5</v>
      </c>
      <c r="AO40" s="117">
        <f>'Data files'!$C$20</f>
        <v>0</v>
      </c>
      <c r="AP40" s="117" t="s">
        <v>1032</v>
      </c>
      <c r="AQ40" s="117">
        <v>6</v>
      </c>
      <c r="AR40" s="117">
        <f>'Data files'!$C$21</f>
        <v>0</v>
      </c>
      <c r="AS40" s="117" t="s">
        <v>1032</v>
      </c>
      <c r="AT40" s="117">
        <v>7</v>
      </c>
      <c r="AU40" s="117">
        <f>'Data files'!$C$22</f>
        <v>0</v>
      </c>
      <c r="AV40" s="117" t="s">
        <v>1032</v>
      </c>
      <c r="AW40" s="117">
        <v>8</v>
      </c>
      <c r="AX40" s="117">
        <f>'Data files'!$C$23</f>
        <v>0</v>
      </c>
      <c r="AY40" s="117" t="s">
        <v>1032</v>
      </c>
      <c r="AZ40" s="117">
        <v>9</v>
      </c>
      <c r="BA40" s="117">
        <f>'Data files'!$C$24</f>
        <v>0</v>
      </c>
      <c r="BB40" s="117" t="s">
        <v>1032</v>
      </c>
      <c r="BC40" s="117">
        <v>10</v>
      </c>
      <c r="BD40" s="117">
        <f>'Data files'!$C$25</f>
        <v>0</v>
      </c>
      <c r="BE40" s="117" t="s">
        <v>1032</v>
      </c>
      <c r="BF40" s="117">
        <v>11</v>
      </c>
      <c r="BG40" s="117">
        <f>'Data files'!$C$26</f>
        <v>0</v>
      </c>
      <c r="BH40" s="117" t="s">
        <v>1032</v>
      </c>
      <c r="BI40" s="117">
        <v>12</v>
      </c>
      <c r="BJ40" s="117">
        <f>'Data files'!$C$27</f>
        <v>0</v>
      </c>
      <c r="BK40" s="117" t="s">
        <v>1032</v>
      </c>
      <c r="BL40" s="117">
        <v>13</v>
      </c>
      <c r="BM40" s="117">
        <f>'Data files'!$C$28</f>
        <v>0</v>
      </c>
      <c r="BN40" s="117" t="s">
        <v>1032</v>
      </c>
      <c r="BO40" s="117">
        <v>14</v>
      </c>
      <c r="BP40" s="117">
        <f>'Data files'!$C$29</f>
        <v>0</v>
      </c>
      <c r="BQ40" s="117" t="s">
        <v>1032</v>
      </c>
      <c r="BR40" s="117">
        <v>15</v>
      </c>
      <c r="BS40" s="117">
        <f>'Data files'!$C$30</f>
        <v>0</v>
      </c>
      <c r="BT40" s="117" t="s">
        <v>1032</v>
      </c>
      <c r="BU40" s="117">
        <v>16</v>
      </c>
      <c r="BV40" s="117">
        <f>'Data files'!$C$31</f>
        <v>0</v>
      </c>
      <c r="BW40" s="117" t="s">
        <v>1032</v>
      </c>
      <c r="BX40" s="117">
        <v>17</v>
      </c>
      <c r="BY40" s="117">
        <f>'Data files'!$C$32</f>
        <v>0</v>
      </c>
      <c r="BZ40" s="117" t="s">
        <v>1032</v>
      </c>
      <c r="CA40" s="117">
        <v>18</v>
      </c>
      <c r="CB40" s="117">
        <f>'Data files'!$C$33</f>
        <v>0</v>
      </c>
      <c r="CC40" s="117" t="s">
        <v>1032</v>
      </c>
      <c r="CD40" s="117">
        <v>19</v>
      </c>
      <c r="CE40" s="117">
        <f>'Data files'!$C$34</f>
        <v>0</v>
      </c>
      <c r="CF40" s="117" t="s">
        <v>1032</v>
      </c>
      <c r="CG40" s="117">
        <v>20</v>
      </c>
      <c r="CH40" s="117">
        <f>'Data files'!$C$35</f>
        <v>0</v>
      </c>
      <c r="CI40" s="117" t="s">
        <v>1032</v>
      </c>
      <c r="CP40" s="117">
        <v>1</v>
      </c>
      <c r="CQ40" s="117" t="s">
        <v>1227</v>
      </c>
      <c r="CR40" s="117" t="s">
        <v>1227</v>
      </c>
      <c r="CS40" s="117">
        <v>2</v>
      </c>
      <c r="CT40" s="117" t="s">
        <v>1227</v>
      </c>
      <c r="CU40" s="117" t="s">
        <v>1227</v>
      </c>
      <c r="CV40" s="117">
        <v>3</v>
      </c>
      <c r="CW40" s="117" t="s">
        <v>1227</v>
      </c>
      <c r="CX40" s="117" t="s">
        <v>1227</v>
      </c>
      <c r="CY40" s="117">
        <v>4</v>
      </c>
      <c r="CZ40" s="117" t="s">
        <v>1227</v>
      </c>
      <c r="DA40" s="117" t="s">
        <v>1227</v>
      </c>
      <c r="DB40" s="117">
        <v>5</v>
      </c>
      <c r="DC40" s="117" t="s">
        <v>1227</v>
      </c>
      <c r="DD40" s="117" t="s">
        <v>1227</v>
      </c>
      <c r="DE40" s="117">
        <v>6</v>
      </c>
      <c r="DF40" s="117" t="s">
        <v>1227</v>
      </c>
      <c r="DG40" s="117" t="s">
        <v>1227</v>
      </c>
      <c r="DH40" s="117">
        <v>7</v>
      </c>
      <c r="DI40" s="117" t="s">
        <v>1227</v>
      </c>
      <c r="DJ40" s="117" t="s">
        <v>1227</v>
      </c>
      <c r="DK40" s="117">
        <v>8</v>
      </c>
      <c r="DL40" s="117" t="s">
        <v>1227</v>
      </c>
      <c r="DM40" s="117" t="s">
        <v>1227</v>
      </c>
      <c r="DN40" s="117">
        <v>9</v>
      </c>
      <c r="DO40" s="117" t="s">
        <v>1227</v>
      </c>
      <c r="DP40" s="117" t="s">
        <v>1227</v>
      </c>
      <c r="DQ40" s="117">
        <v>10</v>
      </c>
      <c r="DR40" s="117" t="s">
        <v>1227</v>
      </c>
      <c r="DS40" s="117" t="s">
        <v>1227</v>
      </c>
      <c r="DT40" s="117">
        <v>11</v>
      </c>
      <c r="DU40" s="117" t="s">
        <v>1227</v>
      </c>
      <c r="DV40" s="117" t="s">
        <v>1227</v>
      </c>
      <c r="DW40" s="117">
        <v>12</v>
      </c>
      <c r="DX40" s="117" t="s">
        <v>1227</v>
      </c>
      <c r="DY40" s="117" t="s">
        <v>1227</v>
      </c>
      <c r="DZ40" s="117">
        <v>13</v>
      </c>
      <c r="EA40" s="117" t="s">
        <v>1227</v>
      </c>
      <c r="EB40" s="117" t="s">
        <v>1227</v>
      </c>
      <c r="EC40" s="117">
        <v>14</v>
      </c>
      <c r="ED40" s="117" t="s">
        <v>1227</v>
      </c>
      <c r="EE40" s="117" t="s">
        <v>1227</v>
      </c>
      <c r="EF40" s="117">
        <v>15</v>
      </c>
      <c r="EG40" s="117" t="s">
        <v>1227</v>
      </c>
      <c r="EH40" s="117" t="s">
        <v>1227</v>
      </c>
      <c r="EI40" s="117">
        <v>16</v>
      </c>
      <c r="EJ40" s="117" t="s">
        <v>1227</v>
      </c>
      <c r="EK40" s="117" t="s">
        <v>1227</v>
      </c>
      <c r="EL40" s="117">
        <v>17</v>
      </c>
      <c r="EM40" s="117" t="s">
        <v>1227</v>
      </c>
      <c r="EN40" s="117" t="s">
        <v>1227</v>
      </c>
      <c r="EO40" s="117">
        <v>18</v>
      </c>
      <c r="EP40" s="117" t="s">
        <v>1227</v>
      </c>
      <c r="EQ40" s="117" t="s">
        <v>1227</v>
      </c>
      <c r="ER40" s="117">
        <v>19</v>
      </c>
      <c r="ES40" s="117" t="s">
        <v>1227</v>
      </c>
      <c r="ET40" s="117" t="s">
        <v>1227</v>
      </c>
      <c r="EU40" s="117">
        <v>20</v>
      </c>
      <c r="EV40" s="117" t="s">
        <v>1227</v>
      </c>
      <c r="EW40" s="117" t="s">
        <v>1227</v>
      </c>
      <c r="FD40" s="117">
        <v>1</v>
      </c>
      <c r="FE40" s="117" t="s">
        <v>1227</v>
      </c>
      <c r="FF40" s="117" t="s">
        <v>1227</v>
      </c>
      <c r="FG40" s="117">
        <v>2</v>
      </c>
      <c r="FH40" s="117" t="s">
        <v>1227</v>
      </c>
      <c r="FI40" s="117" t="s">
        <v>1227</v>
      </c>
      <c r="FJ40" s="117">
        <v>3</v>
      </c>
      <c r="FK40" s="117" t="s">
        <v>1227</v>
      </c>
      <c r="FL40" s="117" t="s">
        <v>1227</v>
      </c>
      <c r="FM40" s="117">
        <v>4</v>
      </c>
      <c r="FN40" s="117" t="s">
        <v>1227</v>
      </c>
      <c r="FO40" s="117" t="s">
        <v>1227</v>
      </c>
      <c r="FP40" s="117">
        <v>5</v>
      </c>
      <c r="FQ40" s="117" t="s">
        <v>1227</v>
      </c>
      <c r="FR40" s="117" t="s">
        <v>1227</v>
      </c>
      <c r="FS40" s="117">
        <v>6</v>
      </c>
      <c r="FT40" s="117" t="s">
        <v>1227</v>
      </c>
      <c r="FU40" s="117" t="s">
        <v>1227</v>
      </c>
      <c r="FV40" s="117">
        <v>7</v>
      </c>
      <c r="FW40" s="117" t="s">
        <v>1227</v>
      </c>
      <c r="FX40" s="117" t="s">
        <v>1227</v>
      </c>
      <c r="FY40" s="117">
        <v>8</v>
      </c>
      <c r="FZ40" s="117" t="s">
        <v>1227</v>
      </c>
      <c r="GA40" s="117" t="s">
        <v>1227</v>
      </c>
      <c r="GB40" s="117">
        <v>9</v>
      </c>
      <c r="GC40" s="117" t="s">
        <v>1227</v>
      </c>
      <c r="GD40" s="117" t="s">
        <v>1227</v>
      </c>
      <c r="GE40" s="117">
        <v>10</v>
      </c>
      <c r="GF40" s="117" t="s">
        <v>1227</v>
      </c>
      <c r="GG40" s="117" t="s">
        <v>1227</v>
      </c>
      <c r="GH40" s="117">
        <v>11</v>
      </c>
      <c r="GI40" s="117" t="s">
        <v>1227</v>
      </c>
      <c r="GJ40" s="117" t="s">
        <v>1227</v>
      </c>
      <c r="GK40" s="117">
        <v>12</v>
      </c>
      <c r="GL40" s="117" t="s">
        <v>1227</v>
      </c>
      <c r="GM40" s="117" t="s">
        <v>1227</v>
      </c>
      <c r="GN40" s="117">
        <v>13</v>
      </c>
      <c r="GO40" s="117" t="s">
        <v>1227</v>
      </c>
      <c r="GP40" s="117" t="s">
        <v>1227</v>
      </c>
      <c r="GQ40" s="117">
        <v>14</v>
      </c>
      <c r="GR40" s="117" t="s">
        <v>1227</v>
      </c>
      <c r="GS40" s="117" t="s">
        <v>1227</v>
      </c>
      <c r="GT40" s="117">
        <v>15</v>
      </c>
      <c r="GU40" s="117" t="s">
        <v>1227</v>
      </c>
      <c r="GV40" s="117" t="s">
        <v>1227</v>
      </c>
      <c r="GW40" s="117">
        <v>16</v>
      </c>
      <c r="GX40" s="117" t="s">
        <v>1227</v>
      </c>
      <c r="GY40" s="117" t="s">
        <v>1227</v>
      </c>
      <c r="GZ40" s="117">
        <v>17</v>
      </c>
      <c r="HA40" s="117" t="s">
        <v>1227</v>
      </c>
      <c r="HB40" s="117" t="s">
        <v>1227</v>
      </c>
      <c r="HC40" s="117">
        <v>18</v>
      </c>
      <c r="HD40" s="117" t="s">
        <v>1227</v>
      </c>
      <c r="HE40" s="117" t="s">
        <v>1227</v>
      </c>
      <c r="HF40" s="117">
        <v>19</v>
      </c>
      <c r="HG40" s="117" t="s">
        <v>1227</v>
      </c>
      <c r="HH40" s="117" t="s">
        <v>1227</v>
      </c>
      <c r="HI40" s="117">
        <v>20</v>
      </c>
      <c r="HJ40" s="117" t="s">
        <v>1227</v>
      </c>
      <c r="HK40" s="117" t="s">
        <v>1227</v>
      </c>
      <c r="HR40" s="117">
        <v>1</v>
      </c>
      <c r="HS40" s="117" t="s">
        <v>1227</v>
      </c>
      <c r="HT40" s="117" t="s">
        <v>1227</v>
      </c>
      <c r="HU40" s="117">
        <v>2</v>
      </c>
      <c r="HV40" s="117" t="s">
        <v>1227</v>
      </c>
      <c r="HW40" s="117" t="s">
        <v>1227</v>
      </c>
      <c r="HX40" s="117">
        <v>3</v>
      </c>
      <c r="HY40" s="117" t="s">
        <v>1227</v>
      </c>
      <c r="HZ40" s="117" t="s">
        <v>1227</v>
      </c>
      <c r="IA40" s="117">
        <v>4</v>
      </c>
      <c r="IB40" s="117" t="s">
        <v>1227</v>
      </c>
      <c r="IC40" s="117" t="s">
        <v>1227</v>
      </c>
      <c r="ID40" s="117">
        <v>5</v>
      </c>
      <c r="IE40" s="117" t="s">
        <v>1227</v>
      </c>
      <c r="IF40" s="117" t="s">
        <v>1227</v>
      </c>
      <c r="IG40" s="117">
        <v>6</v>
      </c>
      <c r="IH40" s="117" t="s">
        <v>1227</v>
      </c>
      <c r="II40" s="117" t="s">
        <v>1227</v>
      </c>
      <c r="IJ40" s="117">
        <v>7</v>
      </c>
      <c r="IK40" s="117" t="s">
        <v>1227</v>
      </c>
      <c r="IL40" s="117" t="s">
        <v>1227</v>
      </c>
      <c r="IM40" s="117">
        <v>8</v>
      </c>
      <c r="IN40" s="117" t="s">
        <v>1227</v>
      </c>
      <c r="IO40" s="117" t="s">
        <v>1227</v>
      </c>
      <c r="IP40" s="117">
        <v>9</v>
      </c>
      <c r="IQ40" s="117" t="s">
        <v>1227</v>
      </c>
      <c r="IR40" s="117" t="s">
        <v>1227</v>
      </c>
      <c r="IS40" s="117">
        <v>10</v>
      </c>
      <c r="IT40" s="117" t="s">
        <v>1227</v>
      </c>
      <c r="IU40" s="117" t="s">
        <v>1227</v>
      </c>
      <c r="IV40" s="117">
        <v>11</v>
      </c>
      <c r="IW40" s="117" t="s">
        <v>1227</v>
      </c>
      <c r="IX40" s="117" t="s">
        <v>1227</v>
      </c>
      <c r="IY40" s="117">
        <v>12</v>
      </c>
      <c r="IZ40" s="117" t="s">
        <v>1227</v>
      </c>
      <c r="JA40" s="117" t="s">
        <v>1227</v>
      </c>
      <c r="JB40" s="117">
        <v>13</v>
      </c>
      <c r="JC40" s="117" t="s">
        <v>1227</v>
      </c>
      <c r="JD40" s="117" t="s">
        <v>1227</v>
      </c>
      <c r="JE40" s="117">
        <v>14</v>
      </c>
      <c r="JF40" s="117" t="s">
        <v>1227</v>
      </c>
      <c r="JG40" s="117" t="s">
        <v>1227</v>
      </c>
      <c r="JH40" s="117">
        <v>15</v>
      </c>
      <c r="JI40" s="117" t="s">
        <v>1227</v>
      </c>
      <c r="JJ40" s="117" t="s">
        <v>1227</v>
      </c>
      <c r="JK40" s="117">
        <v>16</v>
      </c>
      <c r="JL40" s="117" t="s">
        <v>1227</v>
      </c>
      <c r="JM40" s="117" t="s">
        <v>1227</v>
      </c>
      <c r="JN40" s="117">
        <v>17</v>
      </c>
      <c r="JO40" s="117" t="s">
        <v>1227</v>
      </c>
      <c r="JP40" s="117" t="s">
        <v>1227</v>
      </c>
      <c r="JQ40" s="117">
        <v>18</v>
      </c>
      <c r="JR40" s="117" t="s">
        <v>1227</v>
      </c>
      <c r="JS40" s="117" t="s">
        <v>1227</v>
      </c>
      <c r="JT40" s="117">
        <v>19</v>
      </c>
      <c r="JU40" s="117" t="s">
        <v>1227</v>
      </c>
      <c r="JV40" s="117" t="s">
        <v>1227</v>
      </c>
      <c r="JW40" s="117">
        <v>20</v>
      </c>
      <c r="JX40" s="117" t="s">
        <v>1227</v>
      </c>
      <c r="JY40" s="117" t="s">
        <v>1227</v>
      </c>
      <c r="KF40" s="117">
        <v>1</v>
      </c>
      <c r="KG40" s="117" t="s">
        <v>1227</v>
      </c>
      <c r="KH40" s="117" t="s">
        <v>1227</v>
      </c>
      <c r="KI40" s="117">
        <v>2</v>
      </c>
      <c r="KJ40" s="117" t="s">
        <v>1227</v>
      </c>
      <c r="KK40" s="117" t="s">
        <v>1227</v>
      </c>
      <c r="KL40" s="117">
        <v>3</v>
      </c>
      <c r="KM40" s="117" t="s">
        <v>1227</v>
      </c>
      <c r="KN40" s="117" t="s">
        <v>1227</v>
      </c>
      <c r="KO40" s="117">
        <v>4</v>
      </c>
      <c r="KP40" s="117" t="s">
        <v>1227</v>
      </c>
      <c r="KQ40" s="117" t="s">
        <v>1227</v>
      </c>
      <c r="KR40" s="117">
        <v>5</v>
      </c>
      <c r="KS40" s="117" t="s">
        <v>1227</v>
      </c>
      <c r="KT40" s="117" t="s">
        <v>1227</v>
      </c>
      <c r="KU40" s="117">
        <v>6</v>
      </c>
      <c r="KV40" s="117" t="s">
        <v>1227</v>
      </c>
      <c r="KW40" s="117" t="s">
        <v>1227</v>
      </c>
      <c r="KX40" s="117">
        <v>7</v>
      </c>
      <c r="KY40" s="117" t="s">
        <v>1227</v>
      </c>
      <c r="KZ40" s="117" t="s">
        <v>1227</v>
      </c>
      <c r="LA40" s="117">
        <v>8</v>
      </c>
      <c r="LB40" s="117" t="s">
        <v>1227</v>
      </c>
      <c r="LC40" s="117" t="s">
        <v>1227</v>
      </c>
      <c r="LD40" s="117">
        <v>9</v>
      </c>
      <c r="LE40" s="117" t="s">
        <v>1227</v>
      </c>
      <c r="LF40" s="117" t="s">
        <v>1227</v>
      </c>
      <c r="LG40" s="117">
        <v>10</v>
      </c>
      <c r="LH40" s="117" t="s">
        <v>1227</v>
      </c>
      <c r="LI40" s="117" t="s">
        <v>1227</v>
      </c>
      <c r="LJ40" s="117">
        <v>11</v>
      </c>
      <c r="LK40" s="117" t="s">
        <v>1227</v>
      </c>
      <c r="LL40" s="117" t="s">
        <v>1227</v>
      </c>
      <c r="LM40" s="117">
        <v>12</v>
      </c>
      <c r="LN40" s="117" t="s">
        <v>1227</v>
      </c>
      <c r="LO40" s="117" t="s">
        <v>1227</v>
      </c>
      <c r="LP40" s="117">
        <v>13</v>
      </c>
      <c r="LQ40" s="117" t="s">
        <v>1227</v>
      </c>
      <c r="LR40" s="117" t="s">
        <v>1227</v>
      </c>
      <c r="LS40" s="117">
        <v>14</v>
      </c>
      <c r="LT40" s="117" t="s">
        <v>1227</v>
      </c>
      <c r="LU40" s="117" t="s">
        <v>1227</v>
      </c>
      <c r="LV40" s="117">
        <v>15</v>
      </c>
      <c r="LW40" s="117" t="s">
        <v>1227</v>
      </c>
      <c r="LX40" s="117" t="s">
        <v>1227</v>
      </c>
      <c r="LY40" s="117">
        <v>16</v>
      </c>
      <c r="LZ40" s="117" t="s">
        <v>1227</v>
      </c>
      <c r="MA40" s="117" t="s">
        <v>1227</v>
      </c>
      <c r="MB40" s="117">
        <v>17</v>
      </c>
      <c r="MC40" s="117" t="s">
        <v>1227</v>
      </c>
      <c r="MD40" s="117" t="s">
        <v>1227</v>
      </c>
      <c r="ME40" s="117">
        <v>18</v>
      </c>
      <c r="MF40" s="117" t="s">
        <v>1227</v>
      </c>
      <c r="MG40" s="117" t="s">
        <v>1227</v>
      </c>
      <c r="MH40" s="117">
        <v>19</v>
      </c>
      <c r="MI40" s="117" t="s">
        <v>1227</v>
      </c>
      <c r="MJ40" s="117" t="s">
        <v>1227</v>
      </c>
      <c r="MK40" s="117">
        <v>20</v>
      </c>
      <c r="ML40" s="117" t="s">
        <v>1227</v>
      </c>
      <c r="MM40" s="117" t="s">
        <v>1227</v>
      </c>
    </row>
    <row r="41" spans="1:356" x14ac:dyDescent="0.25">
      <c r="O41" s="113" t="str">
        <f t="shared" ref="O41:Z41" si="15">TEXT(O42,"MMM")</f>
        <v>Jan</v>
      </c>
      <c r="P41" s="113" t="str">
        <f t="shared" si="15"/>
        <v>Feb</v>
      </c>
      <c r="Q41" s="113" t="str">
        <f t="shared" si="15"/>
        <v>Mar</v>
      </c>
      <c r="R41" s="113" t="str">
        <f t="shared" si="15"/>
        <v>Apr</v>
      </c>
      <c r="S41" s="113" t="str">
        <f t="shared" si="15"/>
        <v>May</v>
      </c>
      <c r="T41" s="113" t="str">
        <f t="shared" si="15"/>
        <v>Jun</v>
      </c>
      <c r="U41" s="113" t="str">
        <f t="shared" si="15"/>
        <v>Jul</v>
      </c>
      <c r="V41" s="113" t="str">
        <f t="shared" si="15"/>
        <v>Aug</v>
      </c>
      <c r="W41" s="113" t="str">
        <f t="shared" si="15"/>
        <v>Sep</v>
      </c>
      <c r="X41" s="113" t="str">
        <f t="shared" si="15"/>
        <v>Oct</v>
      </c>
      <c r="Y41" s="113" t="str">
        <f t="shared" si="15"/>
        <v>Nov</v>
      </c>
      <c r="Z41" s="113" t="str">
        <f t="shared" si="15"/>
        <v>Dec</v>
      </c>
      <c r="AB41" s="113" t="str">
        <f ca="1">'File 1'!T55</f>
        <v>New</v>
      </c>
      <c r="AC41" s="113" t="str">
        <f ca="1">'File 1'!U55</f>
        <v/>
      </c>
      <c r="AD41" s="113" t="str">
        <f ca="1">'File 1'!V55</f>
        <v/>
      </c>
      <c r="AE41" s="113" t="str">
        <f ca="1">'File 2'!T55</f>
        <v/>
      </c>
      <c r="AF41" s="113" t="str">
        <f ca="1">'File 2'!U55</f>
        <v/>
      </c>
      <c r="AG41" s="113" t="str">
        <f ca="1">'File 2'!V55</f>
        <v/>
      </c>
      <c r="AH41" s="113" t="str">
        <f ca="1">'File 3'!T55</f>
        <v/>
      </c>
      <c r="AI41" s="113" t="str">
        <f ca="1">'File 3'!U55</f>
        <v/>
      </c>
      <c r="AJ41" s="113" t="str">
        <f ca="1">'File 3'!V55</f>
        <v/>
      </c>
      <c r="AK41" s="113" t="str">
        <f ca="1">'File 4'!T55</f>
        <v/>
      </c>
      <c r="AL41" s="113" t="str">
        <f ca="1">'File 4'!U55</f>
        <v/>
      </c>
      <c r="AM41" s="113" t="str">
        <f ca="1">'File 4'!V55</f>
        <v/>
      </c>
      <c r="AN41" s="113" t="str">
        <f ca="1">'File 5'!T55</f>
        <v/>
      </c>
      <c r="AO41" s="113" t="str">
        <f ca="1">'File 5'!U55</f>
        <v/>
      </c>
      <c r="AP41" s="113" t="str">
        <f ca="1">'File 5'!V55</f>
        <v/>
      </c>
      <c r="AQ41" s="113" t="str">
        <f ca="1">'File 6'!T55</f>
        <v/>
      </c>
      <c r="AR41" s="113" t="str">
        <f ca="1">'File 6'!U55</f>
        <v/>
      </c>
      <c r="AS41" s="113" t="str">
        <f ca="1">'File 6'!V55</f>
        <v/>
      </c>
      <c r="AT41" s="113" t="str">
        <f ca="1">'File 7'!T55</f>
        <v/>
      </c>
      <c r="AU41" s="113" t="str">
        <f ca="1">'File 7'!U55</f>
        <v/>
      </c>
      <c r="AV41" s="113" t="str">
        <f ca="1">'File 7'!V55</f>
        <v/>
      </c>
      <c r="AW41" s="113" t="str">
        <f ca="1">'File 8'!T55</f>
        <v/>
      </c>
      <c r="AX41" s="113" t="str">
        <f ca="1">'File 8'!U55</f>
        <v/>
      </c>
      <c r="AY41" s="113" t="str">
        <f ca="1">'File 8'!V55</f>
        <v/>
      </c>
      <c r="AZ41" s="113" t="str">
        <f ca="1">'File 9'!T55</f>
        <v/>
      </c>
      <c r="BA41" s="113" t="str">
        <f ca="1">'File 9'!U55</f>
        <v/>
      </c>
      <c r="BB41" s="113" t="str">
        <f ca="1">'File 9'!V55</f>
        <v/>
      </c>
      <c r="BC41" s="113" t="str">
        <f ca="1">'File 10'!T55</f>
        <v/>
      </c>
      <c r="BD41" s="113" t="str">
        <f ca="1">'File 10'!U55</f>
        <v/>
      </c>
      <c r="BE41" s="113" t="str">
        <f ca="1">'File 10'!V55</f>
        <v/>
      </c>
      <c r="BF41" s="113" t="str">
        <f ca="1">'File 11'!T55</f>
        <v/>
      </c>
      <c r="BG41" s="113" t="str">
        <f ca="1">'File 11'!U55</f>
        <v/>
      </c>
      <c r="BH41" s="113" t="str">
        <f ca="1">'File 11'!V55</f>
        <v/>
      </c>
      <c r="BI41" s="113" t="str">
        <f ca="1">'File 12'!T55</f>
        <v/>
      </c>
      <c r="BJ41" s="113" t="str">
        <f ca="1">'File 12'!U55</f>
        <v/>
      </c>
      <c r="BK41" s="113" t="str">
        <f ca="1">'File 12'!V55</f>
        <v/>
      </c>
      <c r="BL41" s="113" t="str">
        <f ca="1">'File 13'!T55</f>
        <v/>
      </c>
      <c r="BM41" s="113" t="str">
        <f ca="1">'File 13'!U55</f>
        <v/>
      </c>
      <c r="BN41" s="113" t="str">
        <f ca="1">'File 13'!V55</f>
        <v/>
      </c>
      <c r="BO41" s="113" t="str">
        <f ca="1">'File 14'!T55</f>
        <v/>
      </c>
      <c r="BP41" s="113" t="str">
        <f ca="1">'File 14'!U55</f>
        <v/>
      </c>
      <c r="BQ41" s="113" t="str">
        <f ca="1">'File 14'!V55</f>
        <v/>
      </c>
      <c r="BR41" s="113" t="str">
        <f ca="1">'File 15'!T55</f>
        <v/>
      </c>
      <c r="BS41" s="113" t="str">
        <f ca="1">'File 15'!U55</f>
        <v/>
      </c>
      <c r="BT41" s="113" t="str">
        <f ca="1">'File 15'!V55</f>
        <v/>
      </c>
      <c r="BU41" s="113" t="str">
        <f ca="1">'File 16'!T55</f>
        <v/>
      </c>
      <c r="BV41" s="113" t="str">
        <f ca="1">'File 16'!U55</f>
        <v/>
      </c>
      <c r="BW41" s="113" t="str">
        <f ca="1">'File 16'!V55</f>
        <v/>
      </c>
      <c r="BX41" s="113" t="str">
        <f ca="1">'File 17'!T55</f>
        <v/>
      </c>
      <c r="BY41" s="113" t="str">
        <f ca="1">'File 17'!U55</f>
        <v/>
      </c>
      <c r="BZ41" s="113" t="str">
        <f ca="1">'File 17'!V55</f>
        <v/>
      </c>
      <c r="CA41" s="113" t="str">
        <f ca="1">'File 18'!T55</f>
        <v/>
      </c>
      <c r="CB41" s="113" t="str">
        <f ca="1">'File 18'!U55</f>
        <v/>
      </c>
      <c r="CC41" s="113" t="str">
        <f ca="1">'File 18'!V55</f>
        <v/>
      </c>
      <c r="CD41" s="113" t="str">
        <f ca="1">'File 19'!T55</f>
        <v/>
      </c>
      <c r="CE41" s="113" t="str">
        <f ca="1">'File 19'!U55</f>
        <v/>
      </c>
      <c r="CF41" s="113" t="str">
        <f ca="1">'File 19'!V55</f>
        <v/>
      </c>
      <c r="CG41" s="113" t="str">
        <f ca="1">'File 20'!T55</f>
        <v/>
      </c>
      <c r="CH41" s="113" t="str">
        <f ca="1">'File 20'!U55</f>
        <v/>
      </c>
      <c r="CI41" s="113" t="str">
        <f ca="1">'File 20'!V55</f>
        <v/>
      </c>
      <c r="CJ41" t="s">
        <v>947</v>
      </c>
      <c r="EX41" t="s">
        <v>951</v>
      </c>
      <c r="HL41" t="s">
        <v>1228</v>
      </c>
      <c r="JZ41" t="s">
        <v>1312</v>
      </c>
      <c r="MN41" t="s">
        <v>1228</v>
      </c>
    </row>
    <row r="42" spans="1:356" x14ac:dyDescent="0.25">
      <c r="A42" s="1" t="s">
        <v>1180</v>
      </c>
      <c r="B42" s="1" t="s">
        <v>1106</v>
      </c>
      <c r="C42" s="1" t="s">
        <v>1182</v>
      </c>
      <c r="D42" s="1" t="s">
        <v>1177</v>
      </c>
      <c r="E42" s="1" t="s">
        <v>1187</v>
      </c>
      <c r="F42" s="1" t="s">
        <v>1181</v>
      </c>
      <c r="G42" s="1"/>
      <c r="H42" s="1" t="s">
        <v>1181</v>
      </c>
      <c r="I42" s="1" t="s">
        <v>1184</v>
      </c>
      <c r="J42" s="1" t="s">
        <v>1185</v>
      </c>
      <c r="K42" s="1" t="s">
        <v>1200</v>
      </c>
      <c r="L42" s="1"/>
      <c r="M42" s="1"/>
      <c r="N42" s="1" t="s">
        <v>1106</v>
      </c>
      <c r="O42" s="112">
        <f>B43</f>
        <v>43831</v>
      </c>
      <c r="P42" s="112">
        <f>DATE(YEAR(O42),MONTH(O42)+1,1)</f>
        <v>43862</v>
      </c>
      <c r="Q42" s="112">
        <f t="shared" ref="Q42:Z42" si="16">DATE(YEAR(P42),MONTH(P42)+1,1)</f>
        <v>43891</v>
      </c>
      <c r="R42" s="112">
        <f t="shared" si="16"/>
        <v>43922</v>
      </c>
      <c r="S42" s="112">
        <f t="shared" si="16"/>
        <v>43952</v>
      </c>
      <c r="T42" s="112">
        <f t="shared" si="16"/>
        <v>43983</v>
      </c>
      <c r="U42" s="112">
        <f t="shared" si="16"/>
        <v>44013</v>
      </c>
      <c r="V42" s="112">
        <f t="shared" si="16"/>
        <v>44044</v>
      </c>
      <c r="W42" s="112">
        <f t="shared" si="16"/>
        <v>44075</v>
      </c>
      <c r="X42" s="112">
        <f t="shared" si="16"/>
        <v>44105</v>
      </c>
      <c r="Y42" s="112">
        <f t="shared" si="16"/>
        <v>44136</v>
      </c>
      <c r="Z42" s="112">
        <f t="shared" si="16"/>
        <v>44166</v>
      </c>
      <c r="AB42" s="112" t="str">
        <f ca="1">'File 1'!Q55</f>
        <v>New</v>
      </c>
      <c r="AC42" s="112" t="str">
        <f ca="1">'File 1'!R55</f>
        <v/>
      </c>
      <c r="AD42" s="112" t="str">
        <f ca="1">'File 1'!S55</f>
        <v/>
      </c>
      <c r="AE42" s="112" t="str">
        <f ca="1">'File 2'!Q55</f>
        <v/>
      </c>
      <c r="AF42" s="112" t="str">
        <f ca="1">'File 2'!R55</f>
        <v/>
      </c>
      <c r="AG42" s="112" t="str">
        <f ca="1">'File 2'!S55</f>
        <v/>
      </c>
      <c r="AH42" s="112" t="str">
        <f ca="1">'File 3'!Q55</f>
        <v/>
      </c>
      <c r="AI42" s="112" t="str">
        <f ca="1">'File 3'!R55</f>
        <v/>
      </c>
      <c r="AJ42" s="112" t="str">
        <f ca="1">'File 3'!S55</f>
        <v/>
      </c>
      <c r="AK42" s="112" t="str">
        <f ca="1">'File 4'!Q55</f>
        <v/>
      </c>
      <c r="AL42" s="112" t="str">
        <f ca="1">'File 4'!R55</f>
        <v/>
      </c>
      <c r="AM42" s="112" t="str">
        <f ca="1">'File 4'!S55</f>
        <v/>
      </c>
      <c r="AN42" s="112" t="str">
        <f ca="1">'File 5'!Q55</f>
        <v/>
      </c>
      <c r="AO42" s="112" t="str">
        <f ca="1">'File 5'!R55</f>
        <v/>
      </c>
      <c r="AP42" s="112" t="str">
        <f ca="1">'File 5'!S55</f>
        <v/>
      </c>
      <c r="AQ42" s="112" t="str">
        <f ca="1">'File 6'!Q55</f>
        <v/>
      </c>
      <c r="AR42" s="112" t="str">
        <f ca="1">'File 6'!R55</f>
        <v/>
      </c>
      <c r="AS42" s="112" t="str">
        <f ca="1">'File 6'!S55</f>
        <v/>
      </c>
      <c r="AT42" s="112" t="str">
        <f ca="1">'File 7'!Q55</f>
        <v/>
      </c>
      <c r="AU42" s="112" t="str">
        <f ca="1">'File 7'!R55</f>
        <v/>
      </c>
      <c r="AV42" s="112" t="str">
        <f ca="1">'File 7'!S55</f>
        <v/>
      </c>
      <c r="AW42" s="112" t="str">
        <f ca="1">'File 8'!Q55</f>
        <v/>
      </c>
      <c r="AX42" s="112" t="str">
        <f ca="1">'File 8'!R55</f>
        <v/>
      </c>
      <c r="AY42" s="112" t="str">
        <f ca="1">'File 8'!S55</f>
        <v/>
      </c>
      <c r="AZ42" s="112" t="str">
        <f ca="1">'File 9'!Q55</f>
        <v/>
      </c>
      <c r="BA42" s="112" t="str">
        <f ca="1">'File 9'!R55</f>
        <v/>
      </c>
      <c r="BB42" s="112" t="str">
        <f ca="1">'File 9'!S55</f>
        <v/>
      </c>
      <c r="BC42" s="112" t="str">
        <f ca="1">'File 10'!Q55</f>
        <v/>
      </c>
      <c r="BD42" s="112" t="str">
        <f ca="1">'File 10'!R55</f>
        <v/>
      </c>
      <c r="BE42" s="112" t="str">
        <f ca="1">'File 10'!S55</f>
        <v/>
      </c>
      <c r="BF42" s="112" t="str">
        <f ca="1">'File 11'!Q55</f>
        <v/>
      </c>
      <c r="BG42" s="112" t="str">
        <f ca="1">'File 11'!R55</f>
        <v/>
      </c>
      <c r="BH42" s="112" t="str">
        <f ca="1">'File 11'!S55</f>
        <v/>
      </c>
      <c r="BI42" s="112" t="str">
        <f ca="1">'File 12'!Q55</f>
        <v/>
      </c>
      <c r="BJ42" s="112" t="str">
        <f ca="1">'File 12'!R55</f>
        <v/>
      </c>
      <c r="BK42" s="112" t="str">
        <f ca="1">'File 12'!S55</f>
        <v/>
      </c>
      <c r="BL42" s="112" t="str">
        <f ca="1">'File 13'!Q55</f>
        <v/>
      </c>
      <c r="BM42" s="112" t="str">
        <f ca="1">'File 13'!R55</f>
        <v/>
      </c>
      <c r="BN42" s="112" t="str">
        <f ca="1">'File 13'!S55</f>
        <v/>
      </c>
      <c r="BO42" s="112" t="str">
        <f ca="1">'File 14'!Q55</f>
        <v/>
      </c>
      <c r="BP42" s="112" t="str">
        <f ca="1">'File 14'!R55</f>
        <v/>
      </c>
      <c r="BQ42" s="112" t="str">
        <f ca="1">'File 14'!S55</f>
        <v/>
      </c>
      <c r="BR42" s="112" t="str">
        <f ca="1">'File 15'!Q55</f>
        <v/>
      </c>
      <c r="BS42" s="112" t="str">
        <f ca="1">'File 15'!R55</f>
        <v/>
      </c>
      <c r="BT42" s="112" t="str">
        <f ca="1">'File 15'!S55</f>
        <v/>
      </c>
      <c r="BU42" s="112" t="str">
        <f ca="1">'File 16'!Q55</f>
        <v/>
      </c>
      <c r="BV42" s="112" t="str">
        <f ca="1">'File 16'!R55</f>
        <v/>
      </c>
      <c r="BW42" s="112" t="str">
        <f ca="1">'File 16'!S55</f>
        <v/>
      </c>
      <c r="BX42" s="112" t="str">
        <f ca="1">'File 17'!Q55</f>
        <v/>
      </c>
      <c r="BY42" s="112" t="str">
        <f ca="1">'File 17'!R55</f>
        <v/>
      </c>
      <c r="BZ42" s="112" t="str">
        <f ca="1">'File 17'!S55</f>
        <v/>
      </c>
      <c r="CA42" s="112" t="str">
        <f ca="1">'File 18'!Q55</f>
        <v/>
      </c>
      <c r="CB42" s="112" t="str">
        <f ca="1">'File 18'!R55</f>
        <v/>
      </c>
      <c r="CC42" s="112" t="str">
        <f ca="1">'File 18'!S55</f>
        <v/>
      </c>
      <c r="CD42" s="112" t="str">
        <f ca="1">'File 19'!Q55</f>
        <v/>
      </c>
      <c r="CE42" s="112" t="str">
        <f ca="1">'File 19'!R55</f>
        <v/>
      </c>
      <c r="CF42" s="112" t="str">
        <f ca="1">'File 19'!S55</f>
        <v/>
      </c>
      <c r="CG42" s="112" t="str">
        <f ca="1">'File 20'!Q55</f>
        <v/>
      </c>
      <c r="CH42" s="112" t="str">
        <f ca="1">'File 20'!R55</f>
        <v/>
      </c>
      <c r="CI42" s="112" t="str">
        <f ca="1">'File 20'!S55</f>
        <v/>
      </c>
      <c r="CJ42" s="112" t="s">
        <v>815</v>
      </c>
      <c r="CK42" t="s">
        <v>841</v>
      </c>
      <c r="CL42" s="112" t="s">
        <v>991</v>
      </c>
      <c r="CM42" t="s">
        <v>842</v>
      </c>
      <c r="CN42" s="112" t="s">
        <v>839</v>
      </c>
      <c r="CP42" s="112" t="str">
        <f t="shared" ref="CP42:DU42" ca="1" si="17">AB42</f>
        <v>New</v>
      </c>
      <c r="CQ42" s="112" t="str">
        <f t="shared" ca="1" si="17"/>
        <v/>
      </c>
      <c r="CR42" s="112" t="str">
        <f t="shared" ca="1" si="17"/>
        <v/>
      </c>
      <c r="CS42" s="112" t="str">
        <f t="shared" ca="1" si="17"/>
        <v/>
      </c>
      <c r="CT42" s="112" t="str">
        <f t="shared" ca="1" si="17"/>
        <v/>
      </c>
      <c r="CU42" s="112" t="str">
        <f t="shared" ca="1" si="17"/>
        <v/>
      </c>
      <c r="CV42" s="112" t="str">
        <f t="shared" ca="1" si="17"/>
        <v/>
      </c>
      <c r="CW42" s="112" t="str">
        <f t="shared" ca="1" si="17"/>
        <v/>
      </c>
      <c r="CX42" s="112" t="str">
        <f t="shared" ca="1" si="17"/>
        <v/>
      </c>
      <c r="CY42" s="112" t="str">
        <f t="shared" ca="1" si="17"/>
        <v/>
      </c>
      <c r="CZ42" s="112" t="str">
        <f t="shared" ca="1" si="17"/>
        <v/>
      </c>
      <c r="DA42" s="112" t="str">
        <f t="shared" ca="1" si="17"/>
        <v/>
      </c>
      <c r="DB42" s="112" t="str">
        <f t="shared" ca="1" si="17"/>
        <v/>
      </c>
      <c r="DC42" s="112" t="str">
        <f t="shared" ca="1" si="17"/>
        <v/>
      </c>
      <c r="DD42" s="112" t="str">
        <f t="shared" ca="1" si="17"/>
        <v/>
      </c>
      <c r="DE42" s="112" t="str">
        <f t="shared" ca="1" si="17"/>
        <v/>
      </c>
      <c r="DF42" s="112" t="str">
        <f t="shared" ca="1" si="17"/>
        <v/>
      </c>
      <c r="DG42" s="112" t="str">
        <f t="shared" ca="1" si="17"/>
        <v/>
      </c>
      <c r="DH42" s="112" t="str">
        <f t="shared" ca="1" si="17"/>
        <v/>
      </c>
      <c r="DI42" s="112" t="str">
        <f t="shared" ca="1" si="17"/>
        <v/>
      </c>
      <c r="DJ42" s="112" t="str">
        <f t="shared" ca="1" si="17"/>
        <v/>
      </c>
      <c r="DK42" s="112" t="str">
        <f t="shared" ca="1" si="17"/>
        <v/>
      </c>
      <c r="DL42" s="112" t="str">
        <f t="shared" ca="1" si="17"/>
        <v/>
      </c>
      <c r="DM42" s="112" t="str">
        <f t="shared" ca="1" si="17"/>
        <v/>
      </c>
      <c r="DN42" s="112" t="str">
        <f t="shared" ca="1" si="17"/>
        <v/>
      </c>
      <c r="DO42" s="112" t="str">
        <f t="shared" ca="1" si="17"/>
        <v/>
      </c>
      <c r="DP42" s="112" t="str">
        <f t="shared" ca="1" si="17"/>
        <v/>
      </c>
      <c r="DQ42" s="112" t="str">
        <f t="shared" ca="1" si="17"/>
        <v/>
      </c>
      <c r="DR42" s="112" t="str">
        <f t="shared" ca="1" si="17"/>
        <v/>
      </c>
      <c r="DS42" s="112" t="str">
        <f t="shared" ca="1" si="17"/>
        <v/>
      </c>
      <c r="DT42" s="112" t="str">
        <f t="shared" ca="1" si="17"/>
        <v/>
      </c>
      <c r="DU42" s="112" t="str">
        <f t="shared" ca="1" si="17"/>
        <v/>
      </c>
      <c r="DV42" s="112" t="str">
        <f t="shared" ref="DV42:EW42" ca="1" si="18">BH42</f>
        <v/>
      </c>
      <c r="DW42" s="112" t="str">
        <f t="shared" ca="1" si="18"/>
        <v/>
      </c>
      <c r="DX42" s="112" t="str">
        <f t="shared" ca="1" si="18"/>
        <v/>
      </c>
      <c r="DY42" s="112" t="str">
        <f t="shared" ca="1" si="18"/>
        <v/>
      </c>
      <c r="DZ42" s="112" t="str">
        <f t="shared" ca="1" si="18"/>
        <v/>
      </c>
      <c r="EA42" s="112" t="str">
        <f t="shared" ca="1" si="18"/>
        <v/>
      </c>
      <c r="EB42" s="112" t="str">
        <f t="shared" ca="1" si="18"/>
        <v/>
      </c>
      <c r="EC42" s="112" t="str">
        <f t="shared" ca="1" si="18"/>
        <v/>
      </c>
      <c r="ED42" s="112" t="str">
        <f t="shared" ca="1" si="18"/>
        <v/>
      </c>
      <c r="EE42" s="112" t="str">
        <f t="shared" ca="1" si="18"/>
        <v/>
      </c>
      <c r="EF42" s="112" t="str">
        <f t="shared" ca="1" si="18"/>
        <v/>
      </c>
      <c r="EG42" s="112" t="str">
        <f t="shared" ca="1" si="18"/>
        <v/>
      </c>
      <c r="EH42" s="112" t="str">
        <f t="shared" ca="1" si="18"/>
        <v/>
      </c>
      <c r="EI42" s="112" t="str">
        <f t="shared" ca="1" si="18"/>
        <v/>
      </c>
      <c r="EJ42" s="112" t="str">
        <f t="shared" ca="1" si="18"/>
        <v/>
      </c>
      <c r="EK42" s="112" t="str">
        <f t="shared" ca="1" si="18"/>
        <v/>
      </c>
      <c r="EL42" s="112" t="str">
        <f t="shared" ca="1" si="18"/>
        <v/>
      </c>
      <c r="EM42" s="112" t="str">
        <f t="shared" ca="1" si="18"/>
        <v/>
      </c>
      <c r="EN42" s="112" t="str">
        <f t="shared" ca="1" si="18"/>
        <v/>
      </c>
      <c r="EO42" s="112" t="str">
        <f t="shared" ca="1" si="18"/>
        <v/>
      </c>
      <c r="EP42" s="112" t="str">
        <f t="shared" ca="1" si="18"/>
        <v/>
      </c>
      <c r="EQ42" s="112" t="str">
        <f t="shared" ca="1" si="18"/>
        <v/>
      </c>
      <c r="ER42" s="112" t="str">
        <f t="shared" ca="1" si="18"/>
        <v/>
      </c>
      <c r="ES42" s="112" t="str">
        <f t="shared" ca="1" si="18"/>
        <v/>
      </c>
      <c r="ET42" s="112" t="str">
        <f t="shared" ca="1" si="18"/>
        <v/>
      </c>
      <c r="EU42" s="112" t="str">
        <f t="shared" ca="1" si="18"/>
        <v/>
      </c>
      <c r="EV42" s="112" t="str">
        <f t="shared" ca="1" si="18"/>
        <v/>
      </c>
      <c r="EW42" s="112" t="str">
        <f t="shared" ca="1" si="18"/>
        <v/>
      </c>
      <c r="EX42" s="112" t="s">
        <v>815</v>
      </c>
      <c r="EY42" t="s">
        <v>841</v>
      </c>
      <c r="EZ42" s="112" t="s">
        <v>991</v>
      </c>
      <c r="FA42" t="s">
        <v>842</v>
      </c>
      <c r="FB42" s="112" t="s">
        <v>839</v>
      </c>
      <c r="FD42" s="112" t="str">
        <f t="shared" ref="FD42:GI42" ca="1" si="19">AB42</f>
        <v>New</v>
      </c>
      <c r="FE42" s="112" t="str">
        <f t="shared" ca="1" si="19"/>
        <v/>
      </c>
      <c r="FF42" s="112" t="str">
        <f t="shared" ca="1" si="19"/>
        <v/>
      </c>
      <c r="FG42" s="112" t="str">
        <f t="shared" ca="1" si="19"/>
        <v/>
      </c>
      <c r="FH42" s="112" t="str">
        <f t="shared" ca="1" si="19"/>
        <v/>
      </c>
      <c r="FI42" s="112" t="str">
        <f t="shared" ca="1" si="19"/>
        <v/>
      </c>
      <c r="FJ42" s="112" t="str">
        <f t="shared" ca="1" si="19"/>
        <v/>
      </c>
      <c r="FK42" s="112" t="str">
        <f t="shared" ca="1" si="19"/>
        <v/>
      </c>
      <c r="FL42" s="112" t="str">
        <f t="shared" ca="1" si="19"/>
        <v/>
      </c>
      <c r="FM42" s="112" t="str">
        <f t="shared" ca="1" si="19"/>
        <v/>
      </c>
      <c r="FN42" s="112" t="str">
        <f t="shared" ca="1" si="19"/>
        <v/>
      </c>
      <c r="FO42" s="112" t="str">
        <f t="shared" ca="1" si="19"/>
        <v/>
      </c>
      <c r="FP42" s="112" t="str">
        <f t="shared" ca="1" si="19"/>
        <v/>
      </c>
      <c r="FQ42" s="112" t="str">
        <f t="shared" ca="1" si="19"/>
        <v/>
      </c>
      <c r="FR42" s="112" t="str">
        <f t="shared" ca="1" si="19"/>
        <v/>
      </c>
      <c r="FS42" s="112" t="str">
        <f t="shared" ca="1" si="19"/>
        <v/>
      </c>
      <c r="FT42" s="112" t="str">
        <f t="shared" ca="1" si="19"/>
        <v/>
      </c>
      <c r="FU42" s="112" t="str">
        <f t="shared" ca="1" si="19"/>
        <v/>
      </c>
      <c r="FV42" s="112" t="str">
        <f t="shared" ca="1" si="19"/>
        <v/>
      </c>
      <c r="FW42" s="112" t="str">
        <f t="shared" ca="1" si="19"/>
        <v/>
      </c>
      <c r="FX42" s="112" t="str">
        <f t="shared" ca="1" si="19"/>
        <v/>
      </c>
      <c r="FY42" s="112" t="str">
        <f t="shared" ca="1" si="19"/>
        <v/>
      </c>
      <c r="FZ42" s="112" t="str">
        <f t="shared" ca="1" si="19"/>
        <v/>
      </c>
      <c r="GA42" s="112" t="str">
        <f t="shared" ca="1" si="19"/>
        <v/>
      </c>
      <c r="GB42" s="112" t="str">
        <f t="shared" ca="1" si="19"/>
        <v/>
      </c>
      <c r="GC42" s="112" t="str">
        <f t="shared" ca="1" si="19"/>
        <v/>
      </c>
      <c r="GD42" s="112" t="str">
        <f t="shared" ca="1" si="19"/>
        <v/>
      </c>
      <c r="GE42" s="112" t="str">
        <f t="shared" ca="1" si="19"/>
        <v/>
      </c>
      <c r="GF42" s="112" t="str">
        <f t="shared" ca="1" si="19"/>
        <v/>
      </c>
      <c r="GG42" s="112" t="str">
        <f t="shared" ca="1" si="19"/>
        <v/>
      </c>
      <c r="GH42" s="112" t="str">
        <f t="shared" ca="1" si="19"/>
        <v/>
      </c>
      <c r="GI42" s="112" t="str">
        <f t="shared" ca="1" si="19"/>
        <v/>
      </c>
      <c r="GJ42" s="112" t="str">
        <f t="shared" ref="GJ42:HK42" ca="1" si="20">BH42</f>
        <v/>
      </c>
      <c r="GK42" s="112" t="str">
        <f t="shared" ca="1" si="20"/>
        <v/>
      </c>
      <c r="GL42" s="112" t="str">
        <f t="shared" ca="1" si="20"/>
        <v/>
      </c>
      <c r="GM42" s="112" t="str">
        <f t="shared" ca="1" si="20"/>
        <v/>
      </c>
      <c r="GN42" s="112" t="str">
        <f t="shared" ca="1" si="20"/>
        <v/>
      </c>
      <c r="GO42" s="112" t="str">
        <f t="shared" ca="1" si="20"/>
        <v/>
      </c>
      <c r="GP42" s="112" t="str">
        <f t="shared" ca="1" si="20"/>
        <v/>
      </c>
      <c r="GQ42" s="112" t="str">
        <f t="shared" ca="1" si="20"/>
        <v/>
      </c>
      <c r="GR42" s="112" t="str">
        <f t="shared" ca="1" si="20"/>
        <v/>
      </c>
      <c r="GS42" s="112" t="str">
        <f t="shared" ca="1" si="20"/>
        <v/>
      </c>
      <c r="GT42" s="112" t="str">
        <f t="shared" ca="1" si="20"/>
        <v/>
      </c>
      <c r="GU42" s="112" t="str">
        <f t="shared" ca="1" si="20"/>
        <v/>
      </c>
      <c r="GV42" s="112" t="str">
        <f t="shared" ca="1" si="20"/>
        <v/>
      </c>
      <c r="GW42" s="112" t="str">
        <f t="shared" ca="1" si="20"/>
        <v/>
      </c>
      <c r="GX42" s="112" t="str">
        <f t="shared" ca="1" si="20"/>
        <v/>
      </c>
      <c r="GY42" s="112" t="str">
        <f t="shared" ca="1" si="20"/>
        <v/>
      </c>
      <c r="GZ42" s="112" t="str">
        <f t="shared" ca="1" si="20"/>
        <v/>
      </c>
      <c r="HA42" s="112" t="str">
        <f t="shared" ca="1" si="20"/>
        <v/>
      </c>
      <c r="HB42" s="112" t="str">
        <f t="shared" ca="1" si="20"/>
        <v/>
      </c>
      <c r="HC42" s="112" t="str">
        <f t="shared" ca="1" si="20"/>
        <v/>
      </c>
      <c r="HD42" s="112" t="str">
        <f t="shared" ca="1" si="20"/>
        <v/>
      </c>
      <c r="HE42" s="112" t="str">
        <f t="shared" ca="1" si="20"/>
        <v/>
      </c>
      <c r="HF42" s="112" t="str">
        <f t="shared" ca="1" si="20"/>
        <v/>
      </c>
      <c r="HG42" s="112" t="str">
        <f t="shared" ca="1" si="20"/>
        <v/>
      </c>
      <c r="HH42" s="112" t="str">
        <f t="shared" ca="1" si="20"/>
        <v/>
      </c>
      <c r="HI42" s="112" t="str">
        <f t="shared" ca="1" si="20"/>
        <v/>
      </c>
      <c r="HJ42" s="112" t="str">
        <f t="shared" ca="1" si="20"/>
        <v/>
      </c>
      <c r="HK42" s="112" t="str">
        <f t="shared" ca="1" si="20"/>
        <v/>
      </c>
      <c r="HL42" s="112" t="s">
        <v>815</v>
      </c>
      <c r="HM42" t="s">
        <v>841</v>
      </c>
      <c r="HN42" s="112" t="s">
        <v>991</v>
      </c>
      <c r="HO42" t="s">
        <v>842</v>
      </c>
      <c r="HP42" s="112" t="s">
        <v>839</v>
      </c>
      <c r="HR42" s="112" t="str">
        <f t="shared" ref="HR42:IW42" ca="1" si="21">FD42</f>
        <v>New</v>
      </c>
      <c r="HS42" s="112" t="str">
        <f t="shared" ca="1" si="21"/>
        <v/>
      </c>
      <c r="HT42" s="112" t="str">
        <f t="shared" ca="1" si="21"/>
        <v/>
      </c>
      <c r="HU42" s="112" t="str">
        <f t="shared" ca="1" si="21"/>
        <v/>
      </c>
      <c r="HV42" s="112" t="str">
        <f t="shared" ca="1" si="21"/>
        <v/>
      </c>
      <c r="HW42" s="112" t="str">
        <f t="shared" ca="1" si="21"/>
        <v/>
      </c>
      <c r="HX42" s="112" t="str">
        <f t="shared" ca="1" si="21"/>
        <v/>
      </c>
      <c r="HY42" s="112" t="str">
        <f t="shared" ca="1" si="21"/>
        <v/>
      </c>
      <c r="HZ42" s="112" t="str">
        <f t="shared" ca="1" si="21"/>
        <v/>
      </c>
      <c r="IA42" s="112" t="str">
        <f t="shared" ca="1" si="21"/>
        <v/>
      </c>
      <c r="IB42" s="112" t="str">
        <f t="shared" ca="1" si="21"/>
        <v/>
      </c>
      <c r="IC42" s="112" t="str">
        <f t="shared" ca="1" si="21"/>
        <v/>
      </c>
      <c r="ID42" s="112" t="str">
        <f t="shared" ca="1" si="21"/>
        <v/>
      </c>
      <c r="IE42" s="112" t="str">
        <f t="shared" ca="1" si="21"/>
        <v/>
      </c>
      <c r="IF42" s="112" t="str">
        <f t="shared" ca="1" si="21"/>
        <v/>
      </c>
      <c r="IG42" s="112" t="str">
        <f t="shared" ca="1" si="21"/>
        <v/>
      </c>
      <c r="IH42" s="112" t="str">
        <f t="shared" ca="1" si="21"/>
        <v/>
      </c>
      <c r="II42" s="112" t="str">
        <f t="shared" ca="1" si="21"/>
        <v/>
      </c>
      <c r="IJ42" s="112" t="str">
        <f t="shared" ca="1" si="21"/>
        <v/>
      </c>
      <c r="IK42" s="112" t="str">
        <f t="shared" ca="1" si="21"/>
        <v/>
      </c>
      <c r="IL42" s="112" t="str">
        <f t="shared" ca="1" si="21"/>
        <v/>
      </c>
      <c r="IM42" s="112" t="str">
        <f t="shared" ca="1" si="21"/>
        <v/>
      </c>
      <c r="IN42" s="112" t="str">
        <f t="shared" ca="1" si="21"/>
        <v/>
      </c>
      <c r="IO42" s="112" t="str">
        <f t="shared" ca="1" si="21"/>
        <v/>
      </c>
      <c r="IP42" s="112" t="str">
        <f t="shared" ca="1" si="21"/>
        <v/>
      </c>
      <c r="IQ42" s="112" t="str">
        <f t="shared" ca="1" si="21"/>
        <v/>
      </c>
      <c r="IR42" s="112" t="str">
        <f t="shared" ca="1" si="21"/>
        <v/>
      </c>
      <c r="IS42" s="112" t="str">
        <f t="shared" ca="1" si="21"/>
        <v/>
      </c>
      <c r="IT42" s="112" t="str">
        <f t="shared" ca="1" si="21"/>
        <v/>
      </c>
      <c r="IU42" s="112" t="str">
        <f t="shared" ca="1" si="21"/>
        <v/>
      </c>
      <c r="IV42" s="112" t="str">
        <f t="shared" ca="1" si="21"/>
        <v/>
      </c>
      <c r="IW42" s="112" t="str">
        <f t="shared" ca="1" si="21"/>
        <v/>
      </c>
      <c r="IX42" s="112" t="str">
        <f t="shared" ref="IX42:JY42" ca="1" si="22">GJ42</f>
        <v/>
      </c>
      <c r="IY42" s="112" t="str">
        <f t="shared" ca="1" si="22"/>
        <v/>
      </c>
      <c r="IZ42" s="112" t="str">
        <f t="shared" ca="1" si="22"/>
        <v/>
      </c>
      <c r="JA42" s="112" t="str">
        <f t="shared" ca="1" si="22"/>
        <v/>
      </c>
      <c r="JB42" s="112" t="str">
        <f t="shared" ca="1" si="22"/>
        <v/>
      </c>
      <c r="JC42" s="112" t="str">
        <f t="shared" ca="1" si="22"/>
        <v/>
      </c>
      <c r="JD42" s="112" t="str">
        <f t="shared" ca="1" si="22"/>
        <v/>
      </c>
      <c r="JE42" s="112" t="str">
        <f t="shared" ca="1" si="22"/>
        <v/>
      </c>
      <c r="JF42" s="112" t="str">
        <f t="shared" ca="1" si="22"/>
        <v/>
      </c>
      <c r="JG42" s="112" t="str">
        <f t="shared" ca="1" si="22"/>
        <v/>
      </c>
      <c r="JH42" s="112" t="str">
        <f t="shared" ca="1" si="22"/>
        <v/>
      </c>
      <c r="JI42" s="112" t="str">
        <f t="shared" ca="1" si="22"/>
        <v/>
      </c>
      <c r="JJ42" s="112" t="str">
        <f t="shared" ca="1" si="22"/>
        <v/>
      </c>
      <c r="JK42" s="112" t="str">
        <f t="shared" ca="1" si="22"/>
        <v/>
      </c>
      <c r="JL42" s="112" t="str">
        <f t="shared" ca="1" si="22"/>
        <v/>
      </c>
      <c r="JM42" s="112" t="str">
        <f t="shared" ca="1" si="22"/>
        <v/>
      </c>
      <c r="JN42" s="112" t="str">
        <f t="shared" ca="1" si="22"/>
        <v/>
      </c>
      <c r="JO42" s="112" t="str">
        <f t="shared" ca="1" si="22"/>
        <v/>
      </c>
      <c r="JP42" s="112" t="str">
        <f t="shared" ca="1" si="22"/>
        <v/>
      </c>
      <c r="JQ42" s="112" t="str">
        <f t="shared" ca="1" si="22"/>
        <v/>
      </c>
      <c r="JR42" s="112" t="str">
        <f t="shared" ca="1" si="22"/>
        <v/>
      </c>
      <c r="JS42" s="112" t="str">
        <f t="shared" ca="1" si="22"/>
        <v/>
      </c>
      <c r="JT42" s="112" t="str">
        <f t="shared" ca="1" si="22"/>
        <v/>
      </c>
      <c r="JU42" s="112" t="str">
        <f t="shared" ca="1" si="22"/>
        <v/>
      </c>
      <c r="JV42" s="112" t="str">
        <f t="shared" ca="1" si="22"/>
        <v/>
      </c>
      <c r="JW42" s="112" t="str">
        <f t="shared" ca="1" si="22"/>
        <v/>
      </c>
      <c r="JX42" s="112" t="str">
        <f t="shared" ca="1" si="22"/>
        <v/>
      </c>
      <c r="JY42" s="112" t="str">
        <f t="shared" ca="1" si="22"/>
        <v/>
      </c>
      <c r="JZ42" s="112" t="s">
        <v>815</v>
      </c>
      <c r="KA42" t="s">
        <v>841</v>
      </c>
      <c r="KB42" s="112" t="s">
        <v>991</v>
      </c>
      <c r="KC42" t="s">
        <v>842</v>
      </c>
      <c r="KD42" s="112" t="s">
        <v>839</v>
      </c>
      <c r="KF42" s="112" t="str">
        <f t="shared" ref="KF42:LK42" ca="1" si="23">FD42</f>
        <v>New</v>
      </c>
      <c r="KG42" s="112" t="str">
        <f t="shared" ca="1" si="23"/>
        <v/>
      </c>
      <c r="KH42" s="112" t="str">
        <f t="shared" ca="1" si="23"/>
        <v/>
      </c>
      <c r="KI42" s="112" t="str">
        <f t="shared" ca="1" si="23"/>
        <v/>
      </c>
      <c r="KJ42" s="112" t="str">
        <f t="shared" ca="1" si="23"/>
        <v/>
      </c>
      <c r="KK42" s="112" t="str">
        <f t="shared" ca="1" si="23"/>
        <v/>
      </c>
      <c r="KL42" s="112" t="str">
        <f t="shared" ca="1" si="23"/>
        <v/>
      </c>
      <c r="KM42" s="112" t="str">
        <f t="shared" ca="1" si="23"/>
        <v/>
      </c>
      <c r="KN42" s="112" t="str">
        <f t="shared" ca="1" si="23"/>
        <v/>
      </c>
      <c r="KO42" s="112" t="str">
        <f t="shared" ca="1" si="23"/>
        <v/>
      </c>
      <c r="KP42" s="112" t="str">
        <f t="shared" ca="1" si="23"/>
        <v/>
      </c>
      <c r="KQ42" s="112" t="str">
        <f t="shared" ca="1" si="23"/>
        <v/>
      </c>
      <c r="KR42" s="112" t="str">
        <f t="shared" ca="1" si="23"/>
        <v/>
      </c>
      <c r="KS42" s="112" t="str">
        <f t="shared" ca="1" si="23"/>
        <v/>
      </c>
      <c r="KT42" s="112" t="str">
        <f t="shared" ca="1" si="23"/>
        <v/>
      </c>
      <c r="KU42" s="112" t="str">
        <f t="shared" ca="1" si="23"/>
        <v/>
      </c>
      <c r="KV42" s="112" t="str">
        <f t="shared" ca="1" si="23"/>
        <v/>
      </c>
      <c r="KW42" s="112" t="str">
        <f t="shared" ca="1" si="23"/>
        <v/>
      </c>
      <c r="KX42" s="112" t="str">
        <f t="shared" ca="1" si="23"/>
        <v/>
      </c>
      <c r="KY42" s="112" t="str">
        <f t="shared" ca="1" si="23"/>
        <v/>
      </c>
      <c r="KZ42" s="112" t="str">
        <f t="shared" ca="1" si="23"/>
        <v/>
      </c>
      <c r="LA42" s="112" t="str">
        <f t="shared" ca="1" si="23"/>
        <v/>
      </c>
      <c r="LB42" s="112" t="str">
        <f t="shared" ca="1" si="23"/>
        <v/>
      </c>
      <c r="LC42" s="112" t="str">
        <f t="shared" ca="1" si="23"/>
        <v/>
      </c>
      <c r="LD42" s="112" t="str">
        <f t="shared" ca="1" si="23"/>
        <v/>
      </c>
      <c r="LE42" s="112" t="str">
        <f t="shared" ca="1" si="23"/>
        <v/>
      </c>
      <c r="LF42" s="112" t="str">
        <f t="shared" ca="1" si="23"/>
        <v/>
      </c>
      <c r="LG42" s="112" t="str">
        <f t="shared" ca="1" si="23"/>
        <v/>
      </c>
      <c r="LH42" s="112" t="str">
        <f t="shared" ca="1" si="23"/>
        <v/>
      </c>
      <c r="LI42" s="112" t="str">
        <f t="shared" ca="1" si="23"/>
        <v/>
      </c>
      <c r="LJ42" s="112" t="str">
        <f t="shared" ca="1" si="23"/>
        <v/>
      </c>
      <c r="LK42" s="112" t="str">
        <f t="shared" ca="1" si="23"/>
        <v/>
      </c>
      <c r="LL42" s="112" t="str">
        <f t="shared" ref="LL42:MM42" ca="1" si="24">GJ42</f>
        <v/>
      </c>
      <c r="LM42" s="112" t="str">
        <f t="shared" ca="1" si="24"/>
        <v/>
      </c>
      <c r="LN42" s="112" t="str">
        <f t="shared" ca="1" si="24"/>
        <v/>
      </c>
      <c r="LO42" s="112" t="str">
        <f t="shared" ca="1" si="24"/>
        <v/>
      </c>
      <c r="LP42" s="112" t="str">
        <f t="shared" ca="1" si="24"/>
        <v/>
      </c>
      <c r="LQ42" s="112" t="str">
        <f t="shared" ca="1" si="24"/>
        <v/>
      </c>
      <c r="LR42" s="112" t="str">
        <f t="shared" ca="1" si="24"/>
        <v/>
      </c>
      <c r="LS42" s="112" t="str">
        <f t="shared" ca="1" si="24"/>
        <v/>
      </c>
      <c r="LT42" s="112" t="str">
        <f t="shared" ca="1" si="24"/>
        <v/>
      </c>
      <c r="LU42" s="112" t="str">
        <f t="shared" ca="1" si="24"/>
        <v/>
      </c>
      <c r="LV42" s="112" t="str">
        <f t="shared" ca="1" si="24"/>
        <v/>
      </c>
      <c r="LW42" s="112" t="str">
        <f t="shared" ca="1" si="24"/>
        <v/>
      </c>
      <c r="LX42" s="112" t="str">
        <f t="shared" ca="1" si="24"/>
        <v/>
      </c>
      <c r="LY42" s="112" t="str">
        <f t="shared" ca="1" si="24"/>
        <v/>
      </c>
      <c r="LZ42" s="112" t="str">
        <f t="shared" ca="1" si="24"/>
        <v/>
      </c>
      <c r="MA42" s="112" t="str">
        <f t="shared" ca="1" si="24"/>
        <v/>
      </c>
      <c r="MB42" s="112" t="str">
        <f t="shared" ca="1" si="24"/>
        <v/>
      </c>
      <c r="MC42" s="112" t="str">
        <f t="shared" ca="1" si="24"/>
        <v/>
      </c>
      <c r="MD42" s="112" t="str">
        <f t="shared" ca="1" si="24"/>
        <v/>
      </c>
      <c r="ME42" s="112" t="str">
        <f t="shared" ca="1" si="24"/>
        <v/>
      </c>
      <c r="MF42" s="112" t="str">
        <f t="shared" ca="1" si="24"/>
        <v/>
      </c>
      <c r="MG42" s="112" t="str">
        <f t="shared" ca="1" si="24"/>
        <v/>
      </c>
      <c r="MH42" s="112" t="str">
        <f t="shared" ca="1" si="24"/>
        <v/>
      </c>
      <c r="MI42" s="112" t="str">
        <f t="shared" ca="1" si="24"/>
        <v/>
      </c>
      <c r="MJ42" s="112" t="str">
        <f t="shared" ca="1" si="24"/>
        <v/>
      </c>
      <c r="MK42" s="112" t="str">
        <f t="shared" ca="1" si="24"/>
        <v/>
      </c>
      <c r="ML42" s="112" t="str">
        <f t="shared" ca="1" si="24"/>
        <v/>
      </c>
      <c r="MM42" s="112" t="str">
        <f t="shared" ca="1" si="24"/>
        <v/>
      </c>
      <c r="MN42" s="112" t="s">
        <v>815</v>
      </c>
      <c r="MO42" t="s">
        <v>841</v>
      </c>
      <c r="MP42" s="112" t="s">
        <v>991</v>
      </c>
      <c r="MQ42" t="s">
        <v>842</v>
      </c>
      <c r="MR42" s="112" t="s">
        <v>839</v>
      </c>
    </row>
    <row r="43" spans="1:356" x14ac:dyDescent="0.25">
      <c r="A43">
        <f>1</f>
        <v>1</v>
      </c>
      <c r="B43" s="85">
        <f>B40</f>
        <v>43831</v>
      </c>
      <c r="C43" s="85">
        <f t="shared" ref="C43:C106" si="25">B43-WEEKDAY(B43,3)</f>
        <v>43829</v>
      </c>
      <c r="D43">
        <f t="shared" ref="D43:D106" ca="1" si="26">IF(WEEKDAY(B43,3)&gt;=5,0,IF(ISNA(MATCH(B43,OFFSET($A$6,$C$40,1,1,13),0))=FALSE,0,1))</f>
        <v>0</v>
      </c>
      <c r="E43" s="85">
        <f t="shared" ref="E43:E106" si="27">DATE(YEAR(B43),MONTH(B43),1)</f>
        <v>43831</v>
      </c>
      <c r="F43">
        <f>WEEKNUM(B43,21)</f>
        <v>1</v>
      </c>
      <c r="H43">
        <f>WEEKNUM(I43,21)</f>
        <v>1</v>
      </c>
      <c r="I43" s="85">
        <f>C43</f>
        <v>43829</v>
      </c>
      <c r="J43">
        <f t="shared" ref="J43:J74" ca="1" si="28">SUMIFS($D$43:$D$408,$C$43:$C$408,I43,$A$43:$A$408,1)</f>
        <v>2</v>
      </c>
      <c r="K43">
        <f t="shared" ref="K43:K74" ca="1" si="29">J43/$J$96</f>
        <v>7.874015748031496E-3</v>
      </c>
      <c r="L43" s="114"/>
      <c r="N43" s="85">
        <f>I43</f>
        <v>43829</v>
      </c>
      <c r="O43" s="122">
        <f t="shared" ref="O43:Z52" ca="1" si="30">SUMIFS($D$43:$D$408,$C$43:$C$408,$N43,$E$43:$E$408,O$42)/$J43</f>
        <v>1</v>
      </c>
      <c r="P43" s="122">
        <f t="shared" ca="1" si="30"/>
        <v>0</v>
      </c>
      <c r="Q43" s="122">
        <f t="shared" ca="1" si="30"/>
        <v>0</v>
      </c>
      <c r="R43" s="122">
        <f t="shared" ca="1" si="30"/>
        <v>0</v>
      </c>
      <c r="S43" s="122">
        <f t="shared" ca="1" si="30"/>
        <v>0</v>
      </c>
      <c r="T43" s="122">
        <f t="shared" ca="1" si="30"/>
        <v>0</v>
      </c>
      <c r="U43" s="122">
        <f t="shared" ca="1" si="30"/>
        <v>0</v>
      </c>
      <c r="V43" s="122">
        <f t="shared" ca="1" si="30"/>
        <v>0</v>
      </c>
      <c r="W43" s="122">
        <f t="shared" ca="1" si="30"/>
        <v>0</v>
      </c>
      <c r="X43" s="122">
        <f t="shared" ca="1" si="30"/>
        <v>0</v>
      </c>
      <c r="Y43" s="122">
        <f t="shared" ca="1" si="30"/>
        <v>0</v>
      </c>
      <c r="Z43" s="122">
        <f t="shared" ca="1" si="30"/>
        <v>0</v>
      </c>
      <c r="AA43" s="122"/>
      <c r="AB43" s="140">
        <f>INDEX('File 1'!Weekly_Adjusted,1,1)</f>
        <v>388.17143954725253</v>
      </c>
      <c r="AC43" s="140">
        <f>INDEX('File 1'!Weekly_Adjusted,1,2)</f>
        <v>0</v>
      </c>
      <c r="AD43" s="140">
        <f>INDEX('File 1'!Weekly_Adjusted,1,3)</f>
        <v>0</v>
      </c>
      <c r="AE43" s="141">
        <f>INDEX('File 2'!Weekly_Adjusted,1,1)</f>
        <v>0</v>
      </c>
      <c r="AF43" s="141">
        <f>INDEX('File 2'!Weekly_Adjusted,1,2)</f>
        <v>0</v>
      </c>
      <c r="AG43" s="141">
        <f>INDEX('File 2'!Weekly_Adjusted,1,3)</f>
        <v>0</v>
      </c>
      <c r="AH43" s="140">
        <f>INDEX('File 3'!Weekly_Adjusted,1,1)</f>
        <v>0</v>
      </c>
      <c r="AI43" s="140">
        <f>INDEX('File 3'!Weekly_Adjusted,1,2)</f>
        <v>0</v>
      </c>
      <c r="AJ43" s="140">
        <f>INDEX('File 3'!Weekly_Adjusted,1,3)</f>
        <v>0</v>
      </c>
      <c r="AK43" s="141">
        <f>INDEX('File 4'!Weekly_Adjusted,1,1)</f>
        <v>0</v>
      </c>
      <c r="AL43" s="141">
        <f>INDEX('File 4'!Weekly_Adjusted,1,2)</f>
        <v>0</v>
      </c>
      <c r="AM43" s="141">
        <f>INDEX('File 4'!Weekly_Adjusted,1,3)</f>
        <v>0</v>
      </c>
      <c r="AN43" s="140">
        <f>INDEX('File 5'!Weekly_Adjusted,1,1)</f>
        <v>0</v>
      </c>
      <c r="AO43" s="140">
        <f>INDEX('File 5'!Weekly_Adjusted,1,2)</f>
        <v>0</v>
      </c>
      <c r="AP43" s="140">
        <f>INDEX('File 5'!Weekly_Adjusted,1,3)</f>
        <v>0</v>
      </c>
      <c r="AQ43" s="141">
        <f>INDEX('File 6'!Weekly_Adjusted,1,1)</f>
        <v>0</v>
      </c>
      <c r="AR43" s="141">
        <f>INDEX('File 6'!Weekly_Adjusted,1,2)</f>
        <v>0</v>
      </c>
      <c r="AS43" s="141">
        <f>INDEX('File 6'!Weekly_Adjusted,1,3)</f>
        <v>0</v>
      </c>
      <c r="AT43" s="140">
        <f>INDEX('File 7'!Weekly_Adjusted,1,1)</f>
        <v>0</v>
      </c>
      <c r="AU43" s="140">
        <f>INDEX('File 7'!Weekly_Adjusted,1,2)</f>
        <v>0</v>
      </c>
      <c r="AV43" s="140">
        <f>INDEX('File 7'!Weekly_Adjusted,1,3)</f>
        <v>0</v>
      </c>
      <c r="AW43" s="141">
        <f>INDEX('File 8'!Weekly_Adjusted,1,1)</f>
        <v>0</v>
      </c>
      <c r="AX43" s="141">
        <f>INDEX('File 8'!Weekly_Adjusted,1,2)</f>
        <v>0</v>
      </c>
      <c r="AY43" s="141">
        <f>INDEX('File 8'!Weekly_Adjusted,1,3)</f>
        <v>0</v>
      </c>
      <c r="AZ43" s="140">
        <f>INDEX('File 9'!Weekly_Adjusted,1,1)</f>
        <v>0</v>
      </c>
      <c r="BA43" s="140">
        <f>INDEX('File 9'!Weekly_Adjusted,1,2)</f>
        <v>0</v>
      </c>
      <c r="BB43" s="140">
        <f>INDEX('File 9'!Weekly_Adjusted,1,3)</f>
        <v>0</v>
      </c>
      <c r="BC43" s="141">
        <f>INDEX('File 10'!Weekly_Adjusted,1,1)</f>
        <v>0</v>
      </c>
      <c r="BD43" s="141">
        <f>INDEX('File 10'!Weekly_Adjusted,1,2)</f>
        <v>0</v>
      </c>
      <c r="BE43" s="141">
        <f>INDEX('File 10'!Weekly_Adjusted,1,3)</f>
        <v>0</v>
      </c>
      <c r="BF43" s="140">
        <f>INDEX('File 11'!Weekly_Adjusted,1,1)</f>
        <v>0</v>
      </c>
      <c r="BG43" s="140">
        <f>INDEX('File 11'!Weekly_Adjusted,1,2)</f>
        <v>0</v>
      </c>
      <c r="BH43" s="140">
        <f>INDEX('File 11'!Weekly_Adjusted,1,3)</f>
        <v>0</v>
      </c>
      <c r="BI43" s="141">
        <f>INDEX('File 12'!Weekly_Adjusted,1,1)</f>
        <v>0</v>
      </c>
      <c r="BJ43" s="141">
        <f>INDEX('File 12'!Weekly_Adjusted,1,2)</f>
        <v>0</v>
      </c>
      <c r="BK43" s="141">
        <f>INDEX('File 12'!Weekly_Adjusted,1,3)</f>
        <v>0</v>
      </c>
      <c r="BL43" s="140">
        <f>INDEX('File 13'!Weekly_Adjusted,1,1)</f>
        <v>0</v>
      </c>
      <c r="BM43" s="140">
        <f>INDEX('File 13'!Weekly_Adjusted,1,2)</f>
        <v>0</v>
      </c>
      <c r="BN43" s="140">
        <f>INDEX('File 13'!Weekly_Adjusted,1,3)</f>
        <v>0</v>
      </c>
      <c r="BO43" s="141">
        <f>INDEX('File 14'!Weekly_Adjusted,1,1)</f>
        <v>0</v>
      </c>
      <c r="BP43" s="141">
        <f>INDEX('File 14'!Weekly_Adjusted,1,2)</f>
        <v>0</v>
      </c>
      <c r="BQ43" s="141">
        <f>INDEX('File 14'!Weekly_Adjusted,1,3)</f>
        <v>0</v>
      </c>
      <c r="BR43" s="140">
        <f>INDEX('File 15'!Weekly_Adjusted,1,1)</f>
        <v>0</v>
      </c>
      <c r="BS43" s="140">
        <f>INDEX('File 15'!Weekly_Adjusted,1,2)</f>
        <v>0</v>
      </c>
      <c r="BT43" s="140">
        <f>INDEX('File 15'!Weekly_Adjusted,1,3)</f>
        <v>0</v>
      </c>
      <c r="BU43" s="141">
        <f>INDEX('File 16'!Weekly_Adjusted,1,1)</f>
        <v>0</v>
      </c>
      <c r="BV43" s="141">
        <f>INDEX('File 16'!Weekly_Adjusted,1,2)</f>
        <v>0</v>
      </c>
      <c r="BW43" s="141">
        <f>INDEX('File 16'!Weekly_Adjusted,1,3)</f>
        <v>0</v>
      </c>
      <c r="BX43" s="140">
        <f>INDEX('File 17'!Weekly_Adjusted,1,1)</f>
        <v>0</v>
      </c>
      <c r="BY43" s="140">
        <f>INDEX('File 17'!Weekly_Adjusted,1,2)</f>
        <v>0</v>
      </c>
      <c r="BZ43" s="140">
        <f>INDEX('File 17'!Weekly_Adjusted,1,3)</f>
        <v>0</v>
      </c>
      <c r="CA43" s="141">
        <f>INDEX('File 18'!Weekly_Adjusted,1,1)</f>
        <v>0</v>
      </c>
      <c r="CB43" s="141">
        <f>INDEX('File 18'!Weekly_Adjusted,1,2)</f>
        <v>0</v>
      </c>
      <c r="CC43" s="141">
        <f>INDEX('File 18'!Weekly_Adjusted,1,3)</f>
        <v>0</v>
      </c>
      <c r="CD43" s="140">
        <f>INDEX('File 19'!Weekly_Adjusted,1,1)</f>
        <v>0</v>
      </c>
      <c r="CE43" s="140">
        <f>INDEX('File 19'!Weekly_Adjusted,1,2)</f>
        <v>0</v>
      </c>
      <c r="CF43" s="140">
        <f>INDEX('File 19'!Weekly_Adjusted,1,3)</f>
        <v>0</v>
      </c>
      <c r="CG43" s="141">
        <f>INDEX('File 20'!Weekly_Adjusted,1,1)</f>
        <v>0</v>
      </c>
      <c r="CH43" s="141">
        <f>INDEX('File 20'!Weekly_Adjusted,1,2)</f>
        <v>0</v>
      </c>
      <c r="CI43" s="141">
        <f>INDEX('File 20'!Weekly_Adjusted,1,3)</f>
        <v>0</v>
      </c>
      <c r="CJ43" s="6">
        <f ca="1">SUMIFS(INDEX(Demand_Activity_Weekly,ROW(A1),0),Demand_Activity_Weekly_Header,CJ$42)</f>
        <v>388.17143954725253</v>
      </c>
      <c r="CK43" s="6">
        <f ca="1">SUMIFS(INDEX(Demand_Activity_Weekly,ROW(B1),0),Demand_Activity_Weekly_Header,CK$42)</f>
        <v>0</v>
      </c>
      <c r="CL43" s="6">
        <f ca="1">SUMIFS(INDEX(Demand_Activity_Weekly,ROW(C1),0),Demand_Activity_Weekly_Header,CL$42)</f>
        <v>0</v>
      </c>
      <c r="CM43" s="6">
        <f ca="1">SUMIFS(INDEX(Demand_Activity_Weekly,ROW(D1),0),Demand_Activity_Weekly_Header,CM$42)</f>
        <v>0</v>
      </c>
      <c r="CN43" s="6">
        <f ca="1">SUMIFS(INDEX(Demand_Activity_Weekly,ROW(E1),0),Demand_Activity_Weekly_Header,CN$42)</f>
        <v>0</v>
      </c>
      <c r="CP43" s="142">
        <f ca="1">INDEX('File 1'!Weekly_Adjusted,1,10)</f>
        <v>9.9679136611420081</v>
      </c>
      <c r="CQ43" s="142">
        <f>INDEX('File 1'!Weekly_Adjusted,1,11)</f>
        <v>0</v>
      </c>
      <c r="CR43" s="142">
        <f>INDEX('File 1'!Weekly_Adjusted,1,12)</f>
        <v>0</v>
      </c>
      <c r="CS43" s="143">
        <f>INDEX('File 2'!Weekly_Adjusted,1,10)</f>
        <v>0</v>
      </c>
      <c r="CT43" s="143">
        <f>INDEX('File 2'!Weekly_Adjusted,1,11)</f>
        <v>0</v>
      </c>
      <c r="CU43" s="143">
        <f>INDEX('File 2'!Weekly_Adjusted,1,12)</f>
        <v>0</v>
      </c>
      <c r="CV43" s="142">
        <f>INDEX('File 3'!Weekly_Adjusted,1,10)</f>
        <v>0</v>
      </c>
      <c r="CW43" s="142">
        <f>INDEX('File 3'!Weekly_Adjusted,1,11)</f>
        <v>0</v>
      </c>
      <c r="CX43" s="142">
        <f>INDEX('File 3'!Weekly_Adjusted,1,12)</f>
        <v>0</v>
      </c>
      <c r="CY43" s="143">
        <f>INDEX('File 4'!Weekly_Adjusted,1,10)</f>
        <v>0</v>
      </c>
      <c r="CZ43" s="143">
        <f>INDEX('File 4'!Weekly_Adjusted,1,11)</f>
        <v>0</v>
      </c>
      <c r="DA43" s="143">
        <f>INDEX('File 4'!Weekly_Adjusted,1,12)</f>
        <v>0</v>
      </c>
      <c r="DB43" s="142">
        <f>INDEX('File 5'!Weekly_Adjusted,1,10)</f>
        <v>0</v>
      </c>
      <c r="DC43" s="142">
        <f>INDEX('File 5'!Weekly_Adjusted,1,11)</f>
        <v>0</v>
      </c>
      <c r="DD43" s="142">
        <f>INDEX('File 5'!Weekly_Adjusted,1,12)</f>
        <v>0</v>
      </c>
      <c r="DE43" s="143">
        <f>INDEX('File 6'!Weekly_Adjusted,1,10)</f>
        <v>0</v>
      </c>
      <c r="DF43" s="143">
        <f>INDEX('File 6'!Weekly_Adjusted,1,11)</f>
        <v>0</v>
      </c>
      <c r="DG43" s="143">
        <f>INDEX('File 6'!Weekly_Adjusted,1,12)</f>
        <v>0</v>
      </c>
      <c r="DH43" s="142">
        <f>INDEX('File 7'!Weekly_Adjusted,1,10)</f>
        <v>0</v>
      </c>
      <c r="DI43" s="142">
        <f>INDEX('File 7'!Weekly_Adjusted,1,11)</f>
        <v>0</v>
      </c>
      <c r="DJ43" s="142">
        <f>INDEX('File 7'!Weekly_Adjusted,1,12)</f>
        <v>0</v>
      </c>
      <c r="DK43" s="143">
        <f>INDEX('File 8'!Weekly_Adjusted,1,10)</f>
        <v>0</v>
      </c>
      <c r="DL43" s="143">
        <f>INDEX('File 8'!Weekly_Adjusted,1,11)</f>
        <v>0</v>
      </c>
      <c r="DM43" s="143">
        <f>INDEX('File 8'!Weekly_Adjusted,1,12)</f>
        <v>0</v>
      </c>
      <c r="DN43" s="142">
        <f>INDEX('File 9'!Weekly_Adjusted,1,10)</f>
        <v>0</v>
      </c>
      <c r="DO43" s="142">
        <f>INDEX('File 9'!Weekly_Adjusted,1,11)</f>
        <v>0</v>
      </c>
      <c r="DP43" s="142">
        <f>INDEX('File 9'!Weekly_Adjusted,1,12)</f>
        <v>0</v>
      </c>
      <c r="DQ43" s="143">
        <f>INDEX('File 10'!Weekly_Adjusted,1,10)</f>
        <v>0</v>
      </c>
      <c r="DR43" s="143">
        <f>INDEX('File 10'!Weekly_Adjusted,1,11)</f>
        <v>0</v>
      </c>
      <c r="DS43" s="143">
        <f>INDEX('File 10'!Weekly_Adjusted,1,12)</f>
        <v>0</v>
      </c>
      <c r="DT43" s="142">
        <f>INDEX('File 11'!Weekly_Adjusted,1,10)</f>
        <v>0</v>
      </c>
      <c r="DU43" s="142">
        <f>INDEX('File 11'!Weekly_Adjusted,1,11)</f>
        <v>0</v>
      </c>
      <c r="DV43" s="142">
        <f>INDEX('File 11'!Weekly_Adjusted,1,12)</f>
        <v>0</v>
      </c>
      <c r="DW43" s="143">
        <f>INDEX('File 12'!Weekly_Adjusted,1,10)</f>
        <v>0</v>
      </c>
      <c r="DX43" s="143">
        <f>INDEX('File 12'!Weekly_Adjusted,1,11)</f>
        <v>0</v>
      </c>
      <c r="DY43" s="143">
        <f>INDEX('File 12'!Weekly_Adjusted,1,12)</f>
        <v>0</v>
      </c>
      <c r="DZ43" s="142">
        <f>INDEX('File 13'!Weekly_Adjusted,1,10)</f>
        <v>0</v>
      </c>
      <c r="EA43" s="142">
        <f>INDEX('File 13'!Weekly_Adjusted,1,11)</f>
        <v>0</v>
      </c>
      <c r="EB43" s="142">
        <f>INDEX('File 13'!Weekly_Adjusted,1,12)</f>
        <v>0</v>
      </c>
      <c r="EC43" s="143">
        <f>INDEX('File 14'!Weekly_Adjusted,1,10)</f>
        <v>0</v>
      </c>
      <c r="ED43" s="143">
        <f>INDEX('File 14'!Weekly_Adjusted,1,11)</f>
        <v>0</v>
      </c>
      <c r="EE43" s="143">
        <f>INDEX('File 14'!Weekly_Adjusted,1,12)</f>
        <v>0</v>
      </c>
      <c r="EF43" s="142">
        <f>INDEX('File 15'!Weekly_Adjusted,1,10)</f>
        <v>0</v>
      </c>
      <c r="EG43" s="142">
        <f>INDEX('File 15'!Weekly_Adjusted,1,11)</f>
        <v>0</v>
      </c>
      <c r="EH43" s="142">
        <f>INDEX('File 15'!Weekly_Adjusted,1,12)</f>
        <v>0</v>
      </c>
      <c r="EI43" s="143">
        <f>INDEX('File 16'!Weekly_Adjusted,1,10)</f>
        <v>0</v>
      </c>
      <c r="EJ43" s="143">
        <f>INDEX('File 16'!Weekly_Adjusted,1,11)</f>
        <v>0</v>
      </c>
      <c r="EK43" s="143">
        <f>INDEX('File 16'!Weekly_Adjusted,1,12)</f>
        <v>0</v>
      </c>
      <c r="EL43" s="142">
        <f>INDEX('File 17'!Weekly_Adjusted,1,10)</f>
        <v>0</v>
      </c>
      <c r="EM43" s="142">
        <f>INDEX('File 17'!Weekly_Adjusted,1,11)</f>
        <v>0</v>
      </c>
      <c r="EN43" s="142">
        <f>INDEX('File 17'!Weekly_Adjusted,1,12)</f>
        <v>0</v>
      </c>
      <c r="EO43" s="143">
        <f>INDEX('File 18'!Weekly_Adjusted,1,10)</f>
        <v>0</v>
      </c>
      <c r="EP43" s="143">
        <f>INDEX('File 18'!Weekly_Adjusted,1,11)</f>
        <v>0</v>
      </c>
      <c r="EQ43" s="143">
        <f>INDEX('File 18'!Weekly_Adjusted,1,12)</f>
        <v>0</v>
      </c>
      <c r="ER43" s="142">
        <f>INDEX('File 19'!Weekly_Adjusted,1,10)</f>
        <v>0</v>
      </c>
      <c r="ES43" s="142">
        <f>INDEX('File 19'!Weekly_Adjusted,1,11)</f>
        <v>0</v>
      </c>
      <c r="ET43" s="142">
        <f>INDEX('File 19'!Weekly_Adjusted,1,12)</f>
        <v>0</v>
      </c>
      <c r="EU43" s="143">
        <f>INDEX('File 20'!Weekly_Adjusted,1,10)</f>
        <v>0</v>
      </c>
      <c r="EV43" s="143">
        <f>INDEX('File 20'!Weekly_Adjusted,1,11)</f>
        <v>0</v>
      </c>
      <c r="EW43" s="143">
        <f>INDEX('File 20'!Weekly_Adjusted,1,12)</f>
        <v>0</v>
      </c>
      <c r="EX43" s="6">
        <f ca="1">SUMIFS(INDEX(Capacity_Activity_Weekly,ROW(A1),0),Demand_Activity_Weekly_Header,CJ$42)</f>
        <v>9.9679136611420081</v>
      </c>
      <c r="EY43" s="6">
        <f ca="1">SUMIFS(INDEX(Capacity_Activity_Weekly,ROW(B1),0),Demand_Activity_Weekly_Header,CK$42)</f>
        <v>0</v>
      </c>
      <c r="EZ43" s="6">
        <f ca="1">SUMIFS(INDEX(Capacity_Activity_Weekly,ROW(C1),0),Demand_Activity_Weekly_Header,CL$42)</f>
        <v>0</v>
      </c>
      <c r="FA43" s="6">
        <f ca="1">SUMIFS(INDEX(Capacity_Activity_Weekly,ROW(D1),0),Demand_Activity_Weekly_Header,CM$42)</f>
        <v>0</v>
      </c>
      <c r="FB43" s="6">
        <f ca="1">SUMIFS(INDEX(Capacity_Activity_Weekly,ROW(E1),0),Demand_Activity_Weekly_Header,CN$42)</f>
        <v>0</v>
      </c>
      <c r="FD43" s="7">
        <f>'File 1'!$Q$54*'Time based aggregation (hide)'!$Q5</f>
        <v>0</v>
      </c>
      <c r="FE43" s="7">
        <f>'File 1'!$R$54*'Time based aggregation (hide)'!$R5</f>
        <v>0</v>
      </c>
      <c r="FF43" s="7">
        <f>'File 1'!$S$54*'Time based aggregation (hide)'!$S5</f>
        <v>0</v>
      </c>
      <c r="FG43" s="7">
        <f>'File 2'!$Q$54*'Time based aggregation (hide)'!$T5</f>
        <v>0</v>
      </c>
      <c r="FH43" s="7">
        <f>'File 2'!$R$54*'Time based aggregation (hide)'!$U5</f>
        <v>0</v>
      </c>
      <c r="FI43" s="7">
        <f>'File 2'!$S$54*'Time based aggregation (hide)'!$V5</f>
        <v>0</v>
      </c>
      <c r="FJ43" s="7">
        <f>'File 3'!$Q$54*'Time based aggregation (hide)'!$W5</f>
        <v>0</v>
      </c>
      <c r="FK43" s="7">
        <f>'File 3'!$R$54*'Time based aggregation (hide)'!$X5</f>
        <v>0</v>
      </c>
      <c r="FL43" s="7">
        <f>'File 3'!$S$54*'Time based aggregation (hide)'!$Y5</f>
        <v>0</v>
      </c>
      <c r="FM43" s="7">
        <f>'File 4'!$Q$54*'Time based aggregation (hide)'!$Z5</f>
        <v>0</v>
      </c>
      <c r="FN43" s="7">
        <f>'File 4'!$R$54*'Time based aggregation (hide)'!$AA5</f>
        <v>0</v>
      </c>
      <c r="FO43" s="7">
        <f>'File 4'!$S$54*'Time based aggregation (hide)'!$AB5</f>
        <v>0</v>
      </c>
      <c r="FP43" s="7">
        <f>'File 5'!$Q$54*'Time based aggregation (hide)'!$AC5</f>
        <v>0</v>
      </c>
      <c r="FQ43" s="7">
        <f>'File 5'!$R$54*'Time based aggregation (hide)'!$AD5</f>
        <v>0</v>
      </c>
      <c r="FR43" s="7">
        <f>'File 5'!$S$54*'Time based aggregation (hide)'!$AE5</f>
        <v>0</v>
      </c>
      <c r="FS43" s="7">
        <f>'File 6'!$Q$54*'Time based aggregation (hide)'!$AF5</f>
        <v>0</v>
      </c>
      <c r="FT43" s="7">
        <f>'File 6'!$R$54*'Time based aggregation (hide)'!$AG5</f>
        <v>0</v>
      </c>
      <c r="FU43" s="7">
        <f>'File 6'!$S$54*'Time based aggregation (hide)'!$AH5</f>
        <v>0</v>
      </c>
      <c r="FV43" s="7">
        <f>'File 7'!$Q$54*'Time based aggregation (hide)'!$AI5</f>
        <v>0</v>
      </c>
      <c r="FW43" s="7">
        <f>'File 7'!$R$54*'Time based aggregation (hide)'!$AJ5</f>
        <v>0</v>
      </c>
      <c r="FX43" s="7">
        <f>'File 7'!$S$54*'Time based aggregation (hide)'!$AK5</f>
        <v>0</v>
      </c>
      <c r="FY43" s="7">
        <f>'File 8'!$Q$54*'Time based aggregation (hide)'!$AL5</f>
        <v>0</v>
      </c>
      <c r="FZ43" s="7">
        <f>'File 8'!$R$54*'Time based aggregation (hide)'!$AM5</f>
        <v>0</v>
      </c>
      <c r="GA43" s="7">
        <f>'File 8'!$S$54*'Time based aggregation (hide)'!$AN5</f>
        <v>0</v>
      </c>
      <c r="GB43" s="7">
        <f>'File 9'!$Q$54*'Time based aggregation (hide)'!$AO5</f>
        <v>0</v>
      </c>
      <c r="GC43" s="7">
        <f>'File 9'!$R$54*'Time based aggregation (hide)'!$AP5</f>
        <v>0</v>
      </c>
      <c r="GD43" s="7">
        <f>'File 9'!$S$54*'Time based aggregation (hide)'!$AQ5</f>
        <v>0</v>
      </c>
      <c r="GE43" s="7">
        <f>'File 10'!$Q$54*'Time based aggregation (hide)'!$AR5</f>
        <v>0</v>
      </c>
      <c r="GF43" s="7">
        <f>'File 10'!$R$54*'Time based aggregation (hide)'!$AS5</f>
        <v>0</v>
      </c>
      <c r="GG43" s="7">
        <f>'File 10'!$S$54*'Time based aggregation (hide)'!$AT5</f>
        <v>0</v>
      </c>
      <c r="GH43" s="7">
        <f>'File 11'!$Q$54*'Time based aggregation (hide)'!$AU5</f>
        <v>0</v>
      </c>
      <c r="GI43" s="7">
        <f>'File 11'!$R$54*'Time based aggregation (hide)'!$AV5</f>
        <v>0</v>
      </c>
      <c r="GJ43" s="7">
        <f>'File 11'!$S$54*'Time based aggregation (hide)'!$AW5</f>
        <v>0</v>
      </c>
      <c r="GK43" s="7">
        <f>'File 12'!$Q$54*'Time based aggregation (hide)'!$AX5</f>
        <v>0</v>
      </c>
      <c r="GL43" s="7">
        <f>'File 12'!$R$54*'Time based aggregation (hide)'!$AY5</f>
        <v>0</v>
      </c>
      <c r="GM43" s="7">
        <f>'File 12'!$S$54*'Time based aggregation (hide)'!$AZ5</f>
        <v>0</v>
      </c>
      <c r="GN43" s="7">
        <f>'File 13'!$Q$54*'Time based aggregation (hide)'!$BA5</f>
        <v>0</v>
      </c>
      <c r="GO43" s="7">
        <f>'File 13'!$R$54*'Time based aggregation (hide)'!$BB5</f>
        <v>0</v>
      </c>
      <c r="GP43" s="7">
        <f>'File 13'!$S$54*'Time based aggregation (hide)'!$BC5</f>
        <v>0</v>
      </c>
      <c r="GQ43" s="7">
        <f>'File 14'!$Q$54*'Time based aggregation (hide)'!$BD5</f>
        <v>0</v>
      </c>
      <c r="GR43" s="7">
        <f>'File 14'!$R$54*'Time based aggregation (hide)'!$BE5</f>
        <v>0</v>
      </c>
      <c r="GS43" s="7">
        <f>'File 14'!$S$54*'Time based aggregation (hide)'!$BF5</f>
        <v>0</v>
      </c>
      <c r="GT43" s="7">
        <f>'File 15'!$Q$54*'Time based aggregation (hide)'!$BG5</f>
        <v>0</v>
      </c>
      <c r="GU43" s="7">
        <f>'File 15'!$R$54*'Time based aggregation (hide)'!$BH5</f>
        <v>0</v>
      </c>
      <c r="GV43" s="7">
        <f>'File 15'!$S$54*'Time based aggregation (hide)'!$BI5</f>
        <v>0</v>
      </c>
      <c r="GW43" s="7">
        <f>'File 16'!$Q$54*'Time based aggregation (hide)'!$BJ5</f>
        <v>0</v>
      </c>
      <c r="GX43" s="7">
        <f>'File 16'!$R$54*'Time based aggregation (hide)'!$BK5</f>
        <v>0</v>
      </c>
      <c r="GY43" s="7">
        <f>'File 16'!$S$54*'Time based aggregation (hide)'!$BL5</f>
        <v>0</v>
      </c>
      <c r="GZ43" s="7">
        <f>'File 17'!$Q$54*'Time based aggregation (hide)'!$BM5</f>
        <v>0</v>
      </c>
      <c r="HA43" s="7">
        <f>'File 17'!$R$54*'Time based aggregation (hide)'!$BN5</f>
        <v>0</v>
      </c>
      <c r="HB43" s="7">
        <f>'File 17'!$S$54*'Time based aggregation (hide)'!$BO5</f>
        <v>0</v>
      </c>
      <c r="HC43" s="7">
        <f>'File 18'!$Q$54*'Time based aggregation (hide)'!$BP5</f>
        <v>0</v>
      </c>
      <c r="HD43" s="7">
        <f>'File 18'!$R$54*'Time based aggregation (hide)'!$BQ5</f>
        <v>0</v>
      </c>
      <c r="HE43" s="7">
        <f>'File 18'!$S$54*'Time based aggregation (hide)'!$BR5</f>
        <v>0</v>
      </c>
      <c r="HF43" s="7">
        <f>'File 19'!$Q$54*'Time based aggregation (hide)'!$BS5</f>
        <v>0</v>
      </c>
      <c r="HG43" s="7">
        <f>'File 19'!$R$54*'Time based aggregation (hide)'!$BT5</f>
        <v>0</v>
      </c>
      <c r="HH43" s="7">
        <f>'File 19'!$S$54*'Time based aggregation (hide)'!$BU5</f>
        <v>0</v>
      </c>
      <c r="HI43" s="7">
        <f>'File 20'!$Q$54*'Time based aggregation (hide)'!$BV5</f>
        <v>0</v>
      </c>
      <c r="HJ43" s="7">
        <f>'File 20'!$R$54*'Time based aggregation (hide)'!$BW5</f>
        <v>0</v>
      </c>
      <c r="HK43" s="7">
        <f>'File 20'!$S$54*'Time based aggregation (hide)'!$BX5</f>
        <v>0</v>
      </c>
      <c r="HL43" s="7">
        <f t="shared" ref="HL43:HP52" ca="1" si="31">IF(OR($J$102=0,AND($J$102=0,$J$103=0)),SUMIFS($FD43:$HK43,$AB$42:$CI$42,HL$42),SUMIFS(OFFSET($FD43,0,($J$102-1)*3,1,3),OFFSET($FD$42,0,($J$102-1)*3,1,3),HL$42))</f>
        <v>0</v>
      </c>
      <c r="HM43" s="7">
        <f t="shared" ca="1" si="31"/>
        <v>0</v>
      </c>
      <c r="HN43" s="7">
        <f t="shared" ca="1" si="31"/>
        <v>0</v>
      </c>
      <c r="HO43" s="7">
        <f t="shared" ca="1" si="31"/>
        <v>0</v>
      </c>
      <c r="HP43" s="7">
        <f t="shared" ca="1" si="31"/>
        <v>0</v>
      </c>
      <c r="HR43" s="142">
        <f ca="1">INDEX('File 1'!Weekly_Adjusted,1,16)</f>
        <v>8.5711359506635088</v>
      </c>
      <c r="HS43" s="142">
        <f>INDEX('File 1'!Weekly_Adjusted,1,17)</f>
        <v>0</v>
      </c>
      <c r="HT43" s="142">
        <f>INDEX('File 1'!Weekly_Adjusted,1,18)</f>
        <v>0</v>
      </c>
      <c r="HU43" s="143">
        <f>INDEX('File 2'!Weekly_Adjusted,1,16)</f>
        <v>0</v>
      </c>
      <c r="HV43" s="143">
        <f>INDEX('File 2'!Weekly_Adjusted,1,17)</f>
        <v>0</v>
      </c>
      <c r="HW43" s="143">
        <f>INDEX('File 2'!Weekly_Adjusted,1,18)</f>
        <v>0</v>
      </c>
      <c r="HX43" s="142">
        <f>INDEX('File 3'!Weekly_Adjusted,1,16)</f>
        <v>0</v>
      </c>
      <c r="HY43" s="142">
        <f>INDEX('File 3'!Weekly_Adjusted,1,17)</f>
        <v>0</v>
      </c>
      <c r="HZ43" s="142">
        <f>INDEX('File 3'!Weekly_Adjusted,1,18)</f>
        <v>0</v>
      </c>
      <c r="IA43" s="143">
        <f>INDEX('File 4'!Weekly_Adjusted,1,16)</f>
        <v>0</v>
      </c>
      <c r="IB43" s="143">
        <f>INDEX('File 4'!Weekly_Adjusted,1,17)</f>
        <v>0</v>
      </c>
      <c r="IC43" s="143">
        <f>INDEX('File 4'!Weekly_Adjusted,1,18)</f>
        <v>0</v>
      </c>
      <c r="ID43" s="142">
        <f>INDEX('File 5'!Weekly_Adjusted,1,16)</f>
        <v>0</v>
      </c>
      <c r="IE43" s="142">
        <f>INDEX('File 5'!Weekly_Adjusted,1,17)</f>
        <v>0</v>
      </c>
      <c r="IF43" s="142">
        <f>INDEX('File 5'!Weekly_Adjusted,1,18)</f>
        <v>0</v>
      </c>
      <c r="IG43" s="143">
        <f>INDEX('File 6'!Weekly_Adjusted,1,16)</f>
        <v>0</v>
      </c>
      <c r="IH43" s="143">
        <f>INDEX('File 6'!Weekly_Adjusted,1,17)</f>
        <v>0</v>
      </c>
      <c r="II43" s="143">
        <f>INDEX('File 6'!Weekly_Adjusted,1,18)</f>
        <v>0</v>
      </c>
      <c r="IJ43" s="142">
        <f>INDEX('File 7'!Weekly_Adjusted,1,16)</f>
        <v>0</v>
      </c>
      <c r="IK43" s="142">
        <f>INDEX('File 7'!Weekly_Adjusted,1,17)</f>
        <v>0</v>
      </c>
      <c r="IL43" s="142">
        <f>INDEX('File 7'!Weekly_Adjusted,1,18)</f>
        <v>0</v>
      </c>
      <c r="IM43" s="143">
        <f>INDEX('File 8'!Weekly_Adjusted,1,16)</f>
        <v>0</v>
      </c>
      <c r="IN43" s="143">
        <f>INDEX('File 8'!Weekly_Adjusted,1,17)</f>
        <v>0</v>
      </c>
      <c r="IO43" s="143">
        <f>INDEX('File 8'!Weekly_Adjusted,1,18)</f>
        <v>0</v>
      </c>
      <c r="IP43" s="142">
        <f>INDEX('File 9'!Weekly_Adjusted,1,16)</f>
        <v>0</v>
      </c>
      <c r="IQ43" s="142">
        <f>INDEX('File 9'!Weekly_Adjusted,1,17)</f>
        <v>0</v>
      </c>
      <c r="IR43" s="142">
        <f>INDEX('File 9'!Weekly_Adjusted,1,18)</f>
        <v>0</v>
      </c>
      <c r="IS43" s="143">
        <f>INDEX('File 10'!Weekly_Adjusted,1,16)</f>
        <v>0</v>
      </c>
      <c r="IT43" s="143">
        <f>INDEX('File 10'!Weekly_Adjusted,1,17)</f>
        <v>0</v>
      </c>
      <c r="IU43" s="143">
        <f>INDEX('File 10'!Weekly_Adjusted,1,18)</f>
        <v>0</v>
      </c>
      <c r="IV43" s="142">
        <f>INDEX('File 11'!Weekly_Adjusted,1,16)</f>
        <v>0</v>
      </c>
      <c r="IW43" s="142">
        <f>INDEX('File 11'!Weekly_Adjusted,1,17)</f>
        <v>0</v>
      </c>
      <c r="IX43" s="142">
        <f>INDEX('File 11'!Weekly_Adjusted,1,18)</f>
        <v>0</v>
      </c>
      <c r="IY43" s="143">
        <f>INDEX('File 12'!Weekly_Adjusted,1,16)</f>
        <v>0</v>
      </c>
      <c r="IZ43" s="143">
        <f>INDEX('File 12'!Weekly_Adjusted,1,17)</f>
        <v>0</v>
      </c>
      <c r="JA43" s="143">
        <f>INDEX('File 12'!Weekly_Adjusted,1,18)</f>
        <v>0</v>
      </c>
      <c r="JB43" s="142">
        <f>INDEX('File 13'!Weekly_Adjusted,1,16)</f>
        <v>0</v>
      </c>
      <c r="JC43" s="142">
        <f>INDEX('File 13'!Weekly_Adjusted,1,17)</f>
        <v>0</v>
      </c>
      <c r="JD43" s="142">
        <f>INDEX('File 13'!Weekly_Adjusted,1,18)</f>
        <v>0</v>
      </c>
      <c r="JE43" s="143">
        <f>INDEX('File 14'!Weekly_Adjusted,1,16)</f>
        <v>0</v>
      </c>
      <c r="JF43" s="143">
        <f>INDEX('File 14'!Weekly_Adjusted,1,17)</f>
        <v>0</v>
      </c>
      <c r="JG43" s="143">
        <f>INDEX('File 14'!Weekly_Adjusted,1,18)</f>
        <v>0</v>
      </c>
      <c r="JH43" s="142">
        <f>INDEX('File 15'!Weekly_Adjusted,1,16)</f>
        <v>0</v>
      </c>
      <c r="JI43" s="142">
        <f>INDEX('File 15'!Weekly_Adjusted,1,17)</f>
        <v>0</v>
      </c>
      <c r="JJ43" s="142">
        <f>INDEX('File 15'!Weekly_Adjusted,1,18)</f>
        <v>0</v>
      </c>
      <c r="JK43" s="143">
        <f>INDEX('File 16'!Weekly_Adjusted,1,16)</f>
        <v>0</v>
      </c>
      <c r="JL43" s="143">
        <f>INDEX('File 16'!Weekly_Adjusted,1,17)</f>
        <v>0</v>
      </c>
      <c r="JM43" s="143">
        <f>INDEX('File 16'!Weekly_Adjusted,1,18)</f>
        <v>0</v>
      </c>
      <c r="JN43" s="142">
        <f>INDEX('File 17'!Weekly_Adjusted,1,16)</f>
        <v>0</v>
      </c>
      <c r="JO43" s="142">
        <f>INDEX('File 17'!Weekly_Adjusted,1,17)</f>
        <v>0</v>
      </c>
      <c r="JP43" s="142">
        <f>INDEX('File 17'!Weekly_Adjusted,1,18)</f>
        <v>0</v>
      </c>
      <c r="JQ43" s="143">
        <f>INDEX('File 18'!Weekly_Adjusted,1,16)</f>
        <v>0</v>
      </c>
      <c r="JR43" s="143">
        <f>INDEX('File 18'!Weekly_Adjusted,1,17)</f>
        <v>0</v>
      </c>
      <c r="JS43" s="143">
        <f>INDEX('File 18'!Weekly_Adjusted,1,18)</f>
        <v>0</v>
      </c>
      <c r="JT43" s="142">
        <f>INDEX('File 19'!Weekly_Adjusted,1,16)</f>
        <v>0</v>
      </c>
      <c r="JU43" s="142">
        <f>INDEX('File 19'!Weekly_Adjusted,1,17)</f>
        <v>0</v>
      </c>
      <c r="JV43" s="142">
        <f>INDEX('File 19'!Weekly_Adjusted,1,18)</f>
        <v>0</v>
      </c>
      <c r="JW43" s="143">
        <f>INDEX('File 20'!Weekly_Adjusted,1,16)</f>
        <v>0</v>
      </c>
      <c r="JX43" s="143">
        <f>INDEX('File 20'!Weekly_Adjusted,1,17)</f>
        <v>0</v>
      </c>
      <c r="JY43" s="143">
        <f>INDEX('File 20'!Weekly_Adjusted,1,18)</f>
        <v>0</v>
      </c>
      <c r="JZ43" s="6">
        <f ca="1">SUMIFS(INDEX(CapacityCore_Activity_Weekly,ROW(EC1),0),Demand_Activity_Weekly_Header,HL$42)</f>
        <v>8.5711359506635088</v>
      </c>
      <c r="KA43" s="6">
        <f ca="1">SUMIFS(INDEX(CapacityCore_Activity_Weekly,ROW(ED1),0),Demand_Activity_Weekly_Header,HM$42)</f>
        <v>0</v>
      </c>
      <c r="KB43" s="6">
        <f ca="1">SUMIFS(INDEX(CapacityCore_Activity_Weekly,ROW(EE1),0),Demand_Activity_Weekly_Header,HN$42)</f>
        <v>0</v>
      </c>
      <c r="KC43" s="6">
        <f ca="1">SUMIFS(INDEX(CapacityCore_Activity_Weekly,ROW(EF1),0),Demand_Activity_Weekly_Header,HO$42)</f>
        <v>0</v>
      </c>
      <c r="KD43" s="6">
        <f ca="1">SUMIFS(INDEX(CapacityCore_Activity_Weekly,ROW(EG1),0),Demand_Activity_Weekly_Header,HP$42)</f>
        <v>0</v>
      </c>
      <c r="KF43" s="6">
        <f>SUMIFS('Time based aggregation (hide)'!$J:$J,'Time based aggregation (hide)'!$E:$E,1,'Time based aggregation (hide)'!$F:$F,1,'Time based aggregation (hide)'!$A:$A,ROW(A1))</f>
        <v>0</v>
      </c>
      <c r="KG43" s="6">
        <f>SUMIFS('Time based aggregation (hide)'!$J:$J,'Time based aggregation (hide)'!$E:$E,1,'Time based aggregation (hide)'!$F:$F,2,'Time based aggregation (hide)'!$A:$A,ROW(A1))</f>
        <v>0</v>
      </c>
      <c r="KH43" s="6">
        <f>SUMIFS('Time based aggregation (hide)'!$J:$J,'Time based aggregation (hide)'!$E:$E,1,'Time based aggregation (hide)'!$F:$F,3,'Time based aggregation (hide)'!$A:$A,ROW(A1))</f>
        <v>0</v>
      </c>
      <c r="KI43" s="6">
        <f>SUMIFS('Time based aggregation (hide)'!$J:$J,'Time based aggregation (hide)'!$E:$E,2,'Time based aggregation (hide)'!$F:$F,1,'Time based aggregation (hide)'!$A:$A,ROW(A1))</f>
        <v>0</v>
      </c>
      <c r="KJ43" s="6">
        <f>SUMIFS('Time based aggregation (hide)'!$J:$J,'Time based aggregation (hide)'!$E:$E,2,'Time based aggregation (hide)'!$F:$F,2,'Time based aggregation (hide)'!$A:$A,ROW(A1))</f>
        <v>0</v>
      </c>
      <c r="KK43" s="6">
        <f>SUMIFS('Time based aggregation (hide)'!$J:$J,'Time based aggregation (hide)'!$E:$E,2,'Time based aggregation (hide)'!$F:$F,3,'Time based aggregation (hide)'!$A:$A,ROW(A1))</f>
        <v>0</v>
      </c>
      <c r="KL43" s="6">
        <f>SUMIFS('Time based aggregation (hide)'!$J:$J,'Time based aggregation (hide)'!$E:$E,3,'Time based aggregation (hide)'!$F:$F,1,'Time based aggregation (hide)'!$A:$A,ROW(A1))</f>
        <v>0</v>
      </c>
      <c r="KM43" s="6">
        <f>SUMIFS('Time based aggregation (hide)'!$J:$J,'Time based aggregation (hide)'!$E:$E,3,'Time based aggregation (hide)'!$F:$F,2,'Time based aggregation (hide)'!$A:$A,ROW(A1))</f>
        <v>0</v>
      </c>
      <c r="KN43" s="6">
        <f>SUMIFS('Time based aggregation (hide)'!$J:$J,'Time based aggregation (hide)'!$E:$E,3,'Time based aggregation (hide)'!$F:$F,3,'Time based aggregation (hide)'!$A:$A,ROW(A1))</f>
        <v>0</v>
      </c>
      <c r="KO43" s="6">
        <f>SUMIFS('Time based aggregation (hide)'!$J:$J,'Time based aggregation (hide)'!$E:$E,4,'Time based aggregation (hide)'!$F:$F,1,'Time based aggregation (hide)'!$A:$A,ROW(A1))</f>
        <v>0</v>
      </c>
      <c r="KP43" s="6">
        <f>SUMIFS('Time based aggregation (hide)'!$J:$J,'Time based aggregation (hide)'!$E:$E,4,'Time based aggregation (hide)'!$F:$F,2,'Time based aggregation (hide)'!$A:$A,ROW(A1))</f>
        <v>0</v>
      </c>
      <c r="KQ43" s="6">
        <f>SUMIFS('Time based aggregation (hide)'!$J:$J,'Time based aggregation (hide)'!$E:$E,4,'Time based aggregation (hide)'!$F:$F,3,'Time based aggregation (hide)'!$A:$A,ROW(A1))</f>
        <v>0</v>
      </c>
      <c r="KR43" s="6">
        <f>SUMIFS('Time based aggregation (hide)'!$J:$J,'Time based aggregation (hide)'!$E:$E,5,'Time based aggregation (hide)'!$F:$F,1,'Time based aggregation (hide)'!$A:$A,ROW(A1))</f>
        <v>0</v>
      </c>
      <c r="KS43" s="6">
        <f>SUMIFS('Time based aggregation (hide)'!$J:$J,'Time based aggregation (hide)'!$E:$E,5,'Time based aggregation (hide)'!$F:$F,2,'Time based aggregation (hide)'!$A:$A,ROW(A1))</f>
        <v>0</v>
      </c>
      <c r="KT43" s="6">
        <f>SUMIFS('Time based aggregation (hide)'!$J:$J,'Time based aggregation (hide)'!$E:$E,5,'Time based aggregation (hide)'!$F:$F,3,'Time based aggregation (hide)'!$A:$A,ROW(A1))</f>
        <v>0</v>
      </c>
      <c r="KU43" s="6">
        <f>SUMIFS('Time based aggregation (hide)'!$J:$J,'Time based aggregation (hide)'!$E:$E,6,'Time based aggregation (hide)'!$F:$F,1,'Time based aggregation (hide)'!$A:$A,ROW(A1))</f>
        <v>0</v>
      </c>
      <c r="KV43" s="6">
        <f>SUMIFS('Time based aggregation (hide)'!$J:$J,'Time based aggregation (hide)'!$E:$E,6,'Time based aggregation (hide)'!$F:$F,2,'Time based aggregation (hide)'!$A:$A,ROW(A1))</f>
        <v>0</v>
      </c>
      <c r="KW43" s="6">
        <f>SUMIFS('Time based aggregation (hide)'!$J:$J,'Time based aggregation (hide)'!$E:$E,6,'Time based aggregation (hide)'!$F:$F,3,'Time based aggregation (hide)'!$A:$A,ROW(A1))</f>
        <v>0</v>
      </c>
      <c r="KX43" s="6">
        <f>SUMIFS('Time based aggregation (hide)'!$J:$J,'Time based aggregation (hide)'!$E:$E,7,'Time based aggregation (hide)'!$F:$F,1,'Time based aggregation (hide)'!$A:$A,ROW(A1))</f>
        <v>0</v>
      </c>
      <c r="KY43" s="6">
        <f>SUMIFS('Time based aggregation (hide)'!$J:$J,'Time based aggregation (hide)'!$E:$E,7,'Time based aggregation (hide)'!$F:$F,2,'Time based aggregation (hide)'!$A:$A,ROW(A1))</f>
        <v>0</v>
      </c>
      <c r="KZ43" s="6">
        <f>SUMIFS('Time based aggregation (hide)'!$J:$J,'Time based aggregation (hide)'!$E:$E,7,'Time based aggregation (hide)'!$F:$F,3,'Time based aggregation (hide)'!$A:$A,ROW(A1))</f>
        <v>0</v>
      </c>
      <c r="LA43" s="6">
        <f>SUMIFS('Time based aggregation (hide)'!$J:$J,'Time based aggregation (hide)'!$E:$E,8,'Time based aggregation (hide)'!$F:$F,1,'Time based aggregation (hide)'!$A:$A,ROW(A1))</f>
        <v>0</v>
      </c>
      <c r="LB43" s="6">
        <f>SUMIFS('Time based aggregation (hide)'!$J:$J,'Time based aggregation (hide)'!$E:$E,8,'Time based aggregation (hide)'!$F:$F,2,'Time based aggregation (hide)'!$A:$A,ROW(A1))</f>
        <v>0</v>
      </c>
      <c r="LC43" s="6">
        <f>SUMIFS('Time based aggregation (hide)'!$J:$J,'Time based aggregation (hide)'!$E:$E,8,'Time based aggregation (hide)'!$F:$F,3,'Time based aggregation (hide)'!$A:$A,ROW(A1))</f>
        <v>0</v>
      </c>
      <c r="LD43" s="6">
        <f>SUMIFS('Time based aggregation (hide)'!$J:$J,'Time based aggregation (hide)'!$E:$E,9,'Time based aggregation (hide)'!$F:$F,1,'Time based aggregation (hide)'!$A:$A,ROW(A1))</f>
        <v>0</v>
      </c>
      <c r="LE43" s="6">
        <f>SUMIFS('Time based aggregation (hide)'!$J:$J,'Time based aggregation (hide)'!$E:$E,9,'Time based aggregation (hide)'!$F:$F,2,'Time based aggregation (hide)'!$A:$A,ROW(A1))</f>
        <v>0</v>
      </c>
      <c r="LF43" s="6">
        <f>SUMIFS('Time based aggregation (hide)'!$J:$J,'Time based aggregation (hide)'!$E:$E,9,'Time based aggregation (hide)'!$F:$F,3,'Time based aggregation (hide)'!$A:$A,ROW(A1))</f>
        <v>0</v>
      </c>
      <c r="LG43" s="6">
        <f>SUMIFS('Time based aggregation (hide)'!$J:$J,'Time based aggregation (hide)'!$E:$E,10,'Time based aggregation (hide)'!$F:$F,1,'Time based aggregation (hide)'!$A:$A,ROW(A1))</f>
        <v>0</v>
      </c>
      <c r="LH43" s="6">
        <f>SUMIFS('Time based aggregation (hide)'!$J:$J,'Time based aggregation (hide)'!$E:$E,10,'Time based aggregation (hide)'!$F:$F,2,'Time based aggregation (hide)'!$A:$A,ROW(A1))</f>
        <v>0</v>
      </c>
      <c r="LI43" s="6">
        <f>SUMIFS('Time based aggregation (hide)'!$J:$J,'Time based aggregation (hide)'!$E:$E,10,'Time based aggregation (hide)'!$F:$F,3,'Time based aggregation (hide)'!$A:$A,ROW(A1))</f>
        <v>0</v>
      </c>
      <c r="LJ43" s="6">
        <f>SUMIFS('Time based aggregation (hide)'!$J:$J,'Time based aggregation (hide)'!$E:$E,11,'Time based aggregation (hide)'!$F:$F,1,'Time based aggregation (hide)'!$A:$A,ROW(A1))</f>
        <v>0</v>
      </c>
      <c r="LK43" s="6">
        <f>SUMIFS('Time based aggregation (hide)'!$J:$J,'Time based aggregation (hide)'!$E:$E,11,'Time based aggregation (hide)'!$F:$F,2,'Time based aggregation (hide)'!$A:$A,ROW(A1))</f>
        <v>0</v>
      </c>
      <c r="LL43" s="6">
        <f>SUMIFS('Time based aggregation (hide)'!$J:$J,'Time based aggregation (hide)'!$E:$E,11,'Time based aggregation (hide)'!$F:$F,3,'Time based aggregation (hide)'!$A:$A,ROW(A1))</f>
        <v>0</v>
      </c>
      <c r="LM43" s="6">
        <f>SUMIFS('Time based aggregation (hide)'!$J:$J,'Time based aggregation (hide)'!$E:$E,12,'Time based aggregation (hide)'!$F:$F,1,'Time based aggregation (hide)'!$A:$A,ROW(A1))</f>
        <v>0</v>
      </c>
      <c r="LN43" s="6">
        <f>SUMIFS('Time based aggregation (hide)'!$J:$J,'Time based aggregation (hide)'!$E:$E,12,'Time based aggregation (hide)'!$F:$F,2,'Time based aggregation (hide)'!$A:$A,ROW(A1))</f>
        <v>0</v>
      </c>
      <c r="LO43" s="6">
        <f>SUMIFS('Time based aggregation (hide)'!$J:$J,'Time based aggregation (hide)'!$E:$E,12,'Time based aggregation (hide)'!$F:$F,3,'Time based aggregation (hide)'!$A:$A,ROW(A1))</f>
        <v>0</v>
      </c>
      <c r="LP43" s="6">
        <f>SUMIFS('Time based aggregation (hide)'!$J:$J,'Time based aggregation (hide)'!$E:$E,13,'Time based aggregation (hide)'!$F:$F,1,'Time based aggregation (hide)'!$A:$A,ROW(A1))</f>
        <v>0</v>
      </c>
      <c r="LQ43" s="6">
        <f>SUMIFS('Time based aggregation (hide)'!$J:$J,'Time based aggregation (hide)'!$E:$E,13,'Time based aggregation (hide)'!$F:$F,2,'Time based aggregation (hide)'!$A:$A,ROW(A1))</f>
        <v>0</v>
      </c>
      <c r="LR43" s="6">
        <f>SUMIFS('Time based aggregation (hide)'!$J:$J,'Time based aggregation (hide)'!$E:$E,13,'Time based aggregation (hide)'!$F:$F,3,'Time based aggregation (hide)'!$A:$A,ROW(A1))</f>
        <v>0</v>
      </c>
      <c r="LS43" s="6">
        <f>SUMIFS('Time based aggregation (hide)'!$J:$J,'Time based aggregation (hide)'!$E:$E,14,'Time based aggregation (hide)'!$F:$F,1,'Time based aggregation (hide)'!$A:$A,ROW(A1))</f>
        <v>0</v>
      </c>
      <c r="LT43" s="6">
        <f>SUMIFS('Time based aggregation (hide)'!$J:$J,'Time based aggregation (hide)'!$E:$E,14,'Time based aggregation (hide)'!$F:$F,2,'Time based aggregation (hide)'!$A:$A,ROW(A1))</f>
        <v>0</v>
      </c>
      <c r="LU43" s="6">
        <f>SUMIFS('Time based aggregation (hide)'!$J:$J,'Time based aggregation (hide)'!$E:$E,14,'Time based aggregation (hide)'!$F:$F,3,'Time based aggregation (hide)'!$A:$A,ROW(A1))</f>
        <v>0</v>
      </c>
      <c r="LV43" s="6">
        <f>SUMIFS('Time based aggregation (hide)'!$J:$J,'Time based aggregation (hide)'!$E:$E,15,'Time based aggregation (hide)'!$F:$F,1,'Time based aggregation (hide)'!$A:$A,ROW(A1))</f>
        <v>0</v>
      </c>
      <c r="LW43" s="6">
        <f>SUMIFS('Time based aggregation (hide)'!$J:$J,'Time based aggregation (hide)'!$E:$E,15,'Time based aggregation (hide)'!$F:$F,2,'Time based aggregation (hide)'!$A:$A,ROW(A1))</f>
        <v>0</v>
      </c>
      <c r="LX43" s="6">
        <f>SUMIFS('Time based aggregation (hide)'!$J:$J,'Time based aggregation (hide)'!$E:$E,15,'Time based aggregation (hide)'!$F:$F,3,'Time based aggregation (hide)'!$A:$A,ROW(A1))</f>
        <v>0</v>
      </c>
      <c r="LY43" s="6">
        <f>SUMIFS('Time based aggregation (hide)'!$J:$J,'Time based aggregation (hide)'!$E:$E,16,'Time based aggregation (hide)'!$F:$F,1,'Time based aggregation (hide)'!$A:$A,ROW(A1))</f>
        <v>0</v>
      </c>
      <c r="LZ43" s="6">
        <f>SUMIFS('Time based aggregation (hide)'!$J:$J,'Time based aggregation (hide)'!$E:$E,16,'Time based aggregation (hide)'!$F:$F,2,'Time based aggregation (hide)'!$A:$A,ROW(A1))</f>
        <v>0</v>
      </c>
      <c r="MA43" s="6">
        <f>SUMIFS('Time based aggregation (hide)'!$J:$J,'Time based aggregation (hide)'!$E:$E,16,'Time based aggregation (hide)'!$F:$F,3,'Time based aggregation (hide)'!$A:$A,ROW(A1))</f>
        <v>0</v>
      </c>
      <c r="MB43" s="6">
        <f>SUMIFS('Time based aggregation (hide)'!$J:$J,'Time based aggregation (hide)'!$E:$E,17,'Time based aggregation (hide)'!$F:$F,1,'Time based aggregation (hide)'!$A:$A,ROW(A1))</f>
        <v>0</v>
      </c>
      <c r="MC43" s="6">
        <f>SUMIFS('Time based aggregation (hide)'!$J:$J,'Time based aggregation (hide)'!$E:$E,17,'Time based aggregation (hide)'!$F:$F,2,'Time based aggregation (hide)'!$A:$A,ROW(A1))</f>
        <v>0</v>
      </c>
      <c r="MD43" s="6">
        <f>SUMIFS('Time based aggregation (hide)'!$J:$J,'Time based aggregation (hide)'!$E:$E,17,'Time based aggregation (hide)'!$F:$F,3,'Time based aggregation (hide)'!$A:$A,ROW(A1))</f>
        <v>0</v>
      </c>
      <c r="ME43" s="6">
        <f>SUMIFS('Time based aggregation (hide)'!$J:$J,'Time based aggregation (hide)'!$E:$E,18,'Time based aggregation (hide)'!$F:$F,1,'Time based aggregation (hide)'!$A:$A,ROW(A1))</f>
        <v>0</v>
      </c>
      <c r="MF43" s="6">
        <f>SUMIFS('Time based aggregation (hide)'!$J:$J,'Time based aggregation (hide)'!$E:$E,18,'Time based aggregation (hide)'!$F:$F,2,'Time based aggregation (hide)'!$A:$A,ROW(A1))</f>
        <v>0</v>
      </c>
      <c r="MG43" s="6">
        <f>SUMIFS('Time based aggregation (hide)'!$J:$J,'Time based aggregation (hide)'!$E:$E,18,'Time based aggregation (hide)'!$F:$F,3,'Time based aggregation (hide)'!$A:$A,ROW(A1))</f>
        <v>0</v>
      </c>
      <c r="MH43" s="6">
        <f>SUMIFS('Time based aggregation (hide)'!$J:$J,'Time based aggregation (hide)'!$E:$E,19,'Time based aggregation (hide)'!$F:$F,1,'Time based aggregation (hide)'!$A:$A,ROW(A1))</f>
        <v>0</v>
      </c>
      <c r="MI43" s="6">
        <f>SUMIFS('Time based aggregation (hide)'!$J:$J,'Time based aggregation (hide)'!$E:$E,19,'Time based aggregation (hide)'!$F:$F,2,'Time based aggregation (hide)'!$A:$A,ROW(A1))</f>
        <v>0</v>
      </c>
      <c r="MJ43" s="6">
        <f>SUMIFS('Time based aggregation (hide)'!$J:$J,'Time based aggregation (hide)'!$E:$E,19,'Time based aggregation (hide)'!$F:$F,3,'Time based aggregation (hide)'!$A:$A,ROW(A1))</f>
        <v>0</v>
      </c>
      <c r="MK43" s="6">
        <f>SUMIFS('Time based aggregation (hide)'!$J:$J,'Time based aggregation (hide)'!$E:$E,20,'Time based aggregation (hide)'!$F:$F,1,'Time based aggregation (hide)'!$A:$A,ROW(A1))</f>
        <v>0</v>
      </c>
      <c r="ML43" s="6">
        <f>SUMIFS('Time based aggregation (hide)'!$J:$J,'Time based aggregation (hide)'!$E:$E,20,'Time based aggregation (hide)'!$F:$F,2,'Time based aggregation (hide)'!$A:$A,ROW(A1))</f>
        <v>0</v>
      </c>
      <c r="MM43" s="6">
        <f>SUMIFS('Time based aggregation (hide)'!$J:$J,'Time based aggregation (hide)'!$E:$E,20,'Time based aggregation (hide)'!$F:$F,3,'Time based aggregation (hide)'!$A:$A,ROW(A1))</f>
        <v>0</v>
      </c>
      <c r="MN43" s="7">
        <f ca="1">IF(OR($J$102=0,AND($J$102=0,$J$103=0)),SUMIFS($KF43:$MM43,$AB$42:$CI$42,MN$42),SUMIFS(OFFSET($KF43,0,($J$102-1)*3,1,3),OFFSET($KF$42,0,($J$102-1)*3,1,3),MN$42))</f>
        <v>0</v>
      </c>
      <c r="MO43" s="7">
        <f t="shared" ref="MO43:MR62" ca="1" si="32">IF(OR($J$102=0,AND($J$102=0,$J$103=0)),SUMIFS($KF43:$MM43,$AB$42:$CI$42,MO$42),SUMIFS(OFFSET($KF43,0,($J$102-1)*3,1,3),OFFSET($KF$42,0,($J$102-1)*3,1,3),MO$42))</f>
        <v>0</v>
      </c>
      <c r="MP43" s="7">
        <f t="shared" ca="1" si="32"/>
        <v>0</v>
      </c>
      <c r="MQ43" s="7">
        <f t="shared" ca="1" si="32"/>
        <v>0</v>
      </c>
      <c r="MR43" s="7">
        <f t="shared" ca="1" si="32"/>
        <v>0</v>
      </c>
    </row>
    <row r="44" spans="1:356" x14ac:dyDescent="0.25">
      <c r="A44">
        <f>1</f>
        <v>1</v>
      </c>
      <c r="B44" s="85">
        <f>B43+1</f>
        <v>43832</v>
      </c>
      <c r="C44" s="85">
        <f t="shared" si="25"/>
        <v>43829</v>
      </c>
      <c r="D44">
        <f t="shared" ca="1" si="26"/>
        <v>1</v>
      </c>
      <c r="E44" s="85">
        <f t="shared" si="27"/>
        <v>43831</v>
      </c>
      <c r="F44">
        <f t="shared" ref="F44:F107" si="33">WEEKNUM(B44,21)</f>
        <v>1</v>
      </c>
      <c r="H44">
        <f t="shared" ref="H44:H94" si="34">WEEKNUM(I44,21)</f>
        <v>2</v>
      </c>
      <c r="I44" s="85">
        <f>IF(ISNA(MATCH(I43+7,$C$43:$C$408,0)),"",I43+7)</f>
        <v>43836</v>
      </c>
      <c r="J44">
        <f t="shared" ca="1" si="28"/>
        <v>5</v>
      </c>
      <c r="K44">
        <f t="shared" ca="1" si="29"/>
        <v>1.968503937007874E-2</v>
      </c>
      <c r="L44" s="114"/>
      <c r="N44" s="85">
        <f t="shared" ref="N44:N95" si="35">I44</f>
        <v>43836</v>
      </c>
      <c r="O44" s="122">
        <f t="shared" ca="1" si="30"/>
        <v>1</v>
      </c>
      <c r="P44" s="122">
        <f t="shared" ca="1" si="30"/>
        <v>0</v>
      </c>
      <c r="Q44" s="122">
        <f t="shared" ca="1" si="30"/>
        <v>0</v>
      </c>
      <c r="R44" s="122">
        <f t="shared" ca="1" si="30"/>
        <v>0</v>
      </c>
      <c r="S44" s="122">
        <f t="shared" ca="1" si="30"/>
        <v>0</v>
      </c>
      <c r="T44" s="122">
        <f t="shared" ca="1" si="30"/>
        <v>0</v>
      </c>
      <c r="U44" s="122">
        <f t="shared" ca="1" si="30"/>
        <v>0</v>
      </c>
      <c r="V44" s="122">
        <f t="shared" ca="1" si="30"/>
        <v>0</v>
      </c>
      <c r="W44" s="122">
        <f t="shared" ca="1" si="30"/>
        <v>0</v>
      </c>
      <c r="X44" s="122">
        <f t="shared" ca="1" si="30"/>
        <v>0</v>
      </c>
      <c r="Y44" s="122">
        <f t="shared" ca="1" si="30"/>
        <v>0</v>
      </c>
      <c r="Z44" s="122">
        <f t="shared" ca="1" si="30"/>
        <v>0</v>
      </c>
      <c r="AA44" s="122"/>
      <c r="AB44" s="140">
        <f>INDEX('File 1'!Weekly_Adjusted,2,1)</f>
        <v>388.17143954725253</v>
      </c>
      <c r="AC44" s="140">
        <f>INDEX('File 1'!Weekly_Adjusted,2,2)</f>
        <v>0</v>
      </c>
      <c r="AD44" s="140">
        <f>INDEX('File 1'!Weekly_Adjusted,2,3)</f>
        <v>0</v>
      </c>
      <c r="AE44" s="141">
        <f>INDEX('File 2'!Weekly_Adjusted,2,1)</f>
        <v>0</v>
      </c>
      <c r="AF44" s="141">
        <f>INDEX('File 2'!Weekly_Adjusted,2,2)</f>
        <v>0</v>
      </c>
      <c r="AG44" s="141">
        <f>INDEX('File 2'!Weekly_Adjusted,2,3)</f>
        <v>0</v>
      </c>
      <c r="AH44" s="140">
        <f>INDEX('File 3'!Weekly_Adjusted,2,1)</f>
        <v>0</v>
      </c>
      <c r="AI44" s="140">
        <f>INDEX('File 3'!Weekly_Adjusted,2,2)</f>
        <v>0</v>
      </c>
      <c r="AJ44" s="140">
        <f>INDEX('File 3'!Weekly_Adjusted,2,3)</f>
        <v>0</v>
      </c>
      <c r="AK44" s="141">
        <f>INDEX('File 4'!Weekly_Adjusted,2,1)</f>
        <v>0</v>
      </c>
      <c r="AL44" s="141">
        <f>INDEX('File 4'!Weekly_Adjusted,2,2)</f>
        <v>0</v>
      </c>
      <c r="AM44" s="141">
        <f>INDEX('File 4'!Weekly_Adjusted,2,3)</f>
        <v>0</v>
      </c>
      <c r="AN44" s="140">
        <f>INDEX('File 5'!Weekly_Adjusted,2,1)</f>
        <v>0</v>
      </c>
      <c r="AO44" s="140">
        <f>INDEX('File 5'!Weekly_Adjusted,2,2)</f>
        <v>0</v>
      </c>
      <c r="AP44" s="140">
        <f>INDEX('File 5'!Weekly_Adjusted,2,3)</f>
        <v>0</v>
      </c>
      <c r="AQ44" s="141">
        <f>INDEX('File 6'!Weekly_Adjusted,2,1)</f>
        <v>0</v>
      </c>
      <c r="AR44" s="141">
        <f>INDEX('File 6'!Weekly_Adjusted,2,2)</f>
        <v>0</v>
      </c>
      <c r="AS44" s="141">
        <f>INDEX('File 6'!Weekly_Adjusted,2,3)</f>
        <v>0</v>
      </c>
      <c r="AT44" s="140">
        <f>INDEX('File 7'!Weekly_Adjusted,2,1)</f>
        <v>0</v>
      </c>
      <c r="AU44" s="140">
        <f>INDEX('File 7'!Weekly_Adjusted,2,2)</f>
        <v>0</v>
      </c>
      <c r="AV44" s="140">
        <f>INDEX('File 7'!Weekly_Adjusted,2,3)</f>
        <v>0</v>
      </c>
      <c r="AW44" s="141">
        <f>INDEX('File 8'!Weekly_Adjusted,2,1)</f>
        <v>0</v>
      </c>
      <c r="AX44" s="141">
        <f>INDEX('File 8'!Weekly_Adjusted,2,2)</f>
        <v>0</v>
      </c>
      <c r="AY44" s="141">
        <f>INDEX('File 8'!Weekly_Adjusted,2,3)</f>
        <v>0</v>
      </c>
      <c r="AZ44" s="140">
        <f>INDEX('File 9'!Weekly_Adjusted,2,1)</f>
        <v>0</v>
      </c>
      <c r="BA44" s="140">
        <f>INDEX('File 9'!Weekly_Adjusted,2,2)</f>
        <v>0</v>
      </c>
      <c r="BB44" s="140">
        <f>INDEX('File 9'!Weekly_Adjusted,2,3)</f>
        <v>0</v>
      </c>
      <c r="BC44" s="141">
        <f>INDEX('File 10'!Weekly_Adjusted,2,1)</f>
        <v>0</v>
      </c>
      <c r="BD44" s="141">
        <f>INDEX('File 10'!Weekly_Adjusted,2,2)</f>
        <v>0</v>
      </c>
      <c r="BE44" s="141">
        <f>INDEX('File 10'!Weekly_Adjusted,2,3)</f>
        <v>0</v>
      </c>
      <c r="BF44" s="140">
        <f>INDEX('File 11'!Weekly_Adjusted,2,1)</f>
        <v>0</v>
      </c>
      <c r="BG44" s="140">
        <f>INDEX('File 11'!Weekly_Adjusted,2,2)</f>
        <v>0</v>
      </c>
      <c r="BH44" s="140">
        <f>INDEX('File 11'!Weekly_Adjusted,2,3)</f>
        <v>0</v>
      </c>
      <c r="BI44" s="141">
        <f>INDEX('File 12'!Weekly_Adjusted,2,1)</f>
        <v>0</v>
      </c>
      <c r="BJ44" s="141">
        <f>INDEX('File 12'!Weekly_Adjusted,2,2)</f>
        <v>0</v>
      </c>
      <c r="BK44" s="141">
        <f>INDEX('File 12'!Weekly_Adjusted,2,3)</f>
        <v>0</v>
      </c>
      <c r="BL44" s="140">
        <f>INDEX('File 13'!Weekly_Adjusted,2,1)</f>
        <v>0</v>
      </c>
      <c r="BM44" s="140">
        <f>INDEX('File 13'!Weekly_Adjusted,2,2)</f>
        <v>0</v>
      </c>
      <c r="BN44" s="140">
        <f>INDEX('File 13'!Weekly_Adjusted,2,3)</f>
        <v>0</v>
      </c>
      <c r="BO44" s="141">
        <f>INDEX('File 14'!Weekly_Adjusted,2,1)</f>
        <v>0</v>
      </c>
      <c r="BP44" s="141">
        <f>INDEX('File 14'!Weekly_Adjusted,2,2)</f>
        <v>0</v>
      </c>
      <c r="BQ44" s="141">
        <f>INDEX('File 14'!Weekly_Adjusted,2,3)</f>
        <v>0</v>
      </c>
      <c r="BR44" s="140">
        <f>INDEX('File 15'!Weekly_Adjusted,2,1)</f>
        <v>0</v>
      </c>
      <c r="BS44" s="140">
        <f>INDEX('File 15'!Weekly_Adjusted,2,2)</f>
        <v>0</v>
      </c>
      <c r="BT44" s="140">
        <f>INDEX('File 15'!Weekly_Adjusted,2,3)</f>
        <v>0</v>
      </c>
      <c r="BU44" s="141">
        <f>INDEX('File 16'!Weekly_Adjusted,2,1)</f>
        <v>0</v>
      </c>
      <c r="BV44" s="141">
        <f>INDEX('File 16'!Weekly_Adjusted,2,2)</f>
        <v>0</v>
      </c>
      <c r="BW44" s="141">
        <f>INDEX('File 16'!Weekly_Adjusted,2,3)</f>
        <v>0</v>
      </c>
      <c r="BX44" s="140">
        <f>INDEX('File 17'!Weekly_Adjusted,2,1)</f>
        <v>0</v>
      </c>
      <c r="BY44" s="140">
        <f>INDEX('File 17'!Weekly_Adjusted,2,2)</f>
        <v>0</v>
      </c>
      <c r="BZ44" s="140">
        <f>INDEX('File 17'!Weekly_Adjusted,2,3)</f>
        <v>0</v>
      </c>
      <c r="CA44" s="141">
        <f>INDEX('File 18'!Weekly_Adjusted,2,1)</f>
        <v>0</v>
      </c>
      <c r="CB44" s="141">
        <f>INDEX('File 18'!Weekly_Adjusted,2,2)</f>
        <v>0</v>
      </c>
      <c r="CC44" s="141">
        <f>INDEX('File 18'!Weekly_Adjusted,2,3)</f>
        <v>0</v>
      </c>
      <c r="CD44" s="140">
        <f>INDEX('File 19'!Weekly_Adjusted,2,1)</f>
        <v>0</v>
      </c>
      <c r="CE44" s="140">
        <f>INDEX('File 19'!Weekly_Adjusted,2,2)</f>
        <v>0</v>
      </c>
      <c r="CF44" s="140">
        <f>INDEX('File 19'!Weekly_Adjusted,2,3)</f>
        <v>0</v>
      </c>
      <c r="CG44" s="141">
        <f>INDEX('File 20'!Weekly_Adjusted,2,1)</f>
        <v>0</v>
      </c>
      <c r="CH44" s="141">
        <f>INDEX('File 20'!Weekly_Adjusted,2,2)</f>
        <v>0</v>
      </c>
      <c r="CI44" s="141">
        <f>INDEX('File 20'!Weekly_Adjusted,2,3)</f>
        <v>0</v>
      </c>
      <c r="CJ44" s="6">
        <f ca="1">SUMIFS(INDEX(Demand_Activity_Weekly,ROW(A2),0),Demand_Activity_Weekly_Header,CJ$42)</f>
        <v>388.17143954725253</v>
      </c>
      <c r="CK44" s="6">
        <f ca="1">SUMIFS(INDEX(Demand_Activity_Weekly,ROW(B2),0),Demand_Activity_Weekly_Header,CK$42)</f>
        <v>0</v>
      </c>
      <c r="CL44" s="6">
        <f ca="1">SUMIFS(INDEX(Demand_Activity_Weekly,ROW(C2),0),Demand_Activity_Weekly_Header,CL$42)</f>
        <v>0</v>
      </c>
      <c r="CM44" s="6">
        <f ca="1">SUMIFS(INDEX(Demand_Activity_Weekly,ROW(D2),0),Demand_Activity_Weekly_Header,CM$42)</f>
        <v>0</v>
      </c>
      <c r="CN44" s="6">
        <f ca="1">SUMIFS(INDEX(Demand_Activity_Weekly,ROW(E2),0),Demand_Activity_Weekly_Header,CN$42)</f>
        <v>0</v>
      </c>
      <c r="CP44" s="142">
        <f ca="1">INDEX('File 1'!Weekly_Adjusted,2,10)</f>
        <v>24.919784152855019</v>
      </c>
      <c r="CQ44" s="142">
        <f>INDEX('File 1'!Weekly_Adjusted,2,11)</f>
        <v>0</v>
      </c>
      <c r="CR44" s="142">
        <f>INDEX('File 1'!Weekly_Adjusted,2,12)</f>
        <v>0</v>
      </c>
      <c r="CS44" s="143">
        <f>INDEX('File 2'!Weekly_Adjusted,2,10)</f>
        <v>0</v>
      </c>
      <c r="CT44" s="143">
        <f>INDEX('File 2'!Weekly_Adjusted,2,11)</f>
        <v>0</v>
      </c>
      <c r="CU44" s="143">
        <f>INDEX('File 2'!Weekly_Adjusted,2,12)</f>
        <v>0</v>
      </c>
      <c r="CV44" s="142">
        <f>INDEX('File 3'!Weekly_Adjusted,2,10)</f>
        <v>0</v>
      </c>
      <c r="CW44" s="142">
        <f>INDEX('File 3'!Weekly_Adjusted,2,11)</f>
        <v>0</v>
      </c>
      <c r="CX44" s="142">
        <f>INDEX('File 3'!Weekly_Adjusted,2,12)</f>
        <v>0</v>
      </c>
      <c r="CY44" s="143">
        <f>INDEX('File 4'!Weekly_Adjusted,2,10)</f>
        <v>0</v>
      </c>
      <c r="CZ44" s="143">
        <f>INDEX('File 4'!Weekly_Adjusted,2,11)</f>
        <v>0</v>
      </c>
      <c r="DA44" s="143">
        <f>INDEX('File 4'!Weekly_Adjusted,2,12)</f>
        <v>0</v>
      </c>
      <c r="DB44" s="142">
        <f>INDEX('File 5'!Weekly_Adjusted,2,10)</f>
        <v>0</v>
      </c>
      <c r="DC44" s="142">
        <f>INDEX('File 5'!Weekly_Adjusted,2,11)</f>
        <v>0</v>
      </c>
      <c r="DD44" s="142">
        <f>INDEX('File 5'!Weekly_Adjusted,2,12)</f>
        <v>0</v>
      </c>
      <c r="DE44" s="143">
        <f>INDEX('File 6'!Weekly_Adjusted,2,10)</f>
        <v>0</v>
      </c>
      <c r="DF44" s="143">
        <f>INDEX('File 6'!Weekly_Adjusted,2,11)</f>
        <v>0</v>
      </c>
      <c r="DG44" s="143">
        <f>INDEX('File 6'!Weekly_Adjusted,2,12)</f>
        <v>0</v>
      </c>
      <c r="DH44" s="142">
        <f>INDEX('File 7'!Weekly_Adjusted,2,10)</f>
        <v>0</v>
      </c>
      <c r="DI44" s="142">
        <f>INDEX('File 7'!Weekly_Adjusted,2,11)</f>
        <v>0</v>
      </c>
      <c r="DJ44" s="142">
        <f>INDEX('File 7'!Weekly_Adjusted,2,12)</f>
        <v>0</v>
      </c>
      <c r="DK44" s="143">
        <f>INDEX('File 8'!Weekly_Adjusted,2,10)</f>
        <v>0</v>
      </c>
      <c r="DL44" s="143">
        <f>INDEX('File 8'!Weekly_Adjusted,2,11)</f>
        <v>0</v>
      </c>
      <c r="DM44" s="143">
        <f>INDEX('File 8'!Weekly_Adjusted,2,12)</f>
        <v>0</v>
      </c>
      <c r="DN44" s="142">
        <f>INDEX('File 9'!Weekly_Adjusted,2,10)</f>
        <v>0</v>
      </c>
      <c r="DO44" s="142">
        <f>INDEX('File 9'!Weekly_Adjusted,2,11)</f>
        <v>0</v>
      </c>
      <c r="DP44" s="142">
        <f>INDEX('File 9'!Weekly_Adjusted,2,12)</f>
        <v>0</v>
      </c>
      <c r="DQ44" s="143">
        <f>INDEX('File 10'!Weekly_Adjusted,2,10)</f>
        <v>0</v>
      </c>
      <c r="DR44" s="143">
        <f>INDEX('File 10'!Weekly_Adjusted,2,11)</f>
        <v>0</v>
      </c>
      <c r="DS44" s="143">
        <f>INDEX('File 10'!Weekly_Adjusted,2,12)</f>
        <v>0</v>
      </c>
      <c r="DT44" s="142">
        <f>INDEX('File 11'!Weekly_Adjusted,2,10)</f>
        <v>0</v>
      </c>
      <c r="DU44" s="142">
        <f>INDEX('File 11'!Weekly_Adjusted,2,11)</f>
        <v>0</v>
      </c>
      <c r="DV44" s="142">
        <f>INDEX('File 11'!Weekly_Adjusted,2,12)</f>
        <v>0</v>
      </c>
      <c r="DW44" s="143">
        <f>INDEX('File 12'!Weekly_Adjusted,2,10)</f>
        <v>0</v>
      </c>
      <c r="DX44" s="143">
        <f>INDEX('File 12'!Weekly_Adjusted,2,11)</f>
        <v>0</v>
      </c>
      <c r="DY44" s="143">
        <f>INDEX('File 12'!Weekly_Adjusted,2,12)</f>
        <v>0</v>
      </c>
      <c r="DZ44" s="142">
        <f>INDEX('File 13'!Weekly_Adjusted,2,10)</f>
        <v>0</v>
      </c>
      <c r="EA44" s="142">
        <f>INDEX('File 13'!Weekly_Adjusted,2,11)</f>
        <v>0</v>
      </c>
      <c r="EB44" s="142">
        <f>INDEX('File 13'!Weekly_Adjusted,2,12)</f>
        <v>0</v>
      </c>
      <c r="EC44" s="143">
        <f>INDEX('File 14'!Weekly_Adjusted,2,10)</f>
        <v>0</v>
      </c>
      <c r="ED44" s="143">
        <f>INDEX('File 14'!Weekly_Adjusted,2,11)</f>
        <v>0</v>
      </c>
      <c r="EE44" s="143">
        <f>INDEX('File 14'!Weekly_Adjusted,2,12)</f>
        <v>0</v>
      </c>
      <c r="EF44" s="142">
        <f>INDEX('File 15'!Weekly_Adjusted,2,10)</f>
        <v>0</v>
      </c>
      <c r="EG44" s="142">
        <f>INDEX('File 15'!Weekly_Adjusted,2,11)</f>
        <v>0</v>
      </c>
      <c r="EH44" s="142">
        <f>INDEX('File 15'!Weekly_Adjusted,2,12)</f>
        <v>0</v>
      </c>
      <c r="EI44" s="143">
        <f>INDEX('File 16'!Weekly_Adjusted,2,10)</f>
        <v>0</v>
      </c>
      <c r="EJ44" s="143">
        <f>INDEX('File 16'!Weekly_Adjusted,2,11)</f>
        <v>0</v>
      </c>
      <c r="EK44" s="143">
        <f>INDEX('File 16'!Weekly_Adjusted,2,12)</f>
        <v>0</v>
      </c>
      <c r="EL44" s="142">
        <f>INDEX('File 17'!Weekly_Adjusted,2,10)</f>
        <v>0</v>
      </c>
      <c r="EM44" s="142">
        <f>INDEX('File 17'!Weekly_Adjusted,2,11)</f>
        <v>0</v>
      </c>
      <c r="EN44" s="142">
        <f>INDEX('File 17'!Weekly_Adjusted,2,12)</f>
        <v>0</v>
      </c>
      <c r="EO44" s="143">
        <f>INDEX('File 18'!Weekly_Adjusted,2,10)</f>
        <v>0</v>
      </c>
      <c r="EP44" s="143">
        <f>INDEX('File 18'!Weekly_Adjusted,2,11)</f>
        <v>0</v>
      </c>
      <c r="EQ44" s="143">
        <f>INDEX('File 18'!Weekly_Adjusted,2,12)</f>
        <v>0</v>
      </c>
      <c r="ER44" s="142">
        <f>INDEX('File 19'!Weekly_Adjusted,2,10)</f>
        <v>0</v>
      </c>
      <c r="ES44" s="142">
        <f>INDEX('File 19'!Weekly_Adjusted,2,11)</f>
        <v>0</v>
      </c>
      <c r="ET44" s="142">
        <f>INDEX('File 19'!Weekly_Adjusted,2,12)</f>
        <v>0</v>
      </c>
      <c r="EU44" s="143">
        <f>INDEX('File 20'!Weekly_Adjusted,2,10)</f>
        <v>0</v>
      </c>
      <c r="EV44" s="143">
        <f>INDEX('File 20'!Weekly_Adjusted,2,11)</f>
        <v>0</v>
      </c>
      <c r="EW44" s="143">
        <f>INDEX('File 20'!Weekly_Adjusted,2,12)</f>
        <v>0</v>
      </c>
      <c r="EX44" s="6">
        <f ca="1">SUMIFS(INDEX(Capacity_Activity_Weekly,ROW(A2),0),Demand_Activity_Weekly_Header,CJ$42)</f>
        <v>24.919784152855019</v>
      </c>
      <c r="EY44" s="6">
        <f ca="1">SUMIFS(INDEX(Capacity_Activity_Weekly,ROW(B2),0),Demand_Activity_Weekly_Header,CK$42)</f>
        <v>0</v>
      </c>
      <c r="EZ44" s="6">
        <f ca="1">SUMIFS(INDEX(Capacity_Activity_Weekly,ROW(C2),0),Demand_Activity_Weekly_Header,CL$42)</f>
        <v>0</v>
      </c>
      <c r="FA44" s="6">
        <f ca="1">SUMIFS(INDEX(Capacity_Activity_Weekly,ROW(D2),0),Demand_Activity_Weekly_Header,CM$42)</f>
        <v>0</v>
      </c>
      <c r="FB44" s="6">
        <f ca="1">SUMIFS(INDEX(Capacity_Activity_Weekly,ROW(E2),0),Demand_Activity_Weekly_Header,CN$42)</f>
        <v>0</v>
      </c>
      <c r="FD44" s="7">
        <f>'File 1'!$Q$54*'Time based aggregation (hide)'!$Q6</f>
        <v>0</v>
      </c>
      <c r="FE44" s="7">
        <f>'File 1'!$R$54*'Time based aggregation (hide)'!$R6</f>
        <v>0</v>
      </c>
      <c r="FF44" s="7">
        <f>'File 1'!$S$54*'Time based aggregation (hide)'!$S6</f>
        <v>0</v>
      </c>
      <c r="FG44" s="7">
        <f>'File 2'!$Q$54*'Time based aggregation (hide)'!$T6</f>
        <v>0</v>
      </c>
      <c r="FH44" s="7">
        <f>'File 2'!$R$54*'Time based aggregation (hide)'!$U6</f>
        <v>0</v>
      </c>
      <c r="FI44" s="7">
        <f>'File 2'!$S$54*'Time based aggregation (hide)'!$V6</f>
        <v>0</v>
      </c>
      <c r="FJ44" s="7">
        <f>'File 3'!$Q$54*'Time based aggregation (hide)'!$W6</f>
        <v>0</v>
      </c>
      <c r="FK44" s="7">
        <f>'File 3'!$R$54*'Time based aggregation (hide)'!$X6</f>
        <v>0</v>
      </c>
      <c r="FL44" s="7">
        <f>'File 3'!$S$54*'Time based aggregation (hide)'!$Y6</f>
        <v>0</v>
      </c>
      <c r="FM44" s="7">
        <f>'File 4'!$Q$54*'Time based aggregation (hide)'!$Z6</f>
        <v>0</v>
      </c>
      <c r="FN44" s="7">
        <f>'File 4'!$R$54*'Time based aggregation (hide)'!$AA6</f>
        <v>0</v>
      </c>
      <c r="FO44" s="7">
        <f>'File 4'!$S$54*'Time based aggregation (hide)'!$AB6</f>
        <v>0</v>
      </c>
      <c r="FP44" s="7">
        <f>'File 5'!$Q$54*'Time based aggregation (hide)'!$AC6</f>
        <v>0</v>
      </c>
      <c r="FQ44" s="7">
        <f>'File 5'!$R$54*'Time based aggregation (hide)'!$AD6</f>
        <v>0</v>
      </c>
      <c r="FR44" s="7">
        <f>'File 5'!$S$54*'Time based aggregation (hide)'!$AE6</f>
        <v>0</v>
      </c>
      <c r="FS44" s="7">
        <f>'File 6'!$Q$54*'Time based aggregation (hide)'!$AF6</f>
        <v>0</v>
      </c>
      <c r="FT44" s="7">
        <f>'File 6'!$R$54*'Time based aggregation (hide)'!$AG6</f>
        <v>0</v>
      </c>
      <c r="FU44" s="7">
        <f>'File 6'!$S$54*'Time based aggregation (hide)'!$AH6</f>
        <v>0</v>
      </c>
      <c r="FV44" s="7">
        <f>'File 7'!$Q$54*'Time based aggregation (hide)'!$AI6</f>
        <v>0</v>
      </c>
      <c r="FW44" s="7">
        <f>'File 7'!$R$54*'Time based aggregation (hide)'!$AJ6</f>
        <v>0</v>
      </c>
      <c r="FX44" s="7">
        <f>'File 7'!$S$54*'Time based aggregation (hide)'!$AK6</f>
        <v>0</v>
      </c>
      <c r="FY44" s="7">
        <f>'File 8'!$Q$54*'Time based aggregation (hide)'!$AL6</f>
        <v>0</v>
      </c>
      <c r="FZ44" s="7">
        <f>'File 8'!$R$54*'Time based aggregation (hide)'!$AM6</f>
        <v>0</v>
      </c>
      <c r="GA44" s="7">
        <f>'File 8'!$S$54*'Time based aggregation (hide)'!$AN6</f>
        <v>0</v>
      </c>
      <c r="GB44" s="7">
        <f>'File 9'!$Q$54*'Time based aggregation (hide)'!$AO6</f>
        <v>0</v>
      </c>
      <c r="GC44" s="7">
        <f>'File 9'!$R$54*'Time based aggregation (hide)'!$AP6</f>
        <v>0</v>
      </c>
      <c r="GD44" s="7">
        <f>'File 9'!$S$54*'Time based aggregation (hide)'!$AQ6</f>
        <v>0</v>
      </c>
      <c r="GE44" s="7">
        <f>'File 10'!$Q$54*'Time based aggregation (hide)'!$AR6</f>
        <v>0</v>
      </c>
      <c r="GF44" s="7">
        <f>'File 10'!$R$54*'Time based aggregation (hide)'!$AS6</f>
        <v>0</v>
      </c>
      <c r="GG44" s="7">
        <f>'File 10'!$S$54*'Time based aggregation (hide)'!$AT6</f>
        <v>0</v>
      </c>
      <c r="GH44" s="7">
        <f>'File 11'!$Q$54*'Time based aggregation (hide)'!$AU6</f>
        <v>0</v>
      </c>
      <c r="GI44" s="7">
        <f>'File 11'!$R$54*'Time based aggregation (hide)'!$AV6</f>
        <v>0</v>
      </c>
      <c r="GJ44" s="7">
        <f>'File 11'!$S$54*'Time based aggregation (hide)'!$AW6</f>
        <v>0</v>
      </c>
      <c r="GK44" s="7">
        <f>'File 12'!$Q$54*'Time based aggregation (hide)'!$AX6</f>
        <v>0</v>
      </c>
      <c r="GL44" s="7">
        <f>'File 12'!$R$54*'Time based aggregation (hide)'!$AY6</f>
        <v>0</v>
      </c>
      <c r="GM44" s="7">
        <f>'File 12'!$S$54*'Time based aggregation (hide)'!$AZ6</f>
        <v>0</v>
      </c>
      <c r="GN44" s="7">
        <f>'File 13'!$Q$54*'Time based aggregation (hide)'!$BA6</f>
        <v>0</v>
      </c>
      <c r="GO44" s="7">
        <f>'File 13'!$R$54*'Time based aggregation (hide)'!$BB6</f>
        <v>0</v>
      </c>
      <c r="GP44" s="7">
        <f>'File 13'!$S$54*'Time based aggregation (hide)'!$BC6</f>
        <v>0</v>
      </c>
      <c r="GQ44" s="7">
        <f>'File 14'!$Q$54*'Time based aggregation (hide)'!$BD6</f>
        <v>0</v>
      </c>
      <c r="GR44" s="7">
        <f>'File 14'!$R$54*'Time based aggregation (hide)'!$BE6</f>
        <v>0</v>
      </c>
      <c r="GS44" s="7">
        <f>'File 14'!$S$54*'Time based aggregation (hide)'!$BF6</f>
        <v>0</v>
      </c>
      <c r="GT44" s="7">
        <f>'File 15'!$Q$54*'Time based aggregation (hide)'!$BG6</f>
        <v>0</v>
      </c>
      <c r="GU44" s="7">
        <f>'File 15'!$R$54*'Time based aggregation (hide)'!$BH6</f>
        <v>0</v>
      </c>
      <c r="GV44" s="7">
        <f>'File 15'!$S$54*'Time based aggregation (hide)'!$BI6</f>
        <v>0</v>
      </c>
      <c r="GW44" s="7">
        <f>'File 16'!$Q$54*'Time based aggregation (hide)'!$BJ6</f>
        <v>0</v>
      </c>
      <c r="GX44" s="7">
        <f>'File 16'!$R$54*'Time based aggregation (hide)'!$BK6</f>
        <v>0</v>
      </c>
      <c r="GY44" s="7">
        <f>'File 16'!$S$54*'Time based aggregation (hide)'!$BL6</f>
        <v>0</v>
      </c>
      <c r="GZ44" s="7">
        <f>'File 17'!$Q$54*'Time based aggregation (hide)'!$BM6</f>
        <v>0</v>
      </c>
      <c r="HA44" s="7">
        <f>'File 17'!$R$54*'Time based aggregation (hide)'!$BN6</f>
        <v>0</v>
      </c>
      <c r="HB44" s="7">
        <f>'File 17'!$S$54*'Time based aggregation (hide)'!$BO6</f>
        <v>0</v>
      </c>
      <c r="HC44" s="7">
        <f>'File 18'!$Q$54*'Time based aggregation (hide)'!$BP6</f>
        <v>0</v>
      </c>
      <c r="HD44" s="7">
        <f>'File 18'!$R$54*'Time based aggregation (hide)'!$BQ6</f>
        <v>0</v>
      </c>
      <c r="HE44" s="7">
        <f>'File 18'!$S$54*'Time based aggregation (hide)'!$BR6</f>
        <v>0</v>
      </c>
      <c r="HF44" s="7">
        <f>'File 19'!$Q$54*'Time based aggregation (hide)'!$BS6</f>
        <v>0</v>
      </c>
      <c r="HG44" s="7">
        <f>'File 19'!$R$54*'Time based aggregation (hide)'!$BT6</f>
        <v>0</v>
      </c>
      <c r="HH44" s="7">
        <f>'File 19'!$S$54*'Time based aggregation (hide)'!$BU6</f>
        <v>0</v>
      </c>
      <c r="HI44" s="7">
        <f>'File 20'!$Q$54*'Time based aggregation (hide)'!$BV6</f>
        <v>0</v>
      </c>
      <c r="HJ44" s="7">
        <f>'File 20'!$R$54*'Time based aggregation (hide)'!$BW6</f>
        <v>0</v>
      </c>
      <c r="HK44" s="7">
        <f>'File 20'!$S$54*'Time based aggregation (hide)'!$BX6</f>
        <v>0</v>
      </c>
      <c r="HL44" s="7">
        <f t="shared" ca="1" si="31"/>
        <v>0</v>
      </c>
      <c r="HM44" s="7">
        <f t="shared" ca="1" si="31"/>
        <v>0</v>
      </c>
      <c r="HN44" s="7">
        <f t="shared" ca="1" si="31"/>
        <v>0</v>
      </c>
      <c r="HO44" s="7">
        <f t="shared" ca="1" si="31"/>
        <v>0</v>
      </c>
      <c r="HP44" s="7">
        <f t="shared" ca="1" si="31"/>
        <v>0</v>
      </c>
      <c r="HR44" s="142">
        <f ca="1">INDEX('File 1'!Weekly_Adjusted,2,16)</f>
        <v>21.427839876658773</v>
      </c>
      <c r="HS44" s="142">
        <f>INDEX('File 1'!Weekly_Adjusted,2,17)</f>
        <v>0</v>
      </c>
      <c r="HT44" s="142">
        <f>INDEX('File 1'!Weekly_Adjusted,2,18)</f>
        <v>0</v>
      </c>
      <c r="HU44" s="143">
        <f>INDEX('File 2'!Weekly_Adjusted,2,16)</f>
        <v>0</v>
      </c>
      <c r="HV44" s="143">
        <f>INDEX('File 2'!Weekly_Adjusted,2,17)</f>
        <v>0</v>
      </c>
      <c r="HW44" s="143">
        <f>INDEX('File 2'!Weekly_Adjusted,2,18)</f>
        <v>0</v>
      </c>
      <c r="HX44" s="142">
        <f>INDEX('File 3'!Weekly_Adjusted,2,16)</f>
        <v>0</v>
      </c>
      <c r="HY44" s="142">
        <f>INDEX('File 3'!Weekly_Adjusted,2,17)</f>
        <v>0</v>
      </c>
      <c r="HZ44" s="142">
        <f>INDEX('File 3'!Weekly_Adjusted,2,18)</f>
        <v>0</v>
      </c>
      <c r="IA44" s="143">
        <f>INDEX('File 4'!Weekly_Adjusted,2,16)</f>
        <v>0</v>
      </c>
      <c r="IB44" s="143">
        <f>INDEX('File 4'!Weekly_Adjusted,2,17)</f>
        <v>0</v>
      </c>
      <c r="IC44" s="143">
        <f>INDEX('File 4'!Weekly_Adjusted,2,18)</f>
        <v>0</v>
      </c>
      <c r="ID44" s="142">
        <f>INDEX('File 5'!Weekly_Adjusted,2,16)</f>
        <v>0</v>
      </c>
      <c r="IE44" s="142">
        <f>INDEX('File 5'!Weekly_Adjusted,2,17)</f>
        <v>0</v>
      </c>
      <c r="IF44" s="142">
        <f>INDEX('File 5'!Weekly_Adjusted,2,18)</f>
        <v>0</v>
      </c>
      <c r="IG44" s="143">
        <f>INDEX('File 6'!Weekly_Adjusted,2,16)</f>
        <v>0</v>
      </c>
      <c r="IH44" s="143">
        <f>INDEX('File 6'!Weekly_Adjusted,2,17)</f>
        <v>0</v>
      </c>
      <c r="II44" s="143">
        <f>INDEX('File 6'!Weekly_Adjusted,2,18)</f>
        <v>0</v>
      </c>
      <c r="IJ44" s="142">
        <f>INDEX('File 7'!Weekly_Adjusted,2,16)</f>
        <v>0</v>
      </c>
      <c r="IK44" s="142">
        <f>INDEX('File 7'!Weekly_Adjusted,2,17)</f>
        <v>0</v>
      </c>
      <c r="IL44" s="142">
        <f>INDEX('File 7'!Weekly_Adjusted,2,18)</f>
        <v>0</v>
      </c>
      <c r="IM44" s="143">
        <f>INDEX('File 8'!Weekly_Adjusted,2,16)</f>
        <v>0</v>
      </c>
      <c r="IN44" s="143">
        <f>INDEX('File 8'!Weekly_Adjusted,2,17)</f>
        <v>0</v>
      </c>
      <c r="IO44" s="143">
        <f>INDEX('File 8'!Weekly_Adjusted,2,18)</f>
        <v>0</v>
      </c>
      <c r="IP44" s="142">
        <f>INDEX('File 9'!Weekly_Adjusted,2,16)</f>
        <v>0</v>
      </c>
      <c r="IQ44" s="142">
        <f>INDEX('File 9'!Weekly_Adjusted,2,17)</f>
        <v>0</v>
      </c>
      <c r="IR44" s="142">
        <f>INDEX('File 9'!Weekly_Adjusted,2,18)</f>
        <v>0</v>
      </c>
      <c r="IS44" s="143">
        <f>INDEX('File 10'!Weekly_Adjusted,2,16)</f>
        <v>0</v>
      </c>
      <c r="IT44" s="143">
        <f>INDEX('File 10'!Weekly_Adjusted,2,17)</f>
        <v>0</v>
      </c>
      <c r="IU44" s="143">
        <f>INDEX('File 10'!Weekly_Adjusted,2,18)</f>
        <v>0</v>
      </c>
      <c r="IV44" s="142">
        <f>INDEX('File 11'!Weekly_Adjusted,2,16)</f>
        <v>0</v>
      </c>
      <c r="IW44" s="142">
        <f>INDEX('File 11'!Weekly_Adjusted,2,17)</f>
        <v>0</v>
      </c>
      <c r="IX44" s="142">
        <f>INDEX('File 11'!Weekly_Adjusted,2,18)</f>
        <v>0</v>
      </c>
      <c r="IY44" s="143">
        <f>INDEX('File 12'!Weekly_Adjusted,2,16)</f>
        <v>0</v>
      </c>
      <c r="IZ44" s="143">
        <f>INDEX('File 12'!Weekly_Adjusted,2,17)</f>
        <v>0</v>
      </c>
      <c r="JA44" s="143">
        <f>INDEX('File 12'!Weekly_Adjusted,2,18)</f>
        <v>0</v>
      </c>
      <c r="JB44" s="142">
        <f>INDEX('File 13'!Weekly_Adjusted,2,16)</f>
        <v>0</v>
      </c>
      <c r="JC44" s="142">
        <f>INDEX('File 13'!Weekly_Adjusted,2,17)</f>
        <v>0</v>
      </c>
      <c r="JD44" s="142">
        <f>INDEX('File 13'!Weekly_Adjusted,2,18)</f>
        <v>0</v>
      </c>
      <c r="JE44" s="143">
        <f>INDEX('File 14'!Weekly_Adjusted,2,16)</f>
        <v>0</v>
      </c>
      <c r="JF44" s="143">
        <f>INDEX('File 14'!Weekly_Adjusted,2,17)</f>
        <v>0</v>
      </c>
      <c r="JG44" s="143">
        <f>INDEX('File 14'!Weekly_Adjusted,2,18)</f>
        <v>0</v>
      </c>
      <c r="JH44" s="142">
        <f>INDEX('File 15'!Weekly_Adjusted,2,16)</f>
        <v>0</v>
      </c>
      <c r="JI44" s="142">
        <f>INDEX('File 15'!Weekly_Adjusted,2,17)</f>
        <v>0</v>
      </c>
      <c r="JJ44" s="142">
        <f>INDEX('File 15'!Weekly_Adjusted,2,18)</f>
        <v>0</v>
      </c>
      <c r="JK44" s="143">
        <f>INDEX('File 16'!Weekly_Adjusted,2,16)</f>
        <v>0</v>
      </c>
      <c r="JL44" s="143">
        <f>INDEX('File 16'!Weekly_Adjusted,2,17)</f>
        <v>0</v>
      </c>
      <c r="JM44" s="143">
        <f>INDEX('File 16'!Weekly_Adjusted,2,18)</f>
        <v>0</v>
      </c>
      <c r="JN44" s="142">
        <f>INDEX('File 17'!Weekly_Adjusted,2,16)</f>
        <v>0</v>
      </c>
      <c r="JO44" s="142">
        <f>INDEX('File 17'!Weekly_Adjusted,2,17)</f>
        <v>0</v>
      </c>
      <c r="JP44" s="142">
        <f>INDEX('File 17'!Weekly_Adjusted,2,18)</f>
        <v>0</v>
      </c>
      <c r="JQ44" s="143">
        <f>INDEX('File 18'!Weekly_Adjusted,2,16)</f>
        <v>0</v>
      </c>
      <c r="JR44" s="143">
        <f>INDEX('File 18'!Weekly_Adjusted,2,17)</f>
        <v>0</v>
      </c>
      <c r="JS44" s="143">
        <f>INDEX('File 18'!Weekly_Adjusted,2,18)</f>
        <v>0</v>
      </c>
      <c r="JT44" s="142">
        <f>INDEX('File 19'!Weekly_Adjusted,2,16)</f>
        <v>0</v>
      </c>
      <c r="JU44" s="142">
        <f>INDEX('File 19'!Weekly_Adjusted,2,17)</f>
        <v>0</v>
      </c>
      <c r="JV44" s="142">
        <f>INDEX('File 19'!Weekly_Adjusted,2,18)</f>
        <v>0</v>
      </c>
      <c r="JW44" s="143">
        <f>INDEX('File 20'!Weekly_Adjusted,2,16)</f>
        <v>0</v>
      </c>
      <c r="JX44" s="143">
        <f>INDEX('File 20'!Weekly_Adjusted,2,17)</f>
        <v>0</v>
      </c>
      <c r="JY44" s="143">
        <f>INDEX('File 20'!Weekly_Adjusted,2,18)</f>
        <v>0</v>
      </c>
      <c r="JZ44" s="6">
        <f ca="1">SUMIFS(INDEX(CapacityCore_Activity_Weekly,ROW(EC2),0),Demand_Activity_Weekly_Header,HL$42)</f>
        <v>21.427839876658773</v>
      </c>
      <c r="KA44" s="6">
        <f ca="1">SUMIFS(INDEX(CapacityCore_Activity_Weekly,ROW(ED2),0),Demand_Activity_Weekly_Header,HM$42)</f>
        <v>0</v>
      </c>
      <c r="KB44" s="6">
        <f ca="1">SUMIFS(INDEX(CapacityCore_Activity_Weekly,ROW(EE2),0),Demand_Activity_Weekly_Header,HN$42)</f>
        <v>0</v>
      </c>
      <c r="KC44" s="6">
        <f ca="1">SUMIFS(INDEX(CapacityCore_Activity_Weekly,ROW(EF2),0),Demand_Activity_Weekly_Header,HO$42)</f>
        <v>0</v>
      </c>
      <c r="KD44" s="6">
        <f ca="1">SUMIFS(INDEX(CapacityCore_Activity_Weekly,ROW(EG2),0),Demand_Activity_Weekly_Header,HP$42)</f>
        <v>0</v>
      </c>
      <c r="KF44" s="6">
        <f>SUMIFS('Time based aggregation (hide)'!$J:$J,'Time based aggregation (hide)'!$E:$E,1,'Time based aggregation (hide)'!$F:$F,1,'Time based aggregation (hide)'!$A:$A,ROW(A2))</f>
        <v>0</v>
      </c>
      <c r="KG44" s="6">
        <f>SUMIFS('Time based aggregation (hide)'!$J:$J,'Time based aggregation (hide)'!$E:$E,1,'Time based aggregation (hide)'!$F:$F,2,'Time based aggregation (hide)'!$A:$A,ROW(A2))</f>
        <v>0</v>
      </c>
      <c r="KH44" s="6">
        <f>SUMIFS('Time based aggregation (hide)'!$J:$J,'Time based aggregation (hide)'!$E:$E,1,'Time based aggregation (hide)'!$F:$F,3,'Time based aggregation (hide)'!$A:$A,ROW(A2))</f>
        <v>0</v>
      </c>
      <c r="KI44" s="6">
        <f>SUMIFS('Time based aggregation (hide)'!$J:$J,'Time based aggregation (hide)'!$E:$E,2,'Time based aggregation (hide)'!$F:$F,1,'Time based aggregation (hide)'!$A:$A,ROW(A2))</f>
        <v>0</v>
      </c>
      <c r="KJ44" s="6">
        <f>SUMIFS('Time based aggregation (hide)'!$J:$J,'Time based aggregation (hide)'!$E:$E,2,'Time based aggregation (hide)'!$F:$F,2,'Time based aggregation (hide)'!$A:$A,ROW(A2))</f>
        <v>0</v>
      </c>
      <c r="KK44" s="6">
        <f>SUMIFS('Time based aggregation (hide)'!$J:$J,'Time based aggregation (hide)'!$E:$E,2,'Time based aggregation (hide)'!$F:$F,3,'Time based aggregation (hide)'!$A:$A,ROW(A2))</f>
        <v>0</v>
      </c>
      <c r="KL44" s="6">
        <f>SUMIFS('Time based aggregation (hide)'!$J:$J,'Time based aggregation (hide)'!$E:$E,3,'Time based aggregation (hide)'!$F:$F,1,'Time based aggregation (hide)'!$A:$A,ROW(A2))</f>
        <v>0</v>
      </c>
      <c r="KM44" s="6">
        <f>SUMIFS('Time based aggregation (hide)'!$J:$J,'Time based aggregation (hide)'!$E:$E,3,'Time based aggregation (hide)'!$F:$F,2,'Time based aggregation (hide)'!$A:$A,ROW(A2))</f>
        <v>0</v>
      </c>
      <c r="KN44" s="6">
        <f>SUMIFS('Time based aggregation (hide)'!$J:$J,'Time based aggregation (hide)'!$E:$E,3,'Time based aggregation (hide)'!$F:$F,3,'Time based aggregation (hide)'!$A:$A,ROW(A2))</f>
        <v>0</v>
      </c>
      <c r="KO44" s="6">
        <f>SUMIFS('Time based aggregation (hide)'!$J:$J,'Time based aggregation (hide)'!$E:$E,4,'Time based aggregation (hide)'!$F:$F,1,'Time based aggregation (hide)'!$A:$A,ROW(A2))</f>
        <v>0</v>
      </c>
      <c r="KP44" s="6">
        <f>SUMIFS('Time based aggregation (hide)'!$J:$J,'Time based aggregation (hide)'!$E:$E,4,'Time based aggregation (hide)'!$F:$F,2,'Time based aggregation (hide)'!$A:$A,ROW(A2))</f>
        <v>0</v>
      </c>
      <c r="KQ44" s="6">
        <f>SUMIFS('Time based aggregation (hide)'!$J:$J,'Time based aggregation (hide)'!$E:$E,4,'Time based aggregation (hide)'!$F:$F,3,'Time based aggregation (hide)'!$A:$A,ROW(A2))</f>
        <v>0</v>
      </c>
      <c r="KR44" s="6">
        <f>SUMIFS('Time based aggregation (hide)'!$J:$J,'Time based aggregation (hide)'!$E:$E,5,'Time based aggregation (hide)'!$F:$F,1,'Time based aggregation (hide)'!$A:$A,ROW(A2))</f>
        <v>0</v>
      </c>
      <c r="KS44" s="6">
        <f>SUMIFS('Time based aggregation (hide)'!$J:$J,'Time based aggregation (hide)'!$E:$E,5,'Time based aggregation (hide)'!$F:$F,2,'Time based aggregation (hide)'!$A:$A,ROW(A2))</f>
        <v>0</v>
      </c>
      <c r="KT44" s="6">
        <f>SUMIFS('Time based aggregation (hide)'!$J:$J,'Time based aggregation (hide)'!$E:$E,5,'Time based aggregation (hide)'!$F:$F,3,'Time based aggregation (hide)'!$A:$A,ROW(A2))</f>
        <v>0</v>
      </c>
      <c r="KU44" s="6">
        <f>SUMIFS('Time based aggregation (hide)'!$J:$J,'Time based aggregation (hide)'!$E:$E,6,'Time based aggregation (hide)'!$F:$F,1,'Time based aggregation (hide)'!$A:$A,ROW(A2))</f>
        <v>0</v>
      </c>
      <c r="KV44" s="6">
        <f>SUMIFS('Time based aggregation (hide)'!$J:$J,'Time based aggregation (hide)'!$E:$E,6,'Time based aggregation (hide)'!$F:$F,2,'Time based aggregation (hide)'!$A:$A,ROW(A2))</f>
        <v>0</v>
      </c>
      <c r="KW44" s="6">
        <f>SUMIFS('Time based aggregation (hide)'!$J:$J,'Time based aggregation (hide)'!$E:$E,6,'Time based aggregation (hide)'!$F:$F,3,'Time based aggregation (hide)'!$A:$A,ROW(A2))</f>
        <v>0</v>
      </c>
      <c r="KX44" s="6">
        <f>SUMIFS('Time based aggregation (hide)'!$J:$J,'Time based aggregation (hide)'!$E:$E,7,'Time based aggregation (hide)'!$F:$F,1,'Time based aggregation (hide)'!$A:$A,ROW(A2))</f>
        <v>0</v>
      </c>
      <c r="KY44" s="6">
        <f>SUMIFS('Time based aggregation (hide)'!$J:$J,'Time based aggregation (hide)'!$E:$E,7,'Time based aggregation (hide)'!$F:$F,2,'Time based aggregation (hide)'!$A:$A,ROW(A2))</f>
        <v>0</v>
      </c>
      <c r="KZ44" s="6">
        <f>SUMIFS('Time based aggregation (hide)'!$J:$J,'Time based aggregation (hide)'!$E:$E,7,'Time based aggregation (hide)'!$F:$F,3,'Time based aggregation (hide)'!$A:$A,ROW(A2))</f>
        <v>0</v>
      </c>
      <c r="LA44" s="6">
        <f>SUMIFS('Time based aggregation (hide)'!$J:$J,'Time based aggregation (hide)'!$E:$E,8,'Time based aggregation (hide)'!$F:$F,1,'Time based aggregation (hide)'!$A:$A,ROW(A2))</f>
        <v>0</v>
      </c>
      <c r="LB44" s="6">
        <f>SUMIFS('Time based aggregation (hide)'!$J:$J,'Time based aggregation (hide)'!$E:$E,8,'Time based aggregation (hide)'!$F:$F,2,'Time based aggregation (hide)'!$A:$A,ROW(A2))</f>
        <v>0</v>
      </c>
      <c r="LC44" s="6">
        <f>SUMIFS('Time based aggregation (hide)'!$J:$J,'Time based aggregation (hide)'!$E:$E,8,'Time based aggregation (hide)'!$F:$F,3,'Time based aggregation (hide)'!$A:$A,ROW(A2))</f>
        <v>0</v>
      </c>
      <c r="LD44" s="6">
        <f>SUMIFS('Time based aggregation (hide)'!$J:$J,'Time based aggregation (hide)'!$E:$E,9,'Time based aggregation (hide)'!$F:$F,1,'Time based aggregation (hide)'!$A:$A,ROW(A2))</f>
        <v>0</v>
      </c>
      <c r="LE44" s="6">
        <f>SUMIFS('Time based aggregation (hide)'!$J:$J,'Time based aggregation (hide)'!$E:$E,9,'Time based aggregation (hide)'!$F:$F,2,'Time based aggregation (hide)'!$A:$A,ROW(A2))</f>
        <v>0</v>
      </c>
      <c r="LF44" s="6">
        <f>SUMIFS('Time based aggregation (hide)'!$J:$J,'Time based aggregation (hide)'!$E:$E,9,'Time based aggregation (hide)'!$F:$F,3,'Time based aggregation (hide)'!$A:$A,ROW(A2))</f>
        <v>0</v>
      </c>
      <c r="LG44" s="6">
        <f>SUMIFS('Time based aggregation (hide)'!$J:$J,'Time based aggregation (hide)'!$E:$E,10,'Time based aggregation (hide)'!$F:$F,1,'Time based aggregation (hide)'!$A:$A,ROW(A2))</f>
        <v>0</v>
      </c>
      <c r="LH44" s="6">
        <f>SUMIFS('Time based aggregation (hide)'!$J:$J,'Time based aggregation (hide)'!$E:$E,10,'Time based aggregation (hide)'!$F:$F,2,'Time based aggregation (hide)'!$A:$A,ROW(A2))</f>
        <v>0</v>
      </c>
      <c r="LI44" s="6">
        <f>SUMIFS('Time based aggregation (hide)'!$J:$J,'Time based aggregation (hide)'!$E:$E,10,'Time based aggregation (hide)'!$F:$F,3,'Time based aggregation (hide)'!$A:$A,ROW(A2))</f>
        <v>0</v>
      </c>
      <c r="LJ44" s="6">
        <f>SUMIFS('Time based aggregation (hide)'!$J:$J,'Time based aggregation (hide)'!$E:$E,11,'Time based aggregation (hide)'!$F:$F,1,'Time based aggregation (hide)'!$A:$A,ROW(A2))</f>
        <v>0</v>
      </c>
      <c r="LK44" s="6">
        <f>SUMIFS('Time based aggregation (hide)'!$J:$J,'Time based aggregation (hide)'!$E:$E,11,'Time based aggregation (hide)'!$F:$F,2,'Time based aggregation (hide)'!$A:$A,ROW(A2))</f>
        <v>0</v>
      </c>
      <c r="LL44" s="6">
        <f>SUMIFS('Time based aggregation (hide)'!$J:$J,'Time based aggregation (hide)'!$E:$E,11,'Time based aggregation (hide)'!$F:$F,3,'Time based aggregation (hide)'!$A:$A,ROW(A2))</f>
        <v>0</v>
      </c>
      <c r="LM44" s="6">
        <f>SUMIFS('Time based aggregation (hide)'!$J:$J,'Time based aggregation (hide)'!$E:$E,12,'Time based aggregation (hide)'!$F:$F,1,'Time based aggregation (hide)'!$A:$A,ROW(A2))</f>
        <v>0</v>
      </c>
      <c r="LN44" s="6">
        <f>SUMIFS('Time based aggregation (hide)'!$J:$J,'Time based aggregation (hide)'!$E:$E,12,'Time based aggregation (hide)'!$F:$F,2,'Time based aggregation (hide)'!$A:$A,ROW(A2))</f>
        <v>0</v>
      </c>
      <c r="LO44" s="6">
        <f>SUMIFS('Time based aggregation (hide)'!$J:$J,'Time based aggregation (hide)'!$E:$E,12,'Time based aggregation (hide)'!$F:$F,3,'Time based aggregation (hide)'!$A:$A,ROW(A2))</f>
        <v>0</v>
      </c>
      <c r="LP44" s="6">
        <f>SUMIFS('Time based aggregation (hide)'!$J:$J,'Time based aggregation (hide)'!$E:$E,13,'Time based aggregation (hide)'!$F:$F,1,'Time based aggregation (hide)'!$A:$A,ROW(A2))</f>
        <v>0</v>
      </c>
      <c r="LQ44" s="6">
        <f>SUMIFS('Time based aggregation (hide)'!$J:$J,'Time based aggregation (hide)'!$E:$E,13,'Time based aggregation (hide)'!$F:$F,2,'Time based aggregation (hide)'!$A:$A,ROW(A2))</f>
        <v>0</v>
      </c>
      <c r="LR44" s="6">
        <f>SUMIFS('Time based aggregation (hide)'!$J:$J,'Time based aggregation (hide)'!$E:$E,13,'Time based aggregation (hide)'!$F:$F,3,'Time based aggregation (hide)'!$A:$A,ROW(A2))</f>
        <v>0</v>
      </c>
      <c r="LS44" s="6">
        <f>SUMIFS('Time based aggregation (hide)'!$J:$J,'Time based aggregation (hide)'!$E:$E,14,'Time based aggregation (hide)'!$F:$F,1,'Time based aggregation (hide)'!$A:$A,ROW(A2))</f>
        <v>0</v>
      </c>
      <c r="LT44" s="6">
        <f>SUMIFS('Time based aggregation (hide)'!$J:$J,'Time based aggregation (hide)'!$E:$E,14,'Time based aggregation (hide)'!$F:$F,2,'Time based aggregation (hide)'!$A:$A,ROW(A2))</f>
        <v>0</v>
      </c>
      <c r="LU44" s="6">
        <f>SUMIFS('Time based aggregation (hide)'!$J:$J,'Time based aggregation (hide)'!$E:$E,14,'Time based aggregation (hide)'!$F:$F,3,'Time based aggregation (hide)'!$A:$A,ROW(A2))</f>
        <v>0</v>
      </c>
      <c r="LV44" s="6">
        <f>SUMIFS('Time based aggregation (hide)'!$J:$J,'Time based aggregation (hide)'!$E:$E,15,'Time based aggregation (hide)'!$F:$F,1,'Time based aggregation (hide)'!$A:$A,ROW(A2))</f>
        <v>0</v>
      </c>
      <c r="LW44" s="6">
        <f>SUMIFS('Time based aggregation (hide)'!$J:$J,'Time based aggregation (hide)'!$E:$E,15,'Time based aggregation (hide)'!$F:$F,2,'Time based aggregation (hide)'!$A:$A,ROW(A2))</f>
        <v>0</v>
      </c>
      <c r="LX44" s="6">
        <f>SUMIFS('Time based aggregation (hide)'!$J:$J,'Time based aggregation (hide)'!$E:$E,15,'Time based aggregation (hide)'!$F:$F,3,'Time based aggregation (hide)'!$A:$A,ROW(A2))</f>
        <v>0</v>
      </c>
      <c r="LY44" s="6">
        <f>SUMIFS('Time based aggregation (hide)'!$J:$J,'Time based aggregation (hide)'!$E:$E,16,'Time based aggregation (hide)'!$F:$F,1,'Time based aggregation (hide)'!$A:$A,ROW(A2))</f>
        <v>0</v>
      </c>
      <c r="LZ44" s="6">
        <f>SUMIFS('Time based aggregation (hide)'!$J:$J,'Time based aggregation (hide)'!$E:$E,16,'Time based aggregation (hide)'!$F:$F,2,'Time based aggregation (hide)'!$A:$A,ROW(A2))</f>
        <v>0</v>
      </c>
      <c r="MA44" s="6">
        <f>SUMIFS('Time based aggregation (hide)'!$J:$J,'Time based aggregation (hide)'!$E:$E,16,'Time based aggregation (hide)'!$F:$F,3,'Time based aggregation (hide)'!$A:$A,ROW(A2))</f>
        <v>0</v>
      </c>
      <c r="MB44" s="6">
        <f>SUMIFS('Time based aggregation (hide)'!$J:$J,'Time based aggregation (hide)'!$E:$E,17,'Time based aggregation (hide)'!$F:$F,1,'Time based aggregation (hide)'!$A:$A,ROW(A2))</f>
        <v>0</v>
      </c>
      <c r="MC44" s="6">
        <f>SUMIFS('Time based aggregation (hide)'!$J:$J,'Time based aggregation (hide)'!$E:$E,17,'Time based aggregation (hide)'!$F:$F,2,'Time based aggregation (hide)'!$A:$A,ROW(A2))</f>
        <v>0</v>
      </c>
      <c r="MD44" s="6">
        <f>SUMIFS('Time based aggregation (hide)'!$J:$J,'Time based aggregation (hide)'!$E:$E,17,'Time based aggregation (hide)'!$F:$F,3,'Time based aggregation (hide)'!$A:$A,ROW(A2))</f>
        <v>0</v>
      </c>
      <c r="ME44" s="6">
        <f>SUMIFS('Time based aggregation (hide)'!$J:$J,'Time based aggregation (hide)'!$E:$E,18,'Time based aggregation (hide)'!$F:$F,1,'Time based aggregation (hide)'!$A:$A,ROW(A2))</f>
        <v>0</v>
      </c>
      <c r="MF44" s="6">
        <f>SUMIFS('Time based aggregation (hide)'!$J:$J,'Time based aggregation (hide)'!$E:$E,18,'Time based aggregation (hide)'!$F:$F,2,'Time based aggregation (hide)'!$A:$A,ROW(A2))</f>
        <v>0</v>
      </c>
      <c r="MG44" s="6">
        <f>SUMIFS('Time based aggregation (hide)'!$J:$J,'Time based aggregation (hide)'!$E:$E,18,'Time based aggregation (hide)'!$F:$F,3,'Time based aggregation (hide)'!$A:$A,ROW(A2))</f>
        <v>0</v>
      </c>
      <c r="MH44" s="6">
        <f>SUMIFS('Time based aggregation (hide)'!$J:$J,'Time based aggregation (hide)'!$E:$E,19,'Time based aggregation (hide)'!$F:$F,1,'Time based aggregation (hide)'!$A:$A,ROW(A2))</f>
        <v>0</v>
      </c>
      <c r="MI44" s="6">
        <f>SUMIFS('Time based aggregation (hide)'!$J:$J,'Time based aggregation (hide)'!$E:$E,19,'Time based aggregation (hide)'!$F:$F,2,'Time based aggregation (hide)'!$A:$A,ROW(A2))</f>
        <v>0</v>
      </c>
      <c r="MJ44" s="6">
        <f>SUMIFS('Time based aggregation (hide)'!$J:$J,'Time based aggregation (hide)'!$E:$E,19,'Time based aggregation (hide)'!$F:$F,3,'Time based aggregation (hide)'!$A:$A,ROW(A2))</f>
        <v>0</v>
      </c>
      <c r="MK44" s="6">
        <f>SUMIFS('Time based aggregation (hide)'!$J:$J,'Time based aggregation (hide)'!$E:$E,20,'Time based aggregation (hide)'!$F:$F,1,'Time based aggregation (hide)'!$A:$A,ROW(A2))</f>
        <v>0</v>
      </c>
      <c r="ML44" s="6">
        <f>SUMIFS('Time based aggregation (hide)'!$J:$J,'Time based aggregation (hide)'!$E:$E,20,'Time based aggregation (hide)'!$F:$F,2,'Time based aggregation (hide)'!$A:$A,ROW(A2))</f>
        <v>0</v>
      </c>
      <c r="MM44" s="6">
        <f>SUMIFS('Time based aggregation (hide)'!$J:$J,'Time based aggregation (hide)'!$E:$E,20,'Time based aggregation (hide)'!$F:$F,3,'Time based aggregation (hide)'!$A:$A,ROW(A2))</f>
        <v>0</v>
      </c>
      <c r="MN44" s="7">
        <f t="shared" ref="MN44:MN59" ca="1" si="36">IF(OR($J$102=0,AND($J$102=0,$J$103=0)),SUMIFS($KF44:$MM44,$AB$42:$CI$42,MN$42),SUMIFS(OFFSET($KF44,0,($J$102-1)*3,1,3),OFFSET($KF$42,0,($J$102-1)*3,1,3),MN$42))</f>
        <v>0</v>
      </c>
      <c r="MO44" s="7">
        <f t="shared" ca="1" si="32"/>
        <v>0</v>
      </c>
      <c r="MP44" s="7">
        <f t="shared" ca="1" si="32"/>
        <v>0</v>
      </c>
      <c r="MQ44" s="7">
        <f t="shared" ca="1" si="32"/>
        <v>0</v>
      </c>
      <c r="MR44" s="7">
        <f t="shared" ca="1" si="32"/>
        <v>0</v>
      </c>
    </row>
    <row r="45" spans="1:356" x14ac:dyDescent="0.25">
      <c r="A45">
        <f>1</f>
        <v>1</v>
      </c>
      <c r="B45" s="85">
        <f t="shared" ref="B45:B108" si="37">B44+1</f>
        <v>43833</v>
      </c>
      <c r="C45" s="85">
        <f t="shared" si="25"/>
        <v>43829</v>
      </c>
      <c r="D45">
        <f t="shared" ca="1" si="26"/>
        <v>1</v>
      </c>
      <c r="E45" s="85">
        <f t="shared" si="27"/>
        <v>43831</v>
      </c>
      <c r="F45">
        <f t="shared" si="33"/>
        <v>1</v>
      </c>
      <c r="H45">
        <f t="shared" si="34"/>
        <v>3</v>
      </c>
      <c r="I45" s="85">
        <f t="shared" ref="I45:I95" si="38">IF(ISNA(MATCH(I44+7,$C$43:$C$408,0)),"",I44+7)</f>
        <v>43843</v>
      </c>
      <c r="J45">
        <f t="shared" ca="1" si="28"/>
        <v>5</v>
      </c>
      <c r="K45">
        <f t="shared" ca="1" si="29"/>
        <v>1.968503937007874E-2</v>
      </c>
      <c r="L45" s="114"/>
      <c r="N45" s="85">
        <f t="shared" si="35"/>
        <v>43843</v>
      </c>
      <c r="O45" s="122">
        <f t="shared" ca="1" si="30"/>
        <v>1</v>
      </c>
      <c r="P45" s="122">
        <f t="shared" ca="1" si="30"/>
        <v>0</v>
      </c>
      <c r="Q45" s="122">
        <f t="shared" ca="1" si="30"/>
        <v>0</v>
      </c>
      <c r="R45" s="122">
        <f t="shared" ca="1" si="30"/>
        <v>0</v>
      </c>
      <c r="S45" s="122">
        <f t="shared" ca="1" si="30"/>
        <v>0</v>
      </c>
      <c r="T45" s="122">
        <f t="shared" ca="1" si="30"/>
        <v>0</v>
      </c>
      <c r="U45" s="122">
        <f t="shared" ca="1" si="30"/>
        <v>0</v>
      </c>
      <c r="V45" s="122">
        <f t="shared" ca="1" si="30"/>
        <v>0</v>
      </c>
      <c r="W45" s="122">
        <f t="shared" ca="1" si="30"/>
        <v>0</v>
      </c>
      <c r="X45" s="122">
        <f t="shared" ca="1" si="30"/>
        <v>0</v>
      </c>
      <c r="Y45" s="122">
        <f t="shared" ca="1" si="30"/>
        <v>0</v>
      </c>
      <c r="Z45" s="122">
        <f t="shared" ca="1" si="30"/>
        <v>0</v>
      </c>
      <c r="AA45" s="122"/>
      <c r="AB45" s="140">
        <f>INDEX('File 1'!Weekly_Adjusted,3,1)</f>
        <v>388.17143954725253</v>
      </c>
      <c r="AC45" s="140">
        <f>INDEX('File 1'!Weekly_Adjusted,3,2)</f>
        <v>0</v>
      </c>
      <c r="AD45" s="140">
        <f>INDEX('File 1'!Weekly_Adjusted,3,3)</f>
        <v>0</v>
      </c>
      <c r="AE45" s="141">
        <f>INDEX('File 2'!Weekly_Adjusted,3,1)</f>
        <v>0</v>
      </c>
      <c r="AF45" s="141">
        <f>INDEX('File 2'!Weekly_Adjusted,3,2)</f>
        <v>0</v>
      </c>
      <c r="AG45" s="141">
        <f>INDEX('File 2'!Weekly_Adjusted,3,3)</f>
        <v>0</v>
      </c>
      <c r="AH45" s="140">
        <f>INDEX('File 3'!Weekly_Adjusted,3,1)</f>
        <v>0</v>
      </c>
      <c r="AI45" s="140">
        <f>INDEX('File 3'!Weekly_Adjusted,3,2)</f>
        <v>0</v>
      </c>
      <c r="AJ45" s="140">
        <f>INDEX('File 3'!Weekly_Adjusted,3,3)</f>
        <v>0</v>
      </c>
      <c r="AK45" s="141">
        <f>INDEX('File 4'!Weekly_Adjusted,3,1)</f>
        <v>0</v>
      </c>
      <c r="AL45" s="141">
        <f>INDEX('File 4'!Weekly_Adjusted,3,2)</f>
        <v>0</v>
      </c>
      <c r="AM45" s="141">
        <f>INDEX('File 4'!Weekly_Adjusted,3,3)</f>
        <v>0</v>
      </c>
      <c r="AN45" s="140">
        <f>INDEX('File 5'!Weekly_Adjusted,3,1)</f>
        <v>0</v>
      </c>
      <c r="AO45" s="140">
        <f>INDEX('File 5'!Weekly_Adjusted,3,2)</f>
        <v>0</v>
      </c>
      <c r="AP45" s="140">
        <f>INDEX('File 5'!Weekly_Adjusted,3,3)</f>
        <v>0</v>
      </c>
      <c r="AQ45" s="141">
        <f>INDEX('File 6'!Weekly_Adjusted,3,1)</f>
        <v>0</v>
      </c>
      <c r="AR45" s="141">
        <f>INDEX('File 6'!Weekly_Adjusted,3,2)</f>
        <v>0</v>
      </c>
      <c r="AS45" s="141">
        <f>INDEX('File 6'!Weekly_Adjusted,3,3)</f>
        <v>0</v>
      </c>
      <c r="AT45" s="140">
        <f>INDEX('File 7'!Weekly_Adjusted,3,1)</f>
        <v>0</v>
      </c>
      <c r="AU45" s="140">
        <f>INDEX('File 7'!Weekly_Adjusted,3,2)</f>
        <v>0</v>
      </c>
      <c r="AV45" s="140">
        <f>INDEX('File 7'!Weekly_Adjusted,3,3)</f>
        <v>0</v>
      </c>
      <c r="AW45" s="141">
        <f>INDEX('File 8'!Weekly_Adjusted,3,1)</f>
        <v>0</v>
      </c>
      <c r="AX45" s="141">
        <f>INDEX('File 8'!Weekly_Adjusted,3,2)</f>
        <v>0</v>
      </c>
      <c r="AY45" s="141">
        <f>INDEX('File 8'!Weekly_Adjusted,3,3)</f>
        <v>0</v>
      </c>
      <c r="AZ45" s="140">
        <f>INDEX('File 9'!Weekly_Adjusted,3,1)</f>
        <v>0</v>
      </c>
      <c r="BA45" s="140">
        <f>INDEX('File 9'!Weekly_Adjusted,3,2)</f>
        <v>0</v>
      </c>
      <c r="BB45" s="140">
        <f>INDEX('File 9'!Weekly_Adjusted,3,3)</f>
        <v>0</v>
      </c>
      <c r="BC45" s="141">
        <f>INDEX('File 10'!Weekly_Adjusted,3,1)</f>
        <v>0</v>
      </c>
      <c r="BD45" s="141">
        <f>INDEX('File 10'!Weekly_Adjusted,3,2)</f>
        <v>0</v>
      </c>
      <c r="BE45" s="141">
        <f>INDEX('File 10'!Weekly_Adjusted,3,3)</f>
        <v>0</v>
      </c>
      <c r="BF45" s="140">
        <f>INDEX('File 11'!Weekly_Adjusted,3,1)</f>
        <v>0</v>
      </c>
      <c r="BG45" s="140">
        <f>INDEX('File 11'!Weekly_Adjusted,3,2)</f>
        <v>0</v>
      </c>
      <c r="BH45" s="140">
        <f>INDEX('File 11'!Weekly_Adjusted,3,3)</f>
        <v>0</v>
      </c>
      <c r="BI45" s="141">
        <f>INDEX('File 12'!Weekly_Adjusted,3,1)</f>
        <v>0</v>
      </c>
      <c r="BJ45" s="141">
        <f>INDEX('File 12'!Weekly_Adjusted,3,2)</f>
        <v>0</v>
      </c>
      <c r="BK45" s="141">
        <f>INDEX('File 12'!Weekly_Adjusted,3,3)</f>
        <v>0</v>
      </c>
      <c r="BL45" s="140">
        <f>INDEX('File 13'!Weekly_Adjusted,3,1)</f>
        <v>0</v>
      </c>
      <c r="BM45" s="140">
        <f>INDEX('File 13'!Weekly_Adjusted,3,2)</f>
        <v>0</v>
      </c>
      <c r="BN45" s="140">
        <f>INDEX('File 13'!Weekly_Adjusted,3,3)</f>
        <v>0</v>
      </c>
      <c r="BO45" s="141">
        <f>INDEX('File 14'!Weekly_Adjusted,3,1)</f>
        <v>0</v>
      </c>
      <c r="BP45" s="141">
        <f>INDEX('File 14'!Weekly_Adjusted,3,2)</f>
        <v>0</v>
      </c>
      <c r="BQ45" s="141">
        <f>INDEX('File 14'!Weekly_Adjusted,3,3)</f>
        <v>0</v>
      </c>
      <c r="BR45" s="140">
        <f>INDEX('File 15'!Weekly_Adjusted,3,1)</f>
        <v>0</v>
      </c>
      <c r="BS45" s="140">
        <f>INDEX('File 15'!Weekly_Adjusted,3,2)</f>
        <v>0</v>
      </c>
      <c r="BT45" s="140">
        <f>INDEX('File 15'!Weekly_Adjusted,3,3)</f>
        <v>0</v>
      </c>
      <c r="BU45" s="141">
        <f>INDEX('File 16'!Weekly_Adjusted,3,1)</f>
        <v>0</v>
      </c>
      <c r="BV45" s="141">
        <f>INDEX('File 16'!Weekly_Adjusted,3,2)</f>
        <v>0</v>
      </c>
      <c r="BW45" s="141">
        <f>INDEX('File 16'!Weekly_Adjusted,3,3)</f>
        <v>0</v>
      </c>
      <c r="BX45" s="140">
        <f>INDEX('File 17'!Weekly_Adjusted,3,1)</f>
        <v>0</v>
      </c>
      <c r="BY45" s="140">
        <f>INDEX('File 17'!Weekly_Adjusted,3,2)</f>
        <v>0</v>
      </c>
      <c r="BZ45" s="140">
        <f>INDEX('File 17'!Weekly_Adjusted,3,3)</f>
        <v>0</v>
      </c>
      <c r="CA45" s="141">
        <f>INDEX('File 18'!Weekly_Adjusted,3,1)</f>
        <v>0</v>
      </c>
      <c r="CB45" s="141">
        <f>INDEX('File 18'!Weekly_Adjusted,3,2)</f>
        <v>0</v>
      </c>
      <c r="CC45" s="141">
        <f>INDEX('File 18'!Weekly_Adjusted,3,3)</f>
        <v>0</v>
      </c>
      <c r="CD45" s="140">
        <f>INDEX('File 19'!Weekly_Adjusted,3,1)</f>
        <v>0</v>
      </c>
      <c r="CE45" s="140">
        <f>INDEX('File 19'!Weekly_Adjusted,3,2)</f>
        <v>0</v>
      </c>
      <c r="CF45" s="140">
        <f>INDEX('File 19'!Weekly_Adjusted,3,3)</f>
        <v>0</v>
      </c>
      <c r="CG45" s="141">
        <f>INDEX('File 20'!Weekly_Adjusted,3,1)</f>
        <v>0</v>
      </c>
      <c r="CH45" s="141">
        <f>INDEX('File 20'!Weekly_Adjusted,3,2)</f>
        <v>0</v>
      </c>
      <c r="CI45" s="141">
        <f>INDEX('File 20'!Weekly_Adjusted,3,3)</f>
        <v>0</v>
      </c>
      <c r="CJ45" s="6">
        <f ca="1">SUMIFS(INDEX(Demand_Activity_Weekly,ROW(A3),0),Demand_Activity_Weekly_Header,CJ$42)</f>
        <v>388.17143954725253</v>
      </c>
      <c r="CK45" s="6">
        <f ca="1">SUMIFS(INDEX(Demand_Activity_Weekly,ROW(B3),0),Demand_Activity_Weekly_Header,CK$42)</f>
        <v>0</v>
      </c>
      <c r="CL45" s="6">
        <f ca="1">SUMIFS(INDEX(Demand_Activity_Weekly,ROW(C3),0),Demand_Activity_Weekly_Header,CL$42)</f>
        <v>0</v>
      </c>
      <c r="CM45" s="6">
        <f ca="1">SUMIFS(INDEX(Demand_Activity_Weekly,ROW(D3),0),Demand_Activity_Weekly_Header,CM$42)</f>
        <v>0</v>
      </c>
      <c r="CN45" s="6">
        <f ca="1">SUMIFS(INDEX(Demand_Activity_Weekly,ROW(E3),0),Demand_Activity_Weekly_Header,CN$42)</f>
        <v>0</v>
      </c>
      <c r="CP45" s="142">
        <f ca="1">INDEX('File 1'!Weekly_Adjusted,3,10)</f>
        <v>24.919784152855019</v>
      </c>
      <c r="CQ45" s="142">
        <f>INDEX('File 1'!Weekly_Adjusted,3,11)</f>
        <v>0</v>
      </c>
      <c r="CR45" s="142">
        <f>INDEX('File 1'!Weekly_Adjusted,3,12)</f>
        <v>0</v>
      </c>
      <c r="CS45" s="143">
        <f>INDEX('File 2'!Weekly_Adjusted,3,10)</f>
        <v>0</v>
      </c>
      <c r="CT45" s="143">
        <f>INDEX('File 2'!Weekly_Adjusted,3,11)</f>
        <v>0</v>
      </c>
      <c r="CU45" s="143">
        <f>INDEX('File 2'!Weekly_Adjusted,3,12)</f>
        <v>0</v>
      </c>
      <c r="CV45" s="142">
        <f>INDEX('File 3'!Weekly_Adjusted,3,10)</f>
        <v>0</v>
      </c>
      <c r="CW45" s="142">
        <f>INDEX('File 3'!Weekly_Adjusted,3,11)</f>
        <v>0</v>
      </c>
      <c r="CX45" s="142">
        <f>INDEX('File 3'!Weekly_Adjusted,3,12)</f>
        <v>0</v>
      </c>
      <c r="CY45" s="143">
        <f>INDEX('File 4'!Weekly_Adjusted,3,10)</f>
        <v>0</v>
      </c>
      <c r="CZ45" s="143">
        <f>INDEX('File 4'!Weekly_Adjusted,3,11)</f>
        <v>0</v>
      </c>
      <c r="DA45" s="143">
        <f>INDEX('File 4'!Weekly_Adjusted,3,12)</f>
        <v>0</v>
      </c>
      <c r="DB45" s="142">
        <f>INDEX('File 5'!Weekly_Adjusted,3,10)</f>
        <v>0</v>
      </c>
      <c r="DC45" s="142">
        <f>INDEX('File 5'!Weekly_Adjusted,3,11)</f>
        <v>0</v>
      </c>
      <c r="DD45" s="142">
        <f>INDEX('File 5'!Weekly_Adjusted,3,12)</f>
        <v>0</v>
      </c>
      <c r="DE45" s="143">
        <f>INDEX('File 6'!Weekly_Adjusted,3,10)</f>
        <v>0</v>
      </c>
      <c r="DF45" s="143">
        <f>INDEX('File 6'!Weekly_Adjusted,3,11)</f>
        <v>0</v>
      </c>
      <c r="DG45" s="143">
        <f>INDEX('File 6'!Weekly_Adjusted,3,12)</f>
        <v>0</v>
      </c>
      <c r="DH45" s="142">
        <f>INDEX('File 7'!Weekly_Adjusted,3,10)</f>
        <v>0</v>
      </c>
      <c r="DI45" s="142">
        <f>INDEX('File 7'!Weekly_Adjusted,3,11)</f>
        <v>0</v>
      </c>
      <c r="DJ45" s="142">
        <f>INDEX('File 7'!Weekly_Adjusted,3,12)</f>
        <v>0</v>
      </c>
      <c r="DK45" s="143">
        <f>INDEX('File 8'!Weekly_Adjusted,3,10)</f>
        <v>0</v>
      </c>
      <c r="DL45" s="143">
        <f>INDEX('File 8'!Weekly_Adjusted,3,11)</f>
        <v>0</v>
      </c>
      <c r="DM45" s="143">
        <f>INDEX('File 8'!Weekly_Adjusted,3,12)</f>
        <v>0</v>
      </c>
      <c r="DN45" s="142">
        <f>INDEX('File 9'!Weekly_Adjusted,3,10)</f>
        <v>0</v>
      </c>
      <c r="DO45" s="142">
        <f>INDEX('File 9'!Weekly_Adjusted,3,11)</f>
        <v>0</v>
      </c>
      <c r="DP45" s="142">
        <f>INDEX('File 9'!Weekly_Adjusted,3,12)</f>
        <v>0</v>
      </c>
      <c r="DQ45" s="143">
        <f>INDEX('File 10'!Weekly_Adjusted,3,10)</f>
        <v>0</v>
      </c>
      <c r="DR45" s="143">
        <f>INDEX('File 10'!Weekly_Adjusted,3,11)</f>
        <v>0</v>
      </c>
      <c r="DS45" s="143">
        <f>INDEX('File 10'!Weekly_Adjusted,3,12)</f>
        <v>0</v>
      </c>
      <c r="DT45" s="142">
        <f>INDEX('File 11'!Weekly_Adjusted,3,10)</f>
        <v>0</v>
      </c>
      <c r="DU45" s="142">
        <f>INDEX('File 11'!Weekly_Adjusted,3,11)</f>
        <v>0</v>
      </c>
      <c r="DV45" s="142">
        <f>INDEX('File 11'!Weekly_Adjusted,3,12)</f>
        <v>0</v>
      </c>
      <c r="DW45" s="143">
        <f>INDEX('File 12'!Weekly_Adjusted,3,10)</f>
        <v>0</v>
      </c>
      <c r="DX45" s="143">
        <f>INDEX('File 12'!Weekly_Adjusted,3,11)</f>
        <v>0</v>
      </c>
      <c r="DY45" s="143">
        <f>INDEX('File 12'!Weekly_Adjusted,3,12)</f>
        <v>0</v>
      </c>
      <c r="DZ45" s="142">
        <f>INDEX('File 13'!Weekly_Adjusted,3,10)</f>
        <v>0</v>
      </c>
      <c r="EA45" s="142">
        <f>INDEX('File 13'!Weekly_Adjusted,3,11)</f>
        <v>0</v>
      </c>
      <c r="EB45" s="142">
        <f>INDEX('File 13'!Weekly_Adjusted,3,12)</f>
        <v>0</v>
      </c>
      <c r="EC45" s="143">
        <f>INDEX('File 14'!Weekly_Adjusted,3,10)</f>
        <v>0</v>
      </c>
      <c r="ED45" s="143">
        <f>INDEX('File 14'!Weekly_Adjusted,3,11)</f>
        <v>0</v>
      </c>
      <c r="EE45" s="143">
        <f>INDEX('File 14'!Weekly_Adjusted,3,12)</f>
        <v>0</v>
      </c>
      <c r="EF45" s="142">
        <f>INDEX('File 15'!Weekly_Adjusted,3,10)</f>
        <v>0</v>
      </c>
      <c r="EG45" s="142">
        <f>INDEX('File 15'!Weekly_Adjusted,3,11)</f>
        <v>0</v>
      </c>
      <c r="EH45" s="142">
        <f>INDEX('File 15'!Weekly_Adjusted,3,12)</f>
        <v>0</v>
      </c>
      <c r="EI45" s="143">
        <f>INDEX('File 16'!Weekly_Adjusted,3,10)</f>
        <v>0</v>
      </c>
      <c r="EJ45" s="143">
        <f>INDEX('File 16'!Weekly_Adjusted,3,11)</f>
        <v>0</v>
      </c>
      <c r="EK45" s="143">
        <f>INDEX('File 16'!Weekly_Adjusted,3,12)</f>
        <v>0</v>
      </c>
      <c r="EL45" s="142">
        <f>INDEX('File 17'!Weekly_Adjusted,3,10)</f>
        <v>0</v>
      </c>
      <c r="EM45" s="142">
        <f>INDEX('File 17'!Weekly_Adjusted,3,11)</f>
        <v>0</v>
      </c>
      <c r="EN45" s="142">
        <f>INDEX('File 17'!Weekly_Adjusted,3,12)</f>
        <v>0</v>
      </c>
      <c r="EO45" s="143">
        <f>INDEX('File 18'!Weekly_Adjusted,3,10)</f>
        <v>0</v>
      </c>
      <c r="EP45" s="143">
        <f>INDEX('File 18'!Weekly_Adjusted,3,11)</f>
        <v>0</v>
      </c>
      <c r="EQ45" s="143">
        <f>INDEX('File 18'!Weekly_Adjusted,3,12)</f>
        <v>0</v>
      </c>
      <c r="ER45" s="142">
        <f>INDEX('File 19'!Weekly_Adjusted,3,10)</f>
        <v>0</v>
      </c>
      <c r="ES45" s="142">
        <f>INDEX('File 19'!Weekly_Adjusted,3,11)</f>
        <v>0</v>
      </c>
      <c r="ET45" s="142">
        <f>INDEX('File 19'!Weekly_Adjusted,3,12)</f>
        <v>0</v>
      </c>
      <c r="EU45" s="143">
        <f>INDEX('File 20'!Weekly_Adjusted,3,10)</f>
        <v>0</v>
      </c>
      <c r="EV45" s="143">
        <f>INDEX('File 20'!Weekly_Adjusted,3,11)</f>
        <v>0</v>
      </c>
      <c r="EW45" s="143">
        <f>INDEX('File 20'!Weekly_Adjusted,3,12)</f>
        <v>0</v>
      </c>
      <c r="EX45" s="6">
        <f ca="1">SUMIFS(INDEX(Capacity_Activity_Weekly,ROW(A3),0),Demand_Activity_Weekly_Header,CJ$42)</f>
        <v>24.919784152855019</v>
      </c>
      <c r="EY45" s="6">
        <f ca="1">SUMIFS(INDEX(Capacity_Activity_Weekly,ROW(B3),0),Demand_Activity_Weekly_Header,CK$42)</f>
        <v>0</v>
      </c>
      <c r="EZ45" s="6">
        <f ca="1">SUMIFS(INDEX(Capacity_Activity_Weekly,ROW(C3),0),Demand_Activity_Weekly_Header,CL$42)</f>
        <v>0</v>
      </c>
      <c r="FA45" s="6">
        <f ca="1">SUMIFS(INDEX(Capacity_Activity_Weekly,ROW(D3),0),Demand_Activity_Weekly_Header,CM$42)</f>
        <v>0</v>
      </c>
      <c r="FB45" s="6">
        <f ca="1">SUMIFS(INDEX(Capacity_Activity_Weekly,ROW(E3),0),Demand_Activity_Weekly_Header,CN$42)</f>
        <v>0</v>
      </c>
      <c r="FD45" s="7">
        <f>'File 1'!$Q$54*'Time based aggregation (hide)'!$Q7</f>
        <v>0</v>
      </c>
      <c r="FE45" s="7">
        <f>'File 1'!$R$54*'Time based aggregation (hide)'!$R7</f>
        <v>0</v>
      </c>
      <c r="FF45" s="7">
        <f>'File 1'!$S$54*'Time based aggregation (hide)'!$S7</f>
        <v>0</v>
      </c>
      <c r="FG45" s="7">
        <f>'File 2'!$Q$54*'Time based aggregation (hide)'!$T7</f>
        <v>0</v>
      </c>
      <c r="FH45" s="7">
        <f>'File 2'!$R$54*'Time based aggregation (hide)'!$U7</f>
        <v>0</v>
      </c>
      <c r="FI45" s="7">
        <f>'File 2'!$S$54*'Time based aggregation (hide)'!$V7</f>
        <v>0</v>
      </c>
      <c r="FJ45" s="7">
        <f>'File 3'!$Q$54*'Time based aggregation (hide)'!$W7</f>
        <v>0</v>
      </c>
      <c r="FK45" s="7">
        <f>'File 3'!$R$54*'Time based aggregation (hide)'!$X7</f>
        <v>0</v>
      </c>
      <c r="FL45" s="7">
        <f>'File 3'!$S$54*'Time based aggregation (hide)'!$Y7</f>
        <v>0</v>
      </c>
      <c r="FM45" s="7">
        <f>'File 4'!$Q$54*'Time based aggregation (hide)'!$Z7</f>
        <v>0</v>
      </c>
      <c r="FN45" s="7">
        <f>'File 4'!$R$54*'Time based aggregation (hide)'!$AA7</f>
        <v>0</v>
      </c>
      <c r="FO45" s="7">
        <f>'File 4'!$S$54*'Time based aggregation (hide)'!$AB7</f>
        <v>0</v>
      </c>
      <c r="FP45" s="7">
        <f>'File 5'!$Q$54*'Time based aggregation (hide)'!$AC7</f>
        <v>0</v>
      </c>
      <c r="FQ45" s="7">
        <f>'File 5'!$R$54*'Time based aggregation (hide)'!$AD7</f>
        <v>0</v>
      </c>
      <c r="FR45" s="7">
        <f>'File 5'!$S$54*'Time based aggregation (hide)'!$AE7</f>
        <v>0</v>
      </c>
      <c r="FS45" s="7">
        <f>'File 6'!$Q$54*'Time based aggregation (hide)'!$AF7</f>
        <v>0</v>
      </c>
      <c r="FT45" s="7">
        <f>'File 6'!$R$54*'Time based aggregation (hide)'!$AG7</f>
        <v>0</v>
      </c>
      <c r="FU45" s="7">
        <f>'File 6'!$S$54*'Time based aggregation (hide)'!$AH7</f>
        <v>0</v>
      </c>
      <c r="FV45" s="7">
        <f>'File 7'!$Q$54*'Time based aggregation (hide)'!$AI7</f>
        <v>0</v>
      </c>
      <c r="FW45" s="7">
        <f>'File 7'!$R$54*'Time based aggregation (hide)'!$AJ7</f>
        <v>0</v>
      </c>
      <c r="FX45" s="7">
        <f>'File 7'!$S$54*'Time based aggregation (hide)'!$AK7</f>
        <v>0</v>
      </c>
      <c r="FY45" s="7">
        <f>'File 8'!$Q$54*'Time based aggregation (hide)'!$AL7</f>
        <v>0</v>
      </c>
      <c r="FZ45" s="7">
        <f>'File 8'!$R$54*'Time based aggregation (hide)'!$AM7</f>
        <v>0</v>
      </c>
      <c r="GA45" s="7">
        <f>'File 8'!$S$54*'Time based aggregation (hide)'!$AN7</f>
        <v>0</v>
      </c>
      <c r="GB45" s="7">
        <f>'File 9'!$Q$54*'Time based aggregation (hide)'!$AO7</f>
        <v>0</v>
      </c>
      <c r="GC45" s="7">
        <f>'File 9'!$R$54*'Time based aggregation (hide)'!$AP7</f>
        <v>0</v>
      </c>
      <c r="GD45" s="7">
        <f>'File 9'!$S$54*'Time based aggregation (hide)'!$AQ7</f>
        <v>0</v>
      </c>
      <c r="GE45" s="7">
        <f>'File 10'!$Q$54*'Time based aggregation (hide)'!$AR7</f>
        <v>0</v>
      </c>
      <c r="GF45" s="7">
        <f>'File 10'!$R$54*'Time based aggregation (hide)'!$AS7</f>
        <v>0</v>
      </c>
      <c r="GG45" s="7">
        <f>'File 10'!$S$54*'Time based aggregation (hide)'!$AT7</f>
        <v>0</v>
      </c>
      <c r="GH45" s="7">
        <f>'File 11'!$Q$54*'Time based aggregation (hide)'!$AU7</f>
        <v>0</v>
      </c>
      <c r="GI45" s="7">
        <f>'File 11'!$R$54*'Time based aggregation (hide)'!$AV7</f>
        <v>0</v>
      </c>
      <c r="GJ45" s="7">
        <f>'File 11'!$S$54*'Time based aggregation (hide)'!$AW7</f>
        <v>0</v>
      </c>
      <c r="GK45" s="7">
        <f>'File 12'!$Q$54*'Time based aggregation (hide)'!$AX7</f>
        <v>0</v>
      </c>
      <c r="GL45" s="7">
        <f>'File 12'!$R$54*'Time based aggregation (hide)'!$AY7</f>
        <v>0</v>
      </c>
      <c r="GM45" s="7">
        <f>'File 12'!$S$54*'Time based aggregation (hide)'!$AZ7</f>
        <v>0</v>
      </c>
      <c r="GN45" s="7">
        <f>'File 13'!$Q$54*'Time based aggregation (hide)'!$BA7</f>
        <v>0</v>
      </c>
      <c r="GO45" s="7">
        <f>'File 13'!$R$54*'Time based aggregation (hide)'!$BB7</f>
        <v>0</v>
      </c>
      <c r="GP45" s="7">
        <f>'File 13'!$S$54*'Time based aggregation (hide)'!$BC7</f>
        <v>0</v>
      </c>
      <c r="GQ45" s="7">
        <f>'File 14'!$Q$54*'Time based aggregation (hide)'!$BD7</f>
        <v>0</v>
      </c>
      <c r="GR45" s="7">
        <f>'File 14'!$R$54*'Time based aggregation (hide)'!$BE7</f>
        <v>0</v>
      </c>
      <c r="GS45" s="7">
        <f>'File 14'!$S$54*'Time based aggregation (hide)'!$BF7</f>
        <v>0</v>
      </c>
      <c r="GT45" s="7">
        <f>'File 15'!$Q$54*'Time based aggregation (hide)'!$BG7</f>
        <v>0</v>
      </c>
      <c r="GU45" s="7">
        <f>'File 15'!$R$54*'Time based aggregation (hide)'!$BH7</f>
        <v>0</v>
      </c>
      <c r="GV45" s="7">
        <f>'File 15'!$S$54*'Time based aggregation (hide)'!$BI7</f>
        <v>0</v>
      </c>
      <c r="GW45" s="7">
        <f>'File 16'!$Q$54*'Time based aggregation (hide)'!$BJ7</f>
        <v>0</v>
      </c>
      <c r="GX45" s="7">
        <f>'File 16'!$R$54*'Time based aggregation (hide)'!$BK7</f>
        <v>0</v>
      </c>
      <c r="GY45" s="7">
        <f>'File 16'!$S$54*'Time based aggregation (hide)'!$BL7</f>
        <v>0</v>
      </c>
      <c r="GZ45" s="7">
        <f>'File 17'!$Q$54*'Time based aggregation (hide)'!$BM7</f>
        <v>0</v>
      </c>
      <c r="HA45" s="7">
        <f>'File 17'!$R$54*'Time based aggregation (hide)'!$BN7</f>
        <v>0</v>
      </c>
      <c r="HB45" s="7">
        <f>'File 17'!$S$54*'Time based aggregation (hide)'!$BO7</f>
        <v>0</v>
      </c>
      <c r="HC45" s="7">
        <f>'File 18'!$Q$54*'Time based aggregation (hide)'!$BP7</f>
        <v>0</v>
      </c>
      <c r="HD45" s="7">
        <f>'File 18'!$R$54*'Time based aggregation (hide)'!$BQ7</f>
        <v>0</v>
      </c>
      <c r="HE45" s="7">
        <f>'File 18'!$S$54*'Time based aggregation (hide)'!$BR7</f>
        <v>0</v>
      </c>
      <c r="HF45" s="7">
        <f>'File 19'!$Q$54*'Time based aggregation (hide)'!$BS7</f>
        <v>0</v>
      </c>
      <c r="HG45" s="7">
        <f>'File 19'!$R$54*'Time based aggregation (hide)'!$BT7</f>
        <v>0</v>
      </c>
      <c r="HH45" s="7">
        <f>'File 19'!$S$54*'Time based aggregation (hide)'!$BU7</f>
        <v>0</v>
      </c>
      <c r="HI45" s="7">
        <f>'File 20'!$Q$54*'Time based aggregation (hide)'!$BV7</f>
        <v>0</v>
      </c>
      <c r="HJ45" s="7">
        <f>'File 20'!$R$54*'Time based aggregation (hide)'!$BW7</f>
        <v>0</v>
      </c>
      <c r="HK45" s="7">
        <f>'File 20'!$S$54*'Time based aggregation (hide)'!$BX7</f>
        <v>0</v>
      </c>
      <c r="HL45" s="7">
        <f t="shared" ca="1" si="31"/>
        <v>0</v>
      </c>
      <c r="HM45" s="7">
        <f t="shared" ca="1" si="31"/>
        <v>0</v>
      </c>
      <c r="HN45" s="7">
        <f t="shared" ca="1" si="31"/>
        <v>0</v>
      </c>
      <c r="HO45" s="7">
        <f t="shared" ca="1" si="31"/>
        <v>0</v>
      </c>
      <c r="HP45" s="7">
        <f t="shared" ca="1" si="31"/>
        <v>0</v>
      </c>
      <c r="HR45" s="142">
        <f ca="1">INDEX('File 1'!Weekly_Adjusted,3,16)</f>
        <v>21.427839876658773</v>
      </c>
      <c r="HS45" s="142">
        <f>INDEX('File 1'!Weekly_Adjusted,3,17)</f>
        <v>0</v>
      </c>
      <c r="HT45" s="142">
        <f>INDEX('File 1'!Weekly_Adjusted,3,18)</f>
        <v>0</v>
      </c>
      <c r="HU45" s="143">
        <f>INDEX('File 2'!Weekly_Adjusted,3,16)</f>
        <v>0</v>
      </c>
      <c r="HV45" s="143">
        <f>INDEX('File 2'!Weekly_Adjusted,3,17)</f>
        <v>0</v>
      </c>
      <c r="HW45" s="143">
        <f>INDEX('File 2'!Weekly_Adjusted,3,18)</f>
        <v>0</v>
      </c>
      <c r="HX45" s="142">
        <f>INDEX('File 3'!Weekly_Adjusted,3,16)</f>
        <v>0</v>
      </c>
      <c r="HY45" s="142">
        <f>INDEX('File 3'!Weekly_Adjusted,3,17)</f>
        <v>0</v>
      </c>
      <c r="HZ45" s="142">
        <f>INDEX('File 3'!Weekly_Adjusted,3,18)</f>
        <v>0</v>
      </c>
      <c r="IA45" s="143">
        <f>INDEX('File 4'!Weekly_Adjusted,3,16)</f>
        <v>0</v>
      </c>
      <c r="IB45" s="143">
        <f>INDEX('File 4'!Weekly_Adjusted,3,17)</f>
        <v>0</v>
      </c>
      <c r="IC45" s="143">
        <f>INDEX('File 4'!Weekly_Adjusted,3,18)</f>
        <v>0</v>
      </c>
      <c r="ID45" s="142">
        <f>INDEX('File 5'!Weekly_Adjusted,3,16)</f>
        <v>0</v>
      </c>
      <c r="IE45" s="142">
        <f>INDEX('File 5'!Weekly_Adjusted,3,17)</f>
        <v>0</v>
      </c>
      <c r="IF45" s="142">
        <f>INDEX('File 5'!Weekly_Adjusted,3,18)</f>
        <v>0</v>
      </c>
      <c r="IG45" s="143">
        <f>INDEX('File 6'!Weekly_Adjusted,3,16)</f>
        <v>0</v>
      </c>
      <c r="IH45" s="143">
        <f>INDEX('File 6'!Weekly_Adjusted,3,17)</f>
        <v>0</v>
      </c>
      <c r="II45" s="143">
        <f>INDEX('File 6'!Weekly_Adjusted,3,18)</f>
        <v>0</v>
      </c>
      <c r="IJ45" s="142">
        <f>INDEX('File 7'!Weekly_Adjusted,3,16)</f>
        <v>0</v>
      </c>
      <c r="IK45" s="142">
        <f>INDEX('File 7'!Weekly_Adjusted,3,17)</f>
        <v>0</v>
      </c>
      <c r="IL45" s="142">
        <f>INDEX('File 7'!Weekly_Adjusted,3,18)</f>
        <v>0</v>
      </c>
      <c r="IM45" s="143">
        <f>INDEX('File 8'!Weekly_Adjusted,3,16)</f>
        <v>0</v>
      </c>
      <c r="IN45" s="143">
        <f>INDEX('File 8'!Weekly_Adjusted,3,17)</f>
        <v>0</v>
      </c>
      <c r="IO45" s="143">
        <f>INDEX('File 8'!Weekly_Adjusted,3,18)</f>
        <v>0</v>
      </c>
      <c r="IP45" s="142">
        <f>INDEX('File 9'!Weekly_Adjusted,3,16)</f>
        <v>0</v>
      </c>
      <c r="IQ45" s="142">
        <f>INDEX('File 9'!Weekly_Adjusted,3,17)</f>
        <v>0</v>
      </c>
      <c r="IR45" s="142">
        <f>INDEX('File 9'!Weekly_Adjusted,3,18)</f>
        <v>0</v>
      </c>
      <c r="IS45" s="143">
        <f>INDEX('File 10'!Weekly_Adjusted,3,16)</f>
        <v>0</v>
      </c>
      <c r="IT45" s="143">
        <f>INDEX('File 10'!Weekly_Adjusted,3,17)</f>
        <v>0</v>
      </c>
      <c r="IU45" s="143">
        <f>INDEX('File 10'!Weekly_Adjusted,3,18)</f>
        <v>0</v>
      </c>
      <c r="IV45" s="142">
        <f>INDEX('File 11'!Weekly_Adjusted,3,16)</f>
        <v>0</v>
      </c>
      <c r="IW45" s="142">
        <f>INDEX('File 11'!Weekly_Adjusted,3,17)</f>
        <v>0</v>
      </c>
      <c r="IX45" s="142">
        <f>INDEX('File 11'!Weekly_Adjusted,3,18)</f>
        <v>0</v>
      </c>
      <c r="IY45" s="143">
        <f>INDEX('File 12'!Weekly_Adjusted,3,16)</f>
        <v>0</v>
      </c>
      <c r="IZ45" s="143">
        <f>INDEX('File 12'!Weekly_Adjusted,3,17)</f>
        <v>0</v>
      </c>
      <c r="JA45" s="143">
        <f>INDEX('File 12'!Weekly_Adjusted,3,18)</f>
        <v>0</v>
      </c>
      <c r="JB45" s="142">
        <f>INDEX('File 13'!Weekly_Adjusted,3,16)</f>
        <v>0</v>
      </c>
      <c r="JC45" s="142">
        <f>INDEX('File 13'!Weekly_Adjusted,3,17)</f>
        <v>0</v>
      </c>
      <c r="JD45" s="142">
        <f>INDEX('File 13'!Weekly_Adjusted,3,18)</f>
        <v>0</v>
      </c>
      <c r="JE45" s="143">
        <f>INDEX('File 14'!Weekly_Adjusted,3,16)</f>
        <v>0</v>
      </c>
      <c r="JF45" s="143">
        <f>INDEX('File 14'!Weekly_Adjusted,3,17)</f>
        <v>0</v>
      </c>
      <c r="JG45" s="143">
        <f>INDEX('File 14'!Weekly_Adjusted,3,18)</f>
        <v>0</v>
      </c>
      <c r="JH45" s="142">
        <f>INDEX('File 15'!Weekly_Adjusted,3,16)</f>
        <v>0</v>
      </c>
      <c r="JI45" s="142">
        <f>INDEX('File 15'!Weekly_Adjusted,3,17)</f>
        <v>0</v>
      </c>
      <c r="JJ45" s="142">
        <f>INDEX('File 15'!Weekly_Adjusted,3,18)</f>
        <v>0</v>
      </c>
      <c r="JK45" s="143">
        <f>INDEX('File 16'!Weekly_Adjusted,3,16)</f>
        <v>0</v>
      </c>
      <c r="JL45" s="143">
        <f>INDEX('File 16'!Weekly_Adjusted,3,17)</f>
        <v>0</v>
      </c>
      <c r="JM45" s="143">
        <f>INDEX('File 16'!Weekly_Adjusted,3,18)</f>
        <v>0</v>
      </c>
      <c r="JN45" s="142">
        <f>INDEX('File 17'!Weekly_Adjusted,3,16)</f>
        <v>0</v>
      </c>
      <c r="JO45" s="142">
        <f>INDEX('File 17'!Weekly_Adjusted,3,17)</f>
        <v>0</v>
      </c>
      <c r="JP45" s="142">
        <f>INDEX('File 17'!Weekly_Adjusted,3,18)</f>
        <v>0</v>
      </c>
      <c r="JQ45" s="143">
        <f>INDEX('File 18'!Weekly_Adjusted,3,16)</f>
        <v>0</v>
      </c>
      <c r="JR45" s="143">
        <f>INDEX('File 18'!Weekly_Adjusted,3,17)</f>
        <v>0</v>
      </c>
      <c r="JS45" s="143">
        <f>INDEX('File 18'!Weekly_Adjusted,3,18)</f>
        <v>0</v>
      </c>
      <c r="JT45" s="142">
        <f>INDEX('File 19'!Weekly_Adjusted,3,16)</f>
        <v>0</v>
      </c>
      <c r="JU45" s="142">
        <f>INDEX('File 19'!Weekly_Adjusted,3,17)</f>
        <v>0</v>
      </c>
      <c r="JV45" s="142">
        <f>INDEX('File 19'!Weekly_Adjusted,3,18)</f>
        <v>0</v>
      </c>
      <c r="JW45" s="143">
        <f>INDEX('File 20'!Weekly_Adjusted,3,16)</f>
        <v>0</v>
      </c>
      <c r="JX45" s="143">
        <f>INDEX('File 20'!Weekly_Adjusted,3,17)</f>
        <v>0</v>
      </c>
      <c r="JY45" s="143">
        <f>INDEX('File 20'!Weekly_Adjusted,3,18)</f>
        <v>0</v>
      </c>
      <c r="JZ45" s="6">
        <f ca="1">SUMIFS(INDEX(CapacityCore_Activity_Weekly,ROW(EC3),0),Demand_Activity_Weekly_Header,HL$42)</f>
        <v>21.427839876658773</v>
      </c>
      <c r="KA45" s="6">
        <f ca="1">SUMIFS(INDEX(CapacityCore_Activity_Weekly,ROW(ED3),0),Demand_Activity_Weekly_Header,HM$42)</f>
        <v>0</v>
      </c>
      <c r="KB45" s="6">
        <f ca="1">SUMIFS(INDEX(CapacityCore_Activity_Weekly,ROW(EE3),0),Demand_Activity_Weekly_Header,HN$42)</f>
        <v>0</v>
      </c>
      <c r="KC45" s="6">
        <f ca="1">SUMIFS(INDEX(CapacityCore_Activity_Weekly,ROW(EF3),0),Demand_Activity_Weekly_Header,HO$42)</f>
        <v>0</v>
      </c>
      <c r="KD45" s="6">
        <f ca="1">SUMIFS(INDEX(CapacityCore_Activity_Weekly,ROW(EG3),0),Demand_Activity_Weekly_Header,HP$42)</f>
        <v>0</v>
      </c>
      <c r="KF45" s="6">
        <f>SUMIFS('Time based aggregation (hide)'!$J:$J,'Time based aggregation (hide)'!$E:$E,1,'Time based aggregation (hide)'!$F:$F,1,'Time based aggregation (hide)'!$A:$A,ROW(A3))</f>
        <v>0</v>
      </c>
      <c r="KG45" s="6">
        <f>SUMIFS('Time based aggregation (hide)'!$J:$J,'Time based aggregation (hide)'!$E:$E,1,'Time based aggregation (hide)'!$F:$F,2,'Time based aggregation (hide)'!$A:$A,ROW(A3))</f>
        <v>0</v>
      </c>
      <c r="KH45" s="6">
        <f>SUMIFS('Time based aggregation (hide)'!$J:$J,'Time based aggregation (hide)'!$E:$E,1,'Time based aggregation (hide)'!$F:$F,3,'Time based aggregation (hide)'!$A:$A,ROW(A3))</f>
        <v>0</v>
      </c>
      <c r="KI45" s="6">
        <f>SUMIFS('Time based aggregation (hide)'!$J:$J,'Time based aggregation (hide)'!$E:$E,2,'Time based aggregation (hide)'!$F:$F,1,'Time based aggregation (hide)'!$A:$A,ROW(A3))</f>
        <v>0</v>
      </c>
      <c r="KJ45" s="6">
        <f>SUMIFS('Time based aggregation (hide)'!$J:$J,'Time based aggregation (hide)'!$E:$E,2,'Time based aggregation (hide)'!$F:$F,2,'Time based aggregation (hide)'!$A:$A,ROW(A3))</f>
        <v>0</v>
      </c>
      <c r="KK45" s="6">
        <f>SUMIFS('Time based aggregation (hide)'!$J:$J,'Time based aggregation (hide)'!$E:$E,2,'Time based aggregation (hide)'!$F:$F,3,'Time based aggregation (hide)'!$A:$A,ROW(A3))</f>
        <v>0</v>
      </c>
      <c r="KL45" s="6">
        <f>SUMIFS('Time based aggregation (hide)'!$J:$J,'Time based aggregation (hide)'!$E:$E,3,'Time based aggregation (hide)'!$F:$F,1,'Time based aggregation (hide)'!$A:$A,ROW(A3))</f>
        <v>0</v>
      </c>
      <c r="KM45" s="6">
        <f>SUMIFS('Time based aggregation (hide)'!$J:$J,'Time based aggregation (hide)'!$E:$E,3,'Time based aggregation (hide)'!$F:$F,2,'Time based aggregation (hide)'!$A:$A,ROW(A3))</f>
        <v>0</v>
      </c>
      <c r="KN45" s="6">
        <f>SUMIFS('Time based aggregation (hide)'!$J:$J,'Time based aggregation (hide)'!$E:$E,3,'Time based aggregation (hide)'!$F:$F,3,'Time based aggregation (hide)'!$A:$A,ROW(A3))</f>
        <v>0</v>
      </c>
      <c r="KO45" s="6">
        <f>SUMIFS('Time based aggregation (hide)'!$J:$J,'Time based aggregation (hide)'!$E:$E,4,'Time based aggregation (hide)'!$F:$F,1,'Time based aggregation (hide)'!$A:$A,ROW(A3))</f>
        <v>0</v>
      </c>
      <c r="KP45" s="6">
        <f>SUMIFS('Time based aggregation (hide)'!$J:$J,'Time based aggregation (hide)'!$E:$E,4,'Time based aggregation (hide)'!$F:$F,2,'Time based aggregation (hide)'!$A:$A,ROW(A3))</f>
        <v>0</v>
      </c>
      <c r="KQ45" s="6">
        <f>SUMIFS('Time based aggregation (hide)'!$J:$J,'Time based aggregation (hide)'!$E:$E,4,'Time based aggregation (hide)'!$F:$F,3,'Time based aggregation (hide)'!$A:$A,ROW(A3))</f>
        <v>0</v>
      </c>
      <c r="KR45" s="6">
        <f>SUMIFS('Time based aggregation (hide)'!$J:$J,'Time based aggregation (hide)'!$E:$E,5,'Time based aggregation (hide)'!$F:$F,1,'Time based aggregation (hide)'!$A:$A,ROW(A3))</f>
        <v>0</v>
      </c>
      <c r="KS45" s="6">
        <f>SUMIFS('Time based aggregation (hide)'!$J:$J,'Time based aggregation (hide)'!$E:$E,5,'Time based aggregation (hide)'!$F:$F,2,'Time based aggregation (hide)'!$A:$A,ROW(A3))</f>
        <v>0</v>
      </c>
      <c r="KT45" s="6">
        <f>SUMIFS('Time based aggregation (hide)'!$J:$J,'Time based aggregation (hide)'!$E:$E,5,'Time based aggregation (hide)'!$F:$F,3,'Time based aggregation (hide)'!$A:$A,ROW(A3))</f>
        <v>0</v>
      </c>
      <c r="KU45" s="6">
        <f>SUMIFS('Time based aggregation (hide)'!$J:$J,'Time based aggregation (hide)'!$E:$E,6,'Time based aggregation (hide)'!$F:$F,1,'Time based aggregation (hide)'!$A:$A,ROW(A3))</f>
        <v>0</v>
      </c>
      <c r="KV45" s="6">
        <f>SUMIFS('Time based aggregation (hide)'!$J:$J,'Time based aggregation (hide)'!$E:$E,6,'Time based aggregation (hide)'!$F:$F,2,'Time based aggregation (hide)'!$A:$A,ROW(A3))</f>
        <v>0</v>
      </c>
      <c r="KW45" s="6">
        <f>SUMIFS('Time based aggregation (hide)'!$J:$J,'Time based aggregation (hide)'!$E:$E,6,'Time based aggregation (hide)'!$F:$F,3,'Time based aggregation (hide)'!$A:$A,ROW(A3))</f>
        <v>0</v>
      </c>
      <c r="KX45" s="6">
        <f>SUMIFS('Time based aggregation (hide)'!$J:$J,'Time based aggregation (hide)'!$E:$E,7,'Time based aggregation (hide)'!$F:$F,1,'Time based aggregation (hide)'!$A:$A,ROW(A3))</f>
        <v>0</v>
      </c>
      <c r="KY45" s="6">
        <f>SUMIFS('Time based aggregation (hide)'!$J:$J,'Time based aggregation (hide)'!$E:$E,7,'Time based aggregation (hide)'!$F:$F,2,'Time based aggregation (hide)'!$A:$A,ROW(A3))</f>
        <v>0</v>
      </c>
      <c r="KZ45" s="6">
        <f>SUMIFS('Time based aggregation (hide)'!$J:$J,'Time based aggregation (hide)'!$E:$E,7,'Time based aggregation (hide)'!$F:$F,3,'Time based aggregation (hide)'!$A:$A,ROW(A3))</f>
        <v>0</v>
      </c>
      <c r="LA45" s="6">
        <f>SUMIFS('Time based aggregation (hide)'!$J:$J,'Time based aggregation (hide)'!$E:$E,8,'Time based aggregation (hide)'!$F:$F,1,'Time based aggregation (hide)'!$A:$A,ROW(A3))</f>
        <v>0</v>
      </c>
      <c r="LB45" s="6">
        <f>SUMIFS('Time based aggregation (hide)'!$J:$J,'Time based aggregation (hide)'!$E:$E,8,'Time based aggregation (hide)'!$F:$F,2,'Time based aggregation (hide)'!$A:$A,ROW(A3))</f>
        <v>0</v>
      </c>
      <c r="LC45" s="6">
        <f>SUMIFS('Time based aggregation (hide)'!$J:$J,'Time based aggregation (hide)'!$E:$E,8,'Time based aggregation (hide)'!$F:$F,3,'Time based aggregation (hide)'!$A:$A,ROW(A3))</f>
        <v>0</v>
      </c>
      <c r="LD45" s="6">
        <f>SUMIFS('Time based aggregation (hide)'!$J:$J,'Time based aggregation (hide)'!$E:$E,9,'Time based aggregation (hide)'!$F:$F,1,'Time based aggregation (hide)'!$A:$A,ROW(A3))</f>
        <v>0</v>
      </c>
      <c r="LE45" s="6">
        <f>SUMIFS('Time based aggregation (hide)'!$J:$J,'Time based aggregation (hide)'!$E:$E,9,'Time based aggregation (hide)'!$F:$F,2,'Time based aggregation (hide)'!$A:$A,ROW(A3))</f>
        <v>0</v>
      </c>
      <c r="LF45" s="6">
        <f>SUMIFS('Time based aggregation (hide)'!$J:$J,'Time based aggregation (hide)'!$E:$E,9,'Time based aggregation (hide)'!$F:$F,3,'Time based aggregation (hide)'!$A:$A,ROW(A3))</f>
        <v>0</v>
      </c>
      <c r="LG45" s="6">
        <f>SUMIFS('Time based aggregation (hide)'!$J:$J,'Time based aggregation (hide)'!$E:$E,10,'Time based aggregation (hide)'!$F:$F,1,'Time based aggregation (hide)'!$A:$A,ROW(A3))</f>
        <v>0</v>
      </c>
      <c r="LH45" s="6">
        <f>SUMIFS('Time based aggregation (hide)'!$J:$J,'Time based aggregation (hide)'!$E:$E,10,'Time based aggregation (hide)'!$F:$F,2,'Time based aggregation (hide)'!$A:$A,ROW(A3))</f>
        <v>0</v>
      </c>
      <c r="LI45" s="6">
        <f>SUMIFS('Time based aggregation (hide)'!$J:$J,'Time based aggregation (hide)'!$E:$E,10,'Time based aggregation (hide)'!$F:$F,3,'Time based aggregation (hide)'!$A:$A,ROW(A3))</f>
        <v>0</v>
      </c>
      <c r="LJ45" s="6">
        <f>SUMIFS('Time based aggregation (hide)'!$J:$J,'Time based aggregation (hide)'!$E:$E,11,'Time based aggregation (hide)'!$F:$F,1,'Time based aggregation (hide)'!$A:$A,ROW(A3))</f>
        <v>0</v>
      </c>
      <c r="LK45" s="6">
        <f>SUMIFS('Time based aggregation (hide)'!$J:$J,'Time based aggregation (hide)'!$E:$E,11,'Time based aggregation (hide)'!$F:$F,2,'Time based aggregation (hide)'!$A:$A,ROW(A3))</f>
        <v>0</v>
      </c>
      <c r="LL45" s="6">
        <f>SUMIFS('Time based aggregation (hide)'!$J:$J,'Time based aggregation (hide)'!$E:$E,11,'Time based aggregation (hide)'!$F:$F,3,'Time based aggregation (hide)'!$A:$A,ROW(A3))</f>
        <v>0</v>
      </c>
      <c r="LM45" s="6">
        <f>SUMIFS('Time based aggregation (hide)'!$J:$J,'Time based aggregation (hide)'!$E:$E,12,'Time based aggregation (hide)'!$F:$F,1,'Time based aggregation (hide)'!$A:$A,ROW(A3))</f>
        <v>0</v>
      </c>
      <c r="LN45" s="6">
        <f>SUMIFS('Time based aggregation (hide)'!$J:$J,'Time based aggregation (hide)'!$E:$E,12,'Time based aggregation (hide)'!$F:$F,2,'Time based aggregation (hide)'!$A:$A,ROW(A3))</f>
        <v>0</v>
      </c>
      <c r="LO45" s="6">
        <f>SUMIFS('Time based aggregation (hide)'!$J:$J,'Time based aggregation (hide)'!$E:$E,12,'Time based aggregation (hide)'!$F:$F,3,'Time based aggregation (hide)'!$A:$A,ROW(A3))</f>
        <v>0</v>
      </c>
      <c r="LP45" s="6">
        <f>SUMIFS('Time based aggregation (hide)'!$J:$J,'Time based aggregation (hide)'!$E:$E,13,'Time based aggregation (hide)'!$F:$F,1,'Time based aggregation (hide)'!$A:$A,ROW(A3))</f>
        <v>0</v>
      </c>
      <c r="LQ45" s="6">
        <f>SUMIFS('Time based aggregation (hide)'!$J:$J,'Time based aggregation (hide)'!$E:$E,13,'Time based aggregation (hide)'!$F:$F,2,'Time based aggregation (hide)'!$A:$A,ROW(A3))</f>
        <v>0</v>
      </c>
      <c r="LR45" s="6">
        <f>SUMIFS('Time based aggregation (hide)'!$J:$J,'Time based aggregation (hide)'!$E:$E,13,'Time based aggregation (hide)'!$F:$F,3,'Time based aggregation (hide)'!$A:$A,ROW(A3))</f>
        <v>0</v>
      </c>
      <c r="LS45" s="6">
        <f>SUMIFS('Time based aggregation (hide)'!$J:$J,'Time based aggregation (hide)'!$E:$E,14,'Time based aggregation (hide)'!$F:$F,1,'Time based aggregation (hide)'!$A:$A,ROW(A3))</f>
        <v>0</v>
      </c>
      <c r="LT45" s="6">
        <f>SUMIFS('Time based aggregation (hide)'!$J:$J,'Time based aggregation (hide)'!$E:$E,14,'Time based aggregation (hide)'!$F:$F,2,'Time based aggregation (hide)'!$A:$A,ROW(A3))</f>
        <v>0</v>
      </c>
      <c r="LU45" s="6">
        <f>SUMIFS('Time based aggregation (hide)'!$J:$J,'Time based aggregation (hide)'!$E:$E,14,'Time based aggregation (hide)'!$F:$F,3,'Time based aggregation (hide)'!$A:$A,ROW(A3))</f>
        <v>0</v>
      </c>
      <c r="LV45" s="6">
        <f>SUMIFS('Time based aggregation (hide)'!$J:$J,'Time based aggregation (hide)'!$E:$E,15,'Time based aggregation (hide)'!$F:$F,1,'Time based aggregation (hide)'!$A:$A,ROW(A3))</f>
        <v>0</v>
      </c>
      <c r="LW45" s="6">
        <f>SUMIFS('Time based aggregation (hide)'!$J:$J,'Time based aggregation (hide)'!$E:$E,15,'Time based aggregation (hide)'!$F:$F,2,'Time based aggregation (hide)'!$A:$A,ROW(A3))</f>
        <v>0</v>
      </c>
      <c r="LX45" s="6">
        <f>SUMIFS('Time based aggregation (hide)'!$J:$J,'Time based aggregation (hide)'!$E:$E,15,'Time based aggregation (hide)'!$F:$F,3,'Time based aggregation (hide)'!$A:$A,ROW(A3))</f>
        <v>0</v>
      </c>
      <c r="LY45" s="6">
        <f>SUMIFS('Time based aggregation (hide)'!$J:$J,'Time based aggregation (hide)'!$E:$E,16,'Time based aggregation (hide)'!$F:$F,1,'Time based aggregation (hide)'!$A:$A,ROW(A3))</f>
        <v>0</v>
      </c>
      <c r="LZ45" s="6">
        <f>SUMIFS('Time based aggregation (hide)'!$J:$J,'Time based aggregation (hide)'!$E:$E,16,'Time based aggregation (hide)'!$F:$F,2,'Time based aggregation (hide)'!$A:$A,ROW(A3))</f>
        <v>0</v>
      </c>
      <c r="MA45" s="6">
        <f>SUMIFS('Time based aggregation (hide)'!$J:$J,'Time based aggregation (hide)'!$E:$E,16,'Time based aggregation (hide)'!$F:$F,3,'Time based aggregation (hide)'!$A:$A,ROW(A3))</f>
        <v>0</v>
      </c>
      <c r="MB45" s="6">
        <f>SUMIFS('Time based aggregation (hide)'!$J:$J,'Time based aggregation (hide)'!$E:$E,17,'Time based aggregation (hide)'!$F:$F,1,'Time based aggregation (hide)'!$A:$A,ROW(A3))</f>
        <v>0</v>
      </c>
      <c r="MC45" s="6">
        <f>SUMIFS('Time based aggregation (hide)'!$J:$J,'Time based aggregation (hide)'!$E:$E,17,'Time based aggregation (hide)'!$F:$F,2,'Time based aggregation (hide)'!$A:$A,ROW(A3))</f>
        <v>0</v>
      </c>
      <c r="MD45" s="6">
        <f>SUMIFS('Time based aggregation (hide)'!$J:$J,'Time based aggregation (hide)'!$E:$E,17,'Time based aggregation (hide)'!$F:$F,3,'Time based aggregation (hide)'!$A:$A,ROW(A3))</f>
        <v>0</v>
      </c>
      <c r="ME45" s="6">
        <f>SUMIFS('Time based aggregation (hide)'!$J:$J,'Time based aggregation (hide)'!$E:$E,18,'Time based aggregation (hide)'!$F:$F,1,'Time based aggregation (hide)'!$A:$A,ROW(A3))</f>
        <v>0</v>
      </c>
      <c r="MF45" s="6">
        <f>SUMIFS('Time based aggregation (hide)'!$J:$J,'Time based aggregation (hide)'!$E:$E,18,'Time based aggregation (hide)'!$F:$F,2,'Time based aggregation (hide)'!$A:$A,ROW(A3))</f>
        <v>0</v>
      </c>
      <c r="MG45" s="6">
        <f>SUMIFS('Time based aggregation (hide)'!$J:$J,'Time based aggregation (hide)'!$E:$E,18,'Time based aggregation (hide)'!$F:$F,3,'Time based aggregation (hide)'!$A:$A,ROW(A3))</f>
        <v>0</v>
      </c>
      <c r="MH45" s="6">
        <f>SUMIFS('Time based aggregation (hide)'!$J:$J,'Time based aggregation (hide)'!$E:$E,19,'Time based aggregation (hide)'!$F:$F,1,'Time based aggregation (hide)'!$A:$A,ROW(A3))</f>
        <v>0</v>
      </c>
      <c r="MI45" s="6">
        <f>SUMIFS('Time based aggregation (hide)'!$J:$J,'Time based aggregation (hide)'!$E:$E,19,'Time based aggregation (hide)'!$F:$F,2,'Time based aggregation (hide)'!$A:$A,ROW(A3))</f>
        <v>0</v>
      </c>
      <c r="MJ45" s="6">
        <f>SUMIFS('Time based aggregation (hide)'!$J:$J,'Time based aggregation (hide)'!$E:$E,19,'Time based aggregation (hide)'!$F:$F,3,'Time based aggregation (hide)'!$A:$A,ROW(A3))</f>
        <v>0</v>
      </c>
      <c r="MK45" s="6">
        <f>SUMIFS('Time based aggregation (hide)'!$J:$J,'Time based aggregation (hide)'!$E:$E,20,'Time based aggregation (hide)'!$F:$F,1,'Time based aggregation (hide)'!$A:$A,ROW(A3))</f>
        <v>0</v>
      </c>
      <c r="ML45" s="6">
        <f>SUMIFS('Time based aggregation (hide)'!$J:$J,'Time based aggregation (hide)'!$E:$E,20,'Time based aggregation (hide)'!$F:$F,2,'Time based aggregation (hide)'!$A:$A,ROW(A3))</f>
        <v>0</v>
      </c>
      <c r="MM45" s="6">
        <f>SUMIFS('Time based aggregation (hide)'!$J:$J,'Time based aggregation (hide)'!$E:$E,20,'Time based aggregation (hide)'!$F:$F,3,'Time based aggregation (hide)'!$A:$A,ROW(A3))</f>
        <v>0</v>
      </c>
      <c r="MN45" s="7">
        <f t="shared" ca="1" si="36"/>
        <v>0</v>
      </c>
      <c r="MO45" s="7">
        <f t="shared" ca="1" si="32"/>
        <v>0</v>
      </c>
      <c r="MP45" s="7">
        <f t="shared" ca="1" si="32"/>
        <v>0</v>
      </c>
      <c r="MQ45" s="7">
        <f t="shared" ca="1" si="32"/>
        <v>0</v>
      </c>
      <c r="MR45" s="7">
        <f t="shared" ca="1" si="32"/>
        <v>0</v>
      </c>
    </row>
    <row r="46" spans="1:356" x14ac:dyDescent="0.25">
      <c r="A46">
        <f>1</f>
        <v>1</v>
      </c>
      <c r="B46" s="85">
        <f t="shared" si="37"/>
        <v>43834</v>
      </c>
      <c r="C46" s="85">
        <f t="shared" si="25"/>
        <v>43829</v>
      </c>
      <c r="D46">
        <f t="shared" ca="1" si="26"/>
        <v>0</v>
      </c>
      <c r="E46" s="85">
        <f t="shared" si="27"/>
        <v>43831</v>
      </c>
      <c r="F46">
        <f t="shared" si="33"/>
        <v>1</v>
      </c>
      <c r="H46">
        <f t="shared" si="34"/>
        <v>4</v>
      </c>
      <c r="I46" s="85">
        <f t="shared" si="38"/>
        <v>43850</v>
      </c>
      <c r="J46">
        <f t="shared" ca="1" si="28"/>
        <v>5</v>
      </c>
      <c r="K46">
        <f t="shared" ca="1" si="29"/>
        <v>1.968503937007874E-2</v>
      </c>
      <c r="L46" s="114"/>
      <c r="N46" s="85">
        <f t="shared" si="35"/>
        <v>43850</v>
      </c>
      <c r="O46" s="122">
        <f t="shared" ca="1" si="30"/>
        <v>1</v>
      </c>
      <c r="P46" s="122">
        <f t="shared" ca="1" si="30"/>
        <v>0</v>
      </c>
      <c r="Q46" s="122">
        <f t="shared" ca="1" si="30"/>
        <v>0</v>
      </c>
      <c r="R46" s="122">
        <f t="shared" ca="1" si="30"/>
        <v>0</v>
      </c>
      <c r="S46" s="122">
        <f t="shared" ca="1" si="30"/>
        <v>0</v>
      </c>
      <c r="T46" s="122">
        <f t="shared" ca="1" si="30"/>
        <v>0</v>
      </c>
      <c r="U46" s="122">
        <f t="shared" ca="1" si="30"/>
        <v>0</v>
      </c>
      <c r="V46" s="122">
        <f t="shared" ca="1" si="30"/>
        <v>0</v>
      </c>
      <c r="W46" s="122">
        <f t="shared" ca="1" si="30"/>
        <v>0</v>
      </c>
      <c r="X46" s="122">
        <f t="shared" ca="1" si="30"/>
        <v>0</v>
      </c>
      <c r="Y46" s="122">
        <f t="shared" ca="1" si="30"/>
        <v>0</v>
      </c>
      <c r="Z46" s="122">
        <f t="shared" ca="1" si="30"/>
        <v>0</v>
      </c>
      <c r="AA46" s="122"/>
      <c r="AB46" s="140">
        <f>INDEX('File 1'!Weekly_Adjusted,4,1)</f>
        <v>388.17143954725253</v>
      </c>
      <c r="AC46" s="140">
        <f>INDEX('File 1'!Weekly_Adjusted,4,2)</f>
        <v>0</v>
      </c>
      <c r="AD46" s="140">
        <f>INDEX('File 1'!Weekly_Adjusted,4,3)</f>
        <v>0</v>
      </c>
      <c r="AE46" s="141">
        <f>INDEX('File 2'!Weekly_Adjusted,4,1)</f>
        <v>0</v>
      </c>
      <c r="AF46" s="141">
        <f>INDEX('File 2'!Weekly_Adjusted,4,2)</f>
        <v>0</v>
      </c>
      <c r="AG46" s="141">
        <f>INDEX('File 2'!Weekly_Adjusted,4,3)</f>
        <v>0</v>
      </c>
      <c r="AH46" s="140">
        <f>INDEX('File 3'!Weekly_Adjusted,4,1)</f>
        <v>0</v>
      </c>
      <c r="AI46" s="140">
        <f>INDEX('File 3'!Weekly_Adjusted,4,2)</f>
        <v>0</v>
      </c>
      <c r="AJ46" s="140">
        <f>INDEX('File 3'!Weekly_Adjusted,4,3)</f>
        <v>0</v>
      </c>
      <c r="AK46" s="141">
        <f>INDEX('File 4'!Weekly_Adjusted,4,1)</f>
        <v>0</v>
      </c>
      <c r="AL46" s="141">
        <f>INDEX('File 4'!Weekly_Adjusted,4,2)</f>
        <v>0</v>
      </c>
      <c r="AM46" s="141">
        <f>INDEX('File 4'!Weekly_Adjusted,4,3)</f>
        <v>0</v>
      </c>
      <c r="AN46" s="140">
        <f>INDEX('File 5'!Weekly_Adjusted,4,1)</f>
        <v>0</v>
      </c>
      <c r="AO46" s="140">
        <f>INDEX('File 5'!Weekly_Adjusted,4,2)</f>
        <v>0</v>
      </c>
      <c r="AP46" s="140">
        <f>INDEX('File 5'!Weekly_Adjusted,4,3)</f>
        <v>0</v>
      </c>
      <c r="AQ46" s="141">
        <f>INDEX('File 6'!Weekly_Adjusted,4,1)</f>
        <v>0</v>
      </c>
      <c r="AR46" s="141">
        <f>INDEX('File 6'!Weekly_Adjusted,4,2)</f>
        <v>0</v>
      </c>
      <c r="AS46" s="141">
        <f>INDEX('File 6'!Weekly_Adjusted,4,3)</f>
        <v>0</v>
      </c>
      <c r="AT46" s="140">
        <f>INDEX('File 7'!Weekly_Adjusted,4,1)</f>
        <v>0</v>
      </c>
      <c r="AU46" s="140">
        <f>INDEX('File 7'!Weekly_Adjusted,4,2)</f>
        <v>0</v>
      </c>
      <c r="AV46" s="140">
        <f>INDEX('File 7'!Weekly_Adjusted,4,3)</f>
        <v>0</v>
      </c>
      <c r="AW46" s="141">
        <f>INDEX('File 8'!Weekly_Adjusted,4,1)</f>
        <v>0</v>
      </c>
      <c r="AX46" s="141">
        <f>INDEX('File 8'!Weekly_Adjusted,4,2)</f>
        <v>0</v>
      </c>
      <c r="AY46" s="141">
        <f>INDEX('File 8'!Weekly_Adjusted,4,3)</f>
        <v>0</v>
      </c>
      <c r="AZ46" s="140">
        <f>INDEX('File 9'!Weekly_Adjusted,4,1)</f>
        <v>0</v>
      </c>
      <c r="BA46" s="140">
        <f>INDEX('File 9'!Weekly_Adjusted,4,2)</f>
        <v>0</v>
      </c>
      <c r="BB46" s="140">
        <f>INDEX('File 9'!Weekly_Adjusted,4,3)</f>
        <v>0</v>
      </c>
      <c r="BC46" s="141">
        <f>INDEX('File 10'!Weekly_Adjusted,4,1)</f>
        <v>0</v>
      </c>
      <c r="BD46" s="141">
        <f>INDEX('File 10'!Weekly_Adjusted,4,2)</f>
        <v>0</v>
      </c>
      <c r="BE46" s="141">
        <f>INDEX('File 10'!Weekly_Adjusted,4,3)</f>
        <v>0</v>
      </c>
      <c r="BF46" s="140">
        <f>INDEX('File 11'!Weekly_Adjusted,4,1)</f>
        <v>0</v>
      </c>
      <c r="BG46" s="140">
        <f>INDEX('File 11'!Weekly_Adjusted,4,2)</f>
        <v>0</v>
      </c>
      <c r="BH46" s="140">
        <f>INDEX('File 11'!Weekly_Adjusted,4,3)</f>
        <v>0</v>
      </c>
      <c r="BI46" s="141">
        <f>INDEX('File 12'!Weekly_Adjusted,4,1)</f>
        <v>0</v>
      </c>
      <c r="BJ46" s="141">
        <f>INDEX('File 12'!Weekly_Adjusted,4,2)</f>
        <v>0</v>
      </c>
      <c r="BK46" s="141">
        <f>INDEX('File 12'!Weekly_Adjusted,4,3)</f>
        <v>0</v>
      </c>
      <c r="BL46" s="140">
        <f>INDEX('File 13'!Weekly_Adjusted,4,1)</f>
        <v>0</v>
      </c>
      <c r="BM46" s="140">
        <f>INDEX('File 13'!Weekly_Adjusted,4,2)</f>
        <v>0</v>
      </c>
      <c r="BN46" s="140">
        <f>INDEX('File 13'!Weekly_Adjusted,4,3)</f>
        <v>0</v>
      </c>
      <c r="BO46" s="141">
        <f>INDEX('File 14'!Weekly_Adjusted,4,1)</f>
        <v>0</v>
      </c>
      <c r="BP46" s="141">
        <f>INDEX('File 14'!Weekly_Adjusted,4,2)</f>
        <v>0</v>
      </c>
      <c r="BQ46" s="141">
        <f>INDEX('File 14'!Weekly_Adjusted,4,3)</f>
        <v>0</v>
      </c>
      <c r="BR46" s="140">
        <f>INDEX('File 15'!Weekly_Adjusted,4,1)</f>
        <v>0</v>
      </c>
      <c r="BS46" s="140">
        <f>INDEX('File 15'!Weekly_Adjusted,4,2)</f>
        <v>0</v>
      </c>
      <c r="BT46" s="140">
        <f>INDEX('File 15'!Weekly_Adjusted,4,3)</f>
        <v>0</v>
      </c>
      <c r="BU46" s="141">
        <f>INDEX('File 16'!Weekly_Adjusted,4,1)</f>
        <v>0</v>
      </c>
      <c r="BV46" s="141">
        <f>INDEX('File 16'!Weekly_Adjusted,4,2)</f>
        <v>0</v>
      </c>
      <c r="BW46" s="141">
        <f>INDEX('File 16'!Weekly_Adjusted,4,3)</f>
        <v>0</v>
      </c>
      <c r="BX46" s="140">
        <f>INDEX('File 17'!Weekly_Adjusted,4,1)</f>
        <v>0</v>
      </c>
      <c r="BY46" s="140">
        <f>INDEX('File 17'!Weekly_Adjusted,4,2)</f>
        <v>0</v>
      </c>
      <c r="BZ46" s="140">
        <f>INDEX('File 17'!Weekly_Adjusted,4,3)</f>
        <v>0</v>
      </c>
      <c r="CA46" s="141">
        <f>INDEX('File 18'!Weekly_Adjusted,4,1)</f>
        <v>0</v>
      </c>
      <c r="CB46" s="141">
        <f>INDEX('File 18'!Weekly_Adjusted,4,2)</f>
        <v>0</v>
      </c>
      <c r="CC46" s="141">
        <f>INDEX('File 18'!Weekly_Adjusted,4,3)</f>
        <v>0</v>
      </c>
      <c r="CD46" s="140">
        <f>INDEX('File 19'!Weekly_Adjusted,4,1)</f>
        <v>0</v>
      </c>
      <c r="CE46" s="140">
        <f>INDEX('File 19'!Weekly_Adjusted,4,2)</f>
        <v>0</v>
      </c>
      <c r="CF46" s="140">
        <f>INDEX('File 19'!Weekly_Adjusted,4,3)</f>
        <v>0</v>
      </c>
      <c r="CG46" s="141">
        <f>INDEX('File 20'!Weekly_Adjusted,4,1)</f>
        <v>0</v>
      </c>
      <c r="CH46" s="141">
        <f>INDEX('File 20'!Weekly_Adjusted,4,2)</f>
        <v>0</v>
      </c>
      <c r="CI46" s="141">
        <f>INDEX('File 20'!Weekly_Adjusted,4,3)</f>
        <v>0</v>
      </c>
      <c r="CJ46" s="6">
        <f ca="1">SUMIFS(INDEX(Demand_Activity_Weekly,ROW(A4),0),Demand_Activity_Weekly_Header,CJ$42)</f>
        <v>388.17143954725253</v>
      </c>
      <c r="CK46" s="6">
        <f ca="1">SUMIFS(INDEX(Demand_Activity_Weekly,ROW(B4),0),Demand_Activity_Weekly_Header,CK$42)</f>
        <v>0</v>
      </c>
      <c r="CL46" s="6">
        <f ca="1">SUMIFS(INDEX(Demand_Activity_Weekly,ROW(C4),0),Demand_Activity_Weekly_Header,CL$42)</f>
        <v>0</v>
      </c>
      <c r="CM46" s="6">
        <f ca="1">SUMIFS(INDEX(Demand_Activity_Weekly,ROW(D4),0),Demand_Activity_Weekly_Header,CM$42)</f>
        <v>0</v>
      </c>
      <c r="CN46" s="6">
        <f ca="1">SUMIFS(INDEX(Demand_Activity_Weekly,ROW(E4),0),Demand_Activity_Weekly_Header,CN$42)</f>
        <v>0</v>
      </c>
      <c r="CP46" s="142">
        <f ca="1">INDEX('File 1'!Weekly_Adjusted,4,10)</f>
        <v>24.919784152855019</v>
      </c>
      <c r="CQ46" s="142">
        <f>INDEX('File 1'!Weekly_Adjusted,4,11)</f>
        <v>0</v>
      </c>
      <c r="CR46" s="142">
        <f>INDEX('File 1'!Weekly_Adjusted,4,12)</f>
        <v>0</v>
      </c>
      <c r="CS46" s="143">
        <f>INDEX('File 2'!Weekly_Adjusted,4,10)</f>
        <v>0</v>
      </c>
      <c r="CT46" s="143">
        <f>INDEX('File 2'!Weekly_Adjusted,4,11)</f>
        <v>0</v>
      </c>
      <c r="CU46" s="143">
        <f>INDEX('File 2'!Weekly_Adjusted,4,12)</f>
        <v>0</v>
      </c>
      <c r="CV46" s="142">
        <f>INDEX('File 3'!Weekly_Adjusted,4,10)</f>
        <v>0</v>
      </c>
      <c r="CW46" s="142">
        <f>INDEX('File 3'!Weekly_Adjusted,4,11)</f>
        <v>0</v>
      </c>
      <c r="CX46" s="142">
        <f>INDEX('File 3'!Weekly_Adjusted,4,12)</f>
        <v>0</v>
      </c>
      <c r="CY46" s="143">
        <f>INDEX('File 4'!Weekly_Adjusted,4,10)</f>
        <v>0</v>
      </c>
      <c r="CZ46" s="143">
        <f>INDEX('File 4'!Weekly_Adjusted,4,11)</f>
        <v>0</v>
      </c>
      <c r="DA46" s="143">
        <f>INDEX('File 4'!Weekly_Adjusted,4,12)</f>
        <v>0</v>
      </c>
      <c r="DB46" s="142">
        <f>INDEX('File 5'!Weekly_Adjusted,4,10)</f>
        <v>0</v>
      </c>
      <c r="DC46" s="142">
        <f>INDEX('File 5'!Weekly_Adjusted,4,11)</f>
        <v>0</v>
      </c>
      <c r="DD46" s="142">
        <f>INDEX('File 5'!Weekly_Adjusted,4,12)</f>
        <v>0</v>
      </c>
      <c r="DE46" s="143">
        <f>INDEX('File 6'!Weekly_Adjusted,4,10)</f>
        <v>0</v>
      </c>
      <c r="DF46" s="143">
        <f>INDEX('File 6'!Weekly_Adjusted,4,11)</f>
        <v>0</v>
      </c>
      <c r="DG46" s="143">
        <f>INDEX('File 6'!Weekly_Adjusted,4,12)</f>
        <v>0</v>
      </c>
      <c r="DH46" s="142">
        <f>INDEX('File 7'!Weekly_Adjusted,4,10)</f>
        <v>0</v>
      </c>
      <c r="DI46" s="142">
        <f>INDEX('File 7'!Weekly_Adjusted,4,11)</f>
        <v>0</v>
      </c>
      <c r="DJ46" s="142">
        <f>INDEX('File 7'!Weekly_Adjusted,4,12)</f>
        <v>0</v>
      </c>
      <c r="DK46" s="143">
        <f>INDEX('File 8'!Weekly_Adjusted,4,10)</f>
        <v>0</v>
      </c>
      <c r="DL46" s="143">
        <f>INDEX('File 8'!Weekly_Adjusted,4,11)</f>
        <v>0</v>
      </c>
      <c r="DM46" s="143">
        <f>INDEX('File 8'!Weekly_Adjusted,4,12)</f>
        <v>0</v>
      </c>
      <c r="DN46" s="142">
        <f>INDEX('File 9'!Weekly_Adjusted,4,10)</f>
        <v>0</v>
      </c>
      <c r="DO46" s="142">
        <f>INDEX('File 9'!Weekly_Adjusted,4,11)</f>
        <v>0</v>
      </c>
      <c r="DP46" s="142">
        <f>INDEX('File 9'!Weekly_Adjusted,4,12)</f>
        <v>0</v>
      </c>
      <c r="DQ46" s="143">
        <f>INDEX('File 10'!Weekly_Adjusted,4,10)</f>
        <v>0</v>
      </c>
      <c r="DR46" s="143">
        <f>INDEX('File 10'!Weekly_Adjusted,4,11)</f>
        <v>0</v>
      </c>
      <c r="DS46" s="143">
        <f>INDEX('File 10'!Weekly_Adjusted,4,12)</f>
        <v>0</v>
      </c>
      <c r="DT46" s="142">
        <f>INDEX('File 11'!Weekly_Adjusted,4,10)</f>
        <v>0</v>
      </c>
      <c r="DU46" s="142">
        <f>INDEX('File 11'!Weekly_Adjusted,4,11)</f>
        <v>0</v>
      </c>
      <c r="DV46" s="142">
        <f>INDEX('File 11'!Weekly_Adjusted,4,12)</f>
        <v>0</v>
      </c>
      <c r="DW46" s="143">
        <f>INDEX('File 12'!Weekly_Adjusted,4,10)</f>
        <v>0</v>
      </c>
      <c r="DX46" s="143">
        <f>INDEX('File 12'!Weekly_Adjusted,4,11)</f>
        <v>0</v>
      </c>
      <c r="DY46" s="143">
        <f>INDEX('File 12'!Weekly_Adjusted,4,12)</f>
        <v>0</v>
      </c>
      <c r="DZ46" s="142">
        <f>INDEX('File 13'!Weekly_Adjusted,4,10)</f>
        <v>0</v>
      </c>
      <c r="EA46" s="142">
        <f>INDEX('File 13'!Weekly_Adjusted,4,11)</f>
        <v>0</v>
      </c>
      <c r="EB46" s="142">
        <f>INDEX('File 13'!Weekly_Adjusted,4,12)</f>
        <v>0</v>
      </c>
      <c r="EC46" s="143">
        <f>INDEX('File 14'!Weekly_Adjusted,4,10)</f>
        <v>0</v>
      </c>
      <c r="ED46" s="143">
        <f>INDEX('File 14'!Weekly_Adjusted,4,11)</f>
        <v>0</v>
      </c>
      <c r="EE46" s="143">
        <f>INDEX('File 14'!Weekly_Adjusted,4,12)</f>
        <v>0</v>
      </c>
      <c r="EF46" s="142">
        <f>INDEX('File 15'!Weekly_Adjusted,4,10)</f>
        <v>0</v>
      </c>
      <c r="EG46" s="142">
        <f>INDEX('File 15'!Weekly_Adjusted,4,11)</f>
        <v>0</v>
      </c>
      <c r="EH46" s="142">
        <f>INDEX('File 15'!Weekly_Adjusted,4,12)</f>
        <v>0</v>
      </c>
      <c r="EI46" s="143">
        <f>INDEX('File 16'!Weekly_Adjusted,4,10)</f>
        <v>0</v>
      </c>
      <c r="EJ46" s="143">
        <f>INDEX('File 16'!Weekly_Adjusted,4,11)</f>
        <v>0</v>
      </c>
      <c r="EK46" s="143">
        <f>INDEX('File 16'!Weekly_Adjusted,4,12)</f>
        <v>0</v>
      </c>
      <c r="EL46" s="142">
        <f>INDEX('File 17'!Weekly_Adjusted,4,10)</f>
        <v>0</v>
      </c>
      <c r="EM46" s="142">
        <f>INDEX('File 17'!Weekly_Adjusted,4,11)</f>
        <v>0</v>
      </c>
      <c r="EN46" s="142">
        <f>INDEX('File 17'!Weekly_Adjusted,4,12)</f>
        <v>0</v>
      </c>
      <c r="EO46" s="143">
        <f>INDEX('File 18'!Weekly_Adjusted,4,10)</f>
        <v>0</v>
      </c>
      <c r="EP46" s="143">
        <f>INDEX('File 18'!Weekly_Adjusted,4,11)</f>
        <v>0</v>
      </c>
      <c r="EQ46" s="143">
        <f>INDEX('File 18'!Weekly_Adjusted,4,12)</f>
        <v>0</v>
      </c>
      <c r="ER46" s="142">
        <f>INDEX('File 19'!Weekly_Adjusted,4,10)</f>
        <v>0</v>
      </c>
      <c r="ES46" s="142">
        <f>INDEX('File 19'!Weekly_Adjusted,4,11)</f>
        <v>0</v>
      </c>
      <c r="ET46" s="142">
        <f>INDEX('File 19'!Weekly_Adjusted,4,12)</f>
        <v>0</v>
      </c>
      <c r="EU46" s="143">
        <f>INDEX('File 20'!Weekly_Adjusted,4,10)</f>
        <v>0</v>
      </c>
      <c r="EV46" s="143">
        <f>INDEX('File 20'!Weekly_Adjusted,4,11)</f>
        <v>0</v>
      </c>
      <c r="EW46" s="143">
        <f>INDEX('File 20'!Weekly_Adjusted,4,12)</f>
        <v>0</v>
      </c>
      <c r="EX46" s="6">
        <f ca="1">SUMIFS(INDEX(Capacity_Activity_Weekly,ROW(A4),0),Demand_Activity_Weekly_Header,CJ$42)</f>
        <v>24.919784152855019</v>
      </c>
      <c r="EY46" s="6">
        <f ca="1">SUMIFS(INDEX(Capacity_Activity_Weekly,ROW(B4),0),Demand_Activity_Weekly_Header,CK$42)</f>
        <v>0</v>
      </c>
      <c r="EZ46" s="6">
        <f ca="1">SUMIFS(INDEX(Capacity_Activity_Weekly,ROW(C4),0),Demand_Activity_Weekly_Header,CL$42)</f>
        <v>0</v>
      </c>
      <c r="FA46" s="6">
        <f ca="1">SUMIFS(INDEX(Capacity_Activity_Weekly,ROW(D4),0),Demand_Activity_Weekly_Header,CM$42)</f>
        <v>0</v>
      </c>
      <c r="FB46" s="6">
        <f ca="1">SUMIFS(INDEX(Capacity_Activity_Weekly,ROW(E4),0),Demand_Activity_Weekly_Header,CN$42)</f>
        <v>0</v>
      </c>
      <c r="FD46" s="7">
        <f>'File 1'!$Q$54*'Time based aggregation (hide)'!$Q8</f>
        <v>0</v>
      </c>
      <c r="FE46" s="7">
        <f>'File 1'!$R$54*'Time based aggregation (hide)'!$R8</f>
        <v>0</v>
      </c>
      <c r="FF46" s="7">
        <f>'File 1'!$S$54*'Time based aggregation (hide)'!$S8</f>
        <v>0</v>
      </c>
      <c r="FG46" s="7">
        <f>'File 2'!$Q$54*'Time based aggregation (hide)'!$T8</f>
        <v>0</v>
      </c>
      <c r="FH46" s="7">
        <f>'File 2'!$R$54*'Time based aggregation (hide)'!$U8</f>
        <v>0</v>
      </c>
      <c r="FI46" s="7">
        <f>'File 2'!$S$54*'Time based aggregation (hide)'!$V8</f>
        <v>0</v>
      </c>
      <c r="FJ46" s="7">
        <f>'File 3'!$Q$54*'Time based aggregation (hide)'!$W8</f>
        <v>0</v>
      </c>
      <c r="FK46" s="7">
        <f>'File 3'!$R$54*'Time based aggregation (hide)'!$X8</f>
        <v>0</v>
      </c>
      <c r="FL46" s="7">
        <f>'File 3'!$S$54*'Time based aggregation (hide)'!$Y8</f>
        <v>0</v>
      </c>
      <c r="FM46" s="7">
        <f>'File 4'!$Q$54*'Time based aggregation (hide)'!$Z8</f>
        <v>0</v>
      </c>
      <c r="FN46" s="7">
        <f>'File 4'!$R$54*'Time based aggregation (hide)'!$AA8</f>
        <v>0</v>
      </c>
      <c r="FO46" s="7">
        <f>'File 4'!$S$54*'Time based aggregation (hide)'!$AB8</f>
        <v>0</v>
      </c>
      <c r="FP46" s="7">
        <f>'File 5'!$Q$54*'Time based aggregation (hide)'!$AC8</f>
        <v>0</v>
      </c>
      <c r="FQ46" s="7">
        <f>'File 5'!$R$54*'Time based aggregation (hide)'!$AD8</f>
        <v>0</v>
      </c>
      <c r="FR46" s="7">
        <f>'File 5'!$S$54*'Time based aggregation (hide)'!$AE8</f>
        <v>0</v>
      </c>
      <c r="FS46" s="7">
        <f>'File 6'!$Q$54*'Time based aggregation (hide)'!$AF8</f>
        <v>0</v>
      </c>
      <c r="FT46" s="7">
        <f>'File 6'!$R$54*'Time based aggregation (hide)'!$AG8</f>
        <v>0</v>
      </c>
      <c r="FU46" s="7">
        <f>'File 6'!$S$54*'Time based aggregation (hide)'!$AH8</f>
        <v>0</v>
      </c>
      <c r="FV46" s="7">
        <f>'File 7'!$Q$54*'Time based aggregation (hide)'!$AI8</f>
        <v>0</v>
      </c>
      <c r="FW46" s="7">
        <f>'File 7'!$R$54*'Time based aggregation (hide)'!$AJ8</f>
        <v>0</v>
      </c>
      <c r="FX46" s="7">
        <f>'File 7'!$S$54*'Time based aggregation (hide)'!$AK8</f>
        <v>0</v>
      </c>
      <c r="FY46" s="7">
        <f>'File 8'!$Q$54*'Time based aggregation (hide)'!$AL8</f>
        <v>0</v>
      </c>
      <c r="FZ46" s="7">
        <f>'File 8'!$R$54*'Time based aggregation (hide)'!$AM8</f>
        <v>0</v>
      </c>
      <c r="GA46" s="7">
        <f>'File 8'!$S$54*'Time based aggregation (hide)'!$AN8</f>
        <v>0</v>
      </c>
      <c r="GB46" s="7">
        <f>'File 9'!$Q$54*'Time based aggregation (hide)'!$AO8</f>
        <v>0</v>
      </c>
      <c r="GC46" s="7">
        <f>'File 9'!$R$54*'Time based aggregation (hide)'!$AP8</f>
        <v>0</v>
      </c>
      <c r="GD46" s="7">
        <f>'File 9'!$S$54*'Time based aggregation (hide)'!$AQ8</f>
        <v>0</v>
      </c>
      <c r="GE46" s="7">
        <f>'File 10'!$Q$54*'Time based aggregation (hide)'!$AR8</f>
        <v>0</v>
      </c>
      <c r="GF46" s="7">
        <f>'File 10'!$R$54*'Time based aggregation (hide)'!$AS8</f>
        <v>0</v>
      </c>
      <c r="GG46" s="7">
        <f>'File 10'!$S$54*'Time based aggregation (hide)'!$AT8</f>
        <v>0</v>
      </c>
      <c r="GH46" s="7">
        <f>'File 11'!$Q$54*'Time based aggregation (hide)'!$AU8</f>
        <v>0</v>
      </c>
      <c r="GI46" s="7">
        <f>'File 11'!$R$54*'Time based aggregation (hide)'!$AV8</f>
        <v>0</v>
      </c>
      <c r="GJ46" s="7">
        <f>'File 11'!$S$54*'Time based aggregation (hide)'!$AW8</f>
        <v>0</v>
      </c>
      <c r="GK46" s="7">
        <f>'File 12'!$Q$54*'Time based aggregation (hide)'!$AX8</f>
        <v>0</v>
      </c>
      <c r="GL46" s="7">
        <f>'File 12'!$R$54*'Time based aggregation (hide)'!$AY8</f>
        <v>0</v>
      </c>
      <c r="GM46" s="7">
        <f>'File 12'!$S$54*'Time based aggregation (hide)'!$AZ8</f>
        <v>0</v>
      </c>
      <c r="GN46" s="7">
        <f>'File 13'!$Q$54*'Time based aggregation (hide)'!$BA8</f>
        <v>0</v>
      </c>
      <c r="GO46" s="7">
        <f>'File 13'!$R$54*'Time based aggregation (hide)'!$BB8</f>
        <v>0</v>
      </c>
      <c r="GP46" s="7">
        <f>'File 13'!$S$54*'Time based aggregation (hide)'!$BC8</f>
        <v>0</v>
      </c>
      <c r="GQ46" s="7">
        <f>'File 14'!$Q$54*'Time based aggregation (hide)'!$BD8</f>
        <v>0</v>
      </c>
      <c r="GR46" s="7">
        <f>'File 14'!$R$54*'Time based aggregation (hide)'!$BE8</f>
        <v>0</v>
      </c>
      <c r="GS46" s="7">
        <f>'File 14'!$S$54*'Time based aggregation (hide)'!$BF8</f>
        <v>0</v>
      </c>
      <c r="GT46" s="7">
        <f>'File 15'!$Q$54*'Time based aggregation (hide)'!$BG8</f>
        <v>0</v>
      </c>
      <c r="GU46" s="7">
        <f>'File 15'!$R$54*'Time based aggregation (hide)'!$BH8</f>
        <v>0</v>
      </c>
      <c r="GV46" s="7">
        <f>'File 15'!$S$54*'Time based aggregation (hide)'!$BI8</f>
        <v>0</v>
      </c>
      <c r="GW46" s="7">
        <f>'File 16'!$Q$54*'Time based aggregation (hide)'!$BJ8</f>
        <v>0</v>
      </c>
      <c r="GX46" s="7">
        <f>'File 16'!$R$54*'Time based aggregation (hide)'!$BK8</f>
        <v>0</v>
      </c>
      <c r="GY46" s="7">
        <f>'File 16'!$S$54*'Time based aggregation (hide)'!$BL8</f>
        <v>0</v>
      </c>
      <c r="GZ46" s="7">
        <f>'File 17'!$Q$54*'Time based aggregation (hide)'!$BM8</f>
        <v>0</v>
      </c>
      <c r="HA46" s="7">
        <f>'File 17'!$R$54*'Time based aggregation (hide)'!$BN8</f>
        <v>0</v>
      </c>
      <c r="HB46" s="7">
        <f>'File 17'!$S$54*'Time based aggregation (hide)'!$BO8</f>
        <v>0</v>
      </c>
      <c r="HC46" s="7">
        <f>'File 18'!$Q$54*'Time based aggregation (hide)'!$BP8</f>
        <v>0</v>
      </c>
      <c r="HD46" s="7">
        <f>'File 18'!$R$54*'Time based aggregation (hide)'!$BQ8</f>
        <v>0</v>
      </c>
      <c r="HE46" s="7">
        <f>'File 18'!$S$54*'Time based aggregation (hide)'!$BR8</f>
        <v>0</v>
      </c>
      <c r="HF46" s="7">
        <f>'File 19'!$Q$54*'Time based aggregation (hide)'!$BS8</f>
        <v>0</v>
      </c>
      <c r="HG46" s="7">
        <f>'File 19'!$R$54*'Time based aggregation (hide)'!$BT8</f>
        <v>0</v>
      </c>
      <c r="HH46" s="7">
        <f>'File 19'!$S$54*'Time based aggregation (hide)'!$BU8</f>
        <v>0</v>
      </c>
      <c r="HI46" s="7">
        <f>'File 20'!$Q$54*'Time based aggregation (hide)'!$BV8</f>
        <v>0</v>
      </c>
      <c r="HJ46" s="7">
        <f>'File 20'!$R$54*'Time based aggregation (hide)'!$BW8</f>
        <v>0</v>
      </c>
      <c r="HK46" s="7">
        <f>'File 20'!$S$54*'Time based aggregation (hide)'!$BX8</f>
        <v>0</v>
      </c>
      <c r="HL46" s="7">
        <f t="shared" ca="1" si="31"/>
        <v>0</v>
      </c>
      <c r="HM46" s="7">
        <f t="shared" ca="1" si="31"/>
        <v>0</v>
      </c>
      <c r="HN46" s="7">
        <f t="shared" ca="1" si="31"/>
        <v>0</v>
      </c>
      <c r="HO46" s="7">
        <f t="shared" ca="1" si="31"/>
        <v>0</v>
      </c>
      <c r="HP46" s="7">
        <f t="shared" ca="1" si="31"/>
        <v>0</v>
      </c>
      <c r="HR46" s="142">
        <f ca="1">INDEX('File 1'!Weekly_Adjusted,4,16)</f>
        <v>21.427839876658773</v>
      </c>
      <c r="HS46" s="142">
        <f>INDEX('File 1'!Weekly_Adjusted,4,17)</f>
        <v>0</v>
      </c>
      <c r="HT46" s="142">
        <f>INDEX('File 1'!Weekly_Adjusted,4,18)</f>
        <v>0</v>
      </c>
      <c r="HU46" s="143">
        <f>INDEX('File 2'!Weekly_Adjusted,4,16)</f>
        <v>0</v>
      </c>
      <c r="HV46" s="143">
        <f>INDEX('File 2'!Weekly_Adjusted,4,17)</f>
        <v>0</v>
      </c>
      <c r="HW46" s="143">
        <f>INDEX('File 2'!Weekly_Adjusted,4,18)</f>
        <v>0</v>
      </c>
      <c r="HX46" s="142">
        <f>INDEX('File 3'!Weekly_Adjusted,4,16)</f>
        <v>0</v>
      </c>
      <c r="HY46" s="142">
        <f>INDEX('File 3'!Weekly_Adjusted,4,17)</f>
        <v>0</v>
      </c>
      <c r="HZ46" s="142">
        <f>INDEX('File 3'!Weekly_Adjusted,4,18)</f>
        <v>0</v>
      </c>
      <c r="IA46" s="143">
        <f>INDEX('File 4'!Weekly_Adjusted,4,16)</f>
        <v>0</v>
      </c>
      <c r="IB46" s="143">
        <f>INDEX('File 4'!Weekly_Adjusted,4,17)</f>
        <v>0</v>
      </c>
      <c r="IC46" s="143">
        <f>INDEX('File 4'!Weekly_Adjusted,4,18)</f>
        <v>0</v>
      </c>
      <c r="ID46" s="142">
        <f>INDEX('File 5'!Weekly_Adjusted,4,16)</f>
        <v>0</v>
      </c>
      <c r="IE46" s="142">
        <f>INDEX('File 5'!Weekly_Adjusted,4,17)</f>
        <v>0</v>
      </c>
      <c r="IF46" s="142">
        <f>INDEX('File 5'!Weekly_Adjusted,4,18)</f>
        <v>0</v>
      </c>
      <c r="IG46" s="143">
        <f>INDEX('File 6'!Weekly_Adjusted,4,16)</f>
        <v>0</v>
      </c>
      <c r="IH46" s="143">
        <f>INDEX('File 6'!Weekly_Adjusted,4,17)</f>
        <v>0</v>
      </c>
      <c r="II46" s="143">
        <f>INDEX('File 6'!Weekly_Adjusted,4,18)</f>
        <v>0</v>
      </c>
      <c r="IJ46" s="142">
        <f>INDEX('File 7'!Weekly_Adjusted,4,16)</f>
        <v>0</v>
      </c>
      <c r="IK46" s="142">
        <f>INDEX('File 7'!Weekly_Adjusted,4,17)</f>
        <v>0</v>
      </c>
      <c r="IL46" s="142">
        <f>INDEX('File 7'!Weekly_Adjusted,4,18)</f>
        <v>0</v>
      </c>
      <c r="IM46" s="143">
        <f>INDEX('File 8'!Weekly_Adjusted,4,16)</f>
        <v>0</v>
      </c>
      <c r="IN46" s="143">
        <f>INDEX('File 8'!Weekly_Adjusted,4,17)</f>
        <v>0</v>
      </c>
      <c r="IO46" s="143">
        <f>INDEX('File 8'!Weekly_Adjusted,4,18)</f>
        <v>0</v>
      </c>
      <c r="IP46" s="142">
        <f>INDEX('File 9'!Weekly_Adjusted,4,16)</f>
        <v>0</v>
      </c>
      <c r="IQ46" s="142">
        <f>INDEX('File 9'!Weekly_Adjusted,4,17)</f>
        <v>0</v>
      </c>
      <c r="IR46" s="142">
        <f>INDEX('File 9'!Weekly_Adjusted,4,18)</f>
        <v>0</v>
      </c>
      <c r="IS46" s="143">
        <f>INDEX('File 10'!Weekly_Adjusted,4,16)</f>
        <v>0</v>
      </c>
      <c r="IT46" s="143">
        <f>INDEX('File 10'!Weekly_Adjusted,4,17)</f>
        <v>0</v>
      </c>
      <c r="IU46" s="143">
        <f>INDEX('File 10'!Weekly_Adjusted,4,18)</f>
        <v>0</v>
      </c>
      <c r="IV46" s="142">
        <f>INDEX('File 11'!Weekly_Adjusted,4,16)</f>
        <v>0</v>
      </c>
      <c r="IW46" s="142">
        <f>INDEX('File 11'!Weekly_Adjusted,4,17)</f>
        <v>0</v>
      </c>
      <c r="IX46" s="142">
        <f>INDEX('File 11'!Weekly_Adjusted,4,18)</f>
        <v>0</v>
      </c>
      <c r="IY46" s="143">
        <f>INDEX('File 12'!Weekly_Adjusted,4,16)</f>
        <v>0</v>
      </c>
      <c r="IZ46" s="143">
        <f>INDEX('File 12'!Weekly_Adjusted,4,17)</f>
        <v>0</v>
      </c>
      <c r="JA46" s="143">
        <f>INDEX('File 12'!Weekly_Adjusted,4,18)</f>
        <v>0</v>
      </c>
      <c r="JB46" s="142">
        <f>INDEX('File 13'!Weekly_Adjusted,4,16)</f>
        <v>0</v>
      </c>
      <c r="JC46" s="142">
        <f>INDEX('File 13'!Weekly_Adjusted,4,17)</f>
        <v>0</v>
      </c>
      <c r="JD46" s="142">
        <f>INDEX('File 13'!Weekly_Adjusted,4,18)</f>
        <v>0</v>
      </c>
      <c r="JE46" s="143">
        <f>INDEX('File 14'!Weekly_Adjusted,4,16)</f>
        <v>0</v>
      </c>
      <c r="JF46" s="143">
        <f>INDEX('File 14'!Weekly_Adjusted,4,17)</f>
        <v>0</v>
      </c>
      <c r="JG46" s="143">
        <f>INDEX('File 14'!Weekly_Adjusted,4,18)</f>
        <v>0</v>
      </c>
      <c r="JH46" s="142">
        <f>INDEX('File 15'!Weekly_Adjusted,4,16)</f>
        <v>0</v>
      </c>
      <c r="JI46" s="142">
        <f>INDEX('File 15'!Weekly_Adjusted,4,17)</f>
        <v>0</v>
      </c>
      <c r="JJ46" s="142">
        <f>INDEX('File 15'!Weekly_Adjusted,4,18)</f>
        <v>0</v>
      </c>
      <c r="JK46" s="143">
        <f>INDEX('File 16'!Weekly_Adjusted,4,16)</f>
        <v>0</v>
      </c>
      <c r="JL46" s="143">
        <f>INDEX('File 16'!Weekly_Adjusted,4,17)</f>
        <v>0</v>
      </c>
      <c r="JM46" s="143">
        <f>INDEX('File 16'!Weekly_Adjusted,4,18)</f>
        <v>0</v>
      </c>
      <c r="JN46" s="142">
        <f>INDEX('File 17'!Weekly_Adjusted,4,16)</f>
        <v>0</v>
      </c>
      <c r="JO46" s="142">
        <f>INDEX('File 17'!Weekly_Adjusted,4,17)</f>
        <v>0</v>
      </c>
      <c r="JP46" s="142">
        <f>INDEX('File 17'!Weekly_Adjusted,4,18)</f>
        <v>0</v>
      </c>
      <c r="JQ46" s="143">
        <f>INDEX('File 18'!Weekly_Adjusted,4,16)</f>
        <v>0</v>
      </c>
      <c r="JR46" s="143">
        <f>INDEX('File 18'!Weekly_Adjusted,4,17)</f>
        <v>0</v>
      </c>
      <c r="JS46" s="143">
        <f>INDEX('File 18'!Weekly_Adjusted,4,18)</f>
        <v>0</v>
      </c>
      <c r="JT46" s="142">
        <f>INDEX('File 19'!Weekly_Adjusted,4,16)</f>
        <v>0</v>
      </c>
      <c r="JU46" s="142">
        <f>INDEX('File 19'!Weekly_Adjusted,4,17)</f>
        <v>0</v>
      </c>
      <c r="JV46" s="142">
        <f>INDEX('File 19'!Weekly_Adjusted,4,18)</f>
        <v>0</v>
      </c>
      <c r="JW46" s="143">
        <f>INDEX('File 20'!Weekly_Adjusted,4,16)</f>
        <v>0</v>
      </c>
      <c r="JX46" s="143">
        <f>INDEX('File 20'!Weekly_Adjusted,4,17)</f>
        <v>0</v>
      </c>
      <c r="JY46" s="143">
        <f>INDEX('File 20'!Weekly_Adjusted,4,18)</f>
        <v>0</v>
      </c>
      <c r="JZ46" s="6">
        <f ca="1">SUMIFS(INDEX(CapacityCore_Activity_Weekly,ROW(EC4),0),Demand_Activity_Weekly_Header,HL$42)</f>
        <v>21.427839876658773</v>
      </c>
      <c r="KA46" s="6">
        <f ca="1">SUMIFS(INDEX(CapacityCore_Activity_Weekly,ROW(ED4),0),Demand_Activity_Weekly_Header,HM$42)</f>
        <v>0</v>
      </c>
      <c r="KB46" s="6">
        <f ca="1">SUMIFS(INDEX(CapacityCore_Activity_Weekly,ROW(EE4),0),Demand_Activity_Weekly_Header,HN$42)</f>
        <v>0</v>
      </c>
      <c r="KC46" s="6">
        <f ca="1">SUMIFS(INDEX(CapacityCore_Activity_Weekly,ROW(EF4),0),Demand_Activity_Weekly_Header,HO$42)</f>
        <v>0</v>
      </c>
      <c r="KD46" s="6">
        <f ca="1">SUMIFS(INDEX(CapacityCore_Activity_Weekly,ROW(EG4),0),Demand_Activity_Weekly_Header,HP$42)</f>
        <v>0</v>
      </c>
      <c r="KF46" s="6">
        <f>SUMIFS('Time based aggregation (hide)'!$J:$J,'Time based aggregation (hide)'!$E:$E,1,'Time based aggregation (hide)'!$F:$F,1,'Time based aggregation (hide)'!$A:$A,ROW(A4))</f>
        <v>0</v>
      </c>
      <c r="KG46" s="6">
        <f>SUMIFS('Time based aggregation (hide)'!$J:$J,'Time based aggregation (hide)'!$E:$E,1,'Time based aggregation (hide)'!$F:$F,2,'Time based aggregation (hide)'!$A:$A,ROW(A4))</f>
        <v>0</v>
      </c>
      <c r="KH46" s="6">
        <f>SUMIFS('Time based aggregation (hide)'!$J:$J,'Time based aggregation (hide)'!$E:$E,1,'Time based aggregation (hide)'!$F:$F,3,'Time based aggregation (hide)'!$A:$A,ROW(A4))</f>
        <v>0</v>
      </c>
      <c r="KI46" s="6">
        <f>SUMIFS('Time based aggregation (hide)'!$J:$J,'Time based aggregation (hide)'!$E:$E,2,'Time based aggregation (hide)'!$F:$F,1,'Time based aggregation (hide)'!$A:$A,ROW(A4))</f>
        <v>0</v>
      </c>
      <c r="KJ46" s="6">
        <f>SUMIFS('Time based aggregation (hide)'!$J:$J,'Time based aggregation (hide)'!$E:$E,2,'Time based aggregation (hide)'!$F:$F,2,'Time based aggregation (hide)'!$A:$A,ROW(A4))</f>
        <v>0</v>
      </c>
      <c r="KK46" s="6">
        <f>SUMIFS('Time based aggregation (hide)'!$J:$J,'Time based aggregation (hide)'!$E:$E,2,'Time based aggregation (hide)'!$F:$F,3,'Time based aggregation (hide)'!$A:$A,ROW(A4))</f>
        <v>0</v>
      </c>
      <c r="KL46" s="6">
        <f>SUMIFS('Time based aggregation (hide)'!$J:$J,'Time based aggregation (hide)'!$E:$E,3,'Time based aggregation (hide)'!$F:$F,1,'Time based aggregation (hide)'!$A:$A,ROW(A4))</f>
        <v>0</v>
      </c>
      <c r="KM46" s="6">
        <f>SUMIFS('Time based aggregation (hide)'!$J:$J,'Time based aggregation (hide)'!$E:$E,3,'Time based aggregation (hide)'!$F:$F,2,'Time based aggregation (hide)'!$A:$A,ROW(A4))</f>
        <v>0</v>
      </c>
      <c r="KN46" s="6">
        <f>SUMIFS('Time based aggregation (hide)'!$J:$J,'Time based aggregation (hide)'!$E:$E,3,'Time based aggregation (hide)'!$F:$F,3,'Time based aggregation (hide)'!$A:$A,ROW(A4))</f>
        <v>0</v>
      </c>
      <c r="KO46" s="6">
        <f>SUMIFS('Time based aggregation (hide)'!$J:$J,'Time based aggregation (hide)'!$E:$E,4,'Time based aggregation (hide)'!$F:$F,1,'Time based aggregation (hide)'!$A:$A,ROW(A4))</f>
        <v>0</v>
      </c>
      <c r="KP46" s="6">
        <f>SUMIFS('Time based aggregation (hide)'!$J:$J,'Time based aggregation (hide)'!$E:$E,4,'Time based aggregation (hide)'!$F:$F,2,'Time based aggregation (hide)'!$A:$A,ROW(A4))</f>
        <v>0</v>
      </c>
      <c r="KQ46" s="6">
        <f>SUMIFS('Time based aggregation (hide)'!$J:$J,'Time based aggregation (hide)'!$E:$E,4,'Time based aggregation (hide)'!$F:$F,3,'Time based aggregation (hide)'!$A:$A,ROW(A4))</f>
        <v>0</v>
      </c>
      <c r="KR46" s="6">
        <f>SUMIFS('Time based aggregation (hide)'!$J:$J,'Time based aggregation (hide)'!$E:$E,5,'Time based aggregation (hide)'!$F:$F,1,'Time based aggregation (hide)'!$A:$A,ROW(A4))</f>
        <v>0</v>
      </c>
      <c r="KS46" s="6">
        <f>SUMIFS('Time based aggregation (hide)'!$J:$J,'Time based aggregation (hide)'!$E:$E,5,'Time based aggregation (hide)'!$F:$F,2,'Time based aggregation (hide)'!$A:$A,ROW(A4))</f>
        <v>0</v>
      </c>
      <c r="KT46" s="6">
        <f>SUMIFS('Time based aggregation (hide)'!$J:$J,'Time based aggregation (hide)'!$E:$E,5,'Time based aggregation (hide)'!$F:$F,3,'Time based aggregation (hide)'!$A:$A,ROW(A4))</f>
        <v>0</v>
      </c>
      <c r="KU46" s="6">
        <f>SUMIFS('Time based aggregation (hide)'!$J:$J,'Time based aggregation (hide)'!$E:$E,6,'Time based aggregation (hide)'!$F:$F,1,'Time based aggregation (hide)'!$A:$A,ROW(A4))</f>
        <v>0</v>
      </c>
      <c r="KV46" s="6">
        <f>SUMIFS('Time based aggregation (hide)'!$J:$J,'Time based aggregation (hide)'!$E:$E,6,'Time based aggregation (hide)'!$F:$F,2,'Time based aggregation (hide)'!$A:$A,ROW(A4))</f>
        <v>0</v>
      </c>
      <c r="KW46" s="6">
        <f>SUMIFS('Time based aggregation (hide)'!$J:$J,'Time based aggregation (hide)'!$E:$E,6,'Time based aggregation (hide)'!$F:$F,3,'Time based aggregation (hide)'!$A:$A,ROW(A4))</f>
        <v>0</v>
      </c>
      <c r="KX46" s="6">
        <f>SUMIFS('Time based aggregation (hide)'!$J:$J,'Time based aggregation (hide)'!$E:$E,7,'Time based aggregation (hide)'!$F:$F,1,'Time based aggregation (hide)'!$A:$A,ROW(A4))</f>
        <v>0</v>
      </c>
      <c r="KY46" s="6">
        <f>SUMIFS('Time based aggregation (hide)'!$J:$J,'Time based aggregation (hide)'!$E:$E,7,'Time based aggregation (hide)'!$F:$F,2,'Time based aggregation (hide)'!$A:$A,ROW(A4))</f>
        <v>0</v>
      </c>
      <c r="KZ46" s="6">
        <f>SUMIFS('Time based aggregation (hide)'!$J:$J,'Time based aggregation (hide)'!$E:$E,7,'Time based aggregation (hide)'!$F:$F,3,'Time based aggregation (hide)'!$A:$A,ROW(A4))</f>
        <v>0</v>
      </c>
      <c r="LA46" s="6">
        <f>SUMIFS('Time based aggregation (hide)'!$J:$J,'Time based aggregation (hide)'!$E:$E,8,'Time based aggregation (hide)'!$F:$F,1,'Time based aggregation (hide)'!$A:$A,ROW(A4))</f>
        <v>0</v>
      </c>
      <c r="LB46" s="6">
        <f>SUMIFS('Time based aggregation (hide)'!$J:$J,'Time based aggregation (hide)'!$E:$E,8,'Time based aggregation (hide)'!$F:$F,2,'Time based aggregation (hide)'!$A:$A,ROW(A4))</f>
        <v>0</v>
      </c>
      <c r="LC46" s="6">
        <f>SUMIFS('Time based aggregation (hide)'!$J:$J,'Time based aggregation (hide)'!$E:$E,8,'Time based aggregation (hide)'!$F:$F,3,'Time based aggregation (hide)'!$A:$A,ROW(A4))</f>
        <v>0</v>
      </c>
      <c r="LD46" s="6">
        <f>SUMIFS('Time based aggregation (hide)'!$J:$J,'Time based aggregation (hide)'!$E:$E,9,'Time based aggregation (hide)'!$F:$F,1,'Time based aggregation (hide)'!$A:$A,ROW(A4))</f>
        <v>0</v>
      </c>
      <c r="LE46" s="6">
        <f>SUMIFS('Time based aggregation (hide)'!$J:$J,'Time based aggregation (hide)'!$E:$E,9,'Time based aggregation (hide)'!$F:$F,2,'Time based aggregation (hide)'!$A:$A,ROW(A4))</f>
        <v>0</v>
      </c>
      <c r="LF46" s="6">
        <f>SUMIFS('Time based aggregation (hide)'!$J:$J,'Time based aggregation (hide)'!$E:$E,9,'Time based aggregation (hide)'!$F:$F,3,'Time based aggregation (hide)'!$A:$A,ROW(A4))</f>
        <v>0</v>
      </c>
      <c r="LG46" s="6">
        <f>SUMIFS('Time based aggregation (hide)'!$J:$J,'Time based aggregation (hide)'!$E:$E,10,'Time based aggregation (hide)'!$F:$F,1,'Time based aggregation (hide)'!$A:$A,ROW(A4))</f>
        <v>0</v>
      </c>
      <c r="LH46" s="6">
        <f>SUMIFS('Time based aggregation (hide)'!$J:$J,'Time based aggregation (hide)'!$E:$E,10,'Time based aggregation (hide)'!$F:$F,2,'Time based aggregation (hide)'!$A:$A,ROW(A4))</f>
        <v>0</v>
      </c>
      <c r="LI46" s="6">
        <f>SUMIFS('Time based aggregation (hide)'!$J:$J,'Time based aggregation (hide)'!$E:$E,10,'Time based aggregation (hide)'!$F:$F,3,'Time based aggregation (hide)'!$A:$A,ROW(A4))</f>
        <v>0</v>
      </c>
      <c r="LJ46" s="6">
        <f>SUMIFS('Time based aggregation (hide)'!$J:$J,'Time based aggregation (hide)'!$E:$E,11,'Time based aggregation (hide)'!$F:$F,1,'Time based aggregation (hide)'!$A:$A,ROW(A4))</f>
        <v>0</v>
      </c>
      <c r="LK46" s="6">
        <f>SUMIFS('Time based aggregation (hide)'!$J:$J,'Time based aggregation (hide)'!$E:$E,11,'Time based aggregation (hide)'!$F:$F,2,'Time based aggregation (hide)'!$A:$A,ROW(A4))</f>
        <v>0</v>
      </c>
      <c r="LL46" s="6">
        <f>SUMIFS('Time based aggregation (hide)'!$J:$J,'Time based aggregation (hide)'!$E:$E,11,'Time based aggregation (hide)'!$F:$F,3,'Time based aggregation (hide)'!$A:$A,ROW(A4))</f>
        <v>0</v>
      </c>
      <c r="LM46" s="6">
        <f>SUMIFS('Time based aggregation (hide)'!$J:$J,'Time based aggregation (hide)'!$E:$E,12,'Time based aggregation (hide)'!$F:$F,1,'Time based aggregation (hide)'!$A:$A,ROW(A4))</f>
        <v>0</v>
      </c>
      <c r="LN46" s="6">
        <f>SUMIFS('Time based aggregation (hide)'!$J:$J,'Time based aggregation (hide)'!$E:$E,12,'Time based aggregation (hide)'!$F:$F,2,'Time based aggregation (hide)'!$A:$A,ROW(A4))</f>
        <v>0</v>
      </c>
      <c r="LO46" s="6">
        <f>SUMIFS('Time based aggregation (hide)'!$J:$J,'Time based aggregation (hide)'!$E:$E,12,'Time based aggregation (hide)'!$F:$F,3,'Time based aggregation (hide)'!$A:$A,ROW(A4))</f>
        <v>0</v>
      </c>
      <c r="LP46" s="6">
        <f>SUMIFS('Time based aggregation (hide)'!$J:$J,'Time based aggregation (hide)'!$E:$E,13,'Time based aggregation (hide)'!$F:$F,1,'Time based aggregation (hide)'!$A:$A,ROW(A4))</f>
        <v>0</v>
      </c>
      <c r="LQ46" s="6">
        <f>SUMIFS('Time based aggregation (hide)'!$J:$J,'Time based aggregation (hide)'!$E:$E,13,'Time based aggregation (hide)'!$F:$F,2,'Time based aggregation (hide)'!$A:$A,ROW(A4))</f>
        <v>0</v>
      </c>
      <c r="LR46" s="6">
        <f>SUMIFS('Time based aggregation (hide)'!$J:$J,'Time based aggregation (hide)'!$E:$E,13,'Time based aggregation (hide)'!$F:$F,3,'Time based aggregation (hide)'!$A:$A,ROW(A4))</f>
        <v>0</v>
      </c>
      <c r="LS46" s="6">
        <f>SUMIFS('Time based aggregation (hide)'!$J:$J,'Time based aggregation (hide)'!$E:$E,14,'Time based aggregation (hide)'!$F:$F,1,'Time based aggregation (hide)'!$A:$A,ROW(A4))</f>
        <v>0</v>
      </c>
      <c r="LT46" s="6">
        <f>SUMIFS('Time based aggregation (hide)'!$J:$J,'Time based aggregation (hide)'!$E:$E,14,'Time based aggregation (hide)'!$F:$F,2,'Time based aggregation (hide)'!$A:$A,ROW(A4))</f>
        <v>0</v>
      </c>
      <c r="LU46" s="6">
        <f>SUMIFS('Time based aggregation (hide)'!$J:$J,'Time based aggregation (hide)'!$E:$E,14,'Time based aggregation (hide)'!$F:$F,3,'Time based aggregation (hide)'!$A:$A,ROW(A4))</f>
        <v>0</v>
      </c>
      <c r="LV46" s="6">
        <f>SUMIFS('Time based aggregation (hide)'!$J:$J,'Time based aggregation (hide)'!$E:$E,15,'Time based aggregation (hide)'!$F:$F,1,'Time based aggregation (hide)'!$A:$A,ROW(A4))</f>
        <v>0</v>
      </c>
      <c r="LW46" s="6">
        <f>SUMIFS('Time based aggregation (hide)'!$J:$J,'Time based aggregation (hide)'!$E:$E,15,'Time based aggregation (hide)'!$F:$F,2,'Time based aggregation (hide)'!$A:$A,ROW(A4))</f>
        <v>0</v>
      </c>
      <c r="LX46" s="6">
        <f>SUMIFS('Time based aggregation (hide)'!$J:$J,'Time based aggregation (hide)'!$E:$E,15,'Time based aggregation (hide)'!$F:$F,3,'Time based aggregation (hide)'!$A:$A,ROW(A4))</f>
        <v>0</v>
      </c>
      <c r="LY46" s="6">
        <f>SUMIFS('Time based aggregation (hide)'!$J:$J,'Time based aggregation (hide)'!$E:$E,16,'Time based aggregation (hide)'!$F:$F,1,'Time based aggregation (hide)'!$A:$A,ROW(A4))</f>
        <v>0</v>
      </c>
      <c r="LZ46" s="6">
        <f>SUMIFS('Time based aggregation (hide)'!$J:$J,'Time based aggregation (hide)'!$E:$E,16,'Time based aggregation (hide)'!$F:$F,2,'Time based aggregation (hide)'!$A:$A,ROW(A4))</f>
        <v>0</v>
      </c>
      <c r="MA46" s="6">
        <f>SUMIFS('Time based aggregation (hide)'!$J:$J,'Time based aggregation (hide)'!$E:$E,16,'Time based aggregation (hide)'!$F:$F,3,'Time based aggregation (hide)'!$A:$A,ROW(A4))</f>
        <v>0</v>
      </c>
      <c r="MB46" s="6">
        <f>SUMIFS('Time based aggregation (hide)'!$J:$J,'Time based aggregation (hide)'!$E:$E,17,'Time based aggregation (hide)'!$F:$F,1,'Time based aggregation (hide)'!$A:$A,ROW(A4))</f>
        <v>0</v>
      </c>
      <c r="MC46" s="6">
        <f>SUMIFS('Time based aggregation (hide)'!$J:$J,'Time based aggregation (hide)'!$E:$E,17,'Time based aggregation (hide)'!$F:$F,2,'Time based aggregation (hide)'!$A:$A,ROW(A4))</f>
        <v>0</v>
      </c>
      <c r="MD46" s="6">
        <f>SUMIFS('Time based aggregation (hide)'!$J:$J,'Time based aggregation (hide)'!$E:$E,17,'Time based aggregation (hide)'!$F:$F,3,'Time based aggregation (hide)'!$A:$A,ROW(A4))</f>
        <v>0</v>
      </c>
      <c r="ME46" s="6">
        <f>SUMIFS('Time based aggregation (hide)'!$J:$J,'Time based aggregation (hide)'!$E:$E,18,'Time based aggregation (hide)'!$F:$F,1,'Time based aggregation (hide)'!$A:$A,ROW(A4))</f>
        <v>0</v>
      </c>
      <c r="MF46" s="6">
        <f>SUMIFS('Time based aggregation (hide)'!$J:$J,'Time based aggregation (hide)'!$E:$E,18,'Time based aggregation (hide)'!$F:$F,2,'Time based aggregation (hide)'!$A:$A,ROW(A4))</f>
        <v>0</v>
      </c>
      <c r="MG46" s="6">
        <f>SUMIFS('Time based aggregation (hide)'!$J:$J,'Time based aggregation (hide)'!$E:$E,18,'Time based aggregation (hide)'!$F:$F,3,'Time based aggregation (hide)'!$A:$A,ROW(A4))</f>
        <v>0</v>
      </c>
      <c r="MH46" s="6">
        <f>SUMIFS('Time based aggregation (hide)'!$J:$J,'Time based aggregation (hide)'!$E:$E,19,'Time based aggregation (hide)'!$F:$F,1,'Time based aggregation (hide)'!$A:$A,ROW(A4))</f>
        <v>0</v>
      </c>
      <c r="MI46" s="6">
        <f>SUMIFS('Time based aggregation (hide)'!$J:$J,'Time based aggregation (hide)'!$E:$E,19,'Time based aggregation (hide)'!$F:$F,2,'Time based aggregation (hide)'!$A:$A,ROW(A4))</f>
        <v>0</v>
      </c>
      <c r="MJ46" s="6">
        <f>SUMIFS('Time based aggregation (hide)'!$J:$J,'Time based aggregation (hide)'!$E:$E,19,'Time based aggregation (hide)'!$F:$F,3,'Time based aggregation (hide)'!$A:$A,ROW(A4))</f>
        <v>0</v>
      </c>
      <c r="MK46" s="6">
        <f>SUMIFS('Time based aggregation (hide)'!$J:$J,'Time based aggregation (hide)'!$E:$E,20,'Time based aggregation (hide)'!$F:$F,1,'Time based aggregation (hide)'!$A:$A,ROW(A4))</f>
        <v>0</v>
      </c>
      <c r="ML46" s="6">
        <f>SUMIFS('Time based aggregation (hide)'!$J:$J,'Time based aggregation (hide)'!$E:$E,20,'Time based aggregation (hide)'!$F:$F,2,'Time based aggregation (hide)'!$A:$A,ROW(A4))</f>
        <v>0</v>
      </c>
      <c r="MM46" s="6">
        <f>SUMIFS('Time based aggregation (hide)'!$J:$J,'Time based aggregation (hide)'!$E:$E,20,'Time based aggregation (hide)'!$F:$F,3,'Time based aggregation (hide)'!$A:$A,ROW(A4))</f>
        <v>0</v>
      </c>
      <c r="MN46" s="7">
        <f t="shared" ca="1" si="36"/>
        <v>0</v>
      </c>
      <c r="MO46" s="7">
        <f t="shared" ca="1" si="32"/>
        <v>0</v>
      </c>
      <c r="MP46" s="7">
        <f t="shared" ca="1" si="32"/>
        <v>0</v>
      </c>
      <c r="MQ46" s="7">
        <f t="shared" ca="1" si="32"/>
        <v>0</v>
      </c>
      <c r="MR46" s="7">
        <f t="shared" ca="1" si="32"/>
        <v>0</v>
      </c>
    </row>
    <row r="47" spans="1:356" x14ac:dyDescent="0.25">
      <c r="A47">
        <f>1</f>
        <v>1</v>
      </c>
      <c r="B47" s="85">
        <f t="shared" si="37"/>
        <v>43835</v>
      </c>
      <c r="C47" s="85">
        <f t="shared" si="25"/>
        <v>43829</v>
      </c>
      <c r="D47">
        <f t="shared" ca="1" si="26"/>
        <v>0</v>
      </c>
      <c r="E47" s="85">
        <f t="shared" si="27"/>
        <v>43831</v>
      </c>
      <c r="F47">
        <f t="shared" si="33"/>
        <v>1</v>
      </c>
      <c r="H47">
        <f t="shared" si="34"/>
        <v>5</v>
      </c>
      <c r="I47" s="85">
        <f t="shared" si="38"/>
        <v>43857</v>
      </c>
      <c r="J47">
        <f t="shared" ca="1" si="28"/>
        <v>5</v>
      </c>
      <c r="K47">
        <f t="shared" ca="1" si="29"/>
        <v>1.968503937007874E-2</v>
      </c>
      <c r="L47" s="114"/>
      <c r="N47" s="85">
        <f t="shared" si="35"/>
        <v>43857</v>
      </c>
      <c r="O47" s="122">
        <f t="shared" ca="1" si="30"/>
        <v>1</v>
      </c>
      <c r="P47" s="122">
        <f t="shared" ca="1" si="30"/>
        <v>0</v>
      </c>
      <c r="Q47" s="122">
        <f t="shared" ca="1" si="30"/>
        <v>0</v>
      </c>
      <c r="R47" s="122">
        <f t="shared" ca="1" si="30"/>
        <v>0</v>
      </c>
      <c r="S47" s="122">
        <f t="shared" ca="1" si="30"/>
        <v>0</v>
      </c>
      <c r="T47" s="122">
        <f t="shared" ca="1" si="30"/>
        <v>0</v>
      </c>
      <c r="U47" s="122">
        <f t="shared" ca="1" si="30"/>
        <v>0</v>
      </c>
      <c r="V47" s="122">
        <f t="shared" ca="1" si="30"/>
        <v>0</v>
      </c>
      <c r="W47" s="122">
        <f t="shared" ca="1" si="30"/>
        <v>0</v>
      </c>
      <c r="X47" s="122">
        <f t="shared" ca="1" si="30"/>
        <v>0</v>
      </c>
      <c r="Y47" s="122">
        <f t="shared" ca="1" si="30"/>
        <v>0</v>
      </c>
      <c r="Z47" s="122">
        <f t="shared" ca="1" si="30"/>
        <v>0</v>
      </c>
      <c r="AA47" s="122"/>
      <c r="AB47" s="140">
        <f>INDEX('File 1'!Weekly_Adjusted,5,1)</f>
        <v>388.17143954725253</v>
      </c>
      <c r="AC47" s="140">
        <f>INDEX('File 1'!Weekly_Adjusted,5,2)</f>
        <v>0</v>
      </c>
      <c r="AD47" s="140">
        <f>INDEX('File 1'!Weekly_Adjusted,5,3)</f>
        <v>0</v>
      </c>
      <c r="AE47" s="141">
        <f>INDEX('File 2'!Weekly_Adjusted,5,1)</f>
        <v>0</v>
      </c>
      <c r="AF47" s="141">
        <f>INDEX('File 2'!Weekly_Adjusted,5,2)</f>
        <v>0</v>
      </c>
      <c r="AG47" s="141">
        <f>INDEX('File 2'!Weekly_Adjusted,5,3)</f>
        <v>0</v>
      </c>
      <c r="AH47" s="140">
        <f>INDEX('File 3'!Weekly_Adjusted,5,1)</f>
        <v>0</v>
      </c>
      <c r="AI47" s="140">
        <f>INDEX('File 3'!Weekly_Adjusted,5,2)</f>
        <v>0</v>
      </c>
      <c r="AJ47" s="140">
        <f>INDEX('File 3'!Weekly_Adjusted,5,3)</f>
        <v>0</v>
      </c>
      <c r="AK47" s="141">
        <f>INDEX('File 4'!Weekly_Adjusted,5,1)</f>
        <v>0</v>
      </c>
      <c r="AL47" s="141">
        <f>INDEX('File 4'!Weekly_Adjusted,5,2)</f>
        <v>0</v>
      </c>
      <c r="AM47" s="141">
        <f>INDEX('File 4'!Weekly_Adjusted,5,3)</f>
        <v>0</v>
      </c>
      <c r="AN47" s="140">
        <f>INDEX('File 5'!Weekly_Adjusted,5,1)</f>
        <v>0</v>
      </c>
      <c r="AO47" s="140">
        <f>INDEX('File 5'!Weekly_Adjusted,5,2)</f>
        <v>0</v>
      </c>
      <c r="AP47" s="140">
        <f>INDEX('File 5'!Weekly_Adjusted,5,3)</f>
        <v>0</v>
      </c>
      <c r="AQ47" s="141">
        <f>INDEX('File 6'!Weekly_Adjusted,5,1)</f>
        <v>0</v>
      </c>
      <c r="AR47" s="141">
        <f>INDEX('File 6'!Weekly_Adjusted,5,2)</f>
        <v>0</v>
      </c>
      <c r="AS47" s="141">
        <f>INDEX('File 6'!Weekly_Adjusted,5,3)</f>
        <v>0</v>
      </c>
      <c r="AT47" s="140">
        <f>INDEX('File 7'!Weekly_Adjusted,5,1)</f>
        <v>0</v>
      </c>
      <c r="AU47" s="140">
        <f>INDEX('File 7'!Weekly_Adjusted,5,2)</f>
        <v>0</v>
      </c>
      <c r="AV47" s="140">
        <f>INDEX('File 7'!Weekly_Adjusted,5,3)</f>
        <v>0</v>
      </c>
      <c r="AW47" s="141">
        <f>INDEX('File 8'!Weekly_Adjusted,5,1)</f>
        <v>0</v>
      </c>
      <c r="AX47" s="141">
        <f>INDEX('File 8'!Weekly_Adjusted,5,2)</f>
        <v>0</v>
      </c>
      <c r="AY47" s="141">
        <f>INDEX('File 8'!Weekly_Adjusted,5,3)</f>
        <v>0</v>
      </c>
      <c r="AZ47" s="140">
        <f>INDEX('File 9'!Weekly_Adjusted,5,1)</f>
        <v>0</v>
      </c>
      <c r="BA47" s="140">
        <f>INDEX('File 9'!Weekly_Adjusted,5,2)</f>
        <v>0</v>
      </c>
      <c r="BB47" s="140">
        <f>INDEX('File 9'!Weekly_Adjusted,5,3)</f>
        <v>0</v>
      </c>
      <c r="BC47" s="141">
        <f>INDEX('File 10'!Weekly_Adjusted,5,1)</f>
        <v>0</v>
      </c>
      <c r="BD47" s="141">
        <f>INDEX('File 10'!Weekly_Adjusted,5,2)</f>
        <v>0</v>
      </c>
      <c r="BE47" s="141">
        <f>INDEX('File 10'!Weekly_Adjusted,5,3)</f>
        <v>0</v>
      </c>
      <c r="BF47" s="140">
        <f>INDEX('File 11'!Weekly_Adjusted,5,1)</f>
        <v>0</v>
      </c>
      <c r="BG47" s="140">
        <f>INDEX('File 11'!Weekly_Adjusted,5,2)</f>
        <v>0</v>
      </c>
      <c r="BH47" s="140">
        <f>INDEX('File 11'!Weekly_Adjusted,5,3)</f>
        <v>0</v>
      </c>
      <c r="BI47" s="141">
        <f>INDEX('File 12'!Weekly_Adjusted,5,1)</f>
        <v>0</v>
      </c>
      <c r="BJ47" s="141">
        <f>INDEX('File 12'!Weekly_Adjusted,5,2)</f>
        <v>0</v>
      </c>
      <c r="BK47" s="141">
        <f>INDEX('File 12'!Weekly_Adjusted,5,3)</f>
        <v>0</v>
      </c>
      <c r="BL47" s="140">
        <f>INDEX('File 13'!Weekly_Adjusted,5,1)</f>
        <v>0</v>
      </c>
      <c r="BM47" s="140">
        <f>INDEX('File 13'!Weekly_Adjusted,5,2)</f>
        <v>0</v>
      </c>
      <c r="BN47" s="140">
        <f>INDEX('File 13'!Weekly_Adjusted,5,3)</f>
        <v>0</v>
      </c>
      <c r="BO47" s="141">
        <f>INDEX('File 14'!Weekly_Adjusted,5,1)</f>
        <v>0</v>
      </c>
      <c r="BP47" s="141">
        <f>INDEX('File 14'!Weekly_Adjusted,5,2)</f>
        <v>0</v>
      </c>
      <c r="BQ47" s="141">
        <f>INDEX('File 14'!Weekly_Adjusted,5,3)</f>
        <v>0</v>
      </c>
      <c r="BR47" s="140">
        <f>INDEX('File 15'!Weekly_Adjusted,5,1)</f>
        <v>0</v>
      </c>
      <c r="BS47" s="140">
        <f>INDEX('File 15'!Weekly_Adjusted,5,2)</f>
        <v>0</v>
      </c>
      <c r="BT47" s="140">
        <f>INDEX('File 15'!Weekly_Adjusted,5,3)</f>
        <v>0</v>
      </c>
      <c r="BU47" s="141">
        <f>INDEX('File 16'!Weekly_Adjusted,5,1)</f>
        <v>0</v>
      </c>
      <c r="BV47" s="141">
        <f>INDEX('File 16'!Weekly_Adjusted,5,2)</f>
        <v>0</v>
      </c>
      <c r="BW47" s="141">
        <f>INDEX('File 16'!Weekly_Adjusted,5,3)</f>
        <v>0</v>
      </c>
      <c r="BX47" s="140">
        <f>INDEX('File 17'!Weekly_Adjusted,5,1)</f>
        <v>0</v>
      </c>
      <c r="BY47" s="140">
        <f>INDEX('File 17'!Weekly_Adjusted,5,2)</f>
        <v>0</v>
      </c>
      <c r="BZ47" s="140">
        <f>INDEX('File 17'!Weekly_Adjusted,5,3)</f>
        <v>0</v>
      </c>
      <c r="CA47" s="141">
        <f>INDEX('File 18'!Weekly_Adjusted,5,1)</f>
        <v>0</v>
      </c>
      <c r="CB47" s="141">
        <f>INDEX('File 18'!Weekly_Adjusted,5,2)</f>
        <v>0</v>
      </c>
      <c r="CC47" s="141">
        <f>INDEX('File 18'!Weekly_Adjusted,5,3)</f>
        <v>0</v>
      </c>
      <c r="CD47" s="140">
        <f>INDEX('File 19'!Weekly_Adjusted,5,1)</f>
        <v>0</v>
      </c>
      <c r="CE47" s="140">
        <f>INDEX('File 19'!Weekly_Adjusted,5,2)</f>
        <v>0</v>
      </c>
      <c r="CF47" s="140">
        <f>INDEX('File 19'!Weekly_Adjusted,5,3)</f>
        <v>0</v>
      </c>
      <c r="CG47" s="141">
        <f>INDEX('File 20'!Weekly_Adjusted,5,1)</f>
        <v>0</v>
      </c>
      <c r="CH47" s="141">
        <f>INDEX('File 20'!Weekly_Adjusted,5,2)</f>
        <v>0</v>
      </c>
      <c r="CI47" s="141">
        <f>INDEX('File 20'!Weekly_Adjusted,5,3)</f>
        <v>0</v>
      </c>
      <c r="CJ47" s="6">
        <f ca="1">SUMIFS(INDEX(Demand_Activity_Weekly,ROW(A5),0),Demand_Activity_Weekly_Header,CJ$42)</f>
        <v>388.17143954725253</v>
      </c>
      <c r="CK47" s="6">
        <f ca="1">SUMIFS(INDEX(Demand_Activity_Weekly,ROW(B5),0),Demand_Activity_Weekly_Header,CK$42)</f>
        <v>0</v>
      </c>
      <c r="CL47" s="6">
        <f ca="1">SUMIFS(INDEX(Demand_Activity_Weekly,ROW(C5),0),Demand_Activity_Weekly_Header,CL$42)</f>
        <v>0</v>
      </c>
      <c r="CM47" s="6">
        <f ca="1">SUMIFS(INDEX(Demand_Activity_Weekly,ROW(D5),0),Demand_Activity_Weekly_Header,CM$42)</f>
        <v>0</v>
      </c>
      <c r="CN47" s="6">
        <f ca="1">SUMIFS(INDEX(Demand_Activity_Weekly,ROW(E5),0),Demand_Activity_Weekly_Header,CN$42)</f>
        <v>0</v>
      </c>
      <c r="CP47" s="142">
        <f ca="1">INDEX('File 1'!Weekly_Adjusted,5,10)</f>
        <v>24.919784152855019</v>
      </c>
      <c r="CQ47" s="142">
        <f>INDEX('File 1'!Weekly_Adjusted,5,11)</f>
        <v>0</v>
      </c>
      <c r="CR47" s="142">
        <f>INDEX('File 1'!Weekly_Adjusted,5,12)</f>
        <v>0</v>
      </c>
      <c r="CS47" s="143">
        <f>INDEX('File 2'!Weekly_Adjusted,5,10)</f>
        <v>0</v>
      </c>
      <c r="CT47" s="143">
        <f>INDEX('File 2'!Weekly_Adjusted,5,11)</f>
        <v>0</v>
      </c>
      <c r="CU47" s="143">
        <f>INDEX('File 2'!Weekly_Adjusted,5,12)</f>
        <v>0</v>
      </c>
      <c r="CV47" s="142">
        <f>INDEX('File 3'!Weekly_Adjusted,5,10)</f>
        <v>0</v>
      </c>
      <c r="CW47" s="142">
        <f>INDEX('File 3'!Weekly_Adjusted,5,11)</f>
        <v>0</v>
      </c>
      <c r="CX47" s="142">
        <f>INDEX('File 3'!Weekly_Adjusted,5,12)</f>
        <v>0</v>
      </c>
      <c r="CY47" s="143">
        <f>INDEX('File 4'!Weekly_Adjusted,5,10)</f>
        <v>0</v>
      </c>
      <c r="CZ47" s="143">
        <f>INDEX('File 4'!Weekly_Adjusted,5,11)</f>
        <v>0</v>
      </c>
      <c r="DA47" s="143">
        <f>INDEX('File 4'!Weekly_Adjusted,5,12)</f>
        <v>0</v>
      </c>
      <c r="DB47" s="142">
        <f>INDEX('File 5'!Weekly_Adjusted,5,10)</f>
        <v>0</v>
      </c>
      <c r="DC47" s="142">
        <f>INDEX('File 5'!Weekly_Adjusted,5,11)</f>
        <v>0</v>
      </c>
      <c r="DD47" s="142">
        <f>INDEX('File 5'!Weekly_Adjusted,5,12)</f>
        <v>0</v>
      </c>
      <c r="DE47" s="143">
        <f>INDEX('File 6'!Weekly_Adjusted,5,10)</f>
        <v>0</v>
      </c>
      <c r="DF47" s="143">
        <f>INDEX('File 6'!Weekly_Adjusted,5,11)</f>
        <v>0</v>
      </c>
      <c r="DG47" s="143">
        <f>INDEX('File 6'!Weekly_Adjusted,5,12)</f>
        <v>0</v>
      </c>
      <c r="DH47" s="142">
        <f>INDEX('File 7'!Weekly_Adjusted,5,10)</f>
        <v>0</v>
      </c>
      <c r="DI47" s="142">
        <f>INDEX('File 7'!Weekly_Adjusted,5,11)</f>
        <v>0</v>
      </c>
      <c r="DJ47" s="142">
        <f>INDEX('File 7'!Weekly_Adjusted,5,12)</f>
        <v>0</v>
      </c>
      <c r="DK47" s="143">
        <f>INDEX('File 8'!Weekly_Adjusted,5,10)</f>
        <v>0</v>
      </c>
      <c r="DL47" s="143">
        <f>INDEX('File 8'!Weekly_Adjusted,5,11)</f>
        <v>0</v>
      </c>
      <c r="DM47" s="143">
        <f>INDEX('File 8'!Weekly_Adjusted,5,12)</f>
        <v>0</v>
      </c>
      <c r="DN47" s="142">
        <f>INDEX('File 9'!Weekly_Adjusted,5,10)</f>
        <v>0</v>
      </c>
      <c r="DO47" s="142">
        <f>INDEX('File 9'!Weekly_Adjusted,5,11)</f>
        <v>0</v>
      </c>
      <c r="DP47" s="142">
        <f>INDEX('File 9'!Weekly_Adjusted,5,12)</f>
        <v>0</v>
      </c>
      <c r="DQ47" s="143">
        <f>INDEX('File 10'!Weekly_Adjusted,5,10)</f>
        <v>0</v>
      </c>
      <c r="DR47" s="143">
        <f>INDEX('File 10'!Weekly_Adjusted,5,11)</f>
        <v>0</v>
      </c>
      <c r="DS47" s="143">
        <f>INDEX('File 10'!Weekly_Adjusted,5,12)</f>
        <v>0</v>
      </c>
      <c r="DT47" s="142">
        <f>INDEX('File 11'!Weekly_Adjusted,5,10)</f>
        <v>0</v>
      </c>
      <c r="DU47" s="142">
        <f>INDEX('File 11'!Weekly_Adjusted,5,11)</f>
        <v>0</v>
      </c>
      <c r="DV47" s="142">
        <f>INDEX('File 11'!Weekly_Adjusted,5,12)</f>
        <v>0</v>
      </c>
      <c r="DW47" s="143">
        <f>INDEX('File 12'!Weekly_Adjusted,5,10)</f>
        <v>0</v>
      </c>
      <c r="DX47" s="143">
        <f>INDEX('File 12'!Weekly_Adjusted,5,11)</f>
        <v>0</v>
      </c>
      <c r="DY47" s="143">
        <f>INDEX('File 12'!Weekly_Adjusted,5,12)</f>
        <v>0</v>
      </c>
      <c r="DZ47" s="142">
        <f>INDEX('File 13'!Weekly_Adjusted,5,10)</f>
        <v>0</v>
      </c>
      <c r="EA47" s="142">
        <f>INDEX('File 13'!Weekly_Adjusted,5,11)</f>
        <v>0</v>
      </c>
      <c r="EB47" s="142">
        <f>INDEX('File 13'!Weekly_Adjusted,5,12)</f>
        <v>0</v>
      </c>
      <c r="EC47" s="143">
        <f>INDEX('File 14'!Weekly_Adjusted,5,10)</f>
        <v>0</v>
      </c>
      <c r="ED47" s="143">
        <f>INDEX('File 14'!Weekly_Adjusted,5,11)</f>
        <v>0</v>
      </c>
      <c r="EE47" s="143">
        <f>INDEX('File 14'!Weekly_Adjusted,5,12)</f>
        <v>0</v>
      </c>
      <c r="EF47" s="142">
        <f>INDEX('File 15'!Weekly_Adjusted,5,10)</f>
        <v>0</v>
      </c>
      <c r="EG47" s="142">
        <f>INDEX('File 15'!Weekly_Adjusted,5,11)</f>
        <v>0</v>
      </c>
      <c r="EH47" s="142">
        <f>INDEX('File 15'!Weekly_Adjusted,5,12)</f>
        <v>0</v>
      </c>
      <c r="EI47" s="143">
        <f>INDEX('File 16'!Weekly_Adjusted,5,10)</f>
        <v>0</v>
      </c>
      <c r="EJ47" s="143">
        <f>INDEX('File 16'!Weekly_Adjusted,5,11)</f>
        <v>0</v>
      </c>
      <c r="EK47" s="143">
        <f>INDEX('File 16'!Weekly_Adjusted,5,12)</f>
        <v>0</v>
      </c>
      <c r="EL47" s="142">
        <f>INDEX('File 17'!Weekly_Adjusted,5,10)</f>
        <v>0</v>
      </c>
      <c r="EM47" s="142">
        <f>INDEX('File 17'!Weekly_Adjusted,5,11)</f>
        <v>0</v>
      </c>
      <c r="EN47" s="142">
        <f>INDEX('File 17'!Weekly_Adjusted,5,12)</f>
        <v>0</v>
      </c>
      <c r="EO47" s="143">
        <f>INDEX('File 18'!Weekly_Adjusted,5,10)</f>
        <v>0</v>
      </c>
      <c r="EP47" s="143">
        <f>INDEX('File 18'!Weekly_Adjusted,5,11)</f>
        <v>0</v>
      </c>
      <c r="EQ47" s="143">
        <f>INDEX('File 18'!Weekly_Adjusted,5,12)</f>
        <v>0</v>
      </c>
      <c r="ER47" s="142">
        <f>INDEX('File 19'!Weekly_Adjusted,5,10)</f>
        <v>0</v>
      </c>
      <c r="ES47" s="142">
        <f>INDEX('File 19'!Weekly_Adjusted,5,11)</f>
        <v>0</v>
      </c>
      <c r="ET47" s="142">
        <f>INDEX('File 19'!Weekly_Adjusted,5,12)</f>
        <v>0</v>
      </c>
      <c r="EU47" s="143">
        <f>INDEX('File 20'!Weekly_Adjusted,5,10)</f>
        <v>0</v>
      </c>
      <c r="EV47" s="143">
        <f>INDEX('File 20'!Weekly_Adjusted,5,11)</f>
        <v>0</v>
      </c>
      <c r="EW47" s="143">
        <f>INDEX('File 20'!Weekly_Adjusted,5,12)</f>
        <v>0</v>
      </c>
      <c r="EX47" s="6">
        <f ca="1">SUMIFS(INDEX(Capacity_Activity_Weekly,ROW(A5),0),Demand_Activity_Weekly_Header,CJ$42)</f>
        <v>24.919784152855019</v>
      </c>
      <c r="EY47" s="6">
        <f ca="1">SUMIFS(INDEX(Capacity_Activity_Weekly,ROW(B5),0),Demand_Activity_Weekly_Header,CK$42)</f>
        <v>0</v>
      </c>
      <c r="EZ47" s="6">
        <f ca="1">SUMIFS(INDEX(Capacity_Activity_Weekly,ROW(C5),0),Demand_Activity_Weekly_Header,CL$42)</f>
        <v>0</v>
      </c>
      <c r="FA47" s="6">
        <f ca="1">SUMIFS(INDEX(Capacity_Activity_Weekly,ROW(D5),0),Demand_Activity_Weekly_Header,CM$42)</f>
        <v>0</v>
      </c>
      <c r="FB47" s="6">
        <f ca="1">SUMIFS(INDEX(Capacity_Activity_Weekly,ROW(E5),0),Demand_Activity_Weekly_Header,CN$42)</f>
        <v>0</v>
      </c>
      <c r="FD47" s="7">
        <f>'File 1'!$Q$54*'Time based aggregation (hide)'!$Q9</f>
        <v>0</v>
      </c>
      <c r="FE47" s="7">
        <f>'File 1'!$R$54*'Time based aggregation (hide)'!$R9</f>
        <v>0</v>
      </c>
      <c r="FF47" s="7">
        <f>'File 1'!$S$54*'Time based aggregation (hide)'!$S9</f>
        <v>0</v>
      </c>
      <c r="FG47" s="7">
        <f>'File 2'!$Q$54*'Time based aggregation (hide)'!$T9</f>
        <v>0</v>
      </c>
      <c r="FH47" s="7">
        <f>'File 2'!$R$54*'Time based aggregation (hide)'!$U9</f>
        <v>0</v>
      </c>
      <c r="FI47" s="7">
        <f>'File 2'!$S$54*'Time based aggregation (hide)'!$V9</f>
        <v>0</v>
      </c>
      <c r="FJ47" s="7">
        <f>'File 3'!$Q$54*'Time based aggregation (hide)'!$W9</f>
        <v>0</v>
      </c>
      <c r="FK47" s="7">
        <f>'File 3'!$R$54*'Time based aggregation (hide)'!$X9</f>
        <v>0</v>
      </c>
      <c r="FL47" s="7">
        <f>'File 3'!$S$54*'Time based aggregation (hide)'!$Y9</f>
        <v>0</v>
      </c>
      <c r="FM47" s="7">
        <f>'File 4'!$Q$54*'Time based aggregation (hide)'!$Z9</f>
        <v>0</v>
      </c>
      <c r="FN47" s="7">
        <f>'File 4'!$R$54*'Time based aggregation (hide)'!$AA9</f>
        <v>0</v>
      </c>
      <c r="FO47" s="7">
        <f>'File 4'!$S$54*'Time based aggregation (hide)'!$AB9</f>
        <v>0</v>
      </c>
      <c r="FP47" s="7">
        <f>'File 5'!$Q$54*'Time based aggregation (hide)'!$AC9</f>
        <v>0</v>
      </c>
      <c r="FQ47" s="7">
        <f>'File 5'!$R$54*'Time based aggregation (hide)'!$AD9</f>
        <v>0</v>
      </c>
      <c r="FR47" s="7">
        <f>'File 5'!$S$54*'Time based aggregation (hide)'!$AE9</f>
        <v>0</v>
      </c>
      <c r="FS47" s="7">
        <f>'File 6'!$Q$54*'Time based aggregation (hide)'!$AF9</f>
        <v>0</v>
      </c>
      <c r="FT47" s="7">
        <f>'File 6'!$R$54*'Time based aggregation (hide)'!$AG9</f>
        <v>0</v>
      </c>
      <c r="FU47" s="7">
        <f>'File 6'!$S$54*'Time based aggregation (hide)'!$AH9</f>
        <v>0</v>
      </c>
      <c r="FV47" s="7">
        <f>'File 7'!$Q$54*'Time based aggregation (hide)'!$AI9</f>
        <v>0</v>
      </c>
      <c r="FW47" s="7">
        <f>'File 7'!$R$54*'Time based aggregation (hide)'!$AJ9</f>
        <v>0</v>
      </c>
      <c r="FX47" s="7">
        <f>'File 7'!$S$54*'Time based aggregation (hide)'!$AK9</f>
        <v>0</v>
      </c>
      <c r="FY47" s="7">
        <f>'File 8'!$Q$54*'Time based aggregation (hide)'!$AL9</f>
        <v>0</v>
      </c>
      <c r="FZ47" s="7">
        <f>'File 8'!$R$54*'Time based aggregation (hide)'!$AM9</f>
        <v>0</v>
      </c>
      <c r="GA47" s="7">
        <f>'File 8'!$S$54*'Time based aggregation (hide)'!$AN9</f>
        <v>0</v>
      </c>
      <c r="GB47" s="7">
        <f>'File 9'!$Q$54*'Time based aggregation (hide)'!$AO9</f>
        <v>0</v>
      </c>
      <c r="GC47" s="7">
        <f>'File 9'!$R$54*'Time based aggregation (hide)'!$AP9</f>
        <v>0</v>
      </c>
      <c r="GD47" s="7">
        <f>'File 9'!$S$54*'Time based aggregation (hide)'!$AQ9</f>
        <v>0</v>
      </c>
      <c r="GE47" s="7">
        <f>'File 10'!$Q$54*'Time based aggregation (hide)'!$AR9</f>
        <v>0</v>
      </c>
      <c r="GF47" s="7">
        <f>'File 10'!$R$54*'Time based aggregation (hide)'!$AS9</f>
        <v>0</v>
      </c>
      <c r="GG47" s="7">
        <f>'File 10'!$S$54*'Time based aggregation (hide)'!$AT9</f>
        <v>0</v>
      </c>
      <c r="GH47" s="7">
        <f>'File 11'!$Q$54*'Time based aggregation (hide)'!$AU9</f>
        <v>0</v>
      </c>
      <c r="GI47" s="7">
        <f>'File 11'!$R$54*'Time based aggregation (hide)'!$AV9</f>
        <v>0</v>
      </c>
      <c r="GJ47" s="7">
        <f>'File 11'!$S$54*'Time based aggregation (hide)'!$AW9</f>
        <v>0</v>
      </c>
      <c r="GK47" s="7">
        <f>'File 12'!$Q$54*'Time based aggregation (hide)'!$AX9</f>
        <v>0</v>
      </c>
      <c r="GL47" s="7">
        <f>'File 12'!$R$54*'Time based aggregation (hide)'!$AY9</f>
        <v>0</v>
      </c>
      <c r="GM47" s="7">
        <f>'File 12'!$S$54*'Time based aggregation (hide)'!$AZ9</f>
        <v>0</v>
      </c>
      <c r="GN47" s="7">
        <f>'File 13'!$Q$54*'Time based aggregation (hide)'!$BA9</f>
        <v>0</v>
      </c>
      <c r="GO47" s="7">
        <f>'File 13'!$R$54*'Time based aggregation (hide)'!$BB9</f>
        <v>0</v>
      </c>
      <c r="GP47" s="7">
        <f>'File 13'!$S$54*'Time based aggregation (hide)'!$BC9</f>
        <v>0</v>
      </c>
      <c r="GQ47" s="7">
        <f>'File 14'!$Q$54*'Time based aggregation (hide)'!$BD9</f>
        <v>0</v>
      </c>
      <c r="GR47" s="7">
        <f>'File 14'!$R$54*'Time based aggregation (hide)'!$BE9</f>
        <v>0</v>
      </c>
      <c r="GS47" s="7">
        <f>'File 14'!$S$54*'Time based aggregation (hide)'!$BF9</f>
        <v>0</v>
      </c>
      <c r="GT47" s="7">
        <f>'File 15'!$Q$54*'Time based aggregation (hide)'!$BG9</f>
        <v>0</v>
      </c>
      <c r="GU47" s="7">
        <f>'File 15'!$R$54*'Time based aggregation (hide)'!$BH9</f>
        <v>0</v>
      </c>
      <c r="GV47" s="7">
        <f>'File 15'!$S$54*'Time based aggregation (hide)'!$BI9</f>
        <v>0</v>
      </c>
      <c r="GW47" s="7">
        <f>'File 16'!$Q$54*'Time based aggregation (hide)'!$BJ9</f>
        <v>0</v>
      </c>
      <c r="GX47" s="7">
        <f>'File 16'!$R$54*'Time based aggregation (hide)'!$BK9</f>
        <v>0</v>
      </c>
      <c r="GY47" s="7">
        <f>'File 16'!$S$54*'Time based aggregation (hide)'!$BL9</f>
        <v>0</v>
      </c>
      <c r="GZ47" s="7">
        <f>'File 17'!$Q$54*'Time based aggregation (hide)'!$BM9</f>
        <v>0</v>
      </c>
      <c r="HA47" s="7">
        <f>'File 17'!$R$54*'Time based aggregation (hide)'!$BN9</f>
        <v>0</v>
      </c>
      <c r="HB47" s="7">
        <f>'File 17'!$S$54*'Time based aggregation (hide)'!$BO9</f>
        <v>0</v>
      </c>
      <c r="HC47" s="7">
        <f>'File 18'!$Q$54*'Time based aggregation (hide)'!$BP9</f>
        <v>0</v>
      </c>
      <c r="HD47" s="7">
        <f>'File 18'!$R$54*'Time based aggregation (hide)'!$BQ9</f>
        <v>0</v>
      </c>
      <c r="HE47" s="7">
        <f>'File 18'!$S$54*'Time based aggregation (hide)'!$BR9</f>
        <v>0</v>
      </c>
      <c r="HF47" s="7">
        <f>'File 19'!$Q$54*'Time based aggregation (hide)'!$BS9</f>
        <v>0</v>
      </c>
      <c r="HG47" s="7">
        <f>'File 19'!$R$54*'Time based aggregation (hide)'!$BT9</f>
        <v>0</v>
      </c>
      <c r="HH47" s="7">
        <f>'File 19'!$S$54*'Time based aggregation (hide)'!$BU9</f>
        <v>0</v>
      </c>
      <c r="HI47" s="7">
        <f>'File 20'!$Q$54*'Time based aggregation (hide)'!$BV9</f>
        <v>0</v>
      </c>
      <c r="HJ47" s="7">
        <f>'File 20'!$R$54*'Time based aggregation (hide)'!$BW9</f>
        <v>0</v>
      </c>
      <c r="HK47" s="7">
        <f>'File 20'!$S$54*'Time based aggregation (hide)'!$BX9</f>
        <v>0</v>
      </c>
      <c r="HL47" s="7">
        <f t="shared" ca="1" si="31"/>
        <v>0</v>
      </c>
      <c r="HM47" s="7">
        <f t="shared" ca="1" si="31"/>
        <v>0</v>
      </c>
      <c r="HN47" s="7">
        <f t="shared" ca="1" si="31"/>
        <v>0</v>
      </c>
      <c r="HO47" s="7">
        <f t="shared" ca="1" si="31"/>
        <v>0</v>
      </c>
      <c r="HP47" s="7">
        <f t="shared" ca="1" si="31"/>
        <v>0</v>
      </c>
      <c r="HR47" s="142">
        <f ca="1">INDEX('File 1'!Weekly_Adjusted,5,16)</f>
        <v>21.427839876658773</v>
      </c>
      <c r="HS47" s="142">
        <f>INDEX('File 1'!Weekly_Adjusted,5,17)</f>
        <v>0</v>
      </c>
      <c r="HT47" s="142">
        <f>INDEX('File 1'!Weekly_Adjusted,5,18)</f>
        <v>0</v>
      </c>
      <c r="HU47" s="143">
        <f>INDEX('File 2'!Weekly_Adjusted,5,16)</f>
        <v>0</v>
      </c>
      <c r="HV47" s="143">
        <f>INDEX('File 2'!Weekly_Adjusted,5,17)</f>
        <v>0</v>
      </c>
      <c r="HW47" s="143">
        <f>INDEX('File 2'!Weekly_Adjusted,5,18)</f>
        <v>0</v>
      </c>
      <c r="HX47" s="142">
        <f>INDEX('File 3'!Weekly_Adjusted,5,16)</f>
        <v>0</v>
      </c>
      <c r="HY47" s="142">
        <f>INDEX('File 3'!Weekly_Adjusted,5,17)</f>
        <v>0</v>
      </c>
      <c r="HZ47" s="142">
        <f>INDEX('File 3'!Weekly_Adjusted,5,18)</f>
        <v>0</v>
      </c>
      <c r="IA47" s="143">
        <f>INDEX('File 4'!Weekly_Adjusted,5,16)</f>
        <v>0</v>
      </c>
      <c r="IB47" s="143">
        <f>INDEX('File 4'!Weekly_Adjusted,5,17)</f>
        <v>0</v>
      </c>
      <c r="IC47" s="143">
        <f>INDEX('File 4'!Weekly_Adjusted,5,18)</f>
        <v>0</v>
      </c>
      <c r="ID47" s="142">
        <f>INDEX('File 5'!Weekly_Adjusted,5,16)</f>
        <v>0</v>
      </c>
      <c r="IE47" s="142">
        <f>INDEX('File 5'!Weekly_Adjusted,5,17)</f>
        <v>0</v>
      </c>
      <c r="IF47" s="142">
        <f>INDEX('File 5'!Weekly_Adjusted,5,18)</f>
        <v>0</v>
      </c>
      <c r="IG47" s="143">
        <f>INDEX('File 6'!Weekly_Adjusted,5,16)</f>
        <v>0</v>
      </c>
      <c r="IH47" s="143">
        <f>INDEX('File 6'!Weekly_Adjusted,5,17)</f>
        <v>0</v>
      </c>
      <c r="II47" s="143">
        <f>INDEX('File 6'!Weekly_Adjusted,5,18)</f>
        <v>0</v>
      </c>
      <c r="IJ47" s="142">
        <f>INDEX('File 7'!Weekly_Adjusted,5,16)</f>
        <v>0</v>
      </c>
      <c r="IK47" s="142">
        <f>INDEX('File 7'!Weekly_Adjusted,5,17)</f>
        <v>0</v>
      </c>
      <c r="IL47" s="142">
        <f>INDEX('File 7'!Weekly_Adjusted,5,18)</f>
        <v>0</v>
      </c>
      <c r="IM47" s="143">
        <f>INDEX('File 8'!Weekly_Adjusted,5,16)</f>
        <v>0</v>
      </c>
      <c r="IN47" s="143">
        <f>INDEX('File 8'!Weekly_Adjusted,5,17)</f>
        <v>0</v>
      </c>
      <c r="IO47" s="143">
        <f>INDEX('File 8'!Weekly_Adjusted,5,18)</f>
        <v>0</v>
      </c>
      <c r="IP47" s="142">
        <f>INDEX('File 9'!Weekly_Adjusted,5,16)</f>
        <v>0</v>
      </c>
      <c r="IQ47" s="142">
        <f>INDEX('File 9'!Weekly_Adjusted,5,17)</f>
        <v>0</v>
      </c>
      <c r="IR47" s="142">
        <f>INDEX('File 9'!Weekly_Adjusted,5,18)</f>
        <v>0</v>
      </c>
      <c r="IS47" s="143">
        <f>INDEX('File 10'!Weekly_Adjusted,5,16)</f>
        <v>0</v>
      </c>
      <c r="IT47" s="143">
        <f>INDEX('File 10'!Weekly_Adjusted,5,17)</f>
        <v>0</v>
      </c>
      <c r="IU47" s="143">
        <f>INDEX('File 10'!Weekly_Adjusted,5,18)</f>
        <v>0</v>
      </c>
      <c r="IV47" s="142">
        <f>INDEX('File 11'!Weekly_Adjusted,5,16)</f>
        <v>0</v>
      </c>
      <c r="IW47" s="142">
        <f>INDEX('File 11'!Weekly_Adjusted,5,17)</f>
        <v>0</v>
      </c>
      <c r="IX47" s="142">
        <f>INDEX('File 11'!Weekly_Adjusted,5,18)</f>
        <v>0</v>
      </c>
      <c r="IY47" s="143">
        <f>INDEX('File 12'!Weekly_Adjusted,5,16)</f>
        <v>0</v>
      </c>
      <c r="IZ47" s="143">
        <f>INDEX('File 12'!Weekly_Adjusted,5,17)</f>
        <v>0</v>
      </c>
      <c r="JA47" s="143">
        <f>INDEX('File 12'!Weekly_Adjusted,5,18)</f>
        <v>0</v>
      </c>
      <c r="JB47" s="142">
        <f>INDEX('File 13'!Weekly_Adjusted,5,16)</f>
        <v>0</v>
      </c>
      <c r="JC47" s="142">
        <f>INDEX('File 13'!Weekly_Adjusted,5,17)</f>
        <v>0</v>
      </c>
      <c r="JD47" s="142">
        <f>INDEX('File 13'!Weekly_Adjusted,5,18)</f>
        <v>0</v>
      </c>
      <c r="JE47" s="143">
        <f>INDEX('File 14'!Weekly_Adjusted,5,16)</f>
        <v>0</v>
      </c>
      <c r="JF47" s="143">
        <f>INDEX('File 14'!Weekly_Adjusted,5,17)</f>
        <v>0</v>
      </c>
      <c r="JG47" s="143">
        <f>INDEX('File 14'!Weekly_Adjusted,5,18)</f>
        <v>0</v>
      </c>
      <c r="JH47" s="142">
        <f>INDEX('File 15'!Weekly_Adjusted,5,16)</f>
        <v>0</v>
      </c>
      <c r="JI47" s="142">
        <f>INDEX('File 15'!Weekly_Adjusted,5,17)</f>
        <v>0</v>
      </c>
      <c r="JJ47" s="142">
        <f>INDEX('File 15'!Weekly_Adjusted,5,18)</f>
        <v>0</v>
      </c>
      <c r="JK47" s="143">
        <f>INDEX('File 16'!Weekly_Adjusted,5,16)</f>
        <v>0</v>
      </c>
      <c r="JL47" s="143">
        <f>INDEX('File 16'!Weekly_Adjusted,5,17)</f>
        <v>0</v>
      </c>
      <c r="JM47" s="143">
        <f>INDEX('File 16'!Weekly_Adjusted,5,18)</f>
        <v>0</v>
      </c>
      <c r="JN47" s="142">
        <f>INDEX('File 17'!Weekly_Adjusted,5,16)</f>
        <v>0</v>
      </c>
      <c r="JO47" s="142">
        <f>INDEX('File 17'!Weekly_Adjusted,5,17)</f>
        <v>0</v>
      </c>
      <c r="JP47" s="142">
        <f>INDEX('File 17'!Weekly_Adjusted,5,18)</f>
        <v>0</v>
      </c>
      <c r="JQ47" s="143">
        <f>INDEX('File 18'!Weekly_Adjusted,5,16)</f>
        <v>0</v>
      </c>
      <c r="JR47" s="143">
        <f>INDEX('File 18'!Weekly_Adjusted,5,17)</f>
        <v>0</v>
      </c>
      <c r="JS47" s="143">
        <f>INDEX('File 18'!Weekly_Adjusted,5,18)</f>
        <v>0</v>
      </c>
      <c r="JT47" s="142">
        <f>INDEX('File 19'!Weekly_Adjusted,5,16)</f>
        <v>0</v>
      </c>
      <c r="JU47" s="142">
        <f>INDEX('File 19'!Weekly_Adjusted,5,17)</f>
        <v>0</v>
      </c>
      <c r="JV47" s="142">
        <f>INDEX('File 19'!Weekly_Adjusted,5,18)</f>
        <v>0</v>
      </c>
      <c r="JW47" s="143">
        <f>INDEX('File 20'!Weekly_Adjusted,5,16)</f>
        <v>0</v>
      </c>
      <c r="JX47" s="143">
        <f>INDEX('File 20'!Weekly_Adjusted,5,17)</f>
        <v>0</v>
      </c>
      <c r="JY47" s="143">
        <f>INDEX('File 20'!Weekly_Adjusted,5,18)</f>
        <v>0</v>
      </c>
      <c r="JZ47" s="6">
        <f ca="1">SUMIFS(INDEX(CapacityCore_Activity_Weekly,ROW(EC5),0),Demand_Activity_Weekly_Header,HL$42)</f>
        <v>21.427839876658773</v>
      </c>
      <c r="KA47" s="6">
        <f ca="1">SUMIFS(INDEX(CapacityCore_Activity_Weekly,ROW(ED5),0),Demand_Activity_Weekly_Header,HM$42)</f>
        <v>0</v>
      </c>
      <c r="KB47" s="6">
        <f ca="1">SUMIFS(INDEX(CapacityCore_Activity_Weekly,ROW(EE5),0),Demand_Activity_Weekly_Header,HN$42)</f>
        <v>0</v>
      </c>
      <c r="KC47" s="6">
        <f ca="1">SUMIFS(INDEX(CapacityCore_Activity_Weekly,ROW(EF5),0),Demand_Activity_Weekly_Header,HO$42)</f>
        <v>0</v>
      </c>
      <c r="KD47" s="6">
        <f ca="1">SUMIFS(INDEX(CapacityCore_Activity_Weekly,ROW(EG5),0),Demand_Activity_Weekly_Header,HP$42)</f>
        <v>0</v>
      </c>
      <c r="KF47" s="6">
        <f>SUMIFS('Time based aggregation (hide)'!$J:$J,'Time based aggregation (hide)'!$E:$E,1,'Time based aggregation (hide)'!$F:$F,1,'Time based aggregation (hide)'!$A:$A,ROW(A5))</f>
        <v>0</v>
      </c>
      <c r="KG47" s="6">
        <f>SUMIFS('Time based aggregation (hide)'!$J:$J,'Time based aggregation (hide)'!$E:$E,1,'Time based aggregation (hide)'!$F:$F,2,'Time based aggregation (hide)'!$A:$A,ROW(A5))</f>
        <v>0</v>
      </c>
      <c r="KH47" s="6">
        <f>SUMIFS('Time based aggregation (hide)'!$J:$J,'Time based aggregation (hide)'!$E:$E,1,'Time based aggregation (hide)'!$F:$F,3,'Time based aggregation (hide)'!$A:$A,ROW(A5))</f>
        <v>0</v>
      </c>
      <c r="KI47" s="6">
        <f>SUMIFS('Time based aggregation (hide)'!$J:$J,'Time based aggregation (hide)'!$E:$E,2,'Time based aggregation (hide)'!$F:$F,1,'Time based aggregation (hide)'!$A:$A,ROW(A5))</f>
        <v>0</v>
      </c>
      <c r="KJ47" s="6">
        <f>SUMIFS('Time based aggregation (hide)'!$J:$J,'Time based aggregation (hide)'!$E:$E,2,'Time based aggregation (hide)'!$F:$F,2,'Time based aggregation (hide)'!$A:$A,ROW(A5))</f>
        <v>0</v>
      </c>
      <c r="KK47" s="6">
        <f>SUMIFS('Time based aggregation (hide)'!$J:$J,'Time based aggregation (hide)'!$E:$E,2,'Time based aggregation (hide)'!$F:$F,3,'Time based aggregation (hide)'!$A:$A,ROW(A5))</f>
        <v>0</v>
      </c>
      <c r="KL47" s="6">
        <f>SUMIFS('Time based aggregation (hide)'!$J:$J,'Time based aggregation (hide)'!$E:$E,3,'Time based aggregation (hide)'!$F:$F,1,'Time based aggregation (hide)'!$A:$A,ROW(A5))</f>
        <v>0</v>
      </c>
      <c r="KM47" s="6">
        <f>SUMIFS('Time based aggregation (hide)'!$J:$J,'Time based aggregation (hide)'!$E:$E,3,'Time based aggregation (hide)'!$F:$F,2,'Time based aggregation (hide)'!$A:$A,ROW(A5))</f>
        <v>0</v>
      </c>
      <c r="KN47" s="6">
        <f>SUMIFS('Time based aggregation (hide)'!$J:$J,'Time based aggregation (hide)'!$E:$E,3,'Time based aggregation (hide)'!$F:$F,3,'Time based aggregation (hide)'!$A:$A,ROW(A5))</f>
        <v>0</v>
      </c>
      <c r="KO47" s="6">
        <f>SUMIFS('Time based aggregation (hide)'!$J:$J,'Time based aggregation (hide)'!$E:$E,4,'Time based aggregation (hide)'!$F:$F,1,'Time based aggregation (hide)'!$A:$A,ROW(A5))</f>
        <v>0</v>
      </c>
      <c r="KP47" s="6">
        <f>SUMIFS('Time based aggregation (hide)'!$J:$J,'Time based aggregation (hide)'!$E:$E,4,'Time based aggregation (hide)'!$F:$F,2,'Time based aggregation (hide)'!$A:$A,ROW(A5))</f>
        <v>0</v>
      </c>
      <c r="KQ47" s="6">
        <f>SUMIFS('Time based aggregation (hide)'!$J:$J,'Time based aggregation (hide)'!$E:$E,4,'Time based aggregation (hide)'!$F:$F,3,'Time based aggregation (hide)'!$A:$A,ROW(A5))</f>
        <v>0</v>
      </c>
      <c r="KR47" s="6">
        <f>SUMIFS('Time based aggregation (hide)'!$J:$J,'Time based aggregation (hide)'!$E:$E,5,'Time based aggregation (hide)'!$F:$F,1,'Time based aggregation (hide)'!$A:$A,ROW(A5))</f>
        <v>0</v>
      </c>
      <c r="KS47" s="6">
        <f>SUMIFS('Time based aggregation (hide)'!$J:$J,'Time based aggregation (hide)'!$E:$E,5,'Time based aggregation (hide)'!$F:$F,2,'Time based aggregation (hide)'!$A:$A,ROW(A5))</f>
        <v>0</v>
      </c>
      <c r="KT47" s="6">
        <f>SUMIFS('Time based aggregation (hide)'!$J:$J,'Time based aggregation (hide)'!$E:$E,5,'Time based aggregation (hide)'!$F:$F,3,'Time based aggregation (hide)'!$A:$A,ROW(A5))</f>
        <v>0</v>
      </c>
      <c r="KU47" s="6">
        <f>SUMIFS('Time based aggregation (hide)'!$J:$J,'Time based aggregation (hide)'!$E:$E,6,'Time based aggregation (hide)'!$F:$F,1,'Time based aggregation (hide)'!$A:$A,ROW(A5))</f>
        <v>0</v>
      </c>
      <c r="KV47" s="6">
        <f>SUMIFS('Time based aggregation (hide)'!$J:$J,'Time based aggregation (hide)'!$E:$E,6,'Time based aggregation (hide)'!$F:$F,2,'Time based aggregation (hide)'!$A:$A,ROW(A5))</f>
        <v>0</v>
      </c>
      <c r="KW47" s="6">
        <f>SUMIFS('Time based aggregation (hide)'!$J:$J,'Time based aggregation (hide)'!$E:$E,6,'Time based aggregation (hide)'!$F:$F,3,'Time based aggregation (hide)'!$A:$A,ROW(A5))</f>
        <v>0</v>
      </c>
      <c r="KX47" s="6">
        <f>SUMIFS('Time based aggregation (hide)'!$J:$J,'Time based aggregation (hide)'!$E:$E,7,'Time based aggregation (hide)'!$F:$F,1,'Time based aggregation (hide)'!$A:$A,ROW(A5))</f>
        <v>0</v>
      </c>
      <c r="KY47" s="6">
        <f>SUMIFS('Time based aggregation (hide)'!$J:$J,'Time based aggregation (hide)'!$E:$E,7,'Time based aggregation (hide)'!$F:$F,2,'Time based aggregation (hide)'!$A:$A,ROW(A5))</f>
        <v>0</v>
      </c>
      <c r="KZ47" s="6">
        <f>SUMIFS('Time based aggregation (hide)'!$J:$J,'Time based aggregation (hide)'!$E:$E,7,'Time based aggregation (hide)'!$F:$F,3,'Time based aggregation (hide)'!$A:$A,ROW(A5))</f>
        <v>0</v>
      </c>
      <c r="LA47" s="6">
        <f>SUMIFS('Time based aggregation (hide)'!$J:$J,'Time based aggregation (hide)'!$E:$E,8,'Time based aggregation (hide)'!$F:$F,1,'Time based aggregation (hide)'!$A:$A,ROW(A5))</f>
        <v>0</v>
      </c>
      <c r="LB47" s="6">
        <f>SUMIFS('Time based aggregation (hide)'!$J:$J,'Time based aggregation (hide)'!$E:$E,8,'Time based aggregation (hide)'!$F:$F,2,'Time based aggregation (hide)'!$A:$A,ROW(A5))</f>
        <v>0</v>
      </c>
      <c r="LC47" s="6">
        <f>SUMIFS('Time based aggregation (hide)'!$J:$J,'Time based aggregation (hide)'!$E:$E,8,'Time based aggregation (hide)'!$F:$F,3,'Time based aggregation (hide)'!$A:$A,ROW(A5))</f>
        <v>0</v>
      </c>
      <c r="LD47" s="6">
        <f>SUMIFS('Time based aggregation (hide)'!$J:$J,'Time based aggregation (hide)'!$E:$E,9,'Time based aggregation (hide)'!$F:$F,1,'Time based aggregation (hide)'!$A:$A,ROW(A5))</f>
        <v>0</v>
      </c>
      <c r="LE47" s="6">
        <f>SUMIFS('Time based aggregation (hide)'!$J:$J,'Time based aggregation (hide)'!$E:$E,9,'Time based aggregation (hide)'!$F:$F,2,'Time based aggregation (hide)'!$A:$A,ROW(A5))</f>
        <v>0</v>
      </c>
      <c r="LF47" s="6">
        <f>SUMIFS('Time based aggregation (hide)'!$J:$J,'Time based aggregation (hide)'!$E:$E,9,'Time based aggregation (hide)'!$F:$F,3,'Time based aggregation (hide)'!$A:$A,ROW(A5))</f>
        <v>0</v>
      </c>
      <c r="LG47" s="6">
        <f>SUMIFS('Time based aggregation (hide)'!$J:$J,'Time based aggregation (hide)'!$E:$E,10,'Time based aggregation (hide)'!$F:$F,1,'Time based aggregation (hide)'!$A:$A,ROW(A5))</f>
        <v>0</v>
      </c>
      <c r="LH47" s="6">
        <f>SUMIFS('Time based aggregation (hide)'!$J:$J,'Time based aggregation (hide)'!$E:$E,10,'Time based aggregation (hide)'!$F:$F,2,'Time based aggregation (hide)'!$A:$A,ROW(A5))</f>
        <v>0</v>
      </c>
      <c r="LI47" s="6">
        <f>SUMIFS('Time based aggregation (hide)'!$J:$J,'Time based aggregation (hide)'!$E:$E,10,'Time based aggregation (hide)'!$F:$F,3,'Time based aggregation (hide)'!$A:$A,ROW(A5))</f>
        <v>0</v>
      </c>
      <c r="LJ47" s="6">
        <f>SUMIFS('Time based aggregation (hide)'!$J:$J,'Time based aggregation (hide)'!$E:$E,11,'Time based aggregation (hide)'!$F:$F,1,'Time based aggregation (hide)'!$A:$A,ROW(A5))</f>
        <v>0</v>
      </c>
      <c r="LK47" s="6">
        <f>SUMIFS('Time based aggregation (hide)'!$J:$J,'Time based aggregation (hide)'!$E:$E,11,'Time based aggregation (hide)'!$F:$F,2,'Time based aggregation (hide)'!$A:$A,ROW(A5))</f>
        <v>0</v>
      </c>
      <c r="LL47" s="6">
        <f>SUMIFS('Time based aggregation (hide)'!$J:$J,'Time based aggregation (hide)'!$E:$E,11,'Time based aggregation (hide)'!$F:$F,3,'Time based aggregation (hide)'!$A:$A,ROW(A5))</f>
        <v>0</v>
      </c>
      <c r="LM47" s="6">
        <f>SUMIFS('Time based aggregation (hide)'!$J:$J,'Time based aggregation (hide)'!$E:$E,12,'Time based aggregation (hide)'!$F:$F,1,'Time based aggregation (hide)'!$A:$A,ROW(A5))</f>
        <v>0</v>
      </c>
      <c r="LN47" s="6">
        <f>SUMIFS('Time based aggregation (hide)'!$J:$J,'Time based aggregation (hide)'!$E:$E,12,'Time based aggregation (hide)'!$F:$F,2,'Time based aggregation (hide)'!$A:$A,ROW(A5))</f>
        <v>0</v>
      </c>
      <c r="LO47" s="6">
        <f>SUMIFS('Time based aggregation (hide)'!$J:$J,'Time based aggregation (hide)'!$E:$E,12,'Time based aggregation (hide)'!$F:$F,3,'Time based aggregation (hide)'!$A:$A,ROW(A5))</f>
        <v>0</v>
      </c>
      <c r="LP47" s="6">
        <f>SUMIFS('Time based aggregation (hide)'!$J:$J,'Time based aggregation (hide)'!$E:$E,13,'Time based aggregation (hide)'!$F:$F,1,'Time based aggregation (hide)'!$A:$A,ROW(A5))</f>
        <v>0</v>
      </c>
      <c r="LQ47" s="6">
        <f>SUMIFS('Time based aggregation (hide)'!$J:$J,'Time based aggregation (hide)'!$E:$E,13,'Time based aggregation (hide)'!$F:$F,2,'Time based aggregation (hide)'!$A:$A,ROW(A5))</f>
        <v>0</v>
      </c>
      <c r="LR47" s="6">
        <f>SUMIFS('Time based aggregation (hide)'!$J:$J,'Time based aggregation (hide)'!$E:$E,13,'Time based aggregation (hide)'!$F:$F,3,'Time based aggregation (hide)'!$A:$A,ROW(A5))</f>
        <v>0</v>
      </c>
      <c r="LS47" s="6">
        <f>SUMIFS('Time based aggregation (hide)'!$J:$J,'Time based aggregation (hide)'!$E:$E,14,'Time based aggregation (hide)'!$F:$F,1,'Time based aggregation (hide)'!$A:$A,ROW(A5))</f>
        <v>0</v>
      </c>
      <c r="LT47" s="6">
        <f>SUMIFS('Time based aggregation (hide)'!$J:$J,'Time based aggregation (hide)'!$E:$E,14,'Time based aggregation (hide)'!$F:$F,2,'Time based aggregation (hide)'!$A:$A,ROW(A5))</f>
        <v>0</v>
      </c>
      <c r="LU47" s="6">
        <f>SUMIFS('Time based aggregation (hide)'!$J:$J,'Time based aggregation (hide)'!$E:$E,14,'Time based aggregation (hide)'!$F:$F,3,'Time based aggregation (hide)'!$A:$A,ROW(A5))</f>
        <v>0</v>
      </c>
      <c r="LV47" s="6">
        <f>SUMIFS('Time based aggregation (hide)'!$J:$J,'Time based aggregation (hide)'!$E:$E,15,'Time based aggregation (hide)'!$F:$F,1,'Time based aggregation (hide)'!$A:$A,ROW(A5))</f>
        <v>0</v>
      </c>
      <c r="LW47" s="6">
        <f>SUMIFS('Time based aggregation (hide)'!$J:$J,'Time based aggregation (hide)'!$E:$E,15,'Time based aggregation (hide)'!$F:$F,2,'Time based aggregation (hide)'!$A:$A,ROW(A5))</f>
        <v>0</v>
      </c>
      <c r="LX47" s="6">
        <f>SUMIFS('Time based aggregation (hide)'!$J:$J,'Time based aggregation (hide)'!$E:$E,15,'Time based aggregation (hide)'!$F:$F,3,'Time based aggregation (hide)'!$A:$A,ROW(A5))</f>
        <v>0</v>
      </c>
      <c r="LY47" s="6">
        <f>SUMIFS('Time based aggregation (hide)'!$J:$J,'Time based aggregation (hide)'!$E:$E,16,'Time based aggregation (hide)'!$F:$F,1,'Time based aggregation (hide)'!$A:$A,ROW(A5))</f>
        <v>0</v>
      </c>
      <c r="LZ47" s="6">
        <f>SUMIFS('Time based aggregation (hide)'!$J:$J,'Time based aggregation (hide)'!$E:$E,16,'Time based aggregation (hide)'!$F:$F,2,'Time based aggregation (hide)'!$A:$A,ROW(A5))</f>
        <v>0</v>
      </c>
      <c r="MA47" s="6">
        <f>SUMIFS('Time based aggregation (hide)'!$J:$J,'Time based aggregation (hide)'!$E:$E,16,'Time based aggregation (hide)'!$F:$F,3,'Time based aggregation (hide)'!$A:$A,ROW(A5))</f>
        <v>0</v>
      </c>
      <c r="MB47" s="6">
        <f>SUMIFS('Time based aggregation (hide)'!$J:$J,'Time based aggregation (hide)'!$E:$E,17,'Time based aggregation (hide)'!$F:$F,1,'Time based aggregation (hide)'!$A:$A,ROW(A5))</f>
        <v>0</v>
      </c>
      <c r="MC47" s="6">
        <f>SUMIFS('Time based aggregation (hide)'!$J:$J,'Time based aggregation (hide)'!$E:$E,17,'Time based aggregation (hide)'!$F:$F,2,'Time based aggregation (hide)'!$A:$A,ROW(A5))</f>
        <v>0</v>
      </c>
      <c r="MD47" s="6">
        <f>SUMIFS('Time based aggregation (hide)'!$J:$J,'Time based aggregation (hide)'!$E:$E,17,'Time based aggregation (hide)'!$F:$F,3,'Time based aggregation (hide)'!$A:$A,ROW(A5))</f>
        <v>0</v>
      </c>
      <c r="ME47" s="6">
        <f>SUMIFS('Time based aggregation (hide)'!$J:$J,'Time based aggregation (hide)'!$E:$E,18,'Time based aggregation (hide)'!$F:$F,1,'Time based aggregation (hide)'!$A:$A,ROW(A5))</f>
        <v>0</v>
      </c>
      <c r="MF47" s="6">
        <f>SUMIFS('Time based aggregation (hide)'!$J:$J,'Time based aggregation (hide)'!$E:$E,18,'Time based aggregation (hide)'!$F:$F,2,'Time based aggregation (hide)'!$A:$A,ROW(A5))</f>
        <v>0</v>
      </c>
      <c r="MG47" s="6">
        <f>SUMIFS('Time based aggregation (hide)'!$J:$J,'Time based aggregation (hide)'!$E:$E,18,'Time based aggregation (hide)'!$F:$F,3,'Time based aggregation (hide)'!$A:$A,ROW(A5))</f>
        <v>0</v>
      </c>
      <c r="MH47" s="6">
        <f>SUMIFS('Time based aggregation (hide)'!$J:$J,'Time based aggregation (hide)'!$E:$E,19,'Time based aggregation (hide)'!$F:$F,1,'Time based aggregation (hide)'!$A:$A,ROW(A5))</f>
        <v>0</v>
      </c>
      <c r="MI47" s="6">
        <f>SUMIFS('Time based aggregation (hide)'!$J:$J,'Time based aggregation (hide)'!$E:$E,19,'Time based aggregation (hide)'!$F:$F,2,'Time based aggregation (hide)'!$A:$A,ROW(A5))</f>
        <v>0</v>
      </c>
      <c r="MJ47" s="6">
        <f>SUMIFS('Time based aggregation (hide)'!$J:$J,'Time based aggregation (hide)'!$E:$E,19,'Time based aggregation (hide)'!$F:$F,3,'Time based aggregation (hide)'!$A:$A,ROW(A5))</f>
        <v>0</v>
      </c>
      <c r="MK47" s="6">
        <f>SUMIFS('Time based aggregation (hide)'!$J:$J,'Time based aggregation (hide)'!$E:$E,20,'Time based aggregation (hide)'!$F:$F,1,'Time based aggregation (hide)'!$A:$A,ROW(A5))</f>
        <v>0</v>
      </c>
      <c r="ML47" s="6">
        <f>SUMIFS('Time based aggregation (hide)'!$J:$J,'Time based aggregation (hide)'!$E:$E,20,'Time based aggregation (hide)'!$F:$F,2,'Time based aggregation (hide)'!$A:$A,ROW(A5))</f>
        <v>0</v>
      </c>
      <c r="MM47" s="6">
        <f>SUMIFS('Time based aggregation (hide)'!$J:$J,'Time based aggregation (hide)'!$E:$E,20,'Time based aggregation (hide)'!$F:$F,3,'Time based aggregation (hide)'!$A:$A,ROW(A5))</f>
        <v>0</v>
      </c>
      <c r="MN47" s="7">
        <f t="shared" ca="1" si="36"/>
        <v>0</v>
      </c>
      <c r="MO47" s="7">
        <f t="shared" ca="1" si="32"/>
        <v>0</v>
      </c>
      <c r="MP47" s="7">
        <f t="shared" ca="1" si="32"/>
        <v>0</v>
      </c>
      <c r="MQ47" s="7">
        <f t="shared" ca="1" si="32"/>
        <v>0</v>
      </c>
      <c r="MR47" s="7">
        <f t="shared" ca="1" si="32"/>
        <v>0</v>
      </c>
    </row>
    <row r="48" spans="1:356" x14ac:dyDescent="0.25">
      <c r="A48">
        <f>1</f>
        <v>1</v>
      </c>
      <c r="B48" s="85">
        <f t="shared" si="37"/>
        <v>43836</v>
      </c>
      <c r="C48" s="85">
        <f t="shared" si="25"/>
        <v>43836</v>
      </c>
      <c r="D48">
        <f t="shared" ca="1" si="26"/>
        <v>1</v>
      </c>
      <c r="E48" s="85">
        <f t="shared" si="27"/>
        <v>43831</v>
      </c>
      <c r="F48">
        <f t="shared" si="33"/>
        <v>2</v>
      </c>
      <c r="H48">
        <f t="shared" si="34"/>
        <v>6</v>
      </c>
      <c r="I48" s="85">
        <f t="shared" si="38"/>
        <v>43864</v>
      </c>
      <c r="J48">
        <f t="shared" ca="1" si="28"/>
        <v>5</v>
      </c>
      <c r="K48">
        <f t="shared" ca="1" si="29"/>
        <v>1.968503937007874E-2</v>
      </c>
      <c r="L48" s="114"/>
      <c r="N48" s="85">
        <f t="shared" si="35"/>
        <v>43864</v>
      </c>
      <c r="O48" s="122">
        <f t="shared" ca="1" si="30"/>
        <v>0</v>
      </c>
      <c r="P48" s="122">
        <f t="shared" ca="1" si="30"/>
        <v>1</v>
      </c>
      <c r="Q48" s="122">
        <f t="shared" ca="1" si="30"/>
        <v>0</v>
      </c>
      <c r="R48" s="122">
        <f t="shared" ca="1" si="30"/>
        <v>0</v>
      </c>
      <c r="S48" s="122">
        <f t="shared" ca="1" si="30"/>
        <v>0</v>
      </c>
      <c r="T48" s="122">
        <f t="shared" ca="1" si="30"/>
        <v>0</v>
      </c>
      <c r="U48" s="122">
        <f t="shared" ca="1" si="30"/>
        <v>0</v>
      </c>
      <c r="V48" s="122">
        <f t="shared" ca="1" si="30"/>
        <v>0</v>
      </c>
      <c r="W48" s="122">
        <f t="shared" ca="1" si="30"/>
        <v>0</v>
      </c>
      <c r="X48" s="122">
        <f t="shared" ca="1" si="30"/>
        <v>0</v>
      </c>
      <c r="Y48" s="122">
        <f t="shared" ca="1" si="30"/>
        <v>0</v>
      </c>
      <c r="Z48" s="122">
        <f t="shared" ca="1" si="30"/>
        <v>0</v>
      </c>
      <c r="AA48" s="122"/>
      <c r="AB48" s="140">
        <f>INDEX('File 1'!Weekly_Adjusted,6,1)</f>
        <v>388.17143954725253</v>
      </c>
      <c r="AC48" s="140">
        <f>INDEX('File 1'!Weekly_Adjusted,6,2)</f>
        <v>0</v>
      </c>
      <c r="AD48" s="140">
        <f>INDEX('File 1'!Weekly_Adjusted,6,3)</f>
        <v>0</v>
      </c>
      <c r="AE48" s="141">
        <f>INDEX('File 2'!Weekly_Adjusted,6,1)</f>
        <v>0</v>
      </c>
      <c r="AF48" s="141">
        <f>INDEX('File 2'!Weekly_Adjusted,6,2)</f>
        <v>0</v>
      </c>
      <c r="AG48" s="141">
        <f>INDEX('File 2'!Weekly_Adjusted,6,3)</f>
        <v>0</v>
      </c>
      <c r="AH48" s="140">
        <f>INDEX('File 3'!Weekly_Adjusted,6,1)</f>
        <v>0</v>
      </c>
      <c r="AI48" s="140">
        <f>INDEX('File 3'!Weekly_Adjusted,6,2)</f>
        <v>0</v>
      </c>
      <c r="AJ48" s="140">
        <f>INDEX('File 3'!Weekly_Adjusted,6,3)</f>
        <v>0</v>
      </c>
      <c r="AK48" s="141">
        <f>INDEX('File 4'!Weekly_Adjusted,6,1)</f>
        <v>0</v>
      </c>
      <c r="AL48" s="141">
        <f>INDEX('File 4'!Weekly_Adjusted,6,2)</f>
        <v>0</v>
      </c>
      <c r="AM48" s="141">
        <f>INDEX('File 4'!Weekly_Adjusted,6,3)</f>
        <v>0</v>
      </c>
      <c r="AN48" s="140">
        <f>INDEX('File 5'!Weekly_Adjusted,6,1)</f>
        <v>0</v>
      </c>
      <c r="AO48" s="140">
        <f>INDEX('File 5'!Weekly_Adjusted,6,2)</f>
        <v>0</v>
      </c>
      <c r="AP48" s="140">
        <f>INDEX('File 5'!Weekly_Adjusted,6,3)</f>
        <v>0</v>
      </c>
      <c r="AQ48" s="141">
        <f>INDEX('File 6'!Weekly_Adjusted,6,1)</f>
        <v>0</v>
      </c>
      <c r="AR48" s="141">
        <f>INDEX('File 6'!Weekly_Adjusted,6,2)</f>
        <v>0</v>
      </c>
      <c r="AS48" s="141">
        <f>INDEX('File 6'!Weekly_Adjusted,6,3)</f>
        <v>0</v>
      </c>
      <c r="AT48" s="140">
        <f>INDEX('File 7'!Weekly_Adjusted,6,1)</f>
        <v>0</v>
      </c>
      <c r="AU48" s="140">
        <f>INDEX('File 7'!Weekly_Adjusted,6,2)</f>
        <v>0</v>
      </c>
      <c r="AV48" s="140">
        <f>INDEX('File 7'!Weekly_Adjusted,6,3)</f>
        <v>0</v>
      </c>
      <c r="AW48" s="141">
        <f>INDEX('File 8'!Weekly_Adjusted,6,1)</f>
        <v>0</v>
      </c>
      <c r="AX48" s="141">
        <f>INDEX('File 8'!Weekly_Adjusted,6,2)</f>
        <v>0</v>
      </c>
      <c r="AY48" s="141">
        <f>INDEX('File 8'!Weekly_Adjusted,6,3)</f>
        <v>0</v>
      </c>
      <c r="AZ48" s="140">
        <f>INDEX('File 9'!Weekly_Adjusted,6,1)</f>
        <v>0</v>
      </c>
      <c r="BA48" s="140">
        <f>INDEX('File 9'!Weekly_Adjusted,6,2)</f>
        <v>0</v>
      </c>
      <c r="BB48" s="140">
        <f>INDEX('File 9'!Weekly_Adjusted,6,3)</f>
        <v>0</v>
      </c>
      <c r="BC48" s="141">
        <f>INDEX('File 10'!Weekly_Adjusted,6,1)</f>
        <v>0</v>
      </c>
      <c r="BD48" s="141">
        <f>INDEX('File 10'!Weekly_Adjusted,6,2)</f>
        <v>0</v>
      </c>
      <c r="BE48" s="141">
        <f>INDEX('File 10'!Weekly_Adjusted,6,3)</f>
        <v>0</v>
      </c>
      <c r="BF48" s="140">
        <f>INDEX('File 11'!Weekly_Adjusted,6,1)</f>
        <v>0</v>
      </c>
      <c r="BG48" s="140">
        <f>INDEX('File 11'!Weekly_Adjusted,6,2)</f>
        <v>0</v>
      </c>
      <c r="BH48" s="140">
        <f>INDEX('File 11'!Weekly_Adjusted,6,3)</f>
        <v>0</v>
      </c>
      <c r="BI48" s="141">
        <f>INDEX('File 12'!Weekly_Adjusted,6,1)</f>
        <v>0</v>
      </c>
      <c r="BJ48" s="141">
        <f>INDEX('File 12'!Weekly_Adjusted,6,2)</f>
        <v>0</v>
      </c>
      <c r="BK48" s="141">
        <f>INDEX('File 12'!Weekly_Adjusted,6,3)</f>
        <v>0</v>
      </c>
      <c r="BL48" s="140">
        <f>INDEX('File 13'!Weekly_Adjusted,6,1)</f>
        <v>0</v>
      </c>
      <c r="BM48" s="140">
        <f>INDEX('File 13'!Weekly_Adjusted,6,2)</f>
        <v>0</v>
      </c>
      <c r="BN48" s="140">
        <f>INDEX('File 13'!Weekly_Adjusted,6,3)</f>
        <v>0</v>
      </c>
      <c r="BO48" s="141">
        <f>INDEX('File 14'!Weekly_Adjusted,6,1)</f>
        <v>0</v>
      </c>
      <c r="BP48" s="141">
        <f>INDEX('File 14'!Weekly_Adjusted,6,2)</f>
        <v>0</v>
      </c>
      <c r="BQ48" s="141">
        <f>INDEX('File 14'!Weekly_Adjusted,6,3)</f>
        <v>0</v>
      </c>
      <c r="BR48" s="140">
        <f>INDEX('File 15'!Weekly_Adjusted,6,1)</f>
        <v>0</v>
      </c>
      <c r="BS48" s="140">
        <f>INDEX('File 15'!Weekly_Adjusted,6,2)</f>
        <v>0</v>
      </c>
      <c r="BT48" s="140">
        <f>INDEX('File 15'!Weekly_Adjusted,6,3)</f>
        <v>0</v>
      </c>
      <c r="BU48" s="141">
        <f>INDEX('File 16'!Weekly_Adjusted,6,1)</f>
        <v>0</v>
      </c>
      <c r="BV48" s="141">
        <f>INDEX('File 16'!Weekly_Adjusted,6,2)</f>
        <v>0</v>
      </c>
      <c r="BW48" s="141">
        <f>INDEX('File 16'!Weekly_Adjusted,6,3)</f>
        <v>0</v>
      </c>
      <c r="BX48" s="140">
        <f>INDEX('File 17'!Weekly_Adjusted,6,1)</f>
        <v>0</v>
      </c>
      <c r="BY48" s="140">
        <f>INDEX('File 17'!Weekly_Adjusted,6,2)</f>
        <v>0</v>
      </c>
      <c r="BZ48" s="140">
        <f>INDEX('File 17'!Weekly_Adjusted,6,3)</f>
        <v>0</v>
      </c>
      <c r="CA48" s="141">
        <f>INDEX('File 18'!Weekly_Adjusted,6,1)</f>
        <v>0</v>
      </c>
      <c r="CB48" s="141">
        <f>INDEX('File 18'!Weekly_Adjusted,6,2)</f>
        <v>0</v>
      </c>
      <c r="CC48" s="141">
        <f>INDEX('File 18'!Weekly_Adjusted,6,3)</f>
        <v>0</v>
      </c>
      <c r="CD48" s="140">
        <f>INDEX('File 19'!Weekly_Adjusted,6,1)</f>
        <v>0</v>
      </c>
      <c r="CE48" s="140">
        <f>INDEX('File 19'!Weekly_Adjusted,6,2)</f>
        <v>0</v>
      </c>
      <c r="CF48" s="140">
        <f>INDEX('File 19'!Weekly_Adjusted,6,3)</f>
        <v>0</v>
      </c>
      <c r="CG48" s="141">
        <f>INDEX('File 20'!Weekly_Adjusted,6,1)</f>
        <v>0</v>
      </c>
      <c r="CH48" s="141">
        <f>INDEX('File 20'!Weekly_Adjusted,6,2)</f>
        <v>0</v>
      </c>
      <c r="CI48" s="141">
        <f>INDEX('File 20'!Weekly_Adjusted,6,3)</f>
        <v>0</v>
      </c>
      <c r="CJ48" s="6">
        <f ca="1">SUMIFS(INDEX(Demand_Activity_Weekly,ROW(A6),0),Demand_Activity_Weekly_Header,CJ$42)</f>
        <v>388.17143954725253</v>
      </c>
      <c r="CK48" s="6">
        <f ca="1">SUMIFS(INDEX(Demand_Activity_Weekly,ROW(B6),0),Demand_Activity_Weekly_Header,CK$42)</f>
        <v>0</v>
      </c>
      <c r="CL48" s="6">
        <f ca="1">SUMIFS(INDEX(Demand_Activity_Weekly,ROW(C6),0),Demand_Activity_Weekly_Header,CL$42)</f>
        <v>0</v>
      </c>
      <c r="CM48" s="6">
        <f ca="1">SUMIFS(INDEX(Demand_Activity_Weekly,ROW(D6),0),Demand_Activity_Weekly_Header,CM$42)</f>
        <v>0</v>
      </c>
      <c r="CN48" s="6">
        <f ca="1">SUMIFS(INDEX(Demand_Activity_Weekly,ROW(E6),0),Demand_Activity_Weekly_Header,CN$42)</f>
        <v>0</v>
      </c>
      <c r="CP48" s="142">
        <f ca="1">INDEX('File 1'!Weekly_Adjusted,6,10)</f>
        <v>24.919784152855019</v>
      </c>
      <c r="CQ48" s="142">
        <f>INDEX('File 1'!Weekly_Adjusted,6,11)</f>
        <v>0</v>
      </c>
      <c r="CR48" s="142">
        <f>INDEX('File 1'!Weekly_Adjusted,6,12)</f>
        <v>0</v>
      </c>
      <c r="CS48" s="143">
        <f>INDEX('File 2'!Weekly_Adjusted,6,10)</f>
        <v>0</v>
      </c>
      <c r="CT48" s="143">
        <f>INDEX('File 2'!Weekly_Adjusted,6,11)</f>
        <v>0</v>
      </c>
      <c r="CU48" s="143">
        <f>INDEX('File 2'!Weekly_Adjusted,6,12)</f>
        <v>0</v>
      </c>
      <c r="CV48" s="142">
        <f>INDEX('File 3'!Weekly_Adjusted,6,10)</f>
        <v>0</v>
      </c>
      <c r="CW48" s="142">
        <f>INDEX('File 3'!Weekly_Adjusted,6,11)</f>
        <v>0</v>
      </c>
      <c r="CX48" s="142">
        <f>INDEX('File 3'!Weekly_Adjusted,6,12)</f>
        <v>0</v>
      </c>
      <c r="CY48" s="143">
        <f>INDEX('File 4'!Weekly_Adjusted,6,10)</f>
        <v>0</v>
      </c>
      <c r="CZ48" s="143">
        <f>INDEX('File 4'!Weekly_Adjusted,6,11)</f>
        <v>0</v>
      </c>
      <c r="DA48" s="143">
        <f>INDEX('File 4'!Weekly_Adjusted,6,12)</f>
        <v>0</v>
      </c>
      <c r="DB48" s="142">
        <f>INDEX('File 5'!Weekly_Adjusted,6,10)</f>
        <v>0</v>
      </c>
      <c r="DC48" s="142">
        <f>INDEX('File 5'!Weekly_Adjusted,6,11)</f>
        <v>0</v>
      </c>
      <c r="DD48" s="142">
        <f>INDEX('File 5'!Weekly_Adjusted,6,12)</f>
        <v>0</v>
      </c>
      <c r="DE48" s="143">
        <f>INDEX('File 6'!Weekly_Adjusted,6,10)</f>
        <v>0</v>
      </c>
      <c r="DF48" s="143">
        <f>INDEX('File 6'!Weekly_Adjusted,6,11)</f>
        <v>0</v>
      </c>
      <c r="DG48" s="143">
        <f>INDEX('File 6'!Weekly_Adjusted,6,12)</f>
        <v>0</v>
      </c>
      <c r="DH48" s="142">
        <f>INDEX('File 7'!Weekly_Adjusted,6,10)</f>
        <v>0</v>
      </c>
      <c r="DI48" s="142">
        <f>INDEX('File 7'!Weekly_Adjusted,6,11)</f>
        <v>0</v>
      </c>
      <c r="DJ48" s="142">
        <f>INDEX('File 7'!Weekly_Adjusted,6,12)</f>
        <v>0</v>
      </c>
      <c r="DK48" s="143">
        <f>INDEX('File 8'!Weekly_Adjusted,6,10)</f>
        <v>0</v>
      </c>
      <c r="DL48" s="143">
        <f>INDEX('File 8'!Weekly_Adjusted,6,11)</f>
        <v>0</v>
      </c>
      <c r="DM48" s="143">
        <f>INDEX('File 8'!Weekly_Adjusted,6,12)</f>
        <v>0</v>
      </c>
      <c r="DN48" s="142">
        <f>INDEX('File 9'!Weekly_Adjusted,6,10)</f>
        <v>0</v>
      </c>
      <c r="DO48" s="142">
        <f>INDEX('File 9'!Weekly_Adjusted,6,11)</f>
        <v>0</v>
      </c>
      <c r="DP48" s="142">
        <f>INDEX('File 9'!Weekly_Adjusted,6,12)</f>
        <v>0</v>
      </c>
      <c r="DQ48" s="143">
        <f>INDEX('File 10'!Weekly_Adjusted,6,10)</f>
        <v>0</v>
      </c>
      <c r="DR48" s="143">
        <f>INDEX('File 10'!Weekly_Adjusted,6,11)</f>
        <v>0</v>
      </c>
      <c r="DS48" s="143">
        <f>INDEX('File 10'!Weekly_Adjusted,6,12)</f>
        <v>0</v>
      </c>
      <c r="DT48" s="142">
        <f>INDEX('File 11'!Weekly_Adjusted,6,10)</f>
        <v>0</v>
      </c>
      <c r="DU48" s="142">
        <f>INDEX('File 11'!Weekly_Adjusted,6,11)</f>
        <v>0</v>
      </c>
      <c r="DV48" s="142">
        <f>INDEX('File 11'!Weekly_Adjusted,6,12)</f>
        <v>0</v>
      </c>
      <c r="DW48" s="143">
        <f>INDEX('File 12'!Weekly_Adjusted,6,10)</f>
        <v>0</v>
      </c>
      <c r="DX48" s="143">
        <f>INDEX('File 12'!Weekly_Adjusted,6,11)</f>
        <v>0</v>
      </c>
      <c r="DY48" s="143">
        <f>INDEX('File 12'!Weekly_Adjusted,6,12)</f>
        <v>0</v>
      </c>
      <c r="DZ48" s="142">
        <f>INDEX('File 13'!Weekly_Adjusted,6,10)</f>
        <v>0</v>
      </c>
      <c r="EA48" s="142">
        <f>INDEX('File 13'!Weekly_Adjusted,6,11)</f>
        <v>0</v>
      </c>
      <c r="EB48" s="142">
        <f>INDEX('File 13'!Weekly_Adjusted,6,12)</f>
        <v>0</v>
      </c>
      <c r="EC48" s="143">
        <f>INDEX('File 14'!Weekly_Adjusted,6,10)</f>
        <v>0</v>
      </c>
      <c r="ED48" s="143">
        <f>INDEX('File 14'!Weekly_Adjusted,6,11)</f>
        <v>0</v>
      </c>
      <c r="EE48" s="143">
        <f>INDEX('File 14'!Weekly_Adjusted,6,12)</f>
        <v>0</v>
      </c>
      <c r="EF48" s="142">
        <f>INDEX('File 15'!Weekly_Adjusted,6,10)</f>
        <v>0</v>
      </c>
      <c r="EG48" s="142">
        <f>INDEX('File 15'!Weekly_Adjusted,6,11)</f>
        <v>0</v>
      </c>
      <c r="EH48" s="142">
        <f>INDEX('File 15'!Weekly_Adjusted,6,12)</f>
        <v>0</v>
      </c>
      <c r="EI48" s="143">
        <f>INDEX('File 16'!Weekly_Adjusted,6,10)</f>
        <v>0</v>
      </c>
      <c r="EJ48" s="143">
        <f>INDEX('File 16'!Weekly_Adjusted,6,11)</f>
        <v>0</v>
      </c>
      <c r="EK48" s="143">
        <f>INDEX('File 16'!Weekly_Adjusted,6,12)</f>
        <v>0</v>
      </c>
      <c r="EL48" s="142">
        <f>INDEX('File 17'!Weekly_Adjusted,6,10)</f>
        <v>0</v>
      </c>
      <c r="EM48" s="142">
        <f>INDEX('File 17'!Weekly_Adjusted,6,11)</f>
        <v>0</v>
      </c>
      <c r="EN48" s="142">
        <f>INDEX('File 17'!Weekly_Adjusted,6,12)</f>
        <v>0</v>
      </c>
      <c r="EO48" s="143">
        <f>INDEX('File 18'!Weekly_Adjusted,6,10)</f>
        <v>0</v>
      </c>
      <c r="EP48" s="143">
        <f>INDEX('File 18'!Weekly_Adjusted,6,11)</f>
        <v>0</v>
      </c>
      <c r="EQ48" s="143">
        <f>INDEX('File 18'!Weekly_Adjusted,6,12)</f>
        <v>0</v>
      </c>
      <c r="ER48" s="142">
        <f>INDEX('File 19'!Weekly_Adjusted,6,10)</f>
        <v>0</v>
      </c>
      <c r="ES48" s="142">
        <f>INDEX('File 19'!Weekly_Adjusted,6,11)</f>
        <v>0</v>
      </c>
      <c r="ET48" s="142">
        <f>INDEX('File 19'!Weekly_Adjusted,6,12)</f>
        <v>0</v>
      </c>
      <c r="EU48" s="143">
        <f>INDEX('File 20'!Weekly_Adjusted,6,10)</f>
        <v>0</v>
      </c>
      <c r="EV48" s="143">
        <f>INDEX('File 20'!Weekly_Adjusted,6,11)</f>
        <v>0</v>
      </c>
      <c r="EW48" s="143">
        <f>INDEX('File 20'!Weekly_Adjusted,6,12)</f>
        <v>0</v>
      </c>
      <c r="EX48" s="6">
        <f ca="1">SUMIFS(INDEX(Capacity_Activity_Weekly,ROW(A6),0),Demand_Activity_Weekly_Header,CJ$42)</f>
        <v>24.919784152855019</v>
      </c>
      <c r="EY48" s="6">
        <f ca="1">SUMIFS(INDEX(Capacity_Activity_Weekly,ROW(B6),0),Demand_Activity_Weekly_Header,CK$42)</f>
        <v>0</v>
      </c>
      <c r="EZ48" s="6">
        <f ca="1">SUMIFS(INDEX(Capacity_Activity_Weekly,ROW(C6),0),Demand_Activity_Weekly_Header,CL$42)</f>
        <v>0</v>
      </c>
      <c r="FA48" s="6">
        <f ca="1">SUMIFS(INDEX(Capacity_Activity_Weekly,ROW(D6),0),Demand_Activity_Weekly_Header,CM$42)</f>
        <v>0</v>
      </c>
      <c r="FB48" s="6">
        <f ca="1">SUMIFS(INDEX(Capacity_Activity_Weekly,ROW(E6),0),Demand_Activity_Weekly_Header,CN$42)</f>
        <v>0</v>
      </c>
      <c r="FD48" s="7">
        <f>'File 1'!$Q$54*'Time based aggregation (hide)'!$Q10</f>
        <v>0</v>
      </c>
      <c r="FE48" s="7">
        <f>'File 1'!$R$54*'Time based aggregation (hide)'!$R10</f>
        <v>0</v>
      </c>
      <c r="FF48" s="7">
        <f>'File 1'!$S$54*'Time based aggregation (hide)'!$S10</f>
        <v>0</v>
      </c>
      <c r="FG48" s="7">
        <f>'File 2'!$Q$54*'Time based aggregation (hide)'!$T10</f>
        <v>0</v>
      </c>
      <c r="FH48" s="7">
        <f>'File 2'!$R$54*'Time based aggregation (hide)'!$U10</f>
        <v>0</v>
      </c>
      <c r="FI48" s="7">
        <f>'File 2'!$S$54*'Time based aggregation (hide)'!$V10</f>
        <v>0</v>
      </c>
      <c r="FJ48" s="7">
        <f>'File 3'!$Q$54*'Time based aggregation (hide)'!$W10</f>
        <v>0</v>
      </c>
      <c r="FK48" s="7">
        <f>'File 3'!$R$54*'Time based aggregation (hide)'!$X10</f>
        <v>0</v>
      </c>
      <c r="FL48" s="7">
        <f>'File 3'!$S$54*'Time based aggregation (hide)'!$Y10</f>
        <v>0</v>
      </c>
      <c r="FM48" s="7">
        <f>'File 4'!$Q$54*'Time based aggregation (hide)'!$Z10</f>
        <v>0</v>
      </c>
      <c r="FN48" s="7">
        <f>'File 4'!$R$54*'Time based aggregation (hide)'!$AA10</f>
        <v>0</v>
      </c>
      <c r="FO48" s="7">
        <f>'File 4'!$S$54*'Time based aggregation (hide)'!$AB10</f>
        <v>0</v>
      </c>
      <c r="FP48" s="7">
        <f>'File 5'!$Q$54*'Time based aggregation (hide)'!$AC10</f>
        <v>0</v>
      </c>
      <c r="FQ48" s="7">
        <f>'File 5'!$R$54*'Time based aggregation (hide)'!$AD10</f>
        <v>0</v>
      </c>
      <c r="FR48" s="7">
        <f>'File 5'!$S$54*'Time based aggregation (hide)'!$AE10</f>
        <v>0</v>
      </c>
      <c r="FS48" s="7">
        <f>'File 6'!$Q$54*'Time based aggregation (hide)'!$AF10</f>
        <v>0</v>
      </c>
      <c r="FT48" s="7">
        <f>'File 6'!$R$54*'Time based aggregation (hide)'!$AG10</f>
        <v>0</v>
      </c>
      <c r="FU48" s="7">
        <f>'File 6'!$S$54*'Time based aggregation (hide)'!$AH10</f>
        <v>0</v>
      </c>
      <c r="FV48" s="7">
        <f>'File 7'!$Q$54*'Time based aggregation (hide)'!$AI10</f>
        <v>0</v>
      </c>
      <c r="FW48" s="7">
        <f>'File 7'!$R$54*'Time based aggregation (hide)'!$AJ10</f>
        <v>0</v>
      </c>
      <c r="FX48" s="7">
        <f>'File 7'!$S$54*'Time based aggregation (hide)'!$AK10</f>
        <v>0</v>
      </c>
      <c r="FY48" s="7">
        <f>'File 8'!$Q$54*'Time based aggregation (hide)'!$AL10</f>
        <v>0</v>
      </c>
      <c r="FZ48" s="7">
        <f>'File 8'!$R$54*'Time based aggregation (hide)'!$AM10</f>
        <v>0</v>
      </c>
      <c r="GA48" s="7">
        <f>'File 8'!$S$54*'Time based aggregation (hide)'!$AN10</f>
        <v>0</v>
      </c>
      <c r="GB48" s="7">
        <f>'File 9'!$Q$54*'Time based aggregation (hide)'!$AO10</f>
        <v>0</v>
      </c>
      <c r="GC48" s="7">
        <f>'File 9'!$R$54*'Time based aggregation (hide)'!$AP10</f>
        <v>0</v>
      </c>
      <c r="GD48" s="7">
        <f>'File 9'!$S$54*'Time based aggregation (hide)'!$AQ10</f>
        <v>0</v>
      </c>
      <c r="GE48" s="7">
        <f>'File 10'!$Q$54*'Time based aggregation (hide)'!$AR10</f>
        <v>0</v>
      </c>
      <c r="GF48" s="7">
        <f>'File 10'!$R$54*'Time based aggregation (hide)'!$AS10</f>
        <v>0</v>
      </c>
      <c r="GG48" s="7">
        <f>'File 10'!$S$54*'Time based aggregation (hide)'!$AT10</f>
        <v>0</v>
      </c>
      <c r="GH48" s="7">
        <f>'File 11'!$Q$54*'Time based aggregation (hide)'!$AU10</f>
        <v>0</v>
      </c>
      <c r="GI48" s="7">
        <f>'File 11'!$R$54*'Time based aggregation (hide)'!$AV10</f>
        <v>0</v>
      </c>
      <c r="GJ48" s="7">
        <f>'File 11'!$S$54*'Time based aggregation (hide)'!$AW10</f>
        <v>0</v>
      </c>
      <c r="GK48" s="7">
        <f>'File 12'!$Q$54*'Time based aggregation (hide)'!$AX10</f>
        <v>0</v>
      </c>
      <c r="GL48" s="7">
        <f>'File 12'!$R$54*'Time based aggregation (hide)'!$AY10</f>
        <v>0</v>
      </c>
      <c r="GM48" s="7">
        <f>'File 12'!$S$54*'Time based aggregation (hide)'!$AZ10</f>
        <v>0</v>
      </c>
      <c r="GN48" s="7">
        <f>'File 13'!$Q$54*'Time based aggregation (hide)'!$BA10</f>
        <v>0</v>
      </c>
      <c r="GO48" s="7">
        <f>'File 13'!$R$54*'Time based aggregation (hide)'!$BB10</f>
        <v>0</v>
      </c>
      <c r="GP48" s="7">
        <f>'File 13'!$S$54*'Time based aggregation (hide)'!$BC10</f>
        <v>0</v>
      </c>
      <c r="GQ48" s="7">
        <f>'File 14'!$Q$54*'Time based aggregation (hide)'!$BD10</f>
        <v>0</v>
      </c>
      <c r="GR48" s="7">
        <f>'File 14'!$R$54*'Time based aggregation (hide)'!$BE10</f>
        <v>0</v>
      </c>
      <c r="GS48" s="7">
        <f>'File 14'!$S$54*'Time based aggregation (hide)'!$BF10</f>
        <v>0</v>
      </c>
      <c r="GT48" s="7">
        <f>'File 15'!$Q$54*'Time based aggregation (hide)'!$BG10</f>
        <v>0</v>
      </c>
      <c r="GU48" s="7">
        <f>'File 15'!$R$54*'Time based aggregation (hide)'!$BH10</f>
        <v>0</v>
      </c>
      <c r="GV48" s="7">
        <f>'File 15'!$S$54*'Time based aggregation (hide)'!$BI10</f>
        <v>0</v>
      </c>
      <c r="GW48" s="7">
        <f>'File 16'!$Q$54*'Time based aggregation (hide)'!$BJ10</f>
        <v>0</v>
      </c>
      <c r="GX48" s="7">
        <f>'File 16'!$R$54*'Time based aggregation (hide)'!$BK10</f>
        <v>0</v>
      </c>
      <c r="GY48" s="7">
        <f>'File 16'!$S$54*'Time based aggregation (hide)'!$BL10</f>
        <v>0</v>
      </c>
      <c r="GZ48" s="7">
        <f>'File 17'!$Q$54*'Time based aggregation (hide)'!$BM10</f>
        <v>0</v>
      </c>
      <c r="HA48" s="7">
        <f>'File 17'!$R$54*'Time based aggregation (hide)'!$BN10</f>
        <v>0</v>
      </c>
      <c r="HB48" s="7">
        <f>'File 17'!$S$54*'Time based aggregation (hide)'!$BO10</f>
        <v>0</v>
      </c>
      <c r="HC48" s="7">
        <f>'File 18'!$Q$54*'Time based aggregation (hide)'!$BP10</f>
        <v>0</v>
      </c>
      <c r="HD48" s="7">
        <f>'File 18'!$R$54*'Time based aggregation (hide)'!$BQ10</f>
        <v>0</v>
      </c>
      <c r="HE48" s="7">
        <f>'File 18'!$S$54*'Time based aggregation (hide)'!$BR10</f>
        <v>0</v>
      </c>
      <c r="HF48" s="7">
        <f>'File 19'!$Q$54*'Time based aggregation (hide)'!$BS10</f>
        <v>0</v>
      </c>
      <c r="HG48" s="7">
        <f>'File 19'!$R$54*'Time based aggregation (hide)'!$BT10</f>
        <v>0</v>
      </c>
      <c r="HH48" s="7">
        <f>'File 19'!$S$54*'Time based aggregation (hide)'!$BU10</f>
        <v>0</v>
      </c>
      <c r="HI48" s="7">
        <f>'File 20'!$Q$54*'Time based aggregation (hide)'!$BV10</f>
        <v>0</v>
      </c>
      <c r="HJ48" s="7">
        <f>'File 20'!$R$54*'Time based aggregation (hide)'!$BW10</f>
        <v>0</v>
      </c>
      <c r="HK48" s="7">
        <f>'File 20'!$S$54*'Time based aggregation (hide)'!$BX10</f>
        <v>0</v>
      </c>
      <c r="HL48" s="7">
        <f t="shared" ca="1" si="31"/>
        <v>0</v>
      </c>
      <c r="HM48" s="7">
        <f t="shared" ca="1" si="31"/>
        <v>0</v>
      </c>
      <c r="HN48" s="7">
        <f t="shared" ca="1" si="31"/>
        <v>0</v>
      </c>
      <c r="HO48" s="7">
        <f t="shared" ca="1" si="31"/>
        <v>0</v>
      </c>
      <c r="HP48" s="7">
        <f t="shared" ca="1" si="31"/>
        <v>0</v>
      </c>
      <c r="HR48" s="142">
        <f ca="1">INDEX('File 1'!Weekly_Adjusted,6,16)</f>
        <v>21.427839876658773</v>
      </c>
      <c r="HS48" s="142">
        <f>INDEX('File 1'!Weekly_Adjusted,6,17)</f>
        <v>0</v>
      </c>
      <c r="HT48" s="142">
        <f>INDEX('File 1'!Weekly_Adjusted,6,18)</f>
        <v>0</v>
      </c>
      <c r="HU48" s="143">
        <f>INDEX('File 2'!Weekly_Adjusted,6,16)</f>
        <v>0</v>
      </c>
      <c r="HV48" s="143">
        <f>INDEX('File 2'!Weekly_Adjusted,6,17)</f>
        <v>0</v>
      </c>
      <c r="HW48" s="143">
        <f>INDEX('File 2'!Weekly_Adjusted,6,18)</f>
        <v>0</v>
      </c>
      <c r="HX48" s="142">
        <f>INDEX('File 3'!Weekly_Adjusted,6,16)</f>
        <v>0</v>
      </c>
      <c r="HY48" s="142">
        <f>INDEX('File 3'!Weekly_Adjusted,6,17)</f>
        <v>0</v>
      </c>
      <c r="HZ48" s="142">
        <f>INDEX('File 3'!Weekly_Adjusted,6,18)</f>
        <v>0</v>
      </c>
      <c r="IA48" s="143">
        <f>INDEX('File 4'!Weekly_Adjusted,6,16)</f>
        <v>0</v>
      </c>
      <c r="IB48" s="143">
        <f>INDEX('File 4'!Weekly_Adjusted,6,17)</f>
        <v>0</v>
      </c>
      <c r="IC48" s="143">
        <f>INDEX('File 4'!Weekly_Adjusted,6,18)</f>
        <v>0</v>
      </c>
      <c r="ID48" s="142">
        <f>INDEX('File 5'!Weekly_Adjusted,6,16)</f>
        <v>0</v>
      </c>
      <c r="IE48" s="142">
        <f>INDEX('File 5'!Weekly_Adjusted,6,17)</f>
        <v>0</v>
      </c>
      <c r="IF48" s="142">
        <f>INDEX('File 5'!Weekly_Adjusted,6,18)</f>
        <v>0</v>
      </c>
      <c r="IG48" s="143">
        <f>INDEX('File 6'!Weekly_Adjusted,6,16)</f>
        <v>0</v>
      </c>
      <c r="IH48" s="143">
        <f>INDEX('File 6'!Weekly_Adjusted,6,17)</f>
        <v>0</v>
      </c>
      <c r="II48" s="143">
        <f>INDEX('File 6'!Weekly_Adjusted,6,18)</f>
        <v>0</v>
      </c>
      <c r="IJ48" s="142">
        <f>INDEX('File 7'!Weekly_Adjusted,6,16)</f>
        <v>0</v>
      </c>
      <c r="IK48" s="142">
        <f>INDEX('File 7'!Weekly_Adjusted,6,17)</f>
        <v>0</v>
      </c>
      <c r="IL48" s="142">
        <f>INDEX('File 7'!Weekly_Adjusted,6,18)</f>
        <v>0</v>
      </c>
      <c r="IM48" s="143">
        <f>INDEX('File 8'!Weekly_Adjusted,6,16)</f>
        <v>0</v>
      </c>
      <c r="IN48" s="143">
        <f>INDEX('File 8'!Weekly_Adjusted,6,17)</f>
        <v>0</v>
      </c>
      <c r="IO48" s="143">
        <f>INDEX('File 8'!Weekly_Adjusted,6,18)</f>
        <v>0</v>
      </c>
      <c r="IP48" s="142">
        <f>INDEX('File 9'!Weekly_Adjusted,6,16)</f>
        <v>0</v>
      </c>
      <c r="IQ48" s="142">
        <f>INDEX('File 9'!Weekly_Adjusted,6,17)</f>
        <v>0</v>
      </c>
      <c r="IR48" s="142">
        <f>INDEX('File 9'!Weekly_Adjusted,6,18)</f>
        <v>0</v>
      </c>
      <c r="IS48" s="143">
        <f>INDEX('File 10'!Weekly_Adjusted,6,16)</f>
        <v>0</v>
      </c>
      <c r="IT48" s="143">
        <f>INDEX('File 10'!Weekly_Adjusted,6,17)</f>
        <v>0</v>
      </c>
      <c r="IU48" s="143">
        <f>INDEX('File 10'!Weekly_Adjusted,6,18)</f>
        <v>0</v>
      </c>
      <c r="IV48" s="142">
        <f>INDEX('File 11'!Weekly_Adjusted,6,16)</f>
        <v>0</v>
      </c>
      <c r="IW48" s="142">
        <f>INDEX('File 11'!Weekly_Adjusted,6,17)</f>
        <v>0</v>
      </c>
      <c r="IX48" s="142">
        <f>INDEX('File 11'!Weekly_Adjusted,6,18)</f>
        <v>0</v>
      </c>
      <c r="IY48" s="143">
        <f>INDEX('File 12'!Weekly_Adjusted,6,16)</f>
        <v>0</v>
      </c>
      <c r="IZ48" s="143">
        <f>INDEX('File 12'!Weekly_Adjusted,6,17)</f>
        <v>0</v>
      </c>
      <c r="JA48" s="143">
        <f>INDEX('File 12'!Weekly_Adjusted,6,18)</f>
        <v>0</v>
      </c>
      <c r="JB48" s="142">
        <f>INDEX('File 13'!Weekly_Adjusted,6,16)</f>
        <v>0</v>
      </c>
      <c r="JC48" s="142">
        <f>INDEX('File 13'!Weekly_Adjusted,6,17)</f>
        <v>0</v>
      </c>
      <c r="JD48" s="142">
        <f>INDEX('File 13'!Weekly_Adjusted,6,18)</f>
        <v>0</v>
      </c>
      <c r="JE48" s="143">
        <f>INDEX('File 14'!Weekly_Adjusted,6,16)</f>
        <v>0</v>
      </c>
      <c r="JF48" s="143">
        <f>INDEX('File 14'!Weekly_Adjusted,6,17)</f>
        <v>0</v>
      </c>
      <c r="JG48" s="143">
        <f>INDEX('File 14'!Weekly_Adjusted,6,18)</f>
        <v>0</v>
      </c>
      <c r="JH48" s="142">
        <f>INDEX('File 15'!Weekly_Adjusted,6,16)</f>
        <v>0</v>
      </c>
      <c r="JI48" s="142">
        <f>INDEX('File 15'!Weekly_Adjusted,6,17)</f>
        <v>0</v>
      </c>
      <c r="JJ48" s="142">
        <f>INDEX('File 15'!Weekly_Adjusted,6,18)</f>
        <v>0</v>
      </c>
      <c r="JK48" s="143">
        <f>INDEX('File 16'!Weekly_Adjusted,6,16)</f>
        <v>0</v>
      </c>
      <c r="JL48" s="143">
        <f>INDEX('File 16'!Weekly_Adjusted,6,17)</f>
        <v>0</v>
      </c>
      <c r="JM48" s="143">
        <f>INDEX('File 16'!Weekly_Adjusted,6,18)</f>
        <v>0</v>
      </c>
      <c r="JN48" s="142">
        <f>INDEX('File 17'!Weekly_Adjusted,6,16)</f>
        <v>0</v>
      </c>
      <c r="JO48" s="142">
        <f>INDEX('File 17'!Weekly_Adjusted,6,17)</f>
        <v>0</v>
      </c>
      <c r="JP48" s="142">
        <f>INDEX('File 17'!Weekly_Adjusted,6,18)</f>
        <v>0</v>
      </c>
      <c r="JQ48" s="143">
        <f>INDEX('File 18'!Weekly_Adjusted,6,16)</f>
        <v>0</v>
      </c>
      <c r="JR48" s="143">
        <f>INDEX('File 18'!Weekly_Adjusted,6,17)</f>
        <v>0</v>
      </c>
      <c r="JS48" s="143">
        <f>INDEX('File 18'!Weekly_Adjusted,6,18)</f>
        <v>0</v>
      </c>
      <c r="JT48" s="142">
        <f>INDEX('File 19'!Weekly_Adjusted,6,16)</f>
        <v>0</v>
      </c>
      <c r="JU48" s="142">
        <f>INDEX('File 19'!Weekly_Adjusted,6,17)</f>
        <v>0</v>
      </c>
      <c r="JV48" s="142">
        <f>INDEX('File 19'!Weekly_Adjusted,6,18)</f>
        <v>0</v>
      </c>
      <c r="JW48" s="143">
        <f>INDEX('File 20'!Weekly_Adjusted,6,16)</f>
        <v>0</v>
      </c>
      <c r="JX48" s="143">
        <f>INDEX('File 20'!Weekly_Adjusted,6,17)</f>
        <v>0</v>
      </c>
      <c r="JY48" s="143">
        <f>INDEX('File 20'!Weekly_Adjusted,6,18)</f>
        <v>0</v>
      </c>
      <c r="JZ48" s="6">
        <f ca="1">SUMIFS(INDEX(CapacityCore_Activity_Weekly,ROW(EC6),0),Demand_Activity_Weekly_Header,HL$42)</f>
        <v>21.427839876658773</v>
      </c>
      <c r="KA48" s="6">
        <f ca="1">SUMIFS(INDEX(CapacityCore_Activity_Weekly,ROW(ED6),0),Demand_Activity_Weekly_Header,HM$42)</f>
        <v>0</v>
      </c>
      <c r="KB48" s="6">
        <f ca="1">SUMIFS(INDEX(CapacityCore_Activity_Weekly,ROW(EE6),0),Demand_Activity_Weekly_Header,HN$42)</f>
        <v>0</v>
      </c>
      <c r="KC48" s="6">
        <f ca="1">SUMIFS(INDEX(CapacityCore_Activity_Weekly,ROW(EF6),0),Demand_Activity_Weekly_Header,HO$42)</f>
        <v>0</v>
      </c>
      <c r="KD48" s="6">
        <f ca="1">SUMIFS(INDEX(CapacityCore_Activity_Weekly,ROW(EG6),0),Demand_Activity_Weekly_Header,HP$42)</f>
        <v>0</v>
      </c>
      <c r="KF48" s="6">
        <f>SUMIFS('Time based aggregation (hide)'!$J:$J,'Time based aggregation (hide)'!$E:$E,1,'Time based aggregation (hide)'!$F:$F,1,'Time based aggregation (hide)'!$A:$A,ROW(A6))</f>
        <v>0</v>
      </c>
      <c r="KG48" s="6">
        <f>SUMIFS('Time based aggregation (hide)'!$J:$J,'Time based aggregation (hide)'!$E:$E,1,'Time based aggregation (hide)'!$F:$F,2,'Time based aggregation (hide)'!$A:$A,ROW(A6))</f>
        <v>0</v>
      </c>
      <c r="KH48" s="6">
        <f>SUMIFS('Time based aggregation (hide)'!$J:$J,'Time based aggregation (hide)'!$E:$E,1,'Time based aggregation (hide)'!$F:$F,3,'Time based aggregation (hide)'!$A:$A,ROW(A6))</f>
        <v>0</v>
      </c>
      <c r="KI48" s="6">
        <f>SUMIFS('Time based aggregation (hide)'!$J:$J,'Time based aggregation (hide)'!$E:$E,2,'Time based aggregation (hide)'!$F:$F,1,'Time based aggregation (hide)'!$A:$A,ROW(A6))</f>
        <v>0</v>
      </c>
      <c r="KJ48" s="6">
        <f>SUMIFS('Time based aggregation (hide)'!$J:$J,'Time based aggregation (hide)'!$E:$E,2,'Time based aggregation (hide)'!$F:$F,2,'Time based aggregation (hide)'!$A:$A,ROW(A6))</f>
        <v>0</v>
      </c>
      <c r="KK48" s="6">
        <f>SUMIFS('Time based aggregation (hide)'!$J:$J,'Time based aggregation (hide)'!$E:$E,2,'Time based aggregation (hide)'!$F:$F,3,'Time based aggregation (hide)'!$A:$A,ROW(A6))</f>
        <v>0</v>
      </c>
      <c r="KL48" s="6">
        <f>SUMIFS('Time based aggregation (hide)'!$J:$J,'Time based aggregation (hide)'!$E:$E,3,'Time based aggregation (hide)'!$F:$F,1,'Time based aggregation (hide)'!$A:$A,ROW(A6))</f>
        <v>0</v>
      </c>
      <c r="KM48" s="6">
        <f>SUMIFS('Time based aggregation (hide)'!$J:$J,'Time based aggregation (hide)'!$E:$E,3,'Time based aggregation (hide)'!$F:$F,2,'Time based aggregation (hide)'!$A:$A,ROW(A6))</f>
        <v>0</v>
      </c>
      <c r="KN48" s="6">
        <f>SUMIFS('Time based aggregation (hide)'!$J:$J,'Time based aggregation (hide)'!$E:$E,3,'Time based aggregation (hide)'!$F:$F,3,'Time based aggregation (hide)'!$A:$A,ROW(A6))</f>
        <v>0</v>
      </c>
      <c r="KO48" s="6">
        <f>SUMIFS('Time based aggregation (hide)'!$J:$J,'Time based aggregation (hide)'!$E:$E,4,'Time based aggregation (hide)'!$F:$F,1,'Time based aggregation (hide)'!$A:$A,ROW(A6))</f>
        <v>0</v>
      </c>
      <c r="KP48" s="6">
        <f>SUMIFS('Time based aggregation (hide)'!$J:$J,'Time based aggregation (hide)'!$E:$E,4,'Time based aggregation (hide)'!$F:$F,2,'Time based aggregation (hide)'!$A:$A,ROW(A6))</f>
        <v>0</v>
      </c>
      <c r="KQ48" s="6">
        <f>SUMIFS('Time based aggregation (hide)'!$J:$J,'Time based aggregation (hide)'!$E:$E,4,'Time based aggregation (hide)'!$F:$F,3,'Time based aggregation (hide)'!$A:$A,ROW(A6))</f>
        <v>0</v>
      </c>
      <c r="KR48" s="6">
        <f>SUMIFS('Time based aggregation (hide)'!$J:$J,'Time based aggregation (hide)'!$E:$E,5,'Time based aggregation (hide)'!$F:$F,1,'Time based aggregation (hide)'!$A:$A,ROW(A6))</f>
        <v>0</v>
      </c>
      <c r="KS48" s="6">
        <f>SUMIFS('Time based aggregation (hide)'!$J:$J,'Time based aggregation (hide)'!$E:$E,5,'Time based aggregation (hide)'!$F:$F,2,'Time based aggregation (hide)'!$A:$A,ROW(A6))</f>
        <v>0</v>
      </c>
      <c r="KT48" s="6">
        <f>SUMIFS('Time based aggregation (hide)'!$J:$J,'Time based aggregation (hide)'!$E:$E,5,'Time based aggregation (hide)'!$F:$F,3,'Time based aggregation (hide)'!$A:$A,ROW(A6))</f>
        <v>0</v>
      </c>
      <c r="KU48" s="6">
        <f>SUMIFS('Time based aggregation (hide)'!$J:$J,'Time based aggregation (hide)'!$E:$E,6,'Time based aggregation (hide)'!$F:$F,1,'Time based aggregation (hide)'!$A:$A,ROW(A6))</f>
        <v>0</v>
      </c>
      <c r="KV48" s="6">
        <f>SUMIFS('Time based aggregation (hide)'!$J:$J,'Time based aggregation (hide)'!$E:$E,6,'Time based aggregation (hide)'!$F:$F,2,'Time based aggregation (hide)'!$A:$A,ROW(A6))</f>
        <v>0</v>
      </c>
      <c r="KW48" s="6">
        <f>SUMIFS('Time based aggregation (hide)'!$J:$J,'Time based aggregation (hide)'!$E:$E,6,'Time based aggregation (hide)'!$F:$F,3,'Time based aggregation (hide)'!$A:$A,ROW(A6))</f>
        <v>0</v>
      </c>
      <c r="KX48" s="6">
        <f>SUMIFS('Time based aggregation (hide)'!$J:$J,'Time based aggregation (hide)'!$E:$E,7,'Time based aggregation (hide)'!$F:$F,1,'Time based aggregation (hide)'!$A:$A,ROW(A6))</f>
        <v>0</v>
      </c>
      <c r="KY48" s="6">
        <f>SUMIFS('Time based aggregation (hide)'!$J:$J,'Time based aggregation (hide)'!$E:$E,7,'Time based aggregation (hide)'!$F:$F,2,'Time based aggregation (hide)'!$A:$A,ROW(A6))</f>
        <v>0</v>
      </c>
      <c r="KZ48" s="6">
        <f>SUMIFS('Time based aggregation (hide)'!$J:$J,'Time based aggregation (hide)'!$E:$E,7,'Time based aggregation (hide)'!$F:$F,3,'Time based aggregation (hide)'!$A:$A,ROW(A6))</f>
        <v>0</v>
      </c>
      <c r="LA48" s="6">
        <f>SUMIFS('Time based aggregation (hide)'!$J:$J,'Time based aggregation (hide)'!$E:$E,8,'Time based aggregation (hide)'!$F:$F,1,'Time based aggregation (hide)'!$A:$A,ROW(A6))</f>
        <v>0</v>
      </c>
      <c r="LB48" s="6">
        <f>SUMIFS('Time based aggregation (hide)'!$J:$J,'Time based aggregation (hide)'!$E:$E,8,'Time based aggregation (hide)'!$F:$F,2,'Time based aggregation (hide)'!$A:$A,ROW(A6))</f>
        <v>0</v>
      </c>
      <c r="LC48" s="6">
        <f>SUMIFS('Time based aggregation (hide)'!$J:$J,'Time based aggregation (hide)'!$E:$E,8,'Time based aggregation (hide)'!$F:$F,3,'Time based aggregation (hide)'!$A:$A,ROW(A6))</f>
        <v>0</v>
      </c>
      <c r="LD48" s="6">
        <f>SUMIFS('Time based aggregation (hide)'!$J:$J,'Time based aggregation (hide)'!$E:$E,9,'Time based aggregation (hide)'!$F:$F,1,'Time based aggregation (hide)'!$A:$A,ROW(A6))</f>
        <v>0</v>
      </c>
      <c r="LE48" s="6">
        <f>SUMIFS('Time based aggregation (hide)'!$J:$J,'Time based aggregation (hide)'!$E:$E,9,'Time based aggregation (hide)'!$F:$F,2,'Time based aggregation (hide)'!$A:$A,ROW(A6))</f>
        <v>0</v>
      </c>
      <c r="LF48" s="6">
        <f>SUMIFS('Time based aggregation (hide)'!$J:$J,'Time based aggregation (hide)'!$E:$E,9,'Time based aggregation (hide)'!$F:$F,3,'Time based aggregation (hide)'!$A:$A,ROW(A6))</f>
        <v>0</v>
      </c>
      <c r="LG48" s="6">
        <f>SUMIFS('Time based aggregation (hide)'!$J:$J,'Time based aggregation (hide)'!$E:$E,10,'Time based aggregation (hide)'!$F:$F,1,'Time based aggregation (hide)'!$A:$A,ROW(A6))</f>
        <v>0</v>
      </c>
      <c r="LH48" s="6">
        <f>SUMIFS('Time based aggregation (hide)'!$J:$J,'Time based aggregation (hide)'!$E:$E,10,'Time based aggregation (hide)'!$F:$F,2,'Time based aggregation (hide)'!$A:$A,ROW(A6))</f>
        <v>0</v>
      </c>
      <c r="LI48" s="6">
        <f>SUMIFS('Time based aggregation (hide)'!$J:$J,'Time based aggregation (hide)'!$E:$E,10,'Time based aggregation (hide)'!$F:$F,3,'Time based aggregation (hide)'!$A:$A,ROW(A6))</f>
        <v>0</v>
      </c>
      <c r="LJ48" s="6">
        <f>SUMIFS('Time based aggregation (hide)'!$J:$J,'Time based aggregation (hide)'!$E:$E,11,'Time based aggregation (hide)'!$F:$F,1,'Time based aggregation (hide)'!$A:$A,ROW(A6))</f>
        <v>0</v>
      </c>
      <c r="LK48" s="6">
        <f>SUMIFS('Time based aggregation (hide)'!$J:$J,'Time based aggregation (hide)'!$E:$E,11,'Time based aggregation (hide)'!$F:$F,2,'Time based aggregation (hide)'!$A:$A,ROW(A6))</f>
        <v>0</v>
      </c>
      <c r="LL48" s="6">
        <f>SUMIFS('Time based aggregation (hide)'!$J:$J,'Time based aggregation (hide)'!$E:$E,11,'Time based aggregation (hide)'!$F:$F,3,'Time based aggregation (hide)'!$A:$A,ROW(A6))</f>
        <v>0</v>
      </c>
      <c r="LM48" s="6">
        <f>SUMIFS('Time based aggregation (hide)'!$J:$J,'Time based aggregation (hide)'!$E:$E,12,'Time based aggregation (hide)'!$F:$F,1,'Time based aggregation (hide)'!$A:$A,ROW(A6))</f>
        <v>0</v>
      </c>
      <c r="LN48" s="6">
        <f>SUMIFS('Time based aggregation (hide)'!$J:$J,'Time based aggregation (hide)'!$E:$E,12,'Time based aggregation (hide)'!$F:$F,2,'Time based aggregation (hide)'!$A:$A,ROW(A6))</f>
        <v>0</v>
      </c>
      <c r="LO48" s="6">
        <f>SUMIFS('Time based aggregation (hide)'!$J:$J,'Time based aggregation (hide)'!$E:$E,12,'Time based aggregation (hide)'!$F:$F,3,'Time based aggregation (hide)'!$A:$A,ROW(A6))</f>
        <v>0</v>
      </c>
      <c r="LP48" s="6">
        <f>SUMIFS('Time based aggregation (hide)'!$J:$J,'Time based aggregation (hide)'!$E:$E,13,'Time based aggregation (hide)'!$F:$F,1,'Time based aggregation (hide)'!$A:$A,ROW(A6))</f>
        <v>0</v>
      </c>
      <c r="LQ48" s="6">
        <f>SUMIFS('Time based aggregation (hide)'!$J:$J,'Time based aggregation (hide)'!$E:$E,13,'Time based aggregation (hide)'!$F:$F,2,'Time based aggregation (hide)'!$A:$A,ROW(A6))</f>
        <v>0</v>
      </c>
      <c r="LR48" s="6">
        <f>SUMIFS('Time based aggregation (hide)'!$J:$J,'Time based aggregation (hide)'!$E:$E,13,'Time based aggregation (hide)'!$F:$F,3,'Time based aggregation (hide)'!$A:$A,ROW(A6))</f>
        <v>0</v>
      </c>
      <c r="LS48" s="6">
        <f>SUMIFS('Time based aggregation (hide)'!$J:$J,'Time based aggregation (hide)'!$E:$E,14,'Time based aggregation (hide)'!$F:$F,1,'Time based aggregation (hide)'!$A:$A,ROW(A6))</f>
        <v>0</v>
      </c>
      <c r="LT48" s="6">
        <f>SUMIFS('Time based aggregation (hide)'!$J:$J,'Time based aggregation (hide)'!$E:$E,14,'Time based aggregation (hide)'!$F:$F,2,'Time based aggregation (hide)'!$A:$A,ROW(A6))</f>
        <v>0</v>
      </c>
      <c r="LU48" s="6">
        <f>SUMIFS('Time based aggregation (hide)'!$J:$J,'Time based aggregation (hide)'!$E:$E,14,'Time based aggregation (hide)'!$F:$F,3,'Time based aggregation (hide)'!$A:$A,ROW(A6))</f>
        <v>0</v>
      </c>
      <c r="LV48" s="6">
        <f>SUMIFS('Time based aggregation (hide)'!$J:$J,'Time based aggregation (hide)'!$E:$E,15,'Time based aggregation (hide)'!$F:$F,1,'Time based aggregation (hide)'!$A:$A,ROW(A6))</f>
        <v>0</v>
      </c>
      <c r="LW48" s="6">
        <f>SUMIFS('Time based aggregation (hide)'!$J:$J,'Time based aggregation (hide)'!$E:$E,15,'Time based aggregation (hide)'!$F:$F,2,'Time based aggregation (hide)'!$A:$A,ROW(A6))</f>
        <v>0</v>
      </c>
      <c r="LX48" s="6">
        <f>SUMIFS('Time based aggregation (hide)'!$J:$J,'Time based aggregation (hide)'!$E:$E,15,'Time based aggregation (hide)'!$F:$F,3,'Time based aggregation (hide)'!$A:$A,ROW(A6))</f>
        <v>0</v>
      </c>
      <c r="LY48" s="6">
        <f>SUMIFS('Time based aggregation (hide)'!$J:$J,'Time based aggregation (hide)'!$E:$E,16,'Time based aggregation (hide)'!$F:$F,1,'Time based aggregation (hide)'!$A:$A,ROW(A6))</f>
        <v>0</v>
      </c>
      <c r="LZ48" s="6">
        <f>SUMIFS('Time based aggregation (hide)'!$J:$J,'Time based aggregation (hide)'!$E:$E,16,'Time based aggregation (hide)'!$F:$F,2,'Time based aggregation (hide)'!$A:$A,ROW(A6))</f>
        <v>0</v>
      </c>
      <c r="MA48" s="6">
        <f>SUMIFS('Time based aggregation (hide)'!$J:$J,'Time based aggregation (hide)'!$E:$E,16,'Time based aggregation (hide)'!$F:$F,3,'Time based aggregation (hide)'!$A:$A,ROW(A6))</f>
        <v>0</v>
      </c>
      <c r="MB48" s="6">
        <f>SUMIFS('Time based aggregation (hide)'!$J:$J,'Time based aggregation (hide)'!$E:$E,17,'Time based aggregation (hide)'!$F:$F,1,'Time based aggregation (hide)'!$A:$A,ROW(A6))</f>
        <v>0</v>
      </c>
      <c r="MC48" s="6">
        <f>SUMIFS('Time based aggregation (hide)'!$J:$J,'Time based aggregation (hide)'!$E:$E,17,'Time based aggregation (hide)'!$F:$F,2,'Time based aggregation (hide)'!$A:$A,ROW(A6))</f>
        <v>0</v>
      </c>
      <c r="MD48" s="6">
        <f>SUMIFS('Time based aggregation (hide)'!$J:$J,'Time based aggregation (hide)'!$E:$E,17,'Time based aggregation (hide)'!$F:$F,3,'Time based aggregation (hide)'!$A:$A,ROW(A6))</f>
        <v>0</v>
      </c>
      <c r="ME48" s="6">
        <f>SUMIFS('Time based aggregation (hide)'!$J:$J,'Time based aggregation (hide)'!$E:$E,18,'Time based aggregation (hide)'!$F:$F,1,'Time based aggregation (hide)'!$A:$A,ROW(A6))</f>
        <v>0</v>
      </c>
      <c r="MF48" s="6">
        <f>SUMIFS('Time based aggregation (hide)'!$J:$J,'Time based aggregation (hide)'!$E:$E,18,'Time based aggregation (hide)'!$F:$F,2,'Time based aggregation (hide)'!$A:$A,ROW(A6))</f>
        <v>0</v>
      </c>
      <c r="MG48" s="6">
        <f>SUMIFS('Time based aggregation (hide)'!$J:$J,'Time based aggregation (hide)'!$E:$E,18,'Time based aggregation (hide)'!$F:$F,3,'Time based aggregation (hide)'!$A:$A,ROW(A6))</f>
        <v>0</v>
      </c>
      <c r="MH48" s="6">
        <f>SUMIFS('Time based aggregation (hide)'!$J:$J,'Time based aggregation (hide)'!$E:$E,19,'Time based aggregation (hide)'!$F:$F,1,'Time based aggregation (hide)'!$A:$A,ROW(A6))</f>
        <v>0</v>
      </c>
      <c r="MI48" s="6">
        <f>SUMIFS('Time based aggregation (hide)'!$J:$J,'Time based aggregation (hide)'!$E:$E,19,'Time based aggregation (hide)'!$F:$F,2,'Time based aggregation (hide)'!$A:$A,ROW(A6))</f>
        <v>0</v>
      </c>
      <c r="MJ48" s="6">
        <f>SUMIFS('Time based aggregation (hide)'!$J:$J,'Time based aggregation (hide)'!$E:$E,19,'Time based aggregation (hide)'!$F:$F,3,'Time based aggregation (hide)'!$A:$A,ROW(A6))</f>
        <v>0</v>
      </c>
      <c r="MK48" s="6">
        <f>SUMIFS('Time based aggregation (hide)'!$J:$J,'Time based aggregation (hide)'!$E:$E,20,'Time based aggregation (hide)'!$F:$F,1,'Time based aggregation (hide)'!$A:$A,ROW(A6))</f>
        <v>0</v>
      </c>
      <c r="ML48" s="6">
        <f>SUMIFS('Time based aggregation (hide)'!$J:$J,'Time based aggregation (hide)'!$E:$E,20,'Time based aggregation (hide)'!$F:$F,2,'Time based aggregation (hide)'!$A:$A,ROW(A6))</f>
        <v>0</v>
      </c>
      <c r="MM48" s="6">
        <f>SUMIFS('Time based aggregation (hide)'!$J:$J,'Time based aggregation (hide)'!$E:$E,20,'Time based aggregation (hide)'!$F:$F,3,'Time based aggregation (hide)'!$A:$A,ROW(A6))</f>
        <v>0</v>
      </c>
      <c r="MN48" s="7">
        <f t="shared" ca="1" si="36"/>
        <v>0</v>
      </c>
      <c r="MO48" s="7">
        <f t="shared" ca="1" si="32"/>
        <v>0</v>
      </c>
      <c r="MP48" s="7">
        <f t="shared" ca="1" si="32"/>
        <v>0</v>
      </c>
      <c r="MQ48" s="7">
        <f t="shared" ca="1" si="32"/>
        <v>0</v>
      </c>
      <c r="MR48" s="7">
        <f t="shared" ca="1" si="32"/>
        <v>0</v>
      </c>
    </row>
    <row r="49" spans="1:356" x14ac:dyDescent="0.25">
      <c r="A49">
        <f>1</f>
        <v>1</v>
      </c>
      <c r="B49" s="85">
        <f t="shared" si="37"/>
        <v>43837</v>
      </c>
      <c r="C49" s="85">
        <f t="shared" si="25"/>
        <v>43836</v>
      </c>
      <c r="D49">
        <f t="shared" ca="1" si="26"/>
        <v>1</v>
      </c>
      <c r="E49" s="85">
        <f t="shared" si="27"/>
        <v>43831</v>
      </c>
      <c r="F49">
        <f t="shared" si="33"/>
        <v>2</v>
      </c>
      <c r="H49">
        <f t="shared" si="34"/>
        <v>7</v>
      </c>
      <c r="I49" s="85">
        <f t="shared" si="38"/>
        <v>43871</v>
      </c>
      <c r="J49">
        <f t="shared" ca="1" si="28"/>
        <v>5</v>
      </c>
      <c r="K49">
        <f t="shared" ca="1" si="29"/>
        <v>1.968503937007874E-2</v>
      </c>
      <c r="L49" s="114"/>
      <c r="N49" s="85">
        <f t="shared" si="35"/>
        <v>43871</v>
      </c>
      <c r="O49" s="122">
        <f t="shared" ca="1" si="30"/>
        <v>0</v>
      </c>
      <c r="P49" s="122">
        <f t="shared" ca="1" si="30"/>
        <v>1</v>
      </c>
      <c r="Q49" s="122">
        <f t="shared" ca="1" si="30"/>
        <v>0</v>
      </c>
      <c r="R49" s="122">
        <f t="shared" ca="1" si="30"/>
        <v>0</v>
      </c>
      <c r="S49" s="122">
        <f t="shared" ca="1" si="30"/>
        <v>0</v>
      </c>
      <c r="T49" s="122">
        <f t="shared" ca="1" si="30"/>
        <v>0</v>
      </c>
      <c r="U49" s="122">
        <f t="shared" ca="1" si="30"/>
        <v>0</v>
      </c>
      <c r="V49" s="122">
        <f t="shared" ca="1" si="30"/>
        <v>0</v>
      </c>
      <c r="W49" s="122">
        <f t="shared" ca="1" si="30"/>
        <v>0</v>
      </c>
      <c r="X49" s="122">
        <f t="shared" ca="1" si="30"/>
        <v>0</v>
      </c>
      <c r="Y49" s="122">
        <f t="shared" ca="1" si="30"/>
        <v>0</v>
      </c>
      <c r="Z49" s="122">
        <f t="shared" ca="1" si="30"/>
        <v>0</v>
      </c>
      <c r="AA49" s="122"/>
      <c r="AB49" s="140">
        <f>INDEX('File 1'!Weekly_Adjusted,7,1)</f>
        <v>388.17143954725253</v>
      </c>
      <c r="AC49" s="140">
        <f>INDEX('File 1'!Weekly_Adjusted,7,2)</f>
        <v>0</v>
      </c>
      <c r="AD49" s="140">
        <f>INDEX('File 1'!Weekly_Adjusted,7,3)</f>
        <v>0</v>
      </c>
      <c r="AE49" s="141">
        <f>INDEX('File 2'!Weekly_Adjusted,7,1)</f>
        <v>0</v>
      </c>
      <c r="AF49" s="141">
        <f>INDEX('File 2'!Weekly_Adjusted,7,2)</f>
        <v>0</v>
      </c>
      <c r="AG49" s="141">
        <f>INDEX('File 2'!Weekly_Adjusted,7,3)</f>
        <v>0</v>
      </c>
      <c r="AH49" s="140">
        <f>INDEX('File 3'!Weekly_Adjusted,7,1)</f>
        <v>0</v>
      </c>
      <c r="AI49" s="140">
        <f>INDEX('File 3'!Weekly_Adjusted,7,2)</f>
        <v>0</v>
      </c>
      <c r="AJ49" s="140">
        <f>INDEX('File 3'!Weekly_Adjusted,7,3)</f>
        <v>0</v>
      </c>
      <c r="AK49" s="141">
        <f>INDEX('File 4'!Weekly_Adjusted,7,1)</f>
        <v>0</v>
      </c>
      <c r="AL49" s="141">
        <f>INDEX('File 4'!Weekly_Adjusted,7,2)</f>
        <v>0</v>
      </c>
      <c r="AM49" s="141">
        <f>INDEX('File 4'!Weekly_Adjusted,7,3)</f>
        <v>0</v>
      </c>
      <c r="AN49" s="140">
        <f>INDEX('File 5'!Weekly_Adjusted,7,1)</f>
        <v>0</v>
      </c>
      <c r="AO49" s="140">
        <f>INDEX('File 5'!Weekly_Adjusted,7,2)</f>
        <v>0</v>
      </c>
      <c r="AP49" s="140">
        <f>INDEX('File 5'!Weekly_Adjusted,7,3)</f>
        <v>0</v>
      </c>
      <c r="AQ49" s="141">
        <f>INDEX('File 6'!Weekly_Adjusted,7,1)</f>
        <v>0</v>
      </c>
      <c r="AR49" s="141">
        <f>INDEX('File 6'!Weekly_Adjusted,7,2)</f>
        <v>0</v>
      </c>
      <c r="AS49" s="141">
        <f>INDEX('File 6'!Weekly_Adjusted,7,3)</f>
        <v>0</v>
      </c>
      <c r="AT49" s="140">
        <f>INDEX('File 7'!Weekly_Adjusted,7,1)</f>
        <v>0</v>
      </c>
      <c r="AU49" s="140">
        <f>INDEX('File 7'!Weekly_Adjusted,7,2)</f>
        <v>0</v>
      </c>
      <c r="AV49" s="140">
        <f>INDEX('File 7'!Weekly_Adjusted,7,3)</f>
        <v>0</v>
      </c>
      <c r="AW49" s="141">
        <f>INDEX('File 8'!Weekly_Adjusted,7,1)</f>
        <v>0</v>
      </c>
      <c r="AX49" s="141">
        <f>INDEX('File 8'!Weekly_Adjusted,7,2)</f>
        <v>0</v>
      </c>
      <c r="AY49" s="141">
        <f>INDEX('File 8'!Weekly_Adjusted,7,3)</f>
        <v>0</v>
      </c>
      <c r="AZ49" s="140">
        <f>INDEX('File 9'!Weekly_Adjusted,7,1)</f>
        <v>0</v>
      </c>
      <c r="BA49" s="140">
        <f>INDEX('File 9'!Weekly_Adjusted,7,2)</f>
        <v>0</v>
      </c>
      <c r="BB49" s="140">
        <f>INDEX('File 9'!Weekly_Adjusted,7,3)</f>
        <v>0</v>
      </c>
      <c r="BC49" s="141">
        <f>INDEX('File 10'!Weekly_Adjusted,7,1)</f>
        <v>0</v>
      </c>
      <c r="BD49" s="141">
        <f>INDEX('File 10'!Weekly_Adjusted,7,2)</f>
        <v>0</v>
      </c>
      <c r="BE49" s="141">
        <f>INDEX('File 10'!Weekly_Adjusted,7,3)</f>
        <v>0</v>
      </c>
      <c r="BF49" s="140">
        <f>INDEX('File 11'!Weekly_Adjusted,7,1)</f>
        <v>0</v>
      </c>
      <c r="BG49" s="140">
        <f>INDEX('File 11'!Weekly_Adjusted,7,2)</f>
        <v>0</v>
      </c>
      <c r="BH49" s="140">
        <f>INDEX('File 11'!Weekly_Adjusted,7,3)</f>
        <v>0</v>
      </c>
      <c r="BI49" s="141">
        <f>INDEX('File 12'!Weekly_Adjusted,7,1)</f>
        <v>0</v>
      </c>
      <c r="BJ49" s="141">
        <f>INDEX('File 12'!Weekly_Adjusted,7,2)</f>
        <v>0</v>
      </c>
      <c r="BK49" s="141">
        <f>INDEX('File 12'!Weekly_Adjusted,7,3)</f>
        <v>0</v>
      </c>
      <c r="BL49" s="140">
        <f>INDEX('File 13'!Weekly_Adjusted,7,1)</f>
        <v>0</v>
      </c>
      <c r="BM49" s="140">
        <f>INDEX('File 13'!Weekly_Adjusted,7,2)</f>
        <v>0</v>
      </c>
      <c r="BN49" s="140">
        <f>INDEX('File 13'!Weekly_Adjusted,7,3)</f>
        <v>0</v>
      </c>
      <c r="BO49" s="141">
        <f>INDEX('File 14'!Weekly_Adjusted,7,1)</f>
        <v>0</v>
      </c>
      <c r="BP49" s="141">
        <f>INDEX('File 14'!Weekly_Adjusted,7,2)</f>
        <v>0</v>
      </c>
      <c r="BQ49" s="141">
        <f>INDEX('File 14'!Weekly_Adjusted,7,3)</f>
        <v>0</v>
      </c>
      <c r="BR49" s="140">
        <f>INDEX('File 15'!Weekly_Adjusted,7,1)</f>
        <v>0</v>
      </c>
      <c r="BS49" s="140">
        <f>INDEX('File 15'!Weekly_Adjusted,7,2)</f>
        <v>0</v>
      </c>
      <c r="BT49" s="140">
        <f>INDEX('File 15'!Weekly_Adjusted,7,3)</f>
        <v>0</v>
      </c>
      <c r="BU49" s="141">
        <f>INDEX('File 16'!Weekly_Adjusted,7,1)</f>
        <v>0</v>
      </c>
      <c r="BV49" s="141">
        <f>INDEX('File 16'!Weekly_Adjusted,7,2)</f>
        <v>0</v>
      </c>
      <c r="BW49" s="141">
        <f>INDEX('File 16'!Weekly_Adjusted,7,3)</f>
        <v>0</v>
      </c>
      <c r="BX49" s="140">
        <f>INDEX('File 17'!Weekly_Adjusted,7,1)</f>
        <v>0</v>
      </c>
      <c r="BY49" s="140">
        <f>INDEX('File 17'!Weekly_Adjusted,7,2)</f>
        <v>0</v>
      </c>
      <c r="BZ49" s="140">
        <f>INDEX('File 17'!Weekly_Adjusted,7,3)</f>
        <v>0</v>
      </c>
      <c r="CA49" s="141">
        <f>INDEX('File 18'!Weekly_Adjusted,7,1)</f>
        <v>0</v>
      </c>
      <c r="CB49" s="141">
        <f>INDEX('File 18'!Weekly_Adjusted,7,2)</f>
        <v>0</v>
      </c>
      <c r="CC49" s="141">
        <f>INDEX('File 18'!Weekly_Adjusted,7,3)</f>
        <v>0</v>
      </c>
      <c r="CD49" s="140">
        <f>INDEX('File 19'!Weekly_Adjusted,7,1)</f>
        <v>0</v>
      </c>
      <c r="CE49" s="140">
        <f>INDEX('File 19'!Weekly_Adjusted,7,2)</f>
        <v>0</v>
      </c>
      <c r="CF49" s="140">
        <f>INDEX('File 19'!Weekly_Adjusted,7,3)</f>
        <v>0</v>
      </c>
      <c r="CG49" s="141">
        <f>INDEX('File 20'!Weekly_Adjusted,7,1)</f>
        <v>0</v>
      </c>
      <c r="CH49" s="141">
        <f>INDEX('File 20'!Weekly_Adjusted,7,2)</f>
        <v>0</v>
      </c>
      <c r="CI49" s="141">
        <f>INDEX('File 20'!Weekly_Adjusted,7,3)</f>
        <v>0</v>
      </c>
      <c r="CJ49" s="6">
        <f ca="1">SUMIFS(INDEX(Demand_Activity_Weekly,ROW(A7),0),Demand_Activity_Weekly_Header,CJ$42)</f>
        <v>388.17143954725253</v>
      </c>
      <c r="CK49" s="6">
        <f ca="1">SUMIFS(INDEX(Demand_Activity_Weekly,ROW(B7),0),Demand_Activity_Weekly_Header,CK$42)</f>
        <v>0</v>
      </c>
      <c r="CL49" s="6">
        <f ca="1">SUMIFS(INDEX(Demand_Activity_Weekly,ROW(C7),0),Demand_Activity_Weekly_Header,CL$42)</f>
        <v>0</v>
      </c>
      <c r="CM49" s="6">
        <f ca="1">SUMIFS(INDEX(Demand_Activity_Weekly,ROW(D7),0),Demand_Activity_Weekly_Header,CM$42)</f>
        <v>0</v>
      </c>
      <c r="CN49" s="6">
        <f ca="1">SUMIFS(INDEX(Demand_Activity_Weekly,ROW(E7),0),Demand_Activity_Weekly_Header,CN$42)</f>
        <v>0</v>
      </c>
      <c r="CP49" s="142">
        <f ca="1">INDEX('File 1'!Weekly_Adjusted,7,10)</f>
        <v>24.919784152855019</v>
      </c>
      <c r="CQ49" s="142">
        <f>INDEX('File 1'!Weekly_Adjusted,7,11)</f>
        <v>0</v>
      </c>
      <c r="CR49" s="142">
        <f>INDEX('File 1'!Weekly_Adjusted,7,12)</f>
        <v>0</v>
      </c>
      <c r="CS49" s="143">
        <f>INDEX('File 2'!Weekly_Adjusted,7,10)</f>
        <v>0</v>
      </c>
      <c r="CT49" s="143">
        <f>INDEX('File 2'!Weekly_Adjusted,7,11)</f>
        <v>0</v>
      </c>
      <c r="CU49" s="143">
        <f>INDEX('File 2'!Weekly_Adjusted,7,12)</f>
        <v>0</v>
      </c>
      <c r="CV49" s="142">
        <f>INDEX('File 3'!Weekly_Adjusted,7,10)</f>
        <v>0</v>
      </c>
      <c r="CW49" s="142">
        <f>INDEX('File 3'!Weekly_Adjusted,7,11)</f>
        <v>0</v>
      </c>
      <c r="CX49" s="142">
        <f>INDEX('File 3'!Weekly_Adjusted,7,12)</f>
        <v>0</v>
      </c>
      <c r="CY49" s="143">
        <f>INDEX('File 4'!Weekly_Adjusted,7,10)</f>
        <v>0</v>
      </c>
      <c r="CZ49" s="143">
        <f>INDEX('File 4'!Weekly_Adjusted,7,11)</f>
        <v>0</v>
      </c>
      <c r="DA49" s="143">
        <f>INDEX('File 4'!Weekly_Adjusted,7,12)</f>
        <v>0</v>
      </c>
      <c r="DB49" s="142">
        <f>INDEX('File 5'!Weekly_Adjusted,7,10)</f>
        <v>0</v>
      </c>
      <c r="DC49" s="142">
        <f>INDEX('File 5'!Weekly_Adjusted,7,11)</f>
        <v>0</v>
      </c>
      <c r="DD49" s="142">
        <f>INDEX('File 5'!Weekly_Adjusted,7,12)</f>
        <v>0</v>
      </c>
      <c r="DE49" s="143">
        <f>INDEX('File 6'!Weekly_Adjusted,7,10)</f>
        <v>0</v>
      </c>
      <c r="DF49" s="143">
        <f>INDEX('File 6'!Weekly_Adjusted,7,11)</f>
        <v>0</v>
      </c>
      <c r="DG49" s="143">
        <f>INDEX('File 6'!Weekly_Adjusted,7,12)</f>
        <v>0</v>
      </c>
      <c r="DH49" s="142">
        <f>INDEX('File 7'!Weekly_Adjusted,7,10)</f>
        <v>0</v>
      </c>
      <c r="DI49" s="142">
        <f>INDEX('File 7'!Weekly_Adjusted,7,11)</f>
        <v>0</v>
      </c>
      <c r="DJ49" s="142">
        <f>INDEX('File 7'!Weekly_Adjusted,7,12)</f>
        <v>0</v>
      </c>
      <c r="DK49" s="143">
        <f>INDEX('File 8'!Weekly_Adjusted,7,10)</f>
        <v>0</v>
      </c>
      <c r="DL49" s="143">
        <f>INDEX('File 8'!Weekly_Adjusted,7,11)</f>
        <v>0</v>
      </c>
      <c r="DM49" s="143">
        <f>INDEX('File 8'!Weekly_Adjusted,7,12)</f>
        <v>0</v>
      </c>
      <c r="DN49" s="142">
        <f>INDEX('File 9'!Weekly_Adjusted,7,10)</f>
        <v>0</v>
      </c>
      <c r="DO49" s="142">
        <f>INDEX('File 9'!Weekly_Adjusted,7,11)</f>
        <v>0</v>
      </c>
      <c r="DP49" s="142">
        <f>INDEX('File 9'!Weekly_Adjusted,7,12)</f>
        <v>0</v>
      </c>
      <c r="DQ49" s="143">
        <f>INDEX('File 10'!Weekly_Adjusted,7,10)</f>
        <v>0</v>
      </c>
      <c r="DR49" s="143">
        <f>INDEX('File 10'!Weekly_Adjusted,7,11)</f>
        <v>0</v>
      </c>
      <c r="DS49" s="143">
        <f>INDEX('File 10'!Weekly_Adjusted,7,12)</f>
        <v>0</v>
      </c>
      <c r="DT49" s="142">
        <f>INDEX('File 11'!Weekly_Adjusted,7,10)</f>
        <v>0</v>
      </c>
      <c r="DU49" s="142">
        <f>INDEX('File 11'!Weekly_Adjusted,7,11)</f>
        <v>0</v>
      </c>
      <c r="DV49" s="142">
        <f>INDEX('File 11'!Weekly_Adjusted,7,12)</f>
        <v>0</v>
      </c>
      <c r="DW49" s="143">
        <f>INDEX('File 12'!Weekly_Adjusted,7,10)</f>
        <v>0</v>
      </c>
      <c r="DX49" s="143">
        <f>INDEX('File 12'!Weekly_Adjusted,7,11)</f>
        <v>0</v>
      </c>
      <c r="DY49" s="143">
        <f>INDEX('File 12'!Weekly_Adjusted,7,12)</f>
        <v>0</v>
      </c>
      <c r="DZ49" s="142">
        <f>INDEX('File 13'!Weekly_Adjusted,7,10)</f>
        <v>0</v>
      </c>
      <c r="EA49" s="142">
        <f>INDEX('File 13'!Weekly_Adjusted,7,11)</f>
        <v>0</v>
      </c>
      <c r="EB49" s="142">
        <f>INDEX('File 13'!Weekly_Adjusted,7,12)</f>
        <v>0</v>
      </c>
      <c r="EC49" s="143">
        <f>INDEX('File 14'!Weekly_Adjusted,7,10)</f>
        <v>0</v>
      </c>
      <c r="ED49" s="143">
        <f>INDEX('File 14'!Weekly_Adjusted,7,11)</f>
        <v>0</v>
      </c>
      <c r="EE49" s="143">
        <f>INDEX('File 14'!Weekly_Adjusted,7,12)</f>
        <v>0</v>
      </c>
      <c r="EF49" s="142">
        <f>INDEX('File 15'!Weekly_Adjusted,7,10)</f>
        <v>0</v>
      </c>
      <c r="EG49" s="142">
        <f>INDEX('File 15'!Weekly_Adjusted,7,11)</f>
        <v>0</v>
      </c>
      <c r="EH49" s="142">
        <f>INDEX('File 15'!Weekly_Adjusted,7,12)</f>
        <v>0</v>
      </c>
      <c r="EI49" s="143">
        <f>INDEX('File 16'!Weekly_Adjusted,7,10)</f>
        <v>0</v>
      </c>
      <c r="EJ49" s="143">
        <f>INDEX('File 16'!Weekly_Adjusted,7,11)</f>
        <v>0</v>
      </c>
      <c r="EK49" s="143">
        <f>INDEX('File 16'!Weekly_Adjusted,7,12)</f>
        <v>0</v>
      </c>
      <c r="EL49" s="142">
        <f>INDEX('File 17'!Weekly_Adjusted,7,10)</f>
        <v>0</v>
      </c>
      <c r="EM49" s="142">
        <f>INDEX('File 17'!Weekly_Adjusted,7,11)</f>
        <v>0</v>
      </c>
      <c r="EN49" s="142">
        <f>INDEX('File 17'!Weekly_Adjusted,7,12)</f>
        <v>0</v>
      </c>
      <c r="EO49" s="143">
        <f>INDEX('File 18'!Weekly_Adjusted,7,10)</f>
        <v>0</v>
      </c>
      <c r="EP49" s="143">
        <f>INDEX('File 18'!Weekly_Adjusted,7,11)</f>
        <v>0</v>
      </c>
      <c r="EQ49" s="143">
        <f>INDEX('File 18'!Weekly_Adjusted,7,12)</f>
        <v>0</v>
      </c>
      <c r="ER49" s="142">
        <f>INDEX('File 19'!Weekly_Adjusted,7,10)</f>
        <v>0</v>
      </c>
      <c r="ES49" s="142">
        <f>INDEX('File 19'!Weekly_Adjusted,7,11)</f>
        <v>0</v>
      </c>
      <c r="ET49" s="142">
        <f>INDEX('File 19'!Weekly_Adjusted,7,12)</f>
        <v>0</v>
      </c>
      <c r="EU49" s="143">
        <f>INDEX('File 20'!Weekly_Adjusted,7,10)</f>
        <v>0</v>
      </c>
      <c r="EV49" s="143">
        <f>INDEX('File 20'!Weekly_Adjusted,7,11)</f>
        <v>0</v>
      </c>
      <c r="EW49" s="143">
        <f>INDEX('File 20'!Weekly_Adjusted,7,12)</f>
        <v>0</v>
      </c>
      <c r="EX49" s="6">
        <f ca="1">SUMIFS(INDEX(Capacity_Activity_Weekly,ROW(A7),0),Demand_Activity_Weekly_Header,CJ$42)</f>
        <v>24.919784152855019</v>
      </c>
      <c r="EY49" s="6">
        <f ca="1">SUMIFS(INDEX(Capacity_Activity_Weekly,ROW(B7),0),Demand_Activity_Weekly_Header,CK$42)</f>
        <v>0</v>
      </c>
      <c r="EZ49" s="6">
        <f ca="1">SUMIFS(INDEX(Capacity_Activity_Weekly,ROW(C7),0),Demand_Activity_Weekly_Header,CL$42)</f>
        <v>0</v>
      </c>
      <c r="FA49" s="6">
        <f ca="1">SUMIFS(INDEX(Capacity_Activity_Weekly,ROW(D7),0),Demand_Activity_Weekly_Header,CM$42)</f>
        <v>0</v>
      </c>
      <c r="FB49" s="6">
        <f ca="1">SUMIFS(INDEX(Capacity_Activity_Weekly,ROW(E7),0),Demand_Activity_Weekly_Header,CN$42)</f>
        <v>0</v>
      </c>
      <c r="FD49" s="7">
        <f>'File 1'!$Q$54*'Time based aggregation (hide)'!$Q11</f>
        <v>0</v>
      </c>
      <c r="FE49" s="7">
        <f>'File 1'!$R$54*'Time based aggregation (hide)'!$R11</f>
        <v>0</v>
      </c>
      <c r="FF49" s="7">
        <f>'File 1'!$S$54*'Time based aggregation (hide)'!$S11</f>
        <v>0</v>
      </c>
      <c r="FG49" s="7">
        <f>'File 2'!$Q$54*'Time based aggregation (hide)'!$T11</f>
        <v>0</v>
      </c>
      <c r="FH49" s="7">
        <f>'File 2'!$R$54*'Time based aggregation (hide)'!$U11</f>
        <v>0</v>
      </c>
      <c r="FI49" s="7">
        <f>'File 2'!$S$54*'Time based aggregation (hide)'!$V11</f>
        <v>0</v>
      </c>
      <c r="FJ49" s="7">
        <f>'File 3'!$Q$54*'Time based aggregation (hide)'!$W11</f>
        <v>0</v>
      </c>
      <c r="FK49" s="7">
        <f>'File 3'!$R$54*'Time based aggregation (hide)'!$X11</f>
        <v>0</v>
      </c>
      <c r="FL49" s="7">
        <f>'File 3'!$S$54*'Time based aggregation (hide)'!$Y11</f>
        <v>0</v>
      </c>
      <c r="FM49" s="7">
        <f>'File 4'!$Q$54*'Time based aggregation (hide)'!$Z11</f>
        <v>0</v>
      </c>
      <c r="FN49" s="7">
        <f>'File 4'!$R$54*'Time based aggregation (hide)'!$AA11</f>
        <v>0</v>
      </c>
      <c r="FO49" s="7">
        <f>'File 4'!$S$54*'Time based aggregation (hide)'!$AB11</f>
        <v>0</v>
      </c>
      <c r="FP49" s="7">
        <f>'File 5'!$Q$54*'Time based aggregation (hide)'!$AC11</f>
        <v>0</v>
      </c>
      <c r="FQ49" s="7">
        <f>'File 5'!$R$54*'Time based aggregation (hide)'!$AD11</f>
        <v>0</v>
      </c>
      <c r="FR49" s="7">
        <f>'File 5'!$S$54*'Time based aggregation (hide)'!$AE11</f>
        <v>0</v>
      </c>
      <c r="FS49" s="7">
        <f>'File 6'!$Q$54*'Time based aggregation (hide)'!$AF11</f>
        <v>0</v>
      </c>
      <c r="FT49" s="7">
        <f>'File 6'!$R$54*'Time based aggregation (hide)'!$AG11</f>
        <v>0</v>
      </c>
      <c r="FU49" s="7">
        <f>'File 6'!$S$54*'Time based aggregation (hide)'!$AH11</f>
        <v>0</v>
      </c>
      <c r="FV49" s="7">
        <f>'File 7'!$Q$54*'Time based aggregation (hide)'!$AI11</f>
        <v>0</v>
      </c>
      <c r="FW49" s="7">
        <f>'File 7'!$R$54*'Time based aggregation (hide)'!$AJ11</f>
        <v>0</v>
      </c>
      <c r="FX49" s="7">
        <f>'File 7'!$S$54*'Time based aggregation (hide)'!$AK11</f>
        <v>0</v>
      </c>
      <c r="FY49" s="7">
        <f>'File 8'!$Q$54*'Time based aggregation (hide)'!$AL11</f>
        <v>0</v>
      </c>
      <c r="FZ49" s="7">
        <f>'File 8'!$R$54*'Time based aggregation (hide)'!$AM11</f>
        <v>0</v>
      </c>
      <c r="GA49" s="7">
        <f>'File 8'!$S$54*'Time based aggregation (hide)'!$AN11</f>
        <v>0</v>
      </c>
      <c r="GB49" s="7">
        <f>'File 9'!$Q$54*'Time based aggregation (hide)'!$AO11</f>
        <v>0</v>
      </c>
      <c r="GC49" s="7">
        <f>'File 9'!$R$54*'Time based aggregation (hide)'!$AP11</f>
        <v>0</v>
      </c>
      <c r="GD49" s="7">
        <f>'File 9'!$S$54*'Time based aggregation (hide)'!$AQ11</f>
        <v>0</v>
      </c>
      <c r="GE49" s="7">
        <f>'File 10'!$Q$54*'Time based aggregation (hide)'!$AR11</f>
        <v>0</v>
      </c>
      <c r="GF49" s="7">
        <f>'File 10'!$R$54*'Time based aggregation (hide)'!$AS11</f>
        <v>0</v>
      </c>
      <c r="GG49" s="7">
        <f>'File 10'!$S$54*'Time based aggregation (hide)'!$AT11</f>
        <v>0</v>
      </c>
      <c r="GH49" s="7">
        <f>'File 11'!$Q$54*'Time based aggregation (hide)'!$AU11</f>
        <v>0</v>
      </c>
      <c r="GI49" s="7">
        <f>'File 11'!$R$54*'Time based aggregation (hide)'!$AV11</f>
        <v>0</v>
      </c>
      <c r="GJ49" s="7">
        <f>'File 11'!$S$54*'Time based aggregation (hide)'!$AW11</f>
        <v>0</v>
      </c>
      <c r="GK49" s="7">
        <f>'File 12'!$Q$54*'Time based aggregation (hide)'!$AX11</f>
        <v>0</v>
      </c>
      <c r="GL49" s="7">
        <f>'File 12'!$R$54*'Time based aggregation (hide)'!$AY11</f>
        <v>0</v>
      </c>
      <c r="GM49" s="7">
        <f>'File 12'!$S$54*'Time based aggregation (hide)'!$AZ11</f>
        <v>0</v>
      </c>
      <c r="GN49" s="7">
        <f>'File 13'!$Q$54*'Time based aggregation (hide)'!$BA11</f>
        <v>0</v>
      </c>
      <c r="GO49" s="7">
        <f>'File 13'!$R$54*'Time based aggregation (hide)'!$BB11</f>
        <v>0</v>
      </c>
      <c r="GP49" s="7">
        <f>'File 13'!$S$54*'Time based aggregation (hide)'!$BC11</f>
        <v>0</v>
      </c>
      <c r="GQ49" s="7">
        <f>'File 14'!$Q$54*'Time based aggregation (hide)'!$BD11</f>
        <v>0</v>
      </c>
      <c r="GR49" s="7">
        <f>'File 14'!$R$54*'Time based aggregation (hide)'!$BE11</f>
        <v>0</v>
      </c>
      <c r="GS49" s="7">
        <f>'File 14'!$S$54*'Time based aggregation (hide)'!$BF11</f>
        <v>0</v>
      </c>
      <c r="GT49" s="7">
        <f>'File 15'!$Q$54*'Time based aggregation (hide)'!$BG11</f>
        <v>0</v>
      </c>
      <c r="GU49" s="7">
        <f>'File 15'!$R$54*'Time based aggregation (hide)'!$BH11</f>
        <v>0</v>
      </c>
      <c r="GV49" s="7">
        <f>'File 15'!$S$54*'Time based aggregation (hide)'!$BI11</f>
        <v>0</v>
      </c>
      <c r="GW49" s="7">
        <f>'File 16'!$Q$54*'Time based aggregation (hide)'!$BJ11</f>
        <v>0</v>
      </c>
      <c r="GX49" s="7">
        <f>'File 16'!$R$54*'Time based aggregation (hide)'!$BK11</f>
        <v>0</v>
      </c>
      <c r="GY49" s="7">
        <f>'File 16'!$S$54*'Time based aggregation (hide)'!$BL11</f>
        <v>0</v>
      </c>
      <c r="GZ49" s="7">
        <f>'File 17'!$Q$54*'Time based aggregation (hide)'!$BM11</f>
        <v>0</v>
      </c>
      <c r="HA49" s="7">
        <f>'File 17'!$R$54*'Time based aggregation (hide)'!$BN11</f>
        <v>0</v>
      </c>
      <c r="HB49" s="7">
        <f>'File 17'!$S$54*'Time based aggregation (hide)'!$BO11</f>
        <v>0</v>
      </c>
      <c r="HC49" s="7">
        <f>'File 18'!$Q$54*'Time based aggregation (hide)'!$BP11</f>
        <v>0</v>
      </c>
      <c r="HD49" s="7">
        <f>'File 18'!$R$54*'Time based aggregation (hide)'!$BQ11</f>
        <v>0</v>
      </c>
      <c r="HE49" s="7">
        <f>'File 18'!$S$54*'Time based aggregation (hide)'!$BR11</f>
        <v>0</v>
      </c>
      <c r="HF49" s="7">
        <f>'File 19'!$Q$54*'Time based aggregation (hide)'!$BS11</f>
        <v>0</v>
      </c>
      <c r="HG49" s="7">
        <f>'File 19'!$R$54*'Time based aggregation (hide)'!$BT11</f>
        <v>0</v>
      </c>
      <c r="HH49" s="7">
        <f>'File 19'!$S$54*'Time based aggregation (hide)'!$BU11</f>
        <v>0</v>
      </c>
      <c r="HI49" s="7">
        <f>'File 20'!$Q$54*'Time based aggregation (hide)'!$BV11</f>
        <v>0</v>
      </c>
      <c r="HJ49" s="7">
        <f>'File 20'!$R$54*'Time based aggregation (hide)'!$BW11</f>
        <v>0</v>
      </c>
      <c r="HK49" s="7">
        <f>'File 20'!$S$54*'Time based aggregation (hide)'!$BX11</f>
        <v>0</v>
      </c>
      <c r="HL49" s="7">
        <f t="shared" ca="1" si="31"/>
        <v>0</v>
      </c>
      <c r="HM49" s="7">
        <f t="shared" ca="1" si="31"/>
        <v>0</v>
      </c>
      <c r="HN49" s="7">
        <f t="shared" ca="1" si="31"/>
        <v>0</v>
      </c>
      <c r="HO49" s="7">
        <f t="shared" ca="1" si="31"/>
        <v>0</v>
      </c>
      <c r="HP49" s="7">
        <f t="shared" ca="1" si="31"/>
        <v>0</v>
      </c>
      <c r="HR49" s="142">
        <f ca="1">INDEX('File 1'!Weekly_Adjusted,7,16)</f>
        <v>21.427839876658773</v>
      </c>
      <c r="HS49" s="142">
        <f>INDEX('File 1'!Weekly_Adjusted,7,17)</f>
        <v>0</v>
      </c>
      <c r="HT49" s="142">
        <f>INDEX('File 1'!Weekly_Adjusted,7,18)</f>
        <v>0</v>
      </c>
      <c r="HU49" s="143">
        <f>INDEX('File 2'!Weekly_Adjusted,7,16)</f>
        <v>0</v>
      </c>
      <c r="HV49" s="143">
        <f>INDEX('File 2'!Weekly_Adjusted,7,17)</f>
        <v>0</v>
      </c>
      <c r="HW49" s="143">
        <f>INDEX('File 2'!Weekly_Adjusted,7,18)</f>
        <v>0</v>
      </c>
      <c r="HX49" s="142">
        <f>INDEX('File 3'!Weekly_Adjusted,7,16)</f>
        <v>0</v>
      </c>
      <c r="HY49" s="142">
        <f>INDEX('File 3'!Weekly_Adjusted,7,17)</f>
        <v>0</v>
      </c>
      <c r="HZ49" s="142">
        <f>INDEX('File 3'!Weekly_Adjusted,7,18)</f>
        <v>0</v>
      </c>
      <c r="IA49" s="143">
        <f>INDEX('File 4'!Weekly_Adjusted,7,16)</f>
        <v>0</v>
      </c>
      <c r="IB49" s="143">
        <f>INDEX('File 4'!Weekly_Adjusted,7,17)</f>
        <v>0</v>
      </c>
      <c r="IC49" s="143">
        <f>INDEX('File 4'!Weekly_Adjusted,7,18)</f>
        <v>0</v>
      </c>
      <c r="ID49" s="142">
        <f>INDEX('File 5'!Weekly_Adjusted,7,16)</f>
        <v>0</v>
      </c>
      <c r="IE49" s="142">
        <f>INDEX('File 5'!Weekly_Adjusted,7,17)</f>
        <v>0</v>
      </c>
      <c r="IF49" s="142">
        <f>INDEX('File 5'!Weekly_Adjusted,7,18)</f>
        <v>0</v>
      </c>
      <c r="IG49" s="143">
        <f>INDEX('File 6'!Weekly_Adjusted,7,16)</f>
        <v>0</v>
      </c>
      <c r="IH49" s="143">
        <f>INDEX('File 6'!Weekly_Adjusted,7,17)</f>
        <v>0</v>
      </c>
      <c r="II49" s="143">
        <f>INDEX('File 6'!Weekly_Adjusted,7,18)</f>
        <v>0</v>
      </c>
      <c r="IJ49" s="142">
        <f>INDEX('File 7'!Weekly_Adjusted,7,16)</f>
        <v>0</v>
      </c>
      <c r="IK49" s="142">
        <f>INDEX('File 7'!Weekly_Adjusted,7,17)</f>
        <v>0</v>
      </c>
      <c r="IL49" s="142">
        <f>INDEX('File 7'!Weekly_Adjusted,7,18)</f>
        <v>0</v>
      </c>
      <c r="IM49" s="143">
        <f>INDEX('File 8'!Weekly_Adjusted,7,16)</f>
        <v>0</v>
      </c>
      <c r="IN49" s="143">
        <f>INDEX('File 8'!Weekly_Adjusted,7,17)</f>
        <v>0</v>
      </c>
      <c r="IO49" s="143">
        <f>INDEX('File 8'!Weekly_Adjusted,7,18)</f>
        <v>0</v>
      </c>
      <c r="IP49" s="142">
        <f>INDEX('File 9'!Weekly_Adjusted,7,16)</f>
        <v>0</v>
      </c>
      <c r="IQ49" s="142">
        <f>INDEX('File 9'!Weekly_Adjusted,7,17)</f>
        <v>0</v>
      </c>
      <c r="IR49" s="142">
        <f>INDEX('File 9'!Weekly_Adjusted,7,18)</f>
        <v>0</v>
      </c>
      <c r="IS49" s="143">
        <f>INDEX('File 10'!Weekly_Adjusted,7,16)</f>
        <v>0</v>
      </c>
      <c r="IT49" s="143">
        <f>INDEX('File 10'!Weekly_Adjusted,7,17)</f>
        <v>0</v>
      </c>
      <c r="IU49" s="143">
        <f>INDEX('File 10'!Weekly_Adjusted,7,18)</f>
        <v>0</v>
      </c>
      <c r="IV49" s="142">
        <f>INDEX('File 11'!Weekly_Adjusted,7,16)</f>
        <v>0</v>
      </c>
      <c r="IW49" s="142">
        <f>INDEX('File 11'!Weekly_Adjusted,7,17)</f>
        <v>0</v>
      </c>
      <c r="IX49" s="142">
        <f>INDEX('File 11'!Weekly_Adjusted,7,18)</f>
        <v>0</v>
      </c>
      <c r="IY49" s="143">
        <f>INDEX('File 12'!Weekly_Adjusted,7,16)</f>
        <v>0</v>
      </c>
      <c r="IZ49" s="143">
        <f>INDEX('File 12'!Weekly_Adjusted,7,17)</f>
        <v>0</v>
      </c>
      <c r="JA49" s="143">
        <f>INDEX('File 12'!Weekly_Adjusted,7,18)</f>
        <v>0</v>
      </c>
      <c r="JB49" s="142">
        <f>INDEX('File 13'!Weekly_Adjusted,7,16)</f>
        <v>0</v>
      </c>
      <c r="JC49" s="142">
        <f>INDEX('File 13'!Weekly_Adjusted,7,17)</f>
        <v>0</v>
      </c>
      <c r="JD49" s="142">
        <f>INDEX('File 13'!Weekly_Adjusted,7,18)</f>
        <v>0</v>
      </c>
      <c r="JE49" s="143">
        <f>INDEX('File 14'!Weekly_Adjusted,7,16)</f>
        <v>0</v>
      </c>
      <c r="JF49" s="143">
        <f>INDEX('File 14'!Weekly_Adjusted,7,17)</f>
        <v>0</v>
      </c>
      <c r="JG49" s="143">
        <f>INDEX('File 14'!Weekly_Adjusted,7,18)</f>
        <v>0</v>
      </c>
      <c r="JH49" s="142">
        <f>INDEX('File 15'!Weekly_Adjusted,7,16)</f>
        <v>0</v>
      </c>
      <c r="JI49" s="142">
        <f>INDEX('File 15'!Weekly_Adjusted,7,17)</f>
        <v>0</v>
      </c>
      <c r="JJ49" s="142">
        <f>INDEX('File 15'!Weekly_Adjusted,7,18)</f>
        <v>0</v>
      </c>
      <c r="JK49" s="143">
        <f>INDEX('File 16'!Weekly_Adjusted,7,16)</f>
        <v>0</v>
      </c>
      <c r="JL49" s="143">
        <f>INDEX('File 16'!Weekly_Adjusted,7,17)</f>
        <v>0</v>
      </c>
      <c r="JM49" s="143">
        <f>INDEX('File 16'!Weekly_Adjusted,7,18)</f>
        <v>0</v>
      </c>
      <c r="JN49" s="142">
        <f>INDEX('File 17'!Weekly_Adjusted,7,16)</f>
        <v>0</v>
      </c>
      <c r="JO49" s="142">
        <f>INDEX('File 17'!Weekly_Adjusted,7,17)</f>
        <v>0</v>
      </c>
      <c r="JP49" s="142">
        <f>INDEX('File 17'!Weekly_Adjusted,7,18)</f>
        <v>0</v>
      </c>
      <c r="JQ49" s="143">
        <f>INDEX('File 18'!Weekly_Adjusted,7,16)</f>
        <v>0</v>
      </c>
      <c r="JR49" s="143">
        <f>INDEX('File 18'!Weekly_Adjusted,7,17)</f>
        <v>0</v>
      </c>
      <c r="JS49" s="143">
        <f>INDEX('File 18'!Weekly_Adjusted,7,18)</f>
        <v>0</v>
      </c>
      <c r="JT49" s="142">
        <f>INDEX('File 19'!Weekly_Adjusted,7,16)</f>
        <v>0</v>
      </c>
      <c r="JU49" s="142">
        <f>INDEX('File 19'!Weekly_Adjusted,7,17)</f>
        <v>0</v>
      </c>
      <c r="JV49" s="142">
        <f>INDEX('File 19'!Weekly_Adjusted,7,18)</f>
        <v>0</v>
      </c>
      <c r="JW49" s="143">
        <f>INDEX('File 20'!Weekly_Adjusted,7,16)</f>
        <v>0</v>
      </c>
      <c r="JX49" s="143">
        <f>INDEX('File 20'!Weekly_Adjusted,7,17)</f>
        <v>0</v>
      </c>
      <c r="JY49" s="143">
        <f>INDEX('File 20'!Weekly_Adjusted,7,18)</f>
        <v>0</v>
      </c>
      <c r="JZ49" s="6">
        <f ca="1">SUMIFS(INDEX(CapacityCore_Activity_Weekly,ROW(EC7),0),Demand_Activity_Weekly_Header,HL$42)</f>
        <v>21.427839876658773</v>
      </c>
      <c r="KA49" s="6">
        <f ca="1">SUMIFS(INDEX(CapacityCore_Activity_Weekly,ROW(ED7),0),Demand_Activity_Weekly_Header,HM$42)</f>
        <v>0</v>
      </c>
      <c r="KB49" s="6">
        <f ca="1">SUMIFS(INDEX(CapacityCore_Activity_Weekly,ROW(EE7),0),Demand_Activity_Weekly_Header,HN$42)</f>
        <v>0</v>
      </c>
      <c r="KC49" s="6">
        <f ca="1">SUMIFS(INDEX(CapacityCore_Activity_Weekly,ROW(EF7),0),Demand_Activity_Weekly_Header,HO$42)</f>
        <v>0</v>
      </c>
      <c r="KD49" s="6">
        <f ca="1">SUMIFS(INDEX(CapacityCore_Activity_Weekly,ROW(EG7),0),Demand_Activity_Weekly_Header,HP$42)</f>
        <v>0</v>
      </c>
      <c r="KF49" s="6">
        <f>SUMIFS('Time based aggregation (hide)'!$J:$J,'Time based aggregation (hide)'!$E:$E,1,'Time based aggregation (hide)'!$F:$F,1,'Time based aggregation (hide)'!$A:$A,ROW(A7))</f>
        <v>0</v>
      </c>
      <c r="KG49" s="6">
        <f>SUMIFS('Time based aggregation (hide)'!$J:$J,'Time based aggregation (hide)'!$E:$E,1,'Time based aggregation (hide)'!$F:$F,2,'Time based aggregation (hide)'!$A:$A,ROW(A7))</f>
        <v>0</v>
      </c>
      <c r="KH49" s="6">
        <f>SUMIFS('Time based aggregation (hide)'!$J:$J,'Time based aggregation (hide)'!$E:$E,1,'Time based aggregation (hide)'!$F:$F,3,'Time based aggregation (hide)'!$A:$A,ROW(A7))</f>
        <v>0</v>
      </c>
      <c r="KI49" s="6">
        <f>SUMIFS('Time based aggregation (hide)'!$J:$J,'Time based aggregation (hide)'!$E:$E,2,'Time based aggregation (hide)'!$F:$F,1,'Time based aggregation (hide)'!$A:$A,ROW(A7))</f>
        <v>0</v>
      </c>
      <c r="KJ49" s="6">
        <f>SUMIFS('Time based aggregation (hide)'!$J:$J,'Time based aggregation (hide)'!$E:$E,2,'Time based aggregation (hide)'!$F:$F,2,'Time based aggregation (hide)'!$A:$A,ROW(A7))</f>
        <v>0</v>
      </c>
      <c r="KK49" s="6">
        <f>SUMIFS('Time based aggregation (hide)'!$J:$J,'Time based aggregation (hide)'!$E:$E,2,'Time based aggregation (hide)'!$F:$F,3,'Time based aggregation (hide)'!$A:$A,ROW(A7))</f>
        <v>0</v>
      </c>
      <c r="KL49" s="6">
        <f>SUMIFS('Time based aggregation (hide)'!$J:$J,'Time based aggregation (hide)'!$E:$E,3,'Time based aggregation (hide)'!$F:$F,1,'Time based aggregation (hide)'!$A:$A,ROW(A7))</f>
        <v>0</v>
      </c>
      <c r="KM49" s="6">
        <f>SUMIFS('Time based aggregation (hide)'!$J:$J,'Time based aggregation (hide)'!$E:$E,3,'Time based aggregation (hide)'!$F:$F,2,'Time based aggregation (hide)'!$A:$A,ROW(A7))</f>
        <v>0</v>
      </c>
      <c r="KN49" s="6">
        <f>SUMIFS('Time based aggregation (hide)'!$J:$J,'Time based aggregation (hide)'!$E:$E,3,'Time based aggregation (hide)'!$F:$F,3,'Time based aggregation (hide)'!$A:$A,ROW(A7))</f>
        <v>0</v>
      </c>
      <c r="KO49" s="6">
        <f>SUMIFS('Time based aggregation (hide)'!$J:$J,'Time based aggregation (hide)'!$E:$E,4,'Time based aggregation (hide)'!$F:$F,1,'Time based aggregation (hide)'!$A:$A,ROW(A7))</f>
        <v>0</v>
      </c>
      <c r="KP49" s="6">
        <f>SUMIFS('Time based aggregation (hide)'!$J:$J,'Time based aggregation (hide)'!$E:$E,4,'Time based aggregation (hide)'!$F:$F,2,'Time based aggregation (hide)'!$A:$A,ROW(A7))</f>
        <v>0</v>
      </c>
      <c r="KQ49" s="6">
        <f>SUMIFS('Time based aggregation (hide)'!$J:$J,'Time based aggregation (hide)'!$E:$E,4,'Time based aggregation (hide)'!$F:$F,3,'Time based aggregation (hide)'!$A:$A,ROW(A7))</f>
        <v>0</v>
      </c>
      <c r="KR49" s="6">
        <f>SUMIFS('Time based aggregation (hide)'!$J:$J,'Time based aggregation (hide)'!$E:$E,5,'Time based aggregation (hide)'!$F:$F,1,'Time based aggregation (hide)'!$A:$A,ROW(A7))</f>
        <v>0</v>
      </c>
      <c r="KS49" s="6">
        <f>SUMIFS('Time based aggregation (hide)'!$J:$J,'Time based aggregation (hide)'!$E:$E,5,'Time based aggregation (hide)'!$F:$F,2,'Time based aggregation (hide)'!$A:$A,ROW(A7))</f>
        <v>0</v>
      </c>
      <c r="KT49" s="6">
        <f>SUMIFS('Time based aggregation (hide)'!$J:$J,'Time based aggregation (hide)'!$E:$E,5,'Time based aggregation (hide)'!$F:$F,3,'Time based aggregation (hide)'!$A:$A,ROW(A7))</f>
        <v>0</v>
      </c>
      <c r="KU49" s="6">
        <f>SUMIFS('Time based aggregation (hide)'!$J:$J,'Time based aggregation (hide)'!$E:$E,6,'Time based aggregation (hide)'!$F:$F,1,'Time based aggregation (hide)'!$A:$A,ROW(A7))</f>
        <v>0</v>
      </c>
      <c r="KV49" s="6">
        <f>SUMIFS('Time based aggregation (hide)'!$J:$J,'Time based aggregation (hide)'!$E:$E,6,'Time based aggregation (hide)'!$F:$F,2,'Time based aggregation (hide)'!$A:$A,ROW(A7))</f>
        <v>0</v>
      </c>
      <c r="KW49" s="6">
        <f>SUMIFS('Time based aggregation (hide)'!$J:$J,'Time based aggregation (hide)'!$E:$E,6,'Time based aggregation (hide)'!$F:$F,3,'Time based aggregation (hide)'!$A:$A,ROW(A7))</f>
        <v>0</v>
      </c>
      <c r="KX49" s="6">
        <f>SUMIFS('Time based aggregation (hide)'!$J:$J,'Time based aggregation (hide)'!$E:$E,7,'Time based aggregation (hide)'!$F:$F,1,'Time based aggregation (hide)'!$A:$A,ROW(A7))</f>
        <v>0</v>
      </c>
      <c r="KY49" s="6">
        <f>SUMIFS('Time based aggregation (hide)'!$J:$J,'Time based aggregation (hide)'!$E:$E,7,'Time based aggregation (hide)'!$F:$F,2,'Time based aggregation (hide)'!$A:$A,ROW(A7))</f>
        <v>0</v>
      </c>
      <c r="KZ49" s="6">
        <f>SUMIFS('Time based aggregation (hide)'!$J:$J,'Time based aggregation (hide)'!$E:$E,7,'Time based aggregation (hide)'!$F:$F,3,'Time based aggregation (hide)'!$A:$A,ROW(A7))</f>
        <v>0</v>
      </c>
      <c r="LA49" s="6">
        <f>SUMIFS('Time based aggregation (hide)'!$J:$J,'Time based aggregation (hide)'!$E:$E,8,'Time based aggregation (hide)'!$F:$F,1,'Time based aggregation (hide)'!$A:$A,ROW(A7))</f>
        <v>0</v>
      </c>
      <c r="LB49" s="6">
        <f>SUMIFS('Time based aggregation (hide)'!$J:$J,'Time based aggregation (hide)'!$E:$E,8,'Time based aggregation (hide)'!$F:$F,2,'Time based aggregation (hide)'!$A:$A,ROW(A7))</f>
        <v>0</v>
      </c>
      <c r="LC49" s="6">
        <f>SUMIFS('Time based aggregation (hide)'!$J:$J,'Time based aggregation (hide)'!$E:$E,8,'Time based aggregation (hide)'!$F:$F,3,'Time based aggregation (hide)'!$A:$A,ROW(A7))</f>
        <v>0</v>
      </c>
      <c r="LD49" s="6">
        <f>SUMIFS('Time based aggregation (hide)'!$J:$J,'Time based aggregation (hide)'!$E:$E,9,'Time based aggregation (hide)'!$F:$F,1,'Time based aggregation (hide)'!$A:$A,ROW(A7))</f>
        <v>0</v>
      </c>
      <c r="LE49" s="6">
        <f>SUMIFS('Time based aggregation (hide)'!$J:$J,'Time based aggregation (hide)'!$E:$E,9,'Time based aggregation (hide)'!$F:$F,2,'Time based aggregation (hide)'!$A:$A,ROW(A7))</f>
        <v>0</v>
      </c>
      <c r="LF49" s="6">
        <f>SUMIFS('Time based aggregation (hide)'!$J:$J,'Time based aggregation (hide)'!$E:$E,9,'Time based aggregation (hide)'!$F:$F,3,'Time based aggregation (hide)'!$A:$A,ROW(A7))</f>
        <v>0</v>
      </c>
      <c r="LG49" s="6">
        <f>SUMIFS('Time based aggregation (hide)'!$J:$J,'Time based aggregation (hide)'!$E:$E,10,'Time based aggregation (hide)'!$F:$F,1,'Time based aggregation (hide)'!$A:$A,ROW(A7))</f>
        <v>0</v>
      </c>
      <c r="LH49" s="6">
        <f>SUMIFS('Time based aggregation (hide)'!$J:$J,'Time based aggregation (hide)'!$E:$E,10,'Time based aggregation (hide)'!$F:$F,2,'Time based aggregation (hide)'!$A:$A,ROW(A7))</f>
        <v>0</v>
      </c>
      <c r="LI49" s="6">
        <f>SUMIFS('Time based aggregation (hide)'!$J:$J,'Time based aggregation (hide)'!$E:$E,10,'Time based aggregation (hide)'!$F:$F,3,'Time based aggregation (hide)'!$A:$A,ROW(A7))</f>
        <v>0</v>
      </c>
      <c r="LJ49" s="6">
        <f>SUMIFS('Time based aggregation (hide)'!$J:$J,'Time based aggregation (hide)'!$E:$E,11,'Time based aggregation (hide)'!$F:$F,1,'Time based aggregation (hide)'!$A:$A,ROW(A7))</f>
        <v>0</v>
      </c>
      <c r="LK49" s="6">
        <f>SUMIFS('Time based aggregation (hide)'!$J:$J,'Time based aggregation (hide)'!$E:$E,11,'Time based aggregation (hide)'!$F:$F,2,'Time based aggregation (hide)'!$A:$A,ROW(A7))</f>
        <v>0</v>
      </c>
      <c r="LL49" s="6">
        <f>SUMIFS('Time based aggregation (hide)'!$J:$J,'Time based aggregation (hide)'!$E:$E,11,'Time based aggregation (hide)'!$F:$F,3,'Time based aggregation (hide)'!$A:$A,ROW(A7))</f>
        <v>0</v>
      </c>
      <c r="LM49" s="6">
        <f>SUMIFS('Time based aggregation (hide)'!$J:$J,'Time based aggregation (hide)'!$E:$E,12,'Time based aggregation (hide)'!$F:$F,1,'Time based aggregation (hide)'!$A:$A,ROW(A7))</f>
        <v>0</v>
      </c>
      <c r="LN49" s="6">
        <f>SUMIFS('Time based aggregation (hide)'!$J:$J,'Time based aggregation (hide)'!$E:$E,12,'Time based aggregation (hide)'!$F:$F,2,'Time based aggregation (hide)'!$A:$A,ROW(A7))</f>
        <v>0</v>
      </c>
      <c r="LO49" s="6">
        <f>SUMIFS('Time based aggregation (hide)'!$J:$J,'Time based aggregation (hide)'!$E:$E,12,'Time based aggregation (hide)'!$F:$F,3,'Time based aggregation (hide)'!$A:$A,ROW(A7))</f>
        <v>0</v>
      </c>
      <c r="LP49" s="6">
        <f>SUMIFS('Time based aggregation (hide)'!$J:$J,'Time based aggregation (hide)'!$E:$E,13,'Time based aggregation (hide)'!$F:$F,1,'Time based aggregation (hide)'!$A:$A,ROW(A7))</f>
        <v>0</v>
      </c>
      <c r="LQ49" s="6">
        <f>SUMIFS('Time based aggregation (hide)'!$J:$J,'Time based aggregation (hide)'!$E:$E,13,'Time based aggregation (hide)'!$F:$F,2,'Time based aggregation (hide)'!$A:$A,ROW(A7))</f>
        <v>0</v>
      </c>
      <c r="LR49" s="6">
        <f>SUMIFS('Time based aggregation (hide)'!$J:$J,'Time based aggregation (hide)'!$E:$E,13,'Time based aggregation (hide)'!$F:$F,3,'Time based aggregation (hide)'!$A:$A,ROW(A7))</f>
        <v>0</v>
      </c>
      <c r="LS49" s="6">
        <f>SUMIFS('Time based aggregation (hide)'!$J:$J,'Time based aggregation (hide)'!$E:$E,14,'Time based aggregation (hide)'!$F:$F,1,'Time based aggregation (hide)'!$A:$A,ROW(A7))</f>
        <v>0</v>
      </c>
      <c r="LT49" s="6">
        <f>SUMIFS('Time based aggregation (hide)'!$J:$J,'Time based aggregation (hide)'!$E:$E,14,'Time based aggregation (hide)'!$F:$F,2,'Time based aggregation (hide)'!$A:$A,ROW(A7))</f>
        <v>0</v>
      </c>
      <c r="LU49" s="6">
        <f>SUMIFS('Time based aggregation (hide)'!$J:$J,'Time based aggregation (hide)'!$E:$E,14,'Time based aggregation (hide)'!$F:$F,3,'Time based aggregation (hide)'!$A:$A,ROW(A7))</f>
        <v>0</v>
      </c>
      <c r="LV49" s="6">
        <f>SUMIFS('Time based aggregation (hide)'!$J:$J,'Time based aggregation (hide)'!$E:$E,15,'Time based aggregation (hide)'!$F:$F,1,'Time based aggregation (hide)'!$A:$A,ROW(A7))</f>
        <v>0</v>
      </c>
      <c r="LW49" s="6">
        <f>SUMIFS('Time based aggregation (hide)'!$J:$J,'Time based aggregation (hide)'!$E:$E,15,'Time based aggregation (hide)'!$F:$F,2,'Time based aggregation (hide)'!$A:$A,ROW(A7))</f>
        <v>0</v>
      </c>
      <c r="LX49" s="6">
        <f>SUMIFS('Time based aggregation (hide)'!$J:$J,'Time based aggregation (hide)'!$E:$E,15,'Time based aggregation (hide)'!$F:$F,3,'Time based aggregation (hide)'!$A:$A,ROW(A7))</f>
        <v>0</v>
      </c>
      <c r="LY49" s="6">
        <f>SUMIFS('Time based aggregation (hide)'!$J:$J,'Time based aggregation (hide)'!$E:$E,16,'Time based aggregation (hide)'!$F:$F,1,'Time based aggregation (hide)'!$A:$A,ROW(A7))</f>
        <v>0</v>
      </c>
      <c r="LZ49" s="6">
        <f>SUMIFS('Time based aggregation (hide)'!$J:$J,'Time based aggregation (hide)'!$E:$E,16,'Time based aggregation (hide)'!$F:$F,2,'Time based aggregation (hide)'!$A:$A,ROW(A7))</f>
        <v>0</v>
      </c>
      <c r="MA49" s="6">
        <f>SUMIFS('Time based aggregation (hide)'!$J:$J,'Time based aggregation (hide)'!$E:$E,16,'Time based aggregation (hide)'!$F:$F,3,'Time based aggregation (hide)'!$A:$A,ROW(A7))</f>
        <v>0</v>
      </c>
      <c r="MB49" s="6">
        <f>SUMIFS('Time based aggregation (hide)'!$J:$J,'Time based aggregation (hide)'!$E:$E,17,'Time based aggregation (hide)'!$F:$F,1,'Time based aggregation (hide)'!$A:$A,ROW(A7))</f>
        <v>0</v>
      </c>
      <c r="MC49" s="6">
        <f>SUMIFS('Time based aggregation (hide)'!$J:$J,'Time based aggregation (hide)'!$E:$E,17,'Time based aggregation (hide)'!$F:$F,2,'Time based aggregation (hide)'!$A:$A,ROW(A7))</f>
        <v>0</v>
      </c>
      <c r="MD49" s="6">
        <f>SUMIFS('Time based aggregation (hide)'!$J:$J,'Time based aggregation (hide)'!$E:$E,17,'Time based aggregation (hide)'!$F:$F,3,'Time based aggregation (hide)'!$A:$A,ROW(A7))</f>
        <v>0</v>
      </c>
      <c r="ME49" s="6">
        <f>SUMIFS('Time based aggregation (hide)'!$J:$J,'Time based aggregation (hide)'!$E:$E,18,'Time based aggregation (hide)'!$F:$F,1,'Time based aggregation (hide)'!$A:$A,ROW(A7))</f>
        <v>0</v>
      </c>
      <c r="MF49" s="6">
        <f>SUMIFS('Time based aggregation (hide)'!$J:$J,'Time based aggregation (hide)'!$E:$E,18,'Time based aggregation (hide)'!$F:$F,2,'Time based aggregation (hide)'!$A:$A,ROW(A7))</f>
        <v>0</v>
      </c>
      <c r="MG49" s="6">
        <f>SUMIFS('Time based aggregation (hide)'!$J:$J,'Time based aggregation (hide)'!$E:$E,18,'Time based aggregation (hide)'!$F:$F,3,'Time based aggregation (hide)'!$A:$A,ROW(A7))</f>
        <v>0</v>
      </c>
      <c r="MH49" s="6">
        <f>SUMIFS('Time based aggregation (hide)'!$J:$J,'Time based aggregation (hide)'!$E:$E,19,'Time based aggregation (hide)'!$F:$F,1,'Time based aggregation (hide)'!$A:$A,ROW(A7))</f>
        <v>0</v>
      </c>
      <c r="MI49" s="6">
        <f>SUMIFS('Time based aggregation (hide)'!$J:$J,'Time based aggregation (hide)'!$E:$E,19,'Time based aggregation (hide)'!$F:$F,2,'Time based aggregation (hide)'!$A:$A,ROW(A7))</f>
        <v>0</v>
      </c>
      <c r="MJ49" s="6">
        <f>SUMIFS('Time based aggregation (hide)'!$J:$J,'Time based aggregation (hide)'!$E:$E,19,'Time based aggregation (hide)'!$F:$F,3,'Time based aggregation (hide)'!$A:$A,ROW(A7))</f>
        <v>0</v>
      </c>
      <c r="MK49" s="6">
        <f>SUMIFS('Time based aggregation (hide)'!$J:$J,'Time based aggregation (hide)'!$E:$E,20,'Time based aggregation (hide)'!$F:$F,1,'Time based aggregation (hide)'!$A:$A,ROW(A7))</f>
        <v>0</v>
      </c>
      <c r="ML49" s="6">
        <f>SUMIFS('Time based aggregation (hide)'!$J:$J,'Time based aggregation (hide)'!$E:$E,20,'Time based aggregation (hide)'!$F:$F,2,'Time based aggregation (hide)'!$A:$A,ROW(A7))</f>
        <v>0</v>
      </c>
      <c r="MM49" s="6">
        <f>SUMIFS('Time based aggregation (hide)'!$J:$J,'Time based aggregation (hide)'!$E:$E,20,'Time based aggregation (hide)'!$F:$F,3,'Time based aggregation (hide)'!$A:$A,ROW(A7))</f>
        <v>0</v>
      </c>
      <c r="MN49" s="7">
        <f t="shared" ca="1" si="36"/>
        <v>0</v>
      </c>
      <c r="MO49" s="7">
        <f t="shared" ca="1" si="32"/>
        <v>0</v>
      </c>
      <c r="MP49" s="7">
        <f t="shared" ca="1" si="32"/>
        <v>0</v>
      </c>
      <c r="MQ49" s="7">
        <f t="shared" ca="1" si="32"/>
        <v>0</v>
      </c>
      <c r="MR49" s="7">
        <f t="shared" ca="1" si="32"/>
        <v>0</v>
      </c>
    </row>
    <row r="50" spans="1:356" x14ac:dyDescent="0.25">
      <c r="A50">
        <f>1</f>
        <v>1</v>
      </c>
      <c r="B50" s="85">
        <f t="shared" si="37"/>
        <v>43838</v>
      </c>
      <c r="C50" s="85">
        <f t="shared" si="25"/>
        <v>43836</v>
      </c>
      <c r="D50">
        <f t="shared" ca="1" si="26"/>
        <v>1</v>
      </c>
      <c r="E50" s="85">
        <f t="shared" si="27"/>
        <v>43831</v>
      </c>
      <c r="F50">
        <f t="shared" si="33"/>
        <v>2</v>
      </c>
      <c r="H50">
        <f t="shared" si="34"/>
        <v>8</v>
      </c>
      <c r="I50" s="85">
        <f t="shared" si="38"/>
        <v>43878</v>
      </c>
      <c r="J50">
        <f t="shared" ca="1" si="28"/>
        <v>5</v>
      </c>
      <c r="K50">
        <f t="shared" ca="1" si="29"/>
        <v>1.968503937007874E-2</v>
      </c>
      <c r="L50" s="114"/>
      <c r="N50" s="85">
        <f t="shared" si="35"/>
        <v>43878</v>
      </c>
      <c r="O50" s="122">
        <f t="shared" ca="1" si="30"/>
        <v>0</v>
      </c>
      <c r="P50" s="122">
        <f t="shared" ca="1" si="30"/>
        <v>1</v>
      </c>
      <c r="Q50" s="122">
        <f t="shared" ca="1" si="30"/>
        <v>0</v>
      </c>
      <c r="R50" s="122">
        <f t="shared" ca="1" si="30"/>
        <v>0</v>
      </c>
      <c r="S50" s="122">
        <f t="shared" ca="1" si="30"/>
        <v>0</v>
      </c>
      <c r="T50" s="122">
        <f t="shared" ca="1" si="30"/>
        <v>0</v>
      </c>
      <c r="U50" s="122">
        <f t="shared" ca="1" si="30"/>
        <v>0</v>
      </c>
      <c r="V50" s="122">
        <f t="shared" ca="1" si="30"/>
        <v>0</v>
      </c>
      <c r="W50" s="122">
        <f t="shared" ca="1" si="30"/>
        <v>0</v>
      </c>
      <c r="X50" s="122">
        <f t="shared" ca="1" si="30"/>
        <v>0</v>
      </c>
      <c r="Y50" s="122">
        <f t="shared" ca="1" si="30"/>
        <v>0</v>
      </c>
      <c r="Z50" s="122">
        <f t="shared" ca="1" si="30"/>
        <v>0</v>
      </c>
      <c r="AA50" s="122"/>
      <c r="AB50" s="140">
        <f>INDEX('File 1'!Weekly_Adjusted,8,1)</f>
        <v>388.17143954725253</v>
      </c>
      <c r="AC50" s="140">
        <f>INDEX('File 1'!Weekly_Adjusted,8,2)</f>
        <v>0</v>
      </c>
      <c r="AD50" s="140">
        <f>INDEX('File 1'!Weekly_Adjusted,8,3)</f>
        <v>0</v>
      </c>
      <c r="AE50" s="141">
        <f>INDEX('File 2'!Weekly_Adjusted,8,1)</f>
        <v>0</v>
      </c>
      <c r="AF50" s="141">
        <f>INDEX('File 2'!Weekly_Adjusted,8,2)</f>
        <v>0</v>
      </c>
      <c r="AG50" s="141">
        <f>INDEX('File 2'!Weekly_Adjusted,8,3)</f>
        <v>0</v>
      </c>
      <c r="AH50" s="140">
        <f>INDEX('File 3'!Weekly_Adjusted,8,1)</f>
        <v>0</v>
      </c>
      <c r="AI50" s="140">
        <f>INDEX('File 3'!Weekly_Adjusted,8,2)</f>
        <v>0</v>
      </c>
      <c r="AJ50" s="140">
        <f>INDEX('File 3'!Weekly_Adjusted,8,3)</f>
        <v>0</v>
      </c>
      <c r="AK50" s="141">
        <f>INDEX('File 4'!Weekly_Adjusted,8,1)</f>
        <v>0</v>
      </c>
      <c r="AL50" s="141">
        <f>INDEX('File 4'!Weekly_Adjusted,8,2)</f>
        <v>0</v>
      </c>
      <c r="AM50" s="141">
        <f>INDEX('File 4'!Weekly_Adjusted,8,3)</f>
        <v>0</v>
      </c>
      <c r="AN50" s="140">
        <f>INDEX('File 5'!Weekly_Adjusted,8,1)</f>
        <v>0</v>
      </c>
      <c r="AO50" s="140">
        <f>INDEX('File 5'!Weekly_Adjusted,8,2)</f>
        <v>0</v>
      </c>
      <c r="AP50" s="140">
        <f>INDEX('File 5'!Weekly_Adjusted,8,3)</f>
        <v>0</v>
      </c>
      <c r="AQ50" s="141">
        <f>INDEX('File 6'!Weekly_Adjusted,8,1)</f>
        <v>0</v>
      </c>
      <c r="AR50" s="141">
        <f>INDEX('File 6'!Weekly_Adjusted,8,2)</f>
        <v>0</v>
      </c>
      <c r="AS50" s="141">
        <f>INDEX('File 6'!Weekly_Adjusted,8,3)</f>
        <v>0</v>
      </c>
      <c r="AT50" s="140">
        <f>INDEX('File 7'!Weekly_Adjusted,8,1)</f>
        <v>0</v>
      </c>
      <c r="AU50" s="140">
        <f>INDEX('File 7'!Weekly_Adjusted,8,2)</f>
        <v>0</v>
      </c>
      <c r="AV50" s="140">
        <f>INDEX('File 7'!Weekly_Adjusted,8,3)</f>
        <v>0</v>
      </c>
      <c r="AW50" s="141">
        <f>INDEX('File 8'!Weekly_Adjusted,8,1)</f>
        <v>0</v>
      </c>
      <c r="AX50" s="141">
        <f>INDEX('File 8'!Weekly_Adjusted,8,2)</f>
        <v>0</v>
      </c>
      <c r="AY50" s="141">
        <f>INDEX('File 8'!Weekly_Adjusted,8,3)</f>
        <v>0</v>
      </c>
      <c r="AZ50" s="140">
        <f>INDEX('File 9'!Weekly_Adjusted,8,1)</f>
        <v>0</v>
      </c>
      <c r="BA50" s="140">
        <f>INDEX('File 9'!Weekly_Adjusted,8,2)</f>
        <v>0</v>
      </c>
      <c r="BB50" s="140">
        <f>INDEX('File 9'!Weekly_Adjusted,8,3)</f>
        <v>0</v>
      </c>
      <c r="BC50" s="141">
        <f>INDEX('File 10'!Weekly_Adjusted,8,1)</f>
        <v>0</v>
      </c>
      <c r="BD50" s="141">
        <f>INDEX('File 10'!Weekly_Adjusted,8,2)</f>
        <v>0</v>
      </c>
      <c r="BE50" s="141">
        <f>INDEX('File 10'!Weekly_Adjusted,8,3)</f>
        <v>0</v>
      </c>
      <c r="BF50" s="140">
        <f>INDEX('File 11'!Weekly_Adjusted,8,1)</f>
        <v>0</v>
      </c>
      <c r="BG50" s="140">
        <f>INDEX('File 11'!Weekly_Adjusted,8,2)</f>
        <v>0</v>
      </c>
      <c r="BH50" s="140">
        <f>INDEX('File 11'!Weekly_Adjusted,8,3)</f>
        <v>0</v>
      </c>
      <c r="BI50" s="141">
        <f>INDEX('File 12'!Weekly_Adjusted,8,1)</f>
        <v>0</v>
      </c>
      <c r="BJ50" s="141">
        <f>INDEX('File 12'!Weekly_Adjusted,8,2)</f>
        <v>0</v>
      </c>
      <c r="BK50" s="141">
        <f>INDEX('File 12'!Weekly_Adjusted,8,3)</f>
        <v>0</v>
      </c>
      <c r="BL50" s="140">
        <f>INDEX('File 13'!Weekly_Adjusted,8,1)</f>
        <v>0</v>
      </c>
      <c r="BM50" s="140">
        <f>INDEX('File 13'!Weekly_Adjusted,8,2)</f>
        <v>0</v>
      </c>
      <c r="BN50" s="140">
        <f>INDEX('File 13'!Weekly_Adjusted,8,3)</f>
        <v>0</v>
      </c>
      <c r="BO50" s="141">
        <f>INDEX('File 14'!Weekly_Adjusted,8,1)</f>
        <v>0</v>
      </c>
      <c r="BP50" s="141">
        <f>INDEX('File 14'!Weekly_Adjusted,8,2)</f>
        <v>0</v>
      </c>
      <c r="BQ50" s="141">
        <f>INDEX('File 14'!Weekly_Adjusted,8,3)</f>
        <v>0</v>
      </c>
      <c r="BR50" s="140">
        <f>INDEX('File 15'!Weekly_Adjusted,8,1)</f>
        <v>0</v>
      </c>
      <c r="BS50" s="140">
        <f>INDEX('File 15'!Weekly_Adjusted,8,2)</f>
        <v>0</v>
      </c>
      <c r="BT50" s="140">
        <f>INDEX('File 15'!Weekly_Adjusted,8,3)</f>
        <v>0</v>
      </c>
      <c r="BU50" s="141">
        <f>INDEX('File 16'!Weekly_Adjusted,8,1)</f>
        <v>0</v>
      </c>
      <c r="BV50" s="141">
        <f>INDEX('File 16'!Weekly_Adjusted,8,2)</f>
        <v>0</v>
      </c>
      <c r="BW50" s="141">
        <f>INDEX('File 16'!Weekly_Adjusted,8,3)</f>
        <v>0</v>
      </c>
      <c r="BX50" s="140">
        <f>INDEX('File 17'!Weekly_Adjusted,8,1)</f>
        <v>0</v>
      </c>
      <c r="BY50" s="140">
        <f>INDEX('File 17'!Weekly_Adjusted,8,2)</f>
        <v>0</v>
      </c>
      <c r="BZ50" s="140">
        <f>INDEX('File 17'!Weekly_Adjusted,8,3)</f>
        <v>0</v>
      </c>
      <c r="CA50" s="141">
        <f>INDEX('File 18'!Weekly_Adjusted,8,1)</f>
        <v>0</v>
      </c>
      <c r="CB50" s="141">
        <f>INDEX('File 18'!Weekly_Adjusted,8,2)</f>
        <v>0</v>
      </c>
      <c r="CC50" s="141">
        <f>INDEX('File 18'!Weekly_Adjusted,8,3)</f>
        <v>0</v>
      </c>
      <c r="CD50" s="140">
        <f>INDEX('File 19'!Weekly_Adjusted,8,1)</f>
        <v>0</v>
      </c>
      <c r="CE50" s="140">
        <f>INDEX('File 19'!Weekly_Adjusted,8,2)</f>
        <v>0</v>
      </c>
      <c r="CF50" s="140">
        <f>INDEX('File 19'!Weekly_Adjusted,8,3)</f>
        <v>0</v>
      </c>
      <c r="CG50" s="141">
        <f>INDEX('File 20'!Weekly_Adjusted,8,1)</f>
        <v>0</v>
      </c>
      <c r="CH50" s="141">
        <f>INDEX('File 20'!Weekly_Adjusted,8,2)</f>
        <v>0</v>
      </c>
      <c r="CI50" s="141">
        <f>INDEX('File 20'!Weekly_Adjusted,8,3)</f>
        <v>0</v>
      </c>
      <c r="CJ50" s="6">
        <f ca="1">SUMIFS(INDEX(Demand_Activity_Weekly,ROW(A8),0),Demand_Activity_Weekly_Header,CJ$42)</f>
        <v>388.17143954725253</v>
      </c>
      <c r="CK50" s="6">
        <f ca="1">SUMIFS(INDEX(Demand_Activity_Weekly,ROW(B8),0),Demand_Activity_Weekly_Header,CK$42)</f>
        <v>0</v>
      </c>
      <c r="CL50" s="6">
        <f ca="1">SUMIFS(INDEX(Demand_Activity_Weekly,ROW(C8),0),Demand_Activity_Weekly_Header,CL$42)</f>
        <v>0</v>
      </c>
      <c r="CM50" s="6">
        <f ca="1">SUMIFS(INDEX(Demand_Activity_Weekly,ROW(D8),0),Demand_Activity_Weekly_Header,CM$42)</f>
        <v>0</v>
      </c>
      <c r="CN50" s="6">
        <f ca="1">SUMIFS(INDEX(Demand_Activity_Weekly,ROW(E8),0),Demand_Activity_Weekly_Header,CN$42)</f>
        <v>0</v>
      </c>
      <c r="CP50" s="142">
        <f ca="1">INDEX('File 1'!Weekly_Adjusted,8,10)</f>
        <v>24.919784152855019</v>
      </c>
      <c r="CQ50" s="142">
        <f>INDEX('File 1'!Weekly_Adjusted,8,11)</f>
        <v>0</v>
      </c>
      <c r="CR50" s="142">
        <f>INDEX('File 1'!Weekly_Adjusted,8,12)</f>
        <v>0</v>
      </c>
      <c r="CS50" s="143">
        <f>INDEX('File 2'!Weekly_Adjusted,8,10)</f>
        <v>0</v>
      </c>
      <c r="CT50" s="143">
        <f>INDEX('File 2'!Weekly_Adjusted,8,11)</f>
        <v>0</v>
      </c>
      <c r="CU50" s="143">
        <f>INDEX('File 2'!Weekly_Adjusted,8,12)</f>
        <v>0</v>
      </c>
      <c r="CV50" s="142">
        <f>INDEX('File 3'!Weekly_Adjusted,8,10)</f>
        <v>0</v>
      </c>
      <c r="CW50" s="142">
        <f>INDEX('File 3'!Weekly_Adjusted,8,11)</f>
        <v>0</v>
      </c>
      <c r="CX50" s="142">
        <f>INDEX('File 3'!Weekly_Adjusted,8,12)</f>
        <v>0</v>
      </c>
      <c r="CY50" s="143">
        <f>INDEX('File 4'!Weekly_Adjusted,8,10)</f>
        <v>0</v>
      </c>
      <c r="CZ50" s="143">
        <f>INDEX('File 4'!Weekly_Adjusted,8,11)</f>
        <v>0</v>
      </c>
      <c r="DA50" s="143">
        <f>INDEX('File 4'!Weekly_Adjusted,8,12)</f>
        <v>0</v>
      </c>
      <c r="DB50" s="142">
        <f>INDEX('File 5'!Weekly_Adjusted,8,10)</f>
        <v>0</v>
      </c>
      <c r="DC50" s="142">
        <f>INDEX('File 5'!Weekly_Adjusted,8,11)</f>
        <v>0</v>
      </c>
      <c r="DD50" s="142">
        <f>INDEX('File 5'!Weekly_Adjusted,8,12)</f>
        <v>0</v>
      </c>
      <c r="DE50" s="143">
        <f>INDEX('File 6'!Weekly_Adjusted,8,10)</f>
        <v>0</v>
      </c>
      <c r="DF50" s="143">
        <f>INDEX('File 6'!Weekly_Adjusted,8,11)</f>
        <v>0</v>
      </c>
      <c r="DG50" s="143">
        <f>INDEX('File 6'!Weekly_Adjusted,8,12)</f>
        <v>0</v>
      </c>
      <c r="DH50" s="142">
        <f>INDEX('File 7'!Weekly_Adjusted,8,10)</f>
        <v>0</v>
      </c>
      <c r="DI50" s="142">
        <f>INDEX('File 7'!Weekly_Adjusted,8,11)</f>
        <v>0</v>
      </c>
      <c r="DJ50" s="142">
        <f>INDEX('File 7'!Weekly_Adjusted,8,12)</f>
        <v>0</v>
      </c>
      <c r="DK50" s="143">
        <f>INDEX('File 8'!Weekly_Adjusted,8,10)</f>
        <v>0</v>
      </c>
      <c r="DL50" s="143">
        <f>INDEX('File 8'!Weekly_Adjusted,8,11)</f>
        <v>0</v>
      </c>
      <c r="DM50" s="143">
        <f>INDEX('File 8'!Weekly_Adjusted,8,12)</f>
        <v>0</v>
      </c>
      <c r="DN50" s="142">
        <f>INDEX('File 9'!Weekly_Adjusted,8,10)</f>
        <v>0</v>
      </c>
      <c r="DO50" s="142">
        <f>INDEX('File 9'!Weekly_Adjusted,8,11)</f>
        <v>0</v>
      </c>
      <c r="DP50" s="142">
        <f>INDEX('File 9'!Weekly_Adjusted,8,12)</f>
        <v>0</v>
      </c>
      <c r="DQ50" s="143">
        <f>INDEX('File 10'!Weekly_Adjusted,8,10)</f>
        <v>0</v>
      </c>
      <c r="DR50" s="143">
        <f>INDEX('File 10'!Weekly_Adjusted,8,11)</f>
        <v>0</v>
      </c>
      <c r="DS50" s="143">
        <f>INDEX('File 10'!Weekly_Adjusted,8,12)</f>
        <v>0</v>
      </c>
      <c r="DT50" s="142">
        <f>INDEX('File 11'!Weekly_Adjusted,8,10)</f>
        <v>0</v>
      </c>
      <c r="DU50" s="142">
        <f>INDEX('File 11'!Weekly_Adjusted,8,11)</f>
        <v>0</v>
      </c>
      <c r="DV50" s="142">
        <f>INDEX('File 11'!Weekly_Adjusted,8,12)</f>
        <v>0</v>
      </c>
      <c r="DW50" s="143">
        <f>INDEX('File 12'!Weekly_Adjusted,8,10)</f>
        <v>0</v>
      </c>
      <c r="DX50" s="143">
        <f>INDEX('File 12'!Weekly_Adjusted,8,11)</f>
        <v>0</v>
      </c>
      <c r="DY50" s="143">
        <f>INDEX('File 12'!Weekly_Adjusted,8,12)</f>
        <v>0</v>
      </c>
      <c r="DZ50" s="142">
        <f>INDEX('File 13'!Weekly_Adjusted,8,10)</f>
        <v>0</v>
      </c>
      <c r="EA50" s="142">
        <f>INDEX('File 13'!Weekly_Adjusted,8,11)</f>
        <v>0</v>
      </c>
      <c r="EB50" s="142">
        <f>INDEX('File 13'!Weekly_Adjusted,8,12)</f>
        <v>0</v>
      </c>
      <c r="EC50" s="143">
        <f>INDEX('File 14'!Weekly_Adjusted,8,10)</f>
        <v>0</v>
      </c>
      <c r="ED50" s="143">
        <f>INDEX('File 14'!Weekly_Adjusted,8,11)</f>
        <v>0</v>
      </c>
      <c r="EE50" s="143">
        <f>INDEX('File 14'!Weekly_Adjusted,8,12)</f>
        <v>0</v>
      </c>
      <c r="EF50" s="142">
        <f>INDEX('File 15'!Weekly_Adjusted,8,10)</f>
        <v>0</v>
      </c>
      <c r="EG50" s="142">
        <f>INDEX('File 15'!Weekly_Adjusted,8,11)</f>
        <v>0</v>
      </c>
      <c r="EH50" s="142">
        <f>INDEX('File 15'!Weekly_Adjusted,8,12)</f>
        <v>0</v>
      </c>
      <c r="EI50" s="143">
        <f>INDEX('File 16'!Weekly_Adjusted,8,10)</f>
        <v>0</v>
      </c>
      <c r="EJ50" s="143">
        <f>INDEX('File 16'!Weekly_Adjusted,8,11)</f>
        <v>0</v>
      </c>
      <c r="EK50" s="143">
        <f>INDEX('File 16'!Weekly_Adjusted,8,12)</f>
        <v>0</v>
      </c>
      <c r="EL50" s="142">
        <f>INDEX('File 17'!Weekly_Adjusted,8,10)</f>
        <v>0</v>
      </c>
      <c r="EM50" s="142">
        <f>INDEX('File 17'!Weekly_Adjusted,8,11)</f>
        <v>0</v>
      </c>
      <c r="EN50" s="142">
        <f>INDEX('File 17'!Weekly_Adjusted,8,12)</f>
        <v>0</v>
      </c>
      <c r="EO50" s="143">
        <f>INDEX('File 18'!Weekly_Adjusted,8,10)</f>
        <v>0</v>
      </c>
      <c r="EP50" s="143">
        <f>INDEX('File 18'!Weekly_Adjusted,8,11)</f>
        <v>0</v>
      </c>
      <c r="EQ50" s="143">
        <f>INDEX('File 18'!Weekly_Adjusted,8,12)</f>
        <v>0</v>
      </c>
      <c r="ER50" s="142">
        <f>INDEX('File 19'!Weekly_Adjusted,8,10)</f>
        <v>0</v>
      </c>
      <c r="ES50" s="142">
        <f>INDEX('File 19'!Weekly_Adjusted,8,11)</f>
        <v>0</v>
      </c>
      <c r="ET50" s="142">
        <f>INDEX('File 19'!Weekly_Adjusted,8,12)</f>
        <v>0</v>
      </c>
      <c r="EU50" s="143">
        <f>INDEX('File 20'!Weekly_Adjusted,8,10)</f>
        <v>0</v>
      </c>
      <c r="EV50" s="143">
        <f>INDEX('File 20'!Weekly_Adjusted,8,11)</f>
        <v>0</v>
      </c>
      <c r="EW50" s="143">
        <f>INDEX('File 20'!Weekly_Adjusted,8,12)</f>
        <v>0</v>
      </c>
      <c r="EX50" s="6">
        <f ca="1">SUMIFS(INDEX(Capacity_Activity_Weekly,ROW(A8),0),Demand_Activity_Weekly_Header,CJ$42)</f>
        <v>24.919784152855019</v>
      </c>
      <c r="EY50" s="6">
        <f ca="1">SUMIFS(INDEX(Capacity_Activity_Weekly,ROW(B8),0),Demand_Activity_Weekly_Header,CK$42)</f>
        <v>0</v>
      </c>
      <c r="EZ50" s="6">
        <f ca="1">SUMIFS(INDEX(Capacity_Activity_Weekly,ROW(C8),0),Demand_Activity_Weekly_Header,CL$42)</f>
        <v>0</v>
      </c>
      <c r="FA50" s="6">
        <f ca="1">SUMIFS(INDEX(Capacity_Activity_Weekly,ROW(D8),0),Demand_Activity_Weekly_Header,CM$42)</f>
        <v>0</v>
      </c>
      <c r="FB50" s="6">
        <f ca="1">SUMIFS(INDEX(Capacity_Activity_Weekly,ROW(E8),0),Demand_Activity_Weekly_Header,CN$42)</f>
        <v>0</v>
      </c>
      <c r="FD50" s="7">
        <f>'File 1'!$Q$54*'Time based aggregation (hide)'!$Q12</f>
        <v>0</v>
      </c>
      <c r="FE50" s="7">
        <f>'File 1'!$R$54*'Time based aggregation (hide)'!$R12</f>
        <v>0</v>
      </c>
      <c r="FF50" s="7">
        <f>'File 1'!$S$54*'Time based aggregation (hide)'!$S12</f>
        <v>0</v>
      </c>
      <c r="FG50" s="7">
        <f>'File 2'!$Q$54*'Time based aggregation (hide)'!$T12</f>
        <v>0</v>
      </c>
      <c r="FH50" s="7">
        <f>'File 2'!$R$54*'Time based aggregation (hide)'!$U12</f>
        <v>0</v>
      </c>
      <c r="FI50" s="7">
        <f>'File 2'!$S$54*'Time based aggregation (hide)'!$V12</f>
        <v>0</v>
      </c>
      <c r="FJ50" s="7">
        <f>'File 3'!$Q$54*'Time based aggregation (hide)'!$W12</f>
        <v>0</v>
      </c>
      <c r="FK50" s="7">
        <f>'File 3'!$R$54*'Time based aggregation (hide)'!$X12</f>
        <v>0</v>
      </c>
      <c r="FL50" s="7">
        <f>'File 3'!$S$54*'Time based aggregation (hide)'!$Y12</f>
        <v>0</v>
      </c>
      <c r="FM50" s="7">
        <f>'File 4'!$Q$54*'Time based aggregation (hide)'!$Z12</f>
        <v>0</v>
      </c>
      <c r="FN50" s="7">
        <f>'File 4'!$R$54*'Time based aggregation (hide)'!$AA12</f>
        <v>0</v>
      </c>
      <c r="FO50" s="7">
        <f>'File 4'!$S$54*'Time based aggregation (hide)'!$AB12</f>
        <v>0</v>
      </c>
      <c r="FP50" s="7">
        <f>'File 5'!$Q$54*'Time based aggregation (hide)'!$AC12</f>
        <v>0</v>
      </c>
      <c r="FQ50" s="7">
        <f>'File 5'!$R$54*'Time based aggregation (hide)'!$AD12</f>
        <v>0</v>
      </c>
      <c r="FR50" s="7">
        <f>'File 5'!$S$54*'Time based aggregation (hide)'!$AE12</f>
        <v>0</v>
      </c>
      <c r="FS50" s="7">
        <f>'File 6'!$Q$54*'Time based aggregation (hide)'!$AF12</f>
        <v>0</v>
      </c>
      <c r="FT50" s="7">
        <f>'File 6'!$R$54*'Time based aggregation (hide)'!$AG12</f>
        <v>0</v>
      </c>
      <c r="FU50" s="7">
        <f>'File 6'!$S$54*'Time based aggregation (hide)'!$AH12</f>
        <v>0</v>
      </c>
      <c r="FV50" s="7">
        <f>'File 7'!$Q$54*'Time based aggregation (hide)'!$AI12</f>
        <v>0</v>
      </c>
      <c r="FW50" s="7">
        <f>'File 7'!$R$54*'Time based aggregation (hide)'!$AJ12</f>
        <v>0</v>
      </c>
      <c r="FX50" s="7">
        <f>'File 7'!$S$54*'Time based aggregation (hide)'!$AK12</f>
        <v>0</v>
      </c>
      <c r="FY50" s="7">
        <f>'File 8'!$Q$54*'Time based aggregation (hide)'!$AL12</f>
        <v>0</v>
      </c>
      <c r="FZ50" s="7">
        <f>'File 8'!$R$54*'Time based aggregation (hide)'!$AM12</f>
        <v>0</v>
      </c>
      <c r="GA50" s="7">
        <f>'File 8'!$S$54*'Time based aggregation (hide)'!$AN12</f>
        <v>0</v>
      </c>
      <c r="GB50" s="7">
        <f>'File 9'!$Q$54*'Time based aggregation (hide)'!$AO12</f>
        <v>0</v>
      </c>
      <c r="GC50" s="7">
        <f>'File 9'!$R$54*'Time based aggregation (hide)'!$AP12</f>
        <v>0</v>
      </c>
      <c r="GD50" s="7">
        <f>'File 9'!$S$54*'Time based aggregation (hide)'!$AQ12</f>
        <v>0</v>
      </c>
      <c r="GE50" s="7">
        <f>'File 10'!$Q$54*'Time based aggregation (hide)'!$AR12</f>
        <v>0</v>
      </c>
      <c r="GF50" s="7">
        <f>'File 10'!$R$54*'Time based aggregation (hide)'!$AS12</f>
        <v>0</v>
      </c>
      <c r="GG50" s="7">
        <f>'File 10'!$S$54*'Time based aggregation (hide)'!$AT12</f>
        <v>0</v>
      </c>
      <c r="GH50" s="7">
        <f>'File 11'!$Q$54*'Time based aggregation (hide)'!$AU12</f>
        <v>0</v>
      </c>
      <c r="GI50" s="7">
        <f>'File 11'!$R$54*'Time based aggregation (hide)'!$AV12</f>
        <v>0</v>
      </c>
      <c r="GJ50" s="7">
        <f>'File 11'!$S$54*'Time based aggregation (hide)'!$AW12</f>
        <v>0</v>
      </c>
      <c r="GK50" s="7">
        <f>'File 12'!$Q$54*'Time based aggregation (hide)'!$AX12</f>
        <v>0</v>
      </c>
      <c r="GL50" s="7">
        <f>'File 12'!$R$54*'Time based aggregation (hide)'!$AY12</f>
        <v>0</v>
      </c>
      <c r="GM50" s="7">
        <f>'File 12'!$S$54*'Time based aggregation (hide)'!$AZ12</f>
        <v>0</v>
      </c>
      <c r="GN50" s="7">
        <f>'File 13'!$Q$54*'Time based aggregation (hide)'!$BA12</f>
        <v>0</v>
      </c>
      <c r="GO50" s="7">
        <f>'File 13'!$R$54*'Time based aggregation (hide)'!$BB12</f>
        <v>0</v>
      </c>
      <c r="GP50" s="7">
        <f>'File 13'!$S$54*'Time based aggregation (hide)'!$BC12</f>
        <v>0</v>
      </c>
      <c r="GQ50" s="7">
        <f>'File 14'!$Q$54*'Time based aggregation (hide)'!$BD12</f>
        <v>0</v>
      </c>
      <c r="GR50" s="7">
        <f>'File 14'!$R$54*'Time based aggregation (hide)'!$BE12</f>
        <v>0</v>
      </c>
      <c r="GS50" s="7">
        <f>'File 14'!$S$54*'Time based aggregation (hide)'!$BF12</f>
        <v>0</v>
      </c>
      <c r="GT50" s="7">
        <f>'File 15'!$Q$54*'Time based aggregation (hide)'!$BG12</f>
        <v>0</v>
      </c>
      <c r="GU50" s="7">
        <f>'File 15'!$R$54*'Time based aggregation (hide)'!$BH12</f>
        <v>0</v>
      </c>
      <c r="GV50" s="7">
        <f>'File 15'!$S$54*'Time based aggregation (hide)'!$BI12</f>
        <v>0</v>
      </c>
      <c r="GW50" s="7">
        <f>'File 16'!$Q$54*'Time based aggregation (hide)'!$BJ12</f>
        <v>0</v>
      </c>
      <c r="GX50" s="7">
        <f>'File 16'!$R$54*'Time based aggregation (hide)'!$BK12</f>
        <v>0</v>
      </c>
      <c r="GY50" s="7">
        <f>'File 16'!$S$54*'Time based aggregation (hide)'!$BL12</f>
        <v>0</v>
      </c>
      <c r="GZ50" s="7">
        <f>'File 17'!$Q$54*'Time based aggregation (hide)'!$BM12</f>
        <v>0</v>
      </c>
      <c r="HA50" s="7">
        <f>'File 17'!$R$54*'Time based aggregation (hide)'!$BN12</f>
        <v>0</v>
      </c>
      <c r="HB50" s="7">
        <f>'File 17'!$S$54*'Time based aggregation (hide)'!$BO12</f>
        <v>0</v>
      </c>
      <c r="HC50" s="7">
        <f>'File 18'!$Q$54*'Time based aggregation (hide)'!$BP12</f>
        <v>0</v>
      </c>
      <c r="HD50" s="7">
        <f>'File 18'!$R$54*'Time based aggregation (hide)'!$BQ12</f>
        <v>0</v>
      </c>
      <c r="HE50" s="7">
        <f>'File 18'!$S$54*'Time based aggregation (hide)'!$BR12</f>
        <v>0</v>
      </c>
      <c r="HF50" s="7">
        <f>'File 19'!$Q$54*'Time based aggregation (hide)'!$BS12</f>
        <v>0</v>
      </c>
      <c r="HG50" s="7">
        <f>'File 19'!$R$54*'Time based aggregation (hide)'!$BT12</f>
        <v>0</v>
      </c>
      <c r="HH50" s="7">
        <f>'File 19'!$S$54*'Time based aggregation (hide)'!$BU12</f>
        <v>0</v>
      </c>
      <c r="HI50" s="7">
        <f>'File 20'!$Q$54*'Time based aggregation (hide)'!$BV12</f>
        <v>0</v>
      </c>
      <c r="HJ50" s="7">
        <f>'File 20'!$R$54*'Time based aggregation (hide)'!$BW12</f>
        <v>0</v>
      </c>
      <c r="HK50" s="7">
        <f>'File 20'!$S$54*'Time based aggregation (hide)'!$BX12</f>
        <v>0</v>
      </c>
      <c r="HL50" s="7">
        <f t="shared" ca="1" si="31"/>
        <v>0</v>
      </c>
      <c r="HM50" s="7">
        <f t="shared" ca="1" si="31"/>
        <v>0</v>
      </c>
      <c r="HN50" s="7">
        <f t="shared" ca="1" si="31"/>
        <v>0</v>
      </c>
      <c r="HO50" s="7">
        <f t="shared" ca="1" si="31"/>
        <v>0</v>
      </c>
      <c r="HP50" s="7">
        <f t="shared" ca="1" si="31"/>
        <v>0</v>
      </c>
      <c r="HR50" s="142">
        <f ca="1">INDEX('File 1'!Weekly_Adjusted,8,16)</f>
        <v>21.427839876658773</v>
      </c>
      <c r="HS50" s="142">
        <f>INDEX('File 1'!Weekly_Adjusted,8,17)</f>
        <v>0</v>
      </c>
      <c r="HT50" s="142">
        <f>INDEX('File 1'!Weekly_Adjusted,8,18)</f>
        <v>0</v>
      </c>
      <c r="HU50" s="143">
        <f>INDEX('File 2'!Weekly_Adjusted,8,16)</f>
        <v>0</v>
      </c>
      <c r="HV50" s="143">
        <f>INDEX('File 2'!Weekly_Adjusted,8,17)</f>
        <v>0</v>
      </c>
      <c r="HW50" s="143">
        <f>INDEX('File 2'!Weekly_Adjusted,8,18)</f>
        <v>0</v>
      </c>
      <c r="HX50" s="142">
        <f>INDEX('File 3'!Weekly_Adjusted,8,16)</f>
        <v>0</v>
      </c>
      <c r="HY50" s="142">
        <f>INDEX('File 3'!Weekly_Adjusted,8,17)</f>
        <v>0</v>
      </c>
      <c r="HZ50" s="142">
        <f>INDEX('File 3'!Weekly_Adjusted,8,18)</f>
        <v>0</v>
      </c>
      <c r="IA50" s="143">
        <f>INDEX('File 4'!Weekly_Adjusted,8,16)</f>
        <v>0</v>
      </c>
      <c r="IB50" s="143">
        <f>INDEX('File 4'!Weekly_Adjusted,8,17)</f>
        <v>0</v>
      </c>
      <c r="IC50" s="143">
        <f>INDEX('File 4'!Weekly_Adjusted,8,18)</f>
        <v>0</v>
      </c>
      <c r="ID50" s="142">
        <f>INDEX('File 5'!Weekly_Adjusted,8,16)</f>
        <v>0</v>
      </c>
      <c r="IE50" s="142">
        <f>INDEX('File 5'!Weekly_Adjusted,8,17)</f>
        <v>0</v>
      </c>
      <c r="IF50" s="142">
        <f>INDEX('File 5'!Weekly_Adjusted,8,18)</f>
        <v>0</v>
      </c>
      <c r="IG50" s="143">
        <f>INDEX('File 6'!Weekly_Adjusted,8,16)</f>
        <v>0</v>
      </c>
      <c r="IH50" s="143">
        <f>INDEX('File 6'!Weekly_Adjusted,8,17)</f>
        <v>0</v>
      </c>
      <c r="II50" s="143">
        <f>INDEX('File 6'!Weekly_Adjusted,8,18)</f>
        <v>0</v>
      </c>
      <c r="IJ50" s="142">
        <f>INDEX('File 7'!Weekly_Adjusted,8,16)</f>
        <v>0</v>
      </c>
      <c r="IK50" s="142">
        <f>INDEX('File 7'!Weekly_Adjusted,8,17)</f>
        <v>0</v>
      </c>
      <c r="IL50" s="142">
        <f>INDEX('File 7'!Weekly_Adjusted,8,18)</f>
        <v>0</v>
      </c>
      <c r="IM50" s="143">
        <f>INDEX('File 8'!Weekly_Adjusted,8,16)</f>
        <v>0</v>
      </c>
      <c r="IN50" s="143">
        <f>INDEX('File 8'!Weekly_Adjusted,8,17)</f>
        <v>0</v>
      </c>
      <c r="IO50" s="143">
        <f>INDEX('File 8'!Weekly_Adjusted,8,18)</f>
        <v>0</v>
      </c>
      <c r="IP50" s="142">
        <f>INDEX('File 9'!Weekly_Adjusted,8,16)</f>
        <v>0</v>
      </c>
      <c r="IQ50" s="142">
        <f>INDEX('File 9'!Weekly_Adjusted,8,17)</f>
        <v>0</v>
      </c>
      <c r="IR50" s="142">
        <f>INDEX('File 9'!Weekly_Adjusted,8,18)</f>
        <v>0</v>
      </c>
      <c r="IS50" s="143">
        <f>INDEX('File 10'!Weekly_Adjusted,8,16)</f>
        <v>0</v>
      </c>
      <c r="IT50" s="143">
        <f>INDEX('File 10'!Weekly_Adjusted,8,17)</f>
        <v>0</v>
      </c>
      <c r="IU50" s="143">
        <f>INDEX('File 10'!Weekly_Adjusted,8,18)</f>
        <v>0</v>
      </c>
      <c r="IV50" s="142">
        <f>INDEX('File 11'!Weekly_Adjusted,8,16)</f>
        <v>0</v>
      </c>
      <c r="IW50" s="142">
        <f>INDEX('File 11'!Weekly_Adjusted,8,17)</f>
        <v>0</v>
      </c>
      <c r="IX50" s="142">
        <f>INDEX('File 11'!Weekly_Adjusted,8,18)</f>
        <v>0</v>
      </c>
      <c r="IY50" s="143">
        <f>INDEX('File 12'!Weekly_Adjusted,8,16)</f>
        <v>0</v>
      </c>
      <c r="IZ50" s="143">
        <f>INDEX('File 12'!Weekly_Adjusted,8,17)</f>
        <v>0</v>
      </c>
      <c r="JA50" s="143">
        <f>INDEX('File 12'!Weekly_Adjusted,8,18)</f>
        <v>0</v>
      </c>
      <c r="JB50" s="142">
        <f>INDEX('File 13'!Weekly_Adjusted,8,16)</f>
        <v>0</v>
      </c>
      <c r="JC50" s="142">
        <f>INDEX('File 13'!Weekly_Adjusted,8,17)</f>
        <v>0</v>
      </c>
      <c r="JD50" s="142">
        <f>INDEX('File 13'!Weekly_Adjusted,8,18)</f>
        <v>0</v>
      </c>
      <c r="JE50" s="143">
        <f>INDEX('File 14'!Weekly_Adjusted,8,16)</f>
        <v>0</v>
      </c>
      <c r="JF50" s="143">
        <f>INDEX('File 14'!Weekly_Adjusted,8,17)</f>
        <v>0</v>
      </c>
      <c r="JG50" s="143">
        <f>INDEX('File 14'!Weekly_Adjusted,8,18)</f>
        <v>0</v>
      </c>
      <c r="JH50" s="142">
        <f>INDEX('File 15'!Weekly_Adjusted,8,16)</f>
        <v>0</v>
      </c>
      <c r="JI50" s="142">
        <f>INDEX('File 15'!Weekly_Adjusted,8,17)</f>
        <v>0</v>
      </c>
      <c r="JJ50" s="142">
        <f>INDEX('File 15'!Weekly_Adjusted,8,18)</f>
        <v>0</v>
      </c>
      <c r="JK50" s="143">
        <f>INDEX('File 16'!Weekly_Adjusted,8,16)</f>
        <v>0</v>
      </c>
      <c r="JL50" s="143">
        <f>INDEX('File 16'!Weekly_Adjusted,8,17)</f>
        <v>0</v>
      </c>
      <c r="JM50" s="143">
        <f>INDEX('File 16'!Weekly_Adjusted,8,18)</f>
        <v>0</v>
      </c>
      <c r="JN50" s="142">
        <f>INDEX('File 17'!Weekly_Adjusted,8,16)</f>
        <v>0</v>
      </c>
      <c r="JO50" s="142">
        <f>INDEX('File 17'!Weekly_Adjusted,8,17)</f>
        <v>0</v>
      </c>
      <c r="JP50" s="142">
        <f>INDEX('File 17'!Weekly_Adjusted,8,18)</f>
        <v>0</v>
      </c>
      <c r="JQ50" s="143">
        <f>INDEX('File 18'!Weekly_Adjusted,8,16)</f>
        <v>0</v>
      </c>
      <c r="JR50" s="143">
        <f>INDEX('File 18'!Weekly_Adjusted,8,17)</f>
        <v>0</v>
      </c>
      <c r="JS50" s="143">
        <f>INDEX('File 18'!Weekly_Adjusted,8,18)</f>
        <v>0</v>
      </c>
      <c r="JT50" s="142">
        <f>INDEX('File 19'!Weekly_Adjusted,8,16)</f>
        <v>0</v>
      </c>
      <c r="JU50" s="142">
        <f>INDEX('File 19'!Weekly_Adjusted,8,17)</f>
        <v>0</v>
      </c>
      <c r="JV50" s="142">
        <f>INDEX('File 19'!Weekly_Adjusted,8,18)</f>
        <v>0</v>
      </c>
      <c r="JW50" s="143">
        <f>INDEX('File 20'!Weekly_Adjusted,8,16)</f>
        <v>0</v>
      </c>
      <c r="JX50" s="143">
        <f>INDEX('File 20'!Weekly_Adjusted,8,17)</f>
        <v>0</v>
      </c>
      <c r="JY50" s="143">
        <f>INDEX('File 20'!Weekly_Adjusted,8,18)</f>
        <v>0</v>
      </c>
      <c r="JZ50" s="6">
        <f ca="1">SUMIFS(INDEX(CapacityCore_Activity_Weekly,ROW(EC8),0),Demand_Activity_Weekly_Header,HL$42)</f>
        <v>21.427839876658773</v>
      </c>
      <c r="KA50" s="6">
        <f ca="1">SUMIFS(INDEX(CapacityCore_Activity_Weekly,ROW(ED8),0),Demand_Activity_Weekly_Header,HM$42)</f>
        <v>0</v>
      </c>
      <c r="KB50" s="6">
        <f ca="1">SUMIFS(INDEX(CapacityCore_Activity_Weekly,ROW(EE8),0),Demand_Activity_Weekly_Header,HN$42)</f>
        <v>0</v>
      </c>
      <c r="KC50" s="6">
        <f ca="1">SUMIFS(INDEX(CapacityCore_Activity_Weekly,ROW(EF8),0),Demand_Activity_Weekly_Header,HO$42)</f>
        <v>0</v>
      </c>
      <c r="KD50" s="6">
        <f ca="1">SUMIFS(INDEX(CapacityCore_Activity_Weekly,ROW(EG8),0),Demand_Activity_Weekly_Header,HP$42)</f>
        <v>0</v>
      </c>
      <c r="KF50" s="6">
        <f>SUMIFS('Time based aggregation (hide)'!$J:$J,'Time based aggregation (hide)'!$E:$E,1,'Time based aggregation (hide)'!$F:$F,1,'Time based aggregation (hide)'!$A:$A,ROW(A8))</f>
        <v>0</v>
      </c>
      <c r="KG50" s="6">
        <f>SUMIFS('Time based aggregation (hide)'!$J:$J,'Time based aggregation (hide)'!$E:$E,1,'Time based aggregation (hide)'!$F:$F,2,'Time based aggregation (hide)'!$A:$A,ROW(A8))</f>
        <v>0</v>
      </c>
      <c r="KH50" s="6">
        <f>SUMIFS('Time based aggregation (hide)'!$J:$J,'Time based aggregation (hide)'!$E:$E,1,'Time based aggregation (hide)'!$F:$F,3,'Time based aggregation (hide)'!$A:$A,ROW(A8))</f>
        <v>0</v>
      </c>
      <c r="KI50" s="6">
        <f>SUMIFS('Time based aggregation (hide)'!$J:$J,'Time based aggregation (hide)'!$E:$E,2,'Time based aggregation (hide)'!$F:$F,1,'Time based aggregation (hide)'!$A:$A,ROW(A8))</f>
        <v>0</v>
      </c>
      <c r="KJ50" s="6">
        <f>SUMIFS('Time based aggregation (hide)'!$J:$J,'Time based aggregation (hide)'!$E:$E,2,'Time based aggregation (hide)'!$F:$F,2,'Time based aggregation (hide)'!$A:$A,ROW(A8))</f>
        <v>0</v>
      </c>
      <c r="KK50" s="6">
        <f>SUMIFS('Time based aggregation (hide)'!$J:$J,'Time based aggregation (hide)'!$E:$E,2,'Time based aggregation (hide)'!$F:$F,3,'Time based aggregation (hide)'!$A:$A,ROW(A8))</f>
        <v>0</v>
      </c>
      <c r="KL50" s="6">
        <f>SUMIFS('Time based aggregation (hide)'!$J:$J,'Time based aggregation (hide)'!$E:$E,3,'Time based aggregation (hide)'!$F:$F,1,'Time based aggregation (hide)'!$A:$A,ROW(A8))</f>
        <v>0</v>
      </c>
      <c r="KM50" s="6">
        <f>SUMIFS('Time based aggregation (hide)'!$J:$J,'Time based aggregation (hide)'!$E:$E,3,'Time based aggregation (hide)'!$F:$F,2,'Time based aggregation (hide)'!$A:$A,ROW(A8))</f>
        <v>0</v>
      </c>
      <c r="KN50" s="6">
        <f>SUMIFS('Time based aggregation (hide)'!$J:$J,'Time based aggregation (hide)'!$E:$E,3,'Time based aggregation (hide)'!$F:$F,3,'Time based aggregation (hide)'!$A:$A,ROW(A8))</f>
        <v>0</v>
      </c>
      <c r="KO50" s="6">
        <f>SUMIFS('Time based aggregation (hide)'!$J:$J,'Time based aggregation (hide)'!$E:$E,4,'Time based aggregation (hide)'!$F:$F,1,'Time based aggregation (hide)'!$A:$A,ROW(A8))</f>
        <v>0</v>
      </c>
      <c r="KP50" s="6">
        <f>SUMIFS('Time based aggregation (hide)'!$J:$J,'Time based aggregation (hide)'!$E:$E,4,'Time based aggregation (hide)'!$F:$F,2,'Time based aggregation (hide)'!$A:$A,ROW(A8))</f>
        <v>0</v>
      </c>
      <c r="KQ50" s="6">
        <f>SUMIFS('Time based aggregation (hide)'!$J:$J,'Time based aggregation (hide)'!$E:$E,4,'Time based aggregation (hide)'!$F:$F,3,'Time based aggregation (hide)'!$A:$A,ROW(A8))</f>
        <v>0</v>
      </c>
      <c r="KR50" s="6">
        <f>SUMIFS('Time based aggregation (hide)'!$J:$J,'Time based aggregation (hide)'!$E:$E,5,'Time based aggregation (hide)'!$F:$F,1,'Time based aggregation (hide)'!$A:$A,ROW(A8))</f>
        <v>0</v>
      </c>
      <c r="KS50" s="6">
        <f>SUMIFS('Time based aggregation (hide)'!$J:$J,'Time based aggregation (hide)'!$E:$E,5,'Time based aggregation (hide)'!$F:$F,2,'Time based aggregation (hide)'!$A:$A,ROW(A8))</f>
        <v>0</v>
      </c>
      <c r="KT50" s="6">
        <f>SUMIFS('Time based aggregation (hide)'!$J:$J,'Time based aggregation (hide)'!$E:$E,5,'Time based aggregation (hide)'!$F:$F,3,'Time based aggregation (hide)'!$A:$A,ROW(A8))</f>
        <v>0</v>
      </c>
      <c r="KU50" s="6">
        <f>SUMIFS('Time based aggregation (hide)'!$J:$J,'Time based aggregation (hide)'!$E:$E,6,'Time based aggregation (hide)'!$F:$F,1,'Time based aggregation (hide)'!$A:$A,ROW(A8))</f>
        <v>0</v>
      </c>
      <c r="KV50" s="6">
        <f>SUMIFS('Time based aggregation (hide)'!$J:$J,'Time based aggregation (hide)'!$E:$E,6,'Time based aggregation (hide)'!$F:$F,2,'Time based aggregation (hide)'!$A:$A,ROW(A8))</f>
        <v>0</v>
      </c>
      <c r="KW50" s="6">
        <f>SUMIFS('Time based aggregation (hide)'!$J:$J,'Time based aggregation (hide)'!$E:$E,6,'Time based aggregation (hide)'!$F:$F,3,'Time based aggregation (hide)'!$A:$A,ROW(A8))</f>
        <v>0</v>
      </c>
      <c r="KX50" s="6">
        <f>SUMIFS('Time based aggregation (hide)'!$J:$J,'Time based aggregation (hide)'!$E:$E,7,'Time based aggregation (hide)'!$F:$F,1,'Time based aggregation (hide)'!$A:$A,ROW(A8))</f>
        <v>0</v>
      </c>
      <c r="KY50" s="6">
        <f>SUMIFS('Time based aggregation (hide)'!$J:$J,'Time based aggregation (hide)'!$E:$E,7,'Time based aggregation (hide)'!$F:$F,2,'Time based aggregation (hide)'!$A:$A,ROW(A8))</f>
        <v>0</v>
      </c>
      <c r="KZ50" s="6">
        <f>SUMIFS('Time based aggregation (hide)'!$J:$J,'Time based aggregation (hide)'!$E:$E,7,'Time based aggregation (hide)'!$F:$F,3,'Time based aggregation (hide)'!$A:$A,ROW(A8))</f>
        <v>0</v>
      </c>
      <c r="LA50" s="6">
        <f>SUMIFS('Time based aggregation (hide)'!$J:$J,'Time based aggregation (hide)'!$E:$E,8,'Time based aggregation (hide)'!$F:$F,1,'Time based aggregation (hide)'!$A:$A,ROW(A8))</f>
        <v>0</v>
      </c>
      <c r="LB50" s="6">
        <f>SUMIFS('Time based aggregation (hide)'!$J:$J,'Time based aggregation (hide)'!$E:$E,8,'Time based aggregation (hide)'!$F:$F,2,'Time based aggregation (hide)'!$A:$A,ROW(A8))</f>
        <v>0</v>
      </c>
      <c r="LC50" s="6">
        <f>SUMIFS('Time based aggregation (hide)'!$J:$J,'Time based aggregation (hide)'!$E:$E,8,'Time based aggregation (hide)'!$F:$F,3,'Time based aggregation (hide)'!$A:$A,ROW(A8))</f>
        <v>0</v>
      </c>
      <c r="LD50" s="6">
        <f>SUMIFS('Time based aggregation (hide)'!$J:$J,'Time based aggregation (hide)'!$E:$E,9,'Time based aggregation (hide)'!$F:$F,1,'Time based aggregation (hide)'!$A:$A,ROW(A8))</f>
        <v>0</v>
      </c>
      <c r="LE50" s="6">
        <f>SUMIFS('Time based aggregation (hide)'!$J:$J,'Time based aggregation (hide)'!$E:$E,9,'Time based aggregation (hide)'!$F:$F,2,'Time based aggregation (hide)'!$A:$A,ROW(A8))</f>
        <v>0</v>
      </c>
      <c r="LF50" s="6">
        <f>SUMIFS('Time based aggregation (hide)'!$J:$J,'Time based aggregation (hide)'!$E:$E,9,'Time based aggregation (hide)'!$F:$F,3,'Time based aggregation (hide)'!$A:$A,ROW(A8))</f>
        <v>0</v>
      </c>
      <c r="LG50" s="6">
        <f>SUMIFS('Time based aggregation (hide)'!$J:$J,'Time based aggregation (hide)'!$E:$E,10,'Time based aggregation (hide)'!$F:$F,1,'Time based aggregation (hide)'!$A:$A,ROW(A8))</f>
        <v>0</v>
      </c>
      <c r="LH50" s="6">
        <f>SUMIFS('Time based aggregation (hide)'!$J:$J,'Time based aggregation (hide)'!$E:$E,10,'Time based aggregation (hide)'!$F:$F,2,'Time based aggregation (hide)'!$A:$A,ROW(A8))</f>
        <v>0</v>
      </c>
      <c r="LI50" s="6">
        <f>SUMIFS('Time based aggregation (hide)'!$J:$J,'Time based aggregation (hide)'!$E:$E,10,'Time based aggregation (hide)'!$F:$F,3,'Time based aggregation (hide)'!$A:$A,ROW(A8))</f>
        <v>0</v>
      </c>
      <c r="LJ50" s="6">
        <f>SUMIFS('Time based aggregation (hide)'!$J:$J,'Time based aggregation (hide)'!$E:$E,11,'Time based aggregation (hide)'!$F:$F,1,'Time based aggregation (hide)'!$A:$A,ROW(A8))</f>
        <v>0</v>
      </c>
      <c r="LK50" s="6">
        <f>SUMIFS('Time based aggregation (hide)'!$J:$J,'Time based aggregation (hide)'!$E:$E,11,'Time based aggregation (hide)'!$F:$F,2,'Time based aggregation (hide)'!$A:$A,ROW(A8))</f>
        <v>0</v>
      </c>
      <c r="LL50" s="6">
        <f>SUMIFS('Time based aggregation (hide)'!$J:$J,'Time based aggregation (hide)'!$E:$E,11,'Time based aggregation (hide)'!$F:$F,3,'Time based aggregation (hide)'!$A:$A,ROW(A8))</f>
        <v>0</v>
      </c>
      <c r="LM50" s="6">
        <f>SUMIFS('Time based aggregation (hide)'!$J:$J,'Time based aggregation (hide)'!$E:$E,12,'Time based aggregation (hide)'!$F:$F,1,'Time based aggregation (hide)'!$A:$A,ROW(A8))</f>
        <v>0</v>
      </c>
      <c r="LN50" s="6">
        <f>SUMIFS('Time based aggregation (hide)'!$J:$J,'Time based aggregation (hide)'!$E:$E,12,'Time based aggregation (hide)'!$F:$F,2,'Time based aggregation (hide)'!$A:$A,ROW(A8))</f>
        <v>0</v>
      </c>
      <c r="LO50" s="6">
        <f>SUMIFS('Time based aggregation (hide)'!$J:$J,'Time based aggregation (hide)'!$E:$E,12,'Time based aggregation (hide)'!$F:$F,3,'Time based aggregation (hide)'!$A:$A,ROW(A8))</f>
        <v>0</v>
      </c>
      <c r="LP50" s="6">
        <f>SUMIFS('Time based aggregation (hide)'!$J:$J,'Time based aggregation (hide)'!$E:$E,13,'Time based aggregation (hide)'!$F:$F,1,'Time based aggregation (hide)'!$A:$A,ROW(A8))</f>
        <v>0</v>
      </c>
      <c r="LQ50" s="6">
        <f>SUMIFS('Time based aggregation (hide)'!$J:$J,'Time based aggregation (hide)'!$E:$E,13,'Time based aggregation (hide)'!$F:$F,2,'Time based aggregation (hide)'!$A:$A,ROW(A8))</f>
        <v>0</v>
      </c>
      <c r="LR50" s="6">
        <f>SUMIFS('Time based aggregation (hide)'!$J:$J,'Time based aggregation (hide)'!$E:$E,13,'Time based aggregation (hide)'!$F:$F,3,'Time based aggregation (hide)'!$A:$A,ROW(A8))</f>
        <v>0</v>
      </c>
      <c r="LS50" s="6">
        <f>SUMIFS('Time based aggregation (hide)'!$J:$J,'Time based aggregation (hide)'!$E:$E,14,'Time based aggregation (hide)'!$F:$F,1,'Time based aggregation (hide)'!$A:$A,ROW(A8))</f>
        <v>0</v>
      </c>
      <c r="LT50" s="6">
        <f>SUMIFS('Time based aggregation (hide)'!$J:$J,'Time based aggregation (hide)'!$E:$E,14,'Time based aggregation (hide)'!$F:$F,2,'Time based aggregation (hide)'!$A:$A,ROW(A8))</f>
        <v>0</v>
      </c>
      <c r="LU50" s="6">
        <f>SUMIFS('Time based aggregation (hide)'!$J:$J,'Time based aggregation (hide)'!$E:$E,14,'Time based aggregation (hide)'!$F:$F,3,'Time based aggregation (hide)'!$A:$A,ROW(A8))</f>
        <v>0</v>
      </c>
      <c r="LV50" s="6">
        <f>SUMIFS('Time based aggregation (hide)'!$J:$J,'Time based aggregation (hide)'!$E:$E,15,'Time based aggregation (hide)'!$F:$F,1,'Time based aggregation (hide)'!$A:$A,ROW(A8))</f>
        <v>0</v>
      </c>
      <c r="LW50" s="6">
        <f>SUMIFS('Time based aggregation (hide)'!$J:$J,'Time based aggregation (hide)'!$E:$E,15,'Time based aggregation (hide)'!$F:$F,2,'Time based aggregation (hide)'!$A:$A,ROW(A8))</f>
        <v>0</v>
      </c>
      <c r="LX50" s="6">
        <f>SUMIFS('Time based aggregation (hide)'!$J:$J,'Time based aggregation (hide)'!$E:$E,15,'Time based aggregation (hide)'!$F:$F,3,'Time based aggregation (hide)'!$A:$A,ROW(A8))</f>
        <v>0</v>
      </c>
      <c r="LY50" s="6">
        <f>SUMIFS('Time based aggregation (hide)'!$J:$J,'Time based aggregation (hide)'!$E:$E,16,'Time based aggregation (hide)'!$F:$F,1,'Time based aggregation (hide)'!$A:$A,ROW(A8))</f>
        <v>0</v>
      </c>
      <c r="LZ50" s="6">
        <f>SUMIFS('Time based aggregation (hide)'!$J:$J,'Time based aggregation (hide)'!$E:$E,16,'Time based aggregation (hide)'!$F:$F,2,'Time based aggregation (hide)'!$A:$A,ROW(A8))</f>
        <v>0</v>
      </c>
      <c r="MA50" s="6">
        <f>SUMIFS('Time based aggregation (hide)'!$J:$J,'Time based aggregation (hide)'!$E:$E,16,'Time based aggregation (hide)'!$F:$F,3,'Time based aggregation (hide)'!$A:$A,ROW(A8))</f>
        <v>0</v>
      </c>
      <c r="MB50" s="6">
        <f>SUMIFS('Time based aggregation (hide)'!$J:$J,'Time based aggregation (hide)'!$E:$E,17,'Time based aggregation (hide)'!$F:$F,1,'Time based aggregation (hide)'!$A:$A,ROW(A8))</f>
        <v>0</v>
      </c>
      <c r="MC50" s="6">
        <f>SUMIFS('Time based aggregation (hide)'!$J:$J,'Time based aggregation (hide)'!$E:$E,17,'Time based aggregation (hide)'!$F:$F,2,'Time based aggregation (hide)'!$A:$A,ROW(A8))</f>
        <v>0</v>
      </c>
      <c r="MD50" s="6">
        <f>SUMIFS('Time based aggregation (hide)'!$J:$J,'Time based aggregation (hide)'!$E:$E,17,'Time based aggregation (hide)'!$F:$F,3,'Time based aggregation (hide)'!$A:$A,ROW(A8))</f>
        <v>0</v>
      </c>
      <c r="ME50" s="6">
        <f>SUMIFS('Time based aggregation (hide)'!$J:$J,'Time based aggregation (hide)'!$E:$E,18,'Time based aggregation (hide)'!$F:$F,1,'Time based aggregation (hide)'!$A:$A,ROW(A8))</f>
        <v>0</v>
      </c>
      <c r="MF50" s="6">
        <f>SUMIFS('Time based aggregation (hide)'!$J:$J,'Time based aggregation (hide)'!$E:$E,18,'Time based aggregation (hide)'!$F:$F,2,'Time based aggregation (hide)'!$A:$A,ROW(A8))</f>
        <v>0</v>
      </c>
      <c r="MG50" s="6">
        <f>SUMIFS('Time based aggregation (hide)'!$J:$J,'Time based aggregation (hide)'!$E:$E,18,'Time based aggregation (hide)'!$F:$F,3,'Time based aggregation (hide)'!$A:$A,ROW(A8))</f>
        <v>0</v>
      </c>
      <c r="MH50" s="6">
        <f>SUMIFS('Time based aggregation (hide)'!$J:$J,'Time based aggregation (hide)'!$E:$E,19,'Time based aggregation (hide)'!$F:$F,1,'Time based aggregation (hide)'!$A:$A,ROW(A8))</f>
        <v>0</v>
      </c>
      <c r="MI50" s="6">
        <f>SUMIFS('Time based aggregation (hide)'!$J:$J,'Time based aggregation (hide)'!$E:$E,19,'Time based aggregation (hide)'!$F:$F,2,'Time based aggregation (hide)'!$A:$A,ROW(A8))</f>
        <v>0</v>
      </c>
      <c r="MJ50" s="6">
        <f>SUMIFS('Time based aggregation (hide)'!$J:$J,'Time based aggregation (hide)'!$E:$E,19,'Time based aggregation (hide)'!$F:$F,3,'Time based aggregation (hide)'!$A:$A,ROW(A8))</f>
        <v>0</v>
      </c>
      <c r="MK50" s="6">
        <f>SUMIFS('Time based aggregation (hide)'!$J:$J,'Time based aggregation (hide)'!$E:$E,20,'Time based aggregation (hide)'!$F:$F,1,'Time based aggregation (hide)'!$A:$A,ROW(A8))</f>
        <v>0</v>
      </c>
      <c r="ML50" s="6">
        <f>SUMIFS('Time based aggregation (hide)'!$J:$J,'Time based aggregation (hide)'!$E:$E,20,'Time based aggregation (hide)'!$F:$F,2,'Time based aggregation (hide)'!$A:$A,ROW(A8))</f>
        <v>0</v>
      </c>
      <c r="MM50" s="6">
        <f>SUMIFS('Time based aggregation (hide)'!$J:$J,'Time based aggregation (hide)'!$E:$E,20,'Time based aggregation (hide)'!$F:$F,3,'Time based aggregation (hide)'!$A:$A,ROW(A8))</f>
        <v>0</v>
      </c>
      <c r="MN50" s="7">
        <f t="shared" ca="1" si="36"/>
        <v>0</v>
      </c>
      <c r="MO50" s="7">
        <f t="shared" ca="1" si="32"/>
        <v>0</v>
      </c>
      <c r="MP50" s="7">
        <f t="shared" ca="1" si="32"/>
        <v>0</v>
      </c>
      <c r="MQ50" s="7">
        <f t="shared" ca="1" si="32"/>
        <v>0</v>
      </c>
      <c r="MR50" s="7">
        <f t="shared" ca="1" si="32"/>
        <v>0</v>
      </c>
    </row>
    <row r="51" spans="1:356" x14ac:dyDescent="0.25">
      <c r="A51">
        <f>1</f>
        <v>1</v>
      </c>
      <c r="B51" s="85">
        <f t="shared" si="37"/>
        <v>43839</v>
      </c>
      <c r="C51" s="85">
        <f t="shared" si="25"/>
        <v>43836</v>
      </c>
      <c r="D51">
        <f t="shared" ca="1" si="26"/>
        <v>1</v>
      </c>
      <c r="E51" s="85">
        <f t="shared" si="27"/>
        <v>43831</v>
      </c>
      <c r="F51">
        <f t="shared" si="33"/>
        <v>2</v>
      </c>
      <c r="H51">
        <f t="shared" si="34"/>
        <v>9</v>
      </c>
      <c r="I51" s="85">
        <f t="shared" si="38"/>
        <v>43885</v>
      </c>
      <c r="J51">
        <f t="shared" ca="1" si="28"/>
        <v>5</v>
      </c>
      <c r="K51">
        <f t="shared" ca="1" si="29"/>
        <v>1.968503937007874E-2</v>
      </c>
      <c r="L51" s="114"/>
      <c r="N51" s="85">
        <f t="shared" si="35"/>
        <v>43885</v>
      </c>
      <c r="O51" s="122">
        <f t="shared" ca="1" si="30"/>
        <v>0</v>
      </c>
      <c r="P51" s="122">
        <f t="shared" ca="1" si="30"/>
        <v>1</v>
      </c>
      <c r="Q51" s="122">
        <f t="shared" ca="1" si="30"/>
        <v>0</v>
      </c>
      <c r="R51" s="122">
        <f t="shared" ca="1" si="30"/>
        <v>0</v>
      </c>
      <c r="S51" s="122">
        <f t="shared" ca="1" si="30"/>
        <v>0</v>
      </c>
      <c r="T51" s="122">
        <f t="shared" ca="1" si="30"/>
        <v>0</v>
      </c>
      <c r="U51" s="122">
        <f t="shared" ca="1" si="30"/>
        <v>0</v>
      </c>
      <c r="V51" s="122">
        <f t="shared" ca="1" si="30"/>
        <v>0</v>
      </c>
      <c r="W51" s="122">
        <f t="shared" ca="1" si="30"/>
        <v>0</v>
      </c>
      <c r="X51" s="122">
        <f t="shared" ca="1" si="30"/>
        <v>0</v>
      </c>
      <c r="Y51" s="122">
        <f t="shared" ca="1" si="30"/>
        <v>0</v>
      </c>
      <c r="Z51" s="122">
        <f t="shared" ca="1" si="30"/>
        <v>0</v>
      </c>
      <c r="AA51" s="122"/>
      <c r="AB51" s="140">
        <f>INDEX('File 1'!Weekly_Adjusted,9,1)</f>
        <v>388.17143954725253</v>
      </c>
      <c r="AC51" s="140">
        <f>INDEX('File 1'!Weekly_Adjusted,9,2)</f>
        <v>0</v>
      </c>
      <c r="AD51" s="140">
        <f>INDEX('File 1'!Weekly_Adjusted,9,3)</f>
        <v>0</v>
      </c>
      <c r="AE51" s="141">
        <f>INDEX('File 2'!Weekly_Adjusted,9,1)</f>
        <v>0</v>
      </c>
      <c r="AF51" s="141">
        <f>INDEX('File 2'!Weekly_Adjusted,9,2)</f>
        <v>0</v>
      </c>
      <c r="AG51" s="141">
        <f>INDEX('File 2'!Weekly_Adjusted,9,3)</f>
        <v>0</v>
      </c>
      <c r="AH51" s="140">
        <f>INDEX('File 3'!Weekly_Adjusted,9,1)</f>
        <v>0</v>
      </c>
      <c r="AI51" s="140">
        <f>INDEX('File 3'!Weekly_Adjusted,9,2)</f>
        <v>0</v>
      </c>
      <c r="AJ51" s="140">
        <f>INDEX('File 3'!Weekly_Adjusted,9,3)</f>
        <v>0</v>
      </c>
      <c r="AK51" s="141">
        <f>INDEX('File 4'!Weekly_Adjusted,9,1)</f>
        <v>0</v>
      </c>
      <c r="AL51" s="141">
        <f>INDEX('File 4'!Weekly_Adjusted,9,2)</f>
        <v>0</v>
      </c>
      <c r="AM51" s="141">
        <f>INDEX('File 4'!Weekly_Adjusted,9,3)</f>
        <v>0</v>
      </c>
      <c r="AN51" s="140">
        <f>INDEX('File 5'!Weekly_Adjusted,9,1)</f>
        <v>0</v>
      </c>
      <c r="AO51" s="140">
        <f>INDEX('File 5'!Weekly_Adjusted,9,2)</f>
        <v>0</v>
      </c>
      <c r="AP51" s="140">
        <f>INDEX('File 5'!Weekly_Adjusted,9,3)</f>
        <v>0</v>
      </c>
      <c r="AQ51" s="141">
        <f>INDEX('File 6'!Weekly_Adjusted,9,1)</f>
        <v>0</v>
      </c>
      <c r="AR51" s="141">
        <f>INDEX('File 6'!Weekly_Adjusted,9,2)</f>
        <v>0</v>
      </c>
      <c r="AS51" s="141">
        <f>INDEX('File 6'!Weekly_Adjusted,9,3)</f>
        <v>0</v>
      </c>
      <c r="AT51" s="140">
        <f>INDEX('File 7'!Weekly_Adjusted,9,1)</f>
        <v>0</v>
      </c>
      <c r="AU51" s="140">
        <f>INDEX('File 7'!Weekly_Adjusted,9,2)</f>
        <v>0</v>
      </c>
      <c r="AV51" s="140">
        <f>INDEX('File 7'!Weekly_Adjusted,9,3)</f>
        <v>0</v>
      </c>
      <c r="AW51" s="141">
        <f>INDEX('File 8'!Weekly_Adjusted,9,1)</f>
        <v>0</v>
      </c>
      <c r="AX51" s="141">
        <f>INDEX('File 8'!Weekly_Adjusted,9,2)</f>
        <v>0</v>
      </c>
      <c r="AY51" s="141">
        <f>INDEX('File 8'!Weekly_Adjusted,9,3)</f>
        <v>0</v>
      </c>
      <c r="AZ51" s="140">
        <f>INDEX('File 9'!Weekly_Adjusted,9,1)</f>
        <v>0</v>
      </c>
      <c r="BA51" s="140">
        <f>INDEX('File 9'!Weekly_Adjusted,9,2)</f>
        <v>0</v>
      </c>
      <c r="BB51" s="140">
        <f>INDEX('File 9'!Weekly_Adjusted,9,3)</f>
        <v>0</v>
      </c>
      <c r="BC51" s="141">
        <f>INDEX('File 10'!Weekly_Adjusted,9,1)</f>
        <v>0</v>
      </c>
      <c r="BD51" s="141">
        <f>INDEX('File 10'!Weekly_Adjusted,9,2)</f>
        <v>0</v>
      </c>
      <c r="BE51" s="141">
        <f>INDEX('File 10'!Weekly_Adjusted,9,3)</f>
        <v>0</v>
      </c>
      <c r="BF51" s="140">
        <f>INDEX('File 11'!Weekly_Adjusted,9,1)</f>
        <v>0</v>
      </c>
      <c r="BG51" s="140">
        <f>INDEX('File 11'!Weekly_Adjusted,9,2)</f>
        <v>0</v>
      </c>
      <c r="BH51" s="140">
        <f>INDEX('File 11'!Weekly_Adjusted,9,3)</f>
        <v>0</v>
      </c>
      <c r="BI51" s="141">
        <f>INDEX('File 12'!Weekly_Adjusted,9,1)</f>
        <v>0</v>
      </c>
      <c r="BJ51" s="141">
        <f>INDEX('File 12'!Weekly_Adjusted,9,2)</f>
        <v>0</v>
      </c>
      <c r="BK51" s="141">
        <f>INDEX('File 12'!Weekly_Adjusted,9,3)</f>
        <v>0</v>
      </c>
      <c r="BL51" s="140">
        <f>INDEX('File 13'!Weekly_Adjusted,9,1)</f>
        <v>0</v>
      </c>
      <c r="BM51" s="140">
        <f>INDEX('File 13'!Weekly_Adjusted,9,2)</f>
        <v>0</v>
      </c>
      <c r="BN51" s="140">
        <f>INDEX('File 13'!Weekly_Adjusted,9,3)</f>
        <v>0</v>
      </c>
      <c r="BO51" s="141">
        <f>INDEX('File 14'!Weekly_Adjusted,9,1)</f>
        <v>0</v>
      </c>
      <c r="BP51" s="141">
        <f>INDEX('File 14'!Weekly_Adjusted,9,2)</f>
        <v>0</v>
      </c>
      <c r="BQ51" s="141">
        <f>INDEX('File 14'!Weekly_Adjusted,9,3)</f>
        <v>0</v>
      </c>
      <c r="BR51" s="140">
        <f>INDEX('File 15'!Weekly_Adjusted,9,1)</f>
        <v>0</v>
      </c>
      <c r="BS51" s="140">
        <f>INDEX('File 15'!Weekly_Adjusted,9,2)</f>
        <v>0</v>
      </c>
      <c r="BT51" s="140">
        <f>INDEX('File 15'!Weekly_Adjusted,9,3)</f>
        <v>0</v>
      </c>
      <c r="BU51" s="141">
        <f>INDEX('File 16'!Weekly_Adjusted,9,1)</f>
        <v>0</v>
      </c>
      <c r="BV51" s="141">
        <f>INDEX('File 16'!Weekly_Adjusted,9,2)</f>
        <v>0</v>
      </c>
      <c r="BW51" s="141">
        <f>INDEX('File 16'!Weekly_Adjusted,9,3)</f>
        <v>0</v>
      </c>
      <c r="BX51" s="140">
        <f>INDEX('File 17'!Weekly_Adjusted,9,1)</f>
        <v>0</v>
      </c>
      <c r="BY51" s="140">
        <f>INDEX('File 17'!Weekly_Adjusted,9,2)</f>
        <v>0</v>
      </c>
      <c r="BZ51" s="140">
        <f>INDEX('File 17'!Weekly_Adjusted,9,3)</f>
        <v>0</v>
      </c>
      <c r="CA51" s="141">
        <f>INDEX('File 18'!Weekly_Adjusted,9,1)</f>
        <v>0</v>
      </c>
      <c r="CB51" s="141">
        <f>INDEX('File 18'!Weekly_Adjusted,9,2)</f>
        <v>0</v>
      </c>
      <c r="CC51" s="141">
        <f>INDEX('File 18'!Weekly_Adjusted,9,3)</f>
        <v>0</v>
      </c>
      <c r="CD51" s="140">
        <f>INDEX('File 19'!Weekly_Adjusted,9,1)</f>
        <v>0</v>
      </c>
      <c r="CE51" s="140">
        <f>INDEX('File 19'!Weekly_Adjusted,9,2)</f>
        <v>0</v>
      </c>
      <c r="CF51" s="140">
        <f>INDEX('File 19'!Weekly_Adjusted,9,3)</f>
        <v>0</v>
      </c>
      <c r="CG51" s="141">
        <f>INDEX('File 20'!Weekly_Adjusted,9,1)</f>
        <v>0</v>
      </c>
      <c r="CH51" s="141">
        <f>INDEX('File 20'!Weekly_Adjusted,9,2)</f>
        <v>0</v>
      </c>
      <c r="CI51" s="141">
        <f>INDEX('File 20'!Weekly_Adjusted,9,3)</f>
        <v>0</v>
      </c>
      <c r="CJ51" s="6">
        <f ca="1">SUMIFS(INDEX(Demand_Activity_Weekly,ROW(A9),0),Demand_Activity_Weekly_Header,CJ$42)</f>
        <v>388.17143954725253</v>
      </c>
      <c r="CK51" s="6">
        <f ca="1">SUMIFS(INDEX(Demand_Activity_Weekly,ROW(B9),0),Demand_Activity_Weekly_Header,CK$42)</f>
        <v>0</v>
      </c>
      <c r="CL51" s="6">
        <f ca="1">SUMIFS(INDEX(Demand_Activity_Weekly,ROW(C9),0),Demand_Activity_Weekly_Header,CL$42)</f>
        <v>0</v>
      </c>
      <c r="CM51" s="6">
        <f ca="1">SUMIFS(INDEX(Demand_Activity_Weekly,ROW(D9),0),Demand_Activity_Weekly_Header,CM$42)</f>
        <v>0</v>
      </c>
      <c r="CN51" s="6">
        <f ca="1">SUMIFS(INDEX(Demand_Activity_Weekly,ROW(E9),0),Demand_Activity_Weekly_Header,CN$42)</f>
        <v>0</v>
      </c>
      <c r="CP51" s="142">
        <f ca="1">INDEX('File 1'!Weekly_Adjusted,9,10)</f>
        <v>24.919784152855019</v>
      </c>
      <c r="CQ51" s="142">
        <f>INDEX('File 1'!Weekly_Adjusted,9,11)</f>
        <v>0</v>
      </c>
      <c r="CR51" s="142">
        <f>INDEX('File 1'!Weekly_Adjusted,9,12)</f>
        <v>0</v>
      </c>
      <c r="CS51" s="143">
        <f>INDEX('File 2'!Weekly_Adjusted,9,10)</f>
        <v>0</v>
      </c>
      <c r="CT51" s="143">
        <f>INDEX('File 2'!Weekly_Adjusted,9,11)</f>
        <v>0</v>
      </c>
      <c r="CU51" s="143">
        <f>INDEX('File 2'!Weekly_Adjusted,9,12)</f>
        <v>0</v>
      </c>
      <c r="CV51" s="142">
        <f>INDEX('File 3'!Weekly_Adjusted,9,10)</f>
        <v>0</v>
      </c>
      <c r="CW51" s="142">
        <f>INDEX('File 3'!Weekly_Adjusted,9,11)</f>
        <v>0</v>
      </c>
      <c r="CX51" s="142">
        <f>INDEX('File 3'!Weekly_Adjusted,9,12)</f>
        <v>0</v>
      </c>
      <c r="CY51" s="143">
        <f>INDEX('File 4'!Weekly_Adjusted,9,10)</f>
        <v>0</v>
      </c>
      <c r="CZ51" s="143">
        <f>INDEX('File 4'!Weekly_Adjusted,9,11)</f>
        <v>0</v>
      </c>
      <c r="DA51" s="143">
        <f>INDEX('File 4'!Weekly_Adjusted,9,12)</f>
        <v>0</v>
      </c>
      <c r="DB51" s="142">
        <f>INDEX('File 5'!Weekly_Adjusted,9,10)</f>
        <v>0</v>
      </c>
      <c r="DC51" s="142">
        <f>INDEX('File 5'!Weekly_Adjusted,9,11)</f>
        <v>0</v>
      </c>
      <c r="DD51" s="142">
        <f>INDEX('File 5'!Weekly_Adjusted,9,12)</f>
        <v>0</v>
      </c>
      <c r="DE51" s="143">
        <f>INDEX('File 6'!Weekly_Adjusted,9,10)</f>
        <v>0</v>
      </c>
      <c r="DF51" s="143">
        <f>INDEX('File 6'!Weekly_Adjusted,9,11)</f>
        <v>0</v>
      </c>
      <c r="DG51" s="143">
        <f>INDEX('File 6'!Weekly_Adjusted,9,12)</f>
        <v>0</v>
      </c>
      <c r="DH51" s="142">
        <f>INDEX('File 7'!Weekly_Adjusted,9,10)</f>
        <v>0</v>
      </c>
      <c r="DI51" s="142">
        <f>INDEX('File 7'!Weekly_Adjusted,9,11)</f>
        <v>0</v>
      </c>
      <c r="DJ51" s="142">
        <f>INDEX('File 7'!Weekly_Adjusted,9,12)</f>
        <v>0</v>
      </c>
      <c r="DK51" s="143">
        <f>INDEX('File 8'!Weekly_Adjusted,9,10)</f>
        <v>0</v>
      </c>
      <c r="DL51" s="143">
        <f>INDEX('File 8'!Weekly_Adjusted,9,11)</f>
        <v>0</v>
      </c>
      <c r="DM51" s="143">
        <f>INDEX('File 8'!Weekly_Adjusted,9,12)</f>
        <v>0</v>
      </c>
      <c r="DN51" s="142">
        <f>INDEX('File 9'!Weekly_Adjusted,9,10)</f>
        <v>0</v>
      </c>
      <c r="DO51" s="142">
        <f>INDEX('File 9'!Weekly_Adjusted,9,11)</f>
        <v>0</v>
      </c>
      <c r="DP51" s="142">
        <f>INDEX('File 9'!Weekly_Adjusted,9,12)</f>
        <v>0</v>
      </c>
      <c r="DQ51" s="143">
        <f>INDEX('File 10'!Weekly_Adjusted,9,10)</f>
        <v>0</v>
      </c>
      <c r="DR51" s="143">
        <f>INDEX('File 10'!Weekly_Adjusted,9,11)</f>
        <v>0</v>
      </c>
      <c r="DS51" s="143">
        <f>INDEX('File 10'!Weekly_Adjusted,9,12)</f>
        <v>0</v>
      </c>
      <c r="DT51" s="142">
        <f>INDEX('File 11'!Weekly_Adjusted,9,10)</f>
        <v>0</v>
      </c>
      <c r="DU51" s="142">
        <f>INDEX('File 11'!Weekly_Adjusted,9,11)</f>
        <v>0</v>
      </c>
      <c r="DV51" s="142">
        <f>INDEX('File 11'!Weekly_Adjusted,9,12)</f>
        <v>0</v>
      </c>
      <c r="DW51" s="143">
        <f>INDEX('File 12'!Weekly_Adjusted,9,10)</f>
        <v>0</v>
      </c>
      <c r="DX51" s="143">
        <f>INDEX('File 12'!Weekly_Adjusted,9,11)</f>
        <v>0</v>
      </c>
      <c r="DY51" s="143">
        <f>INDEX('File 12'!Weekly_Adjusted,9,12)</f>
        <v>0</v>
      </c>
      <c r="DZ51" s="142">
        <f>INDEX('File 13'!Weekly_Adjusted,9,10)</f>
        <v>0</v>
      </c>
      <c r="EA51" s="142">
        <f>INDEX('File 13'!Weekly_Adjusted,9,11)</f>
        <v>0</v>
      </c>
      <c r="EB51" s="142">
        <f>INDEX('File 13'!Weekly_Adjusted,9,12)</f>
        <v>0</v>
      </c>
      <c r="EC51" s="143">
        <f>INDEX('File 14'!Weekly_Adjusted,9,10)</f>
        <v>0</v>
      </c>
      <c r="ED51" s="143">
        <f>INDEX('File 14'!Weekly_Adjusted,9,11)</f>
        <v>0</v>
      </c>
      <c r="EE51" s="143">
        <f>INDEX('File 14'!Weekly_Adjusted,9,12)</f>
        <v>0</v>
      </c>
      <c r="EF51" s="142">
        <f>INDEX('File 15'!Weekly_Adjusted,9,10)</f>
        <v>0</v>
      </c>
      <c r="EG51" s="142">
        <f>INDEX('File 15'!Weekly_Adjusted,9,11)</f>
        <v>0</v>
      </c>
      <c r="EH51" s="142">
        <f>INDEX('File 15'!Weekly_Adjusted,9,12)</f>
        <v>0</v>
      </c>
      <c r="EI51" s="143">
        <f>INDEX('File 16'!Weekly_Adjusted,9,10)</f>
        <v>0</v>
      </c>
      <c r="EJ51" s="143">
        <f>INDEX('File 16'!Weekly_Adjusted,9,11)</f>
        <v>0</v>
      </c>
      <c r="EK51" s="143">
        <f>INDEX('File 16'!Weekly_Adjusted,9,12)</f>
        <v>0</v>
      </c>
      <c r="EL51" s="142">
        <f>INDEX('File 17'!Weekly_Adjusted,9,10)</f>
        <v>0</v>
      </c>
      <c r="EM51" s="142">
        <f>INDEX('File 17'!Weekly_Adjusted,9,11)</f>
        <v>0</v>
      </c>
      <c r="EN51" s="142">
        <f>INDEX('File 17'!Weekly_Adjusted,9,12)</f>
        <v>0</v>
      </c>
      <c r="EO51" s="143">
        <f>INDEX('File 18'!Weekly_Adjusted,9,10)</f>
        <v>0</v>
      </c>
      <c r="EP51" s="143">
        <f>INDEX('File 18'!Weekly_Adjusted,9,11)</f>
        <v>0</v>
      </c>
      <c r="EQ51" s="143">
        <f>INDEX('File 18'!Weekly_Adjusted,9,12)</f>
        <v>0</v>
      </c>
      <c r="ER51" s="142">
        <f>INDEX('File 19'!Weekly_Adjusted,9,10)</f>
        <v>0</v>
      </c>
      <c r="ES51" s="142">
        <f>INDEX('File 19'!Weekly_Adjusted,9,11)</f>
        <v>0</v>
      </c>
      <c r="ET51" s="142">
        <f>INDEX('File 19'!Weekly_Adjusted,9,12)</f>
        <v>0</v>
      </c>
      <c r="EU51" s="143">
        <f>INDEX('File 20'!Weekly_Adjusted,9,10)</f>
        <v>0</v>
      </c>
      <c r="EV51" s="143">
        <f>INDEX('File 20'!Weekly_Adjusted,9,11)</f>
        <v>0</v>
      </c>
      <c r="EW51" s="143">
        <f>INDEX('File 20'!Weekly_Adjusted,9,12)</f>
        <v>0</v>
      </c>
      <c r="EX51" s="6">
        <f ca="1">SUMIFS(INDEX(Capacity_Activity_Weekly,ROW(A9),0),Demand_Activity_Weekly_Header,CJ$42)</f>
        <v>24.919784152855019</v>
      </c>
      <c r="EY51" s="6">
        <f ca="1">SUMIFS(INDEX(Capacity_Activity_Weekly,ROW(B9),0),Demand_Activity_Weekly_Header,CK$42)</f>
        <v>0</v>
      </c>
      <c r="EZ51" s="6">
        <f ca="1">SUMIFS(INDEX(Capacity_Activity_Weekly,ROW(C9),0),Demand_Activity_Weekly_Header,CL$42)</f>
        <v>0</v>
      </c>
      <c r="FA51" s="6">
        <f ca="1">SUMIFS(INDEX(Capacity_Activity_Weekly,ROW(D9),0),Demand_Activity_Weekly_Header,CM$42)</f>
        <v>0</v>
      </c>
      <c r="FB51" s="6">
        <f ca="1">SUMIFS(INDEX(Capacity_Activity_Weekly,ROW(E9),0),Demand_Activity_Weekly_Header,CN$42)</f>
        <v>0</v>
      </c>
      <c r="FD51" s="7">
        <f>'File 1'!$Q$54*'Time based aggregation (hide)'!$Q13</f>
        <v>0</v>
      </c>
      <c r="FE51" s="7">
        <f>'File 1'!$R$54*'Time based aggregation (hide)'!$R13</f>
        <v>0</v>
      </c>
      <c r="FF51" s="7">
        <f>'File 1'!$S$54*'Time based aggregation (hide)'!$S13</f>
        <v>0</v>
      </c>
      <c r="FG51" s="7">
        <f>'File 2'!$Q$54*'Time based aggregation (hide)'!$T13</f>
        <v>0</v>
      </c>
      <c r="FH51" s="7">
        <f>'File 2'!$R$54*'Time based aggregation (hide)'!$U13</f>
        <v>0</v>
      </c>
      <c r="FI51" s="7">
        <f>'File 2'!$S$54*'Time based aggregation (hide)'!$V13</f>
        <v>0</v>
      </c>
      <c r="FJ51" s="7">
        <f>'File 3'!$Q$54*'Time based aggregation (hide)'!$W13</f>
        <v>0</v>
      </c>
      <c r="FK51" s="7">
        <f>'File 3'!$R$54*'Time based aggregation (hide)'!$X13</f>
        <v>0</v>
      </c>
      <c r="FL51" s="7">
        <f>'File 3'!$S$54*'Time based aggregation (hide)'!$Y13</f>
        <v>0</v>
      </c>
      <c r="FM51" s="7">
        <f>'File 4'!$Q$54*'Time based aggregation (hide)'!$Z13</f>
        <v>0</v>
      </c>
      <c r="FN51" s="7">
        <f>'File 4'!$R$54*'Time based aggregation (hide)'!$AA13</f>
        <v>0</v>
      </c>
      <c r="FO51" s="7">
        <f>'File 4'!$S$54*'Time based aggregation (hide)'!$AB13</f>
        <v>0</v>
      </c>
      <c r="FP51" s="7">
        <f>'File 5'!$Q$54*'Time based aggregation (hide)'!$AC13</f>
        <v>0</v>
      </c>
      <c r="FQ51" s="7">
        <f>'File 5'!$R$54*'Time based aggregation (hide)'!$AD13</f>
        <v>0</v>
      </c>
      <c r="FR51" s="7">
        <f>'File 5'!$S$54*'Time based aggregation (hide)'!$AE13</f>
        <v>0</v>
      </c>
      <c r="FS51" s="7">
        <f>'File 6'!$Q$54*'Time based aggregation (hide)'!$AF13</f>
        <v>0</v>
      </c>
      <c r="FT51" s="7">
        <f>'File 6'!$R$54*'Time based aggregation (hide)'!$AG13</f>
        <v>0</v>
      </c>
      <c r="FU51" s="7">
        <f>'File 6'!$S$54*'Time based aggregation (hide)'!$AH13</f>
        <v>0</v>
      </c>
      <c r="FV51" s="7">
        <f>'File 7'!$Q$54*'Time based aggregation (hide)'!$AI13</f>
        <v>0</v>
      </c>
      <c r="FW51" s="7">
        <f>'File 7'!$R$54*'Time based aggregation (hide)'!$AJ13</f>
        <v>0</v>
      </c>
      <c r="FX51" s="7">
        <f>'File 7'!$S$54*'Time based aggregation (hide)'!$AK13</f>
        <v>0</v>
      </c>
      <c r="FY51" s="7">
        <f>'File 8'!$Q$54*'Time based aggregation (hide)'!$AL13</f>
        <v>0</v>
      </c>
      <c r="FZ51" s="7">
        <f>'File 8'!$R$54*'Time based aggregation (hide)'!$AM13</f>
        <v>0</v>
      </c>
      <c r="GA51" s="7">
        <f>'File 8'!$S$54*'Time based aggregation (hide)'!$AN13</f>
        <v>0</v>
      </c>
      <c r="GB51" s="7">
        <f>'File 9'!$Q$54*'Time based aggregation (hide)'!$AO13</f>
        <v>0</v>
      </c>
      <c r="GC51" s="7">
        <f>'File 9'!$R$54*'Time based aggregation (hide)'!$AP13</f>
        <v>0</v>
      </c>
      <c r="GD51" s="7">
        <f>'File 9'!$S$54*'Time based aggregation (hide)'!$AQ13</f>
        <v>0</v>
      </c>
      <c r="GE51" s="7">
        <f>'File 10'!$Q$54*'Time based aggregation (hide)'!$AR13</f>
        <v>0</v>
      </c>
      <c r="GF51" s="7">
        <f>'File 10'!$R$54*'Time based aggregation (hide)'!$AS13</f>
        <v>0</v>
      </c>
      <c r="GG51" s="7">
        <f>'File 10'!$S$54*'Time based aggregation (hide)'!$AT13</f>
        <v>0</v>
      </c>
      <c r="GH51" s="7">
        <f>'File 11'!$Q$54*'Time based aggregation (hide)'!$AU13</f>
        <v>0</v>
      </c>
      <c r="GI51" s="7">
        <f>'File 11'!$R$54*'Time based aggregation (hide)'!$AV13</f>
        <v>0</v>
      </c>
      <c r="GJ51" s="7">
        <f>'File 11'!$S$54*'Time based aggregation (hide)'!$AW13</f>
        <v>0</v>
      </c>
      <c r="GK51" s="7">
        <f>'File 12'!$Q$54*'Time based aggregation (hide)'!$AX13</f>
        <v>0</v>
      </c>
      <c r="GL51" s="7">
        <f>'File 12'!$R$54*'Time based aggregation (hide)'!$AY13</f>
        <v>0</v>
      </c>
      <c r="GM51" s="7">
        <f>'File 12'!$S$54*'Time based aggregation (hide)'!$AZ13</f>
        <v>0</v>
      </c>
      <c r="GN51" s="7">
        <f>'File 13'!$Q$54*'Time based aggregation (hide)'!$BA13</f>
        <v>0</v>
      </c>
      <c r="GO51" s="7">
        <f>'File 13'!$R$54*'Time based aggregation (hide)'!$BB13</f>
        <v>0</v>
      </c>
      <c r="GP51" s="7">
        <f>'File 13'!$S$54*'Time based aggregation (hide)'!$BC13</f>
        <v>0</v>
      </c>
      <c r="GQ51" s="7">
        <f>'File 14'!$Q$54*'Time based aggregation (hide)'!$BD13</f>
        <v>0</v>
      </c>
      <c r="GR51" s="7">
        <f>'File 14'!$R$54*'Time based aggregation (hide)'!$BE13</f>
        <v>0</v>
      </c>
      <c r="GS51" s="7">
        <f>'File 14'!$S$54*'Time based aggregation (hide)'!$BF13</f>
        <v>0</v>
      </c>
      <c r="GT51" s="7">
        <f>'File 15'!$Q$54*'Time based aggregation (hide)'!$BG13</f>
        <v>0</v>
      </c>
      <c r="GU51" s="7">
        <f>'File 15'!$R$54*'Time based aggregation (hide)'!$BH13</f>
        <v>0</v>
      </c>
      <c r="GV51" s="7">
        <f>'File 15'!$S$54*'Time based aggregation (hide)'!$BI13</f>
        <v>0</v>
      </c>
      <c r="GW51" s="7">
        <f>'File 16'!$Q$54*'Time based aggregation (hide)'!$BJ13</f>
        <v>0</v>
      </c>
      <c r="GX51" s="7">
        <f>'File 16'!$R$54*'Time based aggregation (hide)'!$BK13</f>
        <v>0</v>
      </c>
      <c r="GY51" s="7">
        <f>'File 16'!$S$54*'Time based aggregation (hide)'!$BL13</f>
        <v>0</v>
      </c>
      <c r="GZ51" s="7">
        <f>'File 17'!$Q$54*'Time based aggregation (hide)'!$BM13</f>
        <v>0</v>
      </c>
      <c r="HA51" s="7">
        <f>'File 17'!$R$54*'Time based aggregation (hide)'!$BN13</f>
        <v>0</v>
      </c>
      <c r="HB51" s="7">
        <f>'File 17'!$S$54*'Time based aggregation (hide)'!$BO13</f>
        <v>0</v>
      </c>
      <c r="HC51" s="7">
        <f>'File 18'!$Q$54*'Time based aggregation (hide)'!$BP13</f>
        <v>0</v>
      </c>
      <c r="HD51" s="7">
        <f>'File 18'!$R$54*'Time based aggregation (hide)'!$BQ13</f>
        <v>0</v>
      </c>
      <c r="HE51" s="7">
        <f>'File 18'!$S$54*'Time based aggregation (hide)'!$BR13</f>
        <v>0</v>
      </c>
      <c r="HF51" s="7">
        <f>'File 19'!$Q$54*'Time based aggregation (hide)'!$BS13</f>
        <v>0</v>
      </c>
      <c r="HG51" s="7">
        <f>'File 19'!$R$54*'Time based aggregation (hide)'!$BT13</f>
        <v>0</v>
      </c>
      <c r="HH51" s="7">
        <f>'File 19'!$S$54*'Time based aggregation (hide)'!$BU13</f>
        <v>0</v>
      </c>
      <c r="HI51" s="7">
        <f>'File 20'!$Q$54*'Time based aggregation (hide)'!$BV13</f>
        <v>0</v>
      </c>
      <c r="HJ51" s="7">
        <f>'File 20'!$R$54*'Time based aggregation (hide)'!$BW13</f>
        <v>0</v>
      </c>
      <c r="HK51" s="7">
        <f>'File 20'!$S$54*'Time based aggregation (hide)'!$BX13</f>
        <v>0</v>
      </c>
      <c r="HL51" s="7">
        <f t="shared" ca="1" si="31"/>
        <v>0</v>
      </c>
      <c r="HM51" s="7">
        <f t="shared" ca="1" si="31"/>
        <v>0</v>
      </c>
      <c r="HN51" s="7">
        <f t="shared" ca="1" si="31"/>
        <v>0</v>
      </c>
      <c r="HO51" s="7">
        <f t="shared" ca="1" si="31"/>
        <v>0</v>
      </c>
      <c r="HP51" s="7">
        <f t="shared" ca="1" si="31"/>
        <v>0</v>
      </c>
      <c r="HR51" s="142">
        <f ca="1">INDEX('File 1'!Weekly_Adjusted,9,16)</f>
        <v>21.427839876658773</v>
      </c>
      <c r="HS51" s="142">
        <f>INDEX('File 1'!Weekly_Adjusted,9,17)</f>
        <v>0</v>
      </c>
      <c r="HT51" s="142">
        <f>INDEX('File 1'!Weekly_Adjusted,9,18)</f>
        <v>0</v>
      </c>
      <c r="HU51" s="143">
        <f>INDEX('File 2'!Weekly_Adjusted,9,16)</f>
        <v>0</v>
      </c>
      <c r="HV51" s="143">
        <f>INDEX('File 2'!Weekly_Adjusted,9,17)</f>
        <v>0</v>
      </c>
      <c r="HW51" s="143">
        <f>INDEX('File 2'!Weekly_Adjusted,9,18)</f>
        <v>0</v>
      </c>
      <c r="HX51" s="142">
        <f>INDEX('File 3'!Weekly_Adjusted,9,16)</f>
        <v>0</v>
      </c>
      <c r="HY51" s="142">
        <f>INDEX('File 3'!Weekly_Adjusted,9,17)</f>
        <v>0</v>
      </c>
      <c r="HZ51" s="142">
        <f>INDEX('File 3'!Weekly_Adjusted,9,18)</f>
        <v>0</v>
      </c>
      <c r="IA51" s="143">
        <f>INDEX('File 4'!Weekly_Adjusted,9,16)</f>
        <v>0</v>
      </c>
      <c r="IB51" s="143">
        <f>INDEX('File 4'!Weekly_Adjusted,9,17)</f>
        <v>0</v>
      </c>
      <c r="IC51" s="143">
        <f>INDEX('File 4'!Weekly_Adjusted,9,18)</f>
        <v>0</v>
      </c>
      <c r="ID51" s="142">
        <f>INDEX('File 5'!Weekly_Adjusted,9,16)</f>
        <v>0</v>
      </c>
      <c r="IE51" s="142">
        <f>INDEX('File 5'!Weekly_Adjusted,9,17)</f>
        <v>0</v>
      </c>
      <c r="IF51" s="142">
        <f>INDEX('File 5'!Weekly_Adjusted,9,18)</f>
        <v>0</v>
      </c>
      <c r="IG51" s="143">
        <f>INDEX('File 6'!Weekly_Adjusted,9,16)</f>
        <v>0</v>
      </c>
      <c r="IH51" s="143">
        <f>INDEX('File 6'!Weekly_Adjusted,9,17)</f>
        <v>0</v>
      </c>
      <c r="II51" s="143">
        <f>INDEX('File 6'!Weekly_Adjusted,9,18)</f>
        <v>0</v>
      </c>
      <c r="IJ51" s="142">
        <f>INDEX('File 7'!Weekly_Adjusted,9,16)</f>
        <v>0</v>
      </c>
      <c r="IK51" s="142">
        <f>INDEX('File 7'!Weekly_Adjusted,9,17)</f>
        <v>0</v>
      </c>
      <c r="IL51" s="142">
        <f>INDEX('File 7'!Weekly_Adjusted,9,18)</f>
        <v>0</v>
      </c>
      <c r="IM51" s="143">
        <f>INDEX('File 8'!Weekly_Adjusted,9,16)</f>
        <v>0</v>
      </c>
      <c r="IN51" s="143">
        <f>INDEX('File 8'!Weekly_Adjusted,9,17)</f>
        <v>0</v>
      </c>
      <c r="IO51" s="143">
        <f>INDEX('File 8'!Weekly_Adjusted,9,18)</f>
        <v>0</v>
      </c>
      <c r="IP51" s="142">
        <f>INDEX('File 9'!Weekly_Adjusted,9,16)</f>
        <v>0</v>
      </c>
      <c r="IQ51" s="142">
        <f>INDEX('File 9'!Weekly_Adjusted,9,17)</f>
        <v>0</v>
      </c>
      <c r="IR51" s="142">
        <f>INDEX('File 9'!Weekly_Adjusted,9,18)</f>
        <v>0</v>
      </c>
      <c r="IS51" s="143">
        <f>INDEX('File 10'!Weekly_Adjusted,9,16)</f>
        <v>0</v>
      </c>
      <c r="IT51" s="143">
        <f>INDEX('File 10'!Weekly_Adjusted,9,17)</f>
        <v>0</v>
      </c>
      <c r="IU51" s="143">
        <f>INDEX('File 10'!Weekly_Adjusted,9,18)</f>
        <v>0</v>
      </c>
      <c r="IV51" s="142">
        <f>INDEX('File 11'!Weekly_Adjusted,9,16)</f>
        <v>0</v>
      </c>
      <c r="IW51" s="142">
        <f>INDEX('File 11'!Weekly_Adjusted,9,17)</f>
        <v>0</v>
      </c>
      <c r="IX51" s="142">
        <f>INDEX('File 11'!Weekly_Adjusted,9,18)</f>
        <v>0</v>
      </c>
      <c r="IY51" s="143">
        <f>INDEX('File 12'!Weekly_Adjusted,9,16)</f>
        <v>0</v>
      </c>
      <c r="IZ51" s="143">
        <f>INDEX('File 12'!Weekly_Adjusted,9,17)</f>
        <v>0</v>
      </c>
      <c r="JA51" s="143">
        <f>INDEX('File 12'!Weekly_Adjusted,9,18)</f>
        <v>0</v>
      </c>
      <c r="JB51" s="142">
        <f>INDEX('File 13'!Weekly_Adjusted,9,16)</f>
        <v>0</v>
      </c>
      <c r="JC51" s="142">
        <f>INDEX('File 13'!Weekly_Adjusted,9,17)</f>
        <v>0</v>
      </c>
      <c r="JD51" s="142">
        <f>INDEX('File 13'!Weekly_Adjusted,9,18)</f>
        <v>0</v>
      </c>
      <c r="JE51" s="143">
        <f>INDEX('File 14'!Weekly_Adjusted,9,16)</f>
        <v>0</v>
      </c>
      <c r="JF51" s="143">
        <f>INDEX('File 14'!Weekly_Adjusted,9,17)</f>
        <v>0</v>
      </c>
      <c r="JG51" s="143">
        <f>INDEX('File 14'!Weekly_Adjusted,9,18)</f>
        <v>0</v>
      </c>
      <c r="JH51" s="142">
        <f>INDEX('File 15'!Weekly_Adjusted,9,16)</f>
        <v>0</v>
      </c>
      <c r="JI51" s="142">
        <f>INDEX('File 15'!Weekly_Adjusted,9,17)</f>
        <v>0</v>
      </c>
      <c r="JJ51" s="142">
        <f>INDEX('File 15'!Weekly_Adjusted,9,18)</f>
        <v>0</v>
      </c>
      <c r="JK51" s="143">
        <f>INDEX('File 16'!Weekly_Adjusted,9,16)</f>
        <v>0</v>
      </c>
      <c r="JL51" s="143">
        <f>INDEX('File 16'!Weekly_Adjusted,9,17)</f>
        <v>0</v>
      </c>
      <c r="JM51" s="143">
        <f>INDEX('File 16'!Weekly_Adjusted,9,18)</f>
        <v>0</v>
      </c>
      <c r="JN51" s="142">
        <f>INDEX('File 17'!Weekly_Adjusted,9,16)</f>
        <v>0</v>
      </c>
      <c r="JO51" s="142">
        <f>INDEX('File 17'!Weekly_Adjusted,9,17)</f>
        <v>0</v>
      </c>
      <c r="JP51" s="142">
        <f>INDEX('File 17'!Weekly_Adjusted,9,18)</f>
        <v>0</v>
      </c>
      <c r="JQ51" s="143">
        <f>INDEX('File 18'!Weekly_Adjusted,9,16)</f>
        <v>0</v>
      </c>
      <c r="JR51" s="143">
        <f>INDEX('File 18'!Weekly_Adjusted,9,17)</f>
        <v>0</v>
      </c>
      <c r="JS51" s="143">
        <f>INDEX('File 18'!Weekly_Adjusted,9,18)</f>
        <v>0</v>
      </c>
      <c r="JT51" s="142">
        <f>INDEX('File 19'!Weekly_Adjusted,9,16)</f>
        <v>0</v>
      </c>
      <c r="JU51" s="142">
        <f>INDEX('File 19'!Weekly_Adjusted,9,17)</f>
        <v>0</v>
      </c>
      <c r="JV51" s="142">
        <f>INDEX('File 19'!Weekly_Adjusted,9,18)</f>
        <v>0</v>
      </c>
      <c r="JW51" s="143">
        <f>INDEX('File 20'!Weekly_Adjusted,9,16)</f>
        <v>0</v>
      </c>
      <c r="JX51" s="143">
        <f>INDEX('File 20'!Weekly_Adjusted,9,17)</f>
        <v>0</v>
      </c>
      <c r="JY51" s="143">
        <f>INDEX('File 20'!Weekly_Adjusted,9,18)</f>
        <v>0</v>
      </c>
      <c r="JZ51" s="6">
        <f ca="1">SUMIFS(INDEX(CapacityCore_Activity_Weekly,ROW(EC9),0),Demand_Activity_Weekly_Header,HL$42)</f>
        <v>21.427839876658773</v>
      </c>
      <c r="KA51" s="6">
        <f ca="1">SUMIFS(INDEX(CapacityCore_Activity_Weekly,ROW(ED9),0),Demand_Activity_Weekly_Header,HM$42)</f>
        <v>0</v>
      </c>
      <c r="KB51" s="6">
        <f ca="1">SUMIFS(INDEX(CapacityCore_Activity_Weekly,ROW(EE9),0),Demand_Activity_Weekly_Header,HN$42)</f>
        <v>0</v>
      </c>
      <c r="KC51" s="6">
        <f ca="1">SUMIFS(INDEX(CapacityCore_Activity_Weekly,ROW(EF9),0),Demand_Activity_Weekly_Header,HO$42)</f>
        <v>0</v>
      </c>
      <c r="KD51" s="6">
        <f ca="1">SUMIFS(INDEX(CapacityCore_Activity_Weekly,ROW(EG9),0),Demand_Activity_Weekly_Header,HP$42)</f>
        <v>0</v>
      </c>
      <c r="KF51" s="6">
        <f>SUMIFS('Time based aggregation (hide)'!$J:$J,'Time based aggregation (hide)'!$E:$E,1,'Time based aggregation (hide)'!$F:$F,1,'Time based aggregation (hide)'!$A:$A,ROW(A9))</f>
        <v>0</v>
      </c>
      <c r="KG51" s="6">
        <f>SUMIFS('Time based aggregation (hide)'!$J:$J,'Time based aggregation (hide)'!$E:$E,1,'Time based aggregation (hide)'!$F:$F,2,'Time based aggregation (hide)'!$A:$A,ROW(A9))</f>
        <v>0</v>
      </c>
      <c r="KH51" s="6">
        <f>SUMIFS('Time based aggregation (hide)'!$J:$J,'Time based aggregation (hide)'!$E:$E,1,'Time based aggregation (hide)'!$F:$F,3,'Time based aggregation (hide)'!$A:$A,ROW(A9))</f>
        <v>0</v>
      </c>
      <c r="KI51" s="6">
        <f>SUMIFS('Time based aggregation (hide)'!$J:$J,'Time based aggregation (hide)'!$E:$E,2,'Time based aggregation (hide)'!$F:$F,1,'Time based aggregation (hide)'!$A:$A,ROW(A9))</f>
        <v>0</v>
      </c>
      <c r="KJ51" s="6">
        <f>SUMIFS('Time based aggregation (hide)'!$J:$J,'Time based aggregation (hide)'!$E:$E,2,'Time based aggregation (hide)'!$F:$F,2,'Time based aggregation (hide)'!$A:$A,ROW(A9))</f>
        <v>0</v>
      </c>
      <c r="KK51" s="6">
        <f>SUMIFS('Time based aggregation (hide)'!$J:$J,'Time based aggregation (hide)'!$E:$E,2,'Time based aggregation (hide)'!$F:$F,3,'Time based aggregation (hide)'!$A:$A,ROW(A9))</f>
        <v>0</v>
      </c>
      <c r="KL51" s="6">
        <f>SUMIFS('Time based aggregation (hide)'!$J:$J,'Time based aggregation (hide)'!$E:$E,3,'Time based aggregation (hide)'!$F:$F,1,'Time based aggregation (hide)'!$A:$A,ROW(A9))</f>
        <v>0</v>
      </c>
      <c r="KM51" s="6">
        <f>SUMIFS('Time based aggregation (hide)'!$J:$J,'Time based aggregation (hide)'!$E:$E,3,'Time based aggregation (hide)'!$F:$F,2,'Time based aggregation (hide)'!$A:$A,ROW(A9))</f>
        <v>0</v>
      </c>
      <c r="KN51" s="6">
        <f>SUMIFS('Time based aggregation (hide)'!$J:$J,'Time based aggregation (hide)'!$E:$E,3,'Time based aggregation (hide)'!$F:$F,3,'Time based aggregation (hide)'!$A:$A,ROW(A9))</f>
        <v>0</v>
      </c>
      <c r="KO51" s="6">
        <f>SUMIFS('Time based aggregation (hide)'!$J:$J,'Time based aggregation (hide)'!$E:$E,4,'Time based aggregation (hide)'!$F:$F,1,'Time based aggregation (hide)'!$A:$A,ROW(A9))</f>
        <v>0</v>
      </c>
      <c r="KP51" s="6">
        <f>SUMIFS('Time based aggregation (hide)'!$J:$J,'Time based aggregation (hide)'!$E:$E,4,'Time based aggregation (hide)'!$F:$F,2,'Time based aggregation (hide)'!$A:$A,ROW(A9))</f>
        <v>0</v>
      </c>
      <c r="KQ51" s="6">
        <f>SUMIFS('Time based aggregation (hide)'!$J:$J,'Time based aggregation (hide)'!$E:$E,4,'Time based aggregation (hide)'!$F:$F,3,'Time based aggregation (hide)'!$A:$A,ROW(A9))</f>
        <v>0</v>
      </c>
      <c r="KR51" s="6">
        <f>SUMIFS('Time based aggregation (hide)'!$J:$J,'Time based aggregation (hide)'!$E:$E,5,'Time based aggregation (hide)'!$F:$F,1,'Time based aggregation (hide)'!$A:$A,ROW(A9))</f>
        <v>0</v>
      </c>
      <c r="KS51" s="6">
        <f>SUMIFS('Time based aggregation (hide)'!$J:$J,'Time based aggregation (hide)'!$E:$E,5,'Time based aggregation (hide)'!$F:$F,2,'Time based aggregation (hide)'!$A:$A,ROW(A9))</f>
        <v>0</v>
      </c>
      <c r="KT51" s="6">
        <f>SUMIFS('Time based aggregation (hide)'!$J:$J,'Time based aggregation (hide)'!$E:$E,5,'Time based aggregation (hide)'!$F:$F,3,'Time based aggregation (hide)'!$A:$A,ROW(A9))</f>
        <v>0</v>
      </c>
      <c r="KU51" s="6">
        <f>SUMIFS('Time based aggregation (hide)'!$J:$J,'Time based aggregation (hide)'!$E:$E,6,'Time based aggregation (hide)'!$F:$F,1,'Time based aggregation (hide)'!$A:$A,ROW(A9))</f>
        <v>0</v>
      </c>
      <c r="KV51" s="6">
        <f>SUMIFS('Time based aggregation (hide)'!$J:$J,'Time based aggregation (hide)'!$E:$E,6,'Time based aggregation (hide)'!$F:$F,2,'Time based aggregation (hide)'!$A:$A,ROW(A9))</f>
        <v>0</v>
      </c>
      <c r="KW51" s="6">
        <f>SUMIFS('Time based aggregation (hide)'!$J:$J,'Time based aggregation (hide)'!$E:$E,6,'Time based aggregation (hide)'!$F:$F,3,'Time based aggregation (hide)'!$A:$A,ROW(A9))</f>
        <v>0</v>
      </c>
      <c r="KX51" s="6">
        <f>SUMIFS('Time based aggregation (hide)'!$J:$J,'Time based aggregation (hide)'!$E:$E,7,'Time based aggregation (hide)'!$F:$F,1,'Time based aggregation (hide)'!$A:$A,ROW(A9))</f>
        <v>0</v>
      </c>
      <c r="KY51" s="6">
        <f>SUMIFS('Time based aggregation (hide)'!$J:$J,'Time based aggregation (hide)'!$E:$E,7,'Time based aggregation (hide)'!$F:$F,2,'Time based aggregation (hide)'!$A:$A,ROW(A9))</f>
        <v>0</v>
      </c>
      <c r="KZ51" s="6">
        <f>SUMIFS('Time based aggregation (hide)'!$J:$J,'Time based aggregation (hide)'!$E:$E,7,'Time based aggregation (hide)'!$F:$F,3,'Time based aggregation (hide)'!$A:$A,ROW(A9))</f>
        <v>0</v>
      </c>
      <c r="LA51" s="6">
        <f>SUMIFS('Time based aggregation (hide)'!$J:$J,'Time based aggregation (hide)'!$E:$E,8,'Time based aggregation (hide)'!$F:$F,1,'Time based aggregation (hide)'!$A:$A,ROW(A9))</f>
        <v>0</v>
      </c>
      <c r="LB51" s="6">
        <f>SUMIFS('Time based aggregation (hide)'!$J:$J,'Time based aggregation (hide)'!$E:$E,8,'Time based aggregation (hide)'!$F:$F,2,'Time based aggregation (hide)'!$A:$A,ROW(A9))</f>
        <v>0</v>
      </c>
      <c r="LC51" s="6">
        <f>SUMIFS('Time based aggregation (hide)'!$J:$J,'Time based aggregation (hide)'!$E:$E,8,'Time based aggregation (hide)'!$F:$F,3,'Time based aggregation (hide)'!$A:$A,ROW(A9))</f>
        <v>0</v>
      </c>
      <c r="LD51" s="6">
        <f>SUMIFS('Time based aggregation (hide)'!$J:$J,'Time based aggregation (hide)'!$E:$E,9,'Time based aggregation (hide)'!$F:$F,1,'Time based aggregation (hide)'!$A:$A,ROW(A9))</f>
        <v>0</v>
      </c>
      <c r="LE51" s="6">
        <f>SUMIFS('Time based aggregation (hide)'!$J:$J,'Time based aggregation (hide)'!$E:$E,9,'Time based aggregation (hide)'!$F:$F,2,'Time based aggregation (hide)'!$A:$A,ROW(A9))</f>
        <v>0</v>
      </c>
      <c r="LF51" s="6">
        <f>SUMIFS('Time based aggregation (hide)'!$J:$J,'Time based aggregation (hide)'!$E:$E,9,'Time based aggregation (hide)'!$F:$F,3,'Time based aggregation (hide)'!$A:$A,ROW(A9))</f>
        <v>0</v>
      </c>
      <c r="LG51" s="6">
        <f>SUMIFS('Time based aggregation (hide)'!$J:$J,'Time based aggregation (hide)'!$E:$E,10,'Time based aggregation (hide)'!$F:$F,1,'Time based aggregation (hide)'!$A:$A,ROW(A9))</f>
        <v>0</v>
      </c>
      <c r="LH51" s="6">
        <f>SUMIFS('Time based aggregation (hide)'!$J:$J,'Time based aggregation (hide)'!$E:$E,10,'Time based aggregation (hide)'!$F:$F,2,'Time based aggregation (hide)'!$A:$A,ROW(A9))</f>
        <v>0</v>
      </c>
      <c r="LI51" s="6">
        <f>SUMIFS('Time based aggregation (hide)'!$J:$J,'Time based aggregation (hide)'!$E:$E,10,'Time based aggregation (hide)'!$F:$F,3,'Time based aggregation (hide)'!$A:$A,ROW(A9))</f>
        <v>0</v>
      </c>
      <c r="LJ51" s="6">
        <f>SUMIFS('Time based aggregation (hide)'!$J:$J,'Time based aggregation (hide)'!$E:$E,11,'Time based aggregation (hide)'!$F:$F,1,'Time based aggregation (hide)'!$A:$A,ROW(A9))</f>
        <v>0</v>
      </c>
      <c r="LK51" s="6">
        <f>SUMIFS('Time based aggregation (hide)'!$J:$J,'Time based aggregation (hide)'!$E:$E,11,'Time based aggregation (hide)'!$F:$F,2,'Time based aggregation (hide)'!$A:$A,ROW(A9))</f>
        <v>0</v>
      </c>
      <c r="LL51" s="6">
        <f>SUMIFS('Time based aggregation (hide)'!$J:$J,'Time based aggregation (hide)'!$E:$E,11,'Time based aggregation (hide)'!$F:$F,3,'Time based aggregation (hide)'!$A:$A,ROW(A9))</f>
        <v>0</v>
      </c>
      <c r="LM51" s="6">
        <f>SUMIFS('Time based aggregation (hide)'!$J:$J,'Time based aggregation (hide)'!$E:$E,12,'Time based aggregation (hide)'!$F:$F,1,'Time based aggregation (hide)'!$A:$A,ROW(A9))</f>
        <v>0</v>
      </c>
      <c r="LN51" s="6">
        <f>SUMIFS('Time based aggregation (hide)'!$J:$J,'Time based aggregation (hide)'!$E:$E,12,'Time based aggregation (hide)'!$F:$F,2,'Time based aggregation (hide)'!$A:$A,ROW(A9))</f>
        <v>0</v>
      </c>
      <c r="LO51" s="6">
        <f>SUMIFS('Time based aggregation (hide)'!$J:$J,'Time based aggregation (hide)'!$E:$E,12,'Time based aggregation (hide)'!$F:$F,3,'Time based aggregation (hide)'!$A:$A,ROW(A9))</f>
        <v>0</v>
      </c>
      <c r="LP51" s="6">
        <f>SUMIFS('Time based aggregation (hide)'!$J:$J,'Time based aggregation (hide)'!$E:$E,13,'Time based aggregation (hide)'!$F:$F,1,'Time based aggregation (hide)'!$A:$A,ROW(A9))</f>
        <v>0</v>
      </c>
      <c r="LQ51" s="6">
        <f>SUMIFS('Time based aggregation (hide)'!$J:$J,'Time based aggregation (hide)'!$E:$E,13,'Time based aggregation (hide)'!$F:$F,2,'Time based aggregation (hide)'!$A:$A,ROW(A9))</f>
        <v>0</v>
      </c>
      <c r="LR51" s="6">
        <f>SUMIFS('Time based aggregation (hide)'!$J:$J,'Time based aggregation (hide)'!$E:$E,13,'Time based aggregation (hide)'!$F:$F,3,'Time based aggregation (hide)'!$A:$A,ROW(A9))</f>
        <v>0</v>
      </c>
      <c r="LS51" s="6">
        <f>SUMIFS('Time based aggregation (hide)'!$J:$J,'Time based aggregation (hide)'!$E:$E,14,'Time based aggregation (hide)'!$F:$F,1,'Time based aggregation (hide)'!$A:$A,ROW(A9))</f>
        <v>0</v>
      </c>
      <c r="LT51" s="6">
        <f>SUMIFS('Time based aggregation (hide)'!$J:$J,'Time based aggregation (hide)'!$E:$E,14,'Time based aggregation (hide)'!$F:$F,2,'Time based aggregation (hide)'!$A:$A,ROW(A9))</f>
        <v>0</v>
      </c>
      <c r="LU51" s="6">
        <f>SUMIFS('Time based aggregation (hide)'!$J:$J,'Time based aggregation (hide)'!$E:$E,14,'Time based aggregation (hide)'!$F:$F,3,'Time based aggregation (hide)'!$A:$A,ROW(A9))</f>
        <v>0</v>
      </c>
      <c r="LV51" s="6">
        <f>SUMIFS('Time based aggregation (hide)'!$J:$J,'Time based aggregation (hide)'!$E:$E,15,'Time based aggregation (hide)'!$F:$F,1,'Time based aggregation (hide)'!$A:$A,ROW(A9))</f>
        <v>0</v>
      </c>
      <c r="LW51" s="6">
        <f>SUMIFS('Time based aggregation (hide)'!$J:$J,'Time based aggregation (hide)'!$E:$E,15,'Time based aggregation (hide)'!$F:$F,2,'Time based aggregation (hide)'!$A:$A,ROW(A9))</f>
        <v>0</v>
      </c>
      <c r="LX51" s="6">
        <f>SUMIFS('Time based aggregation (hide)'!$J:$J,'Time based aggregation (hide)'!$E:$E,15,'Time based aggregation (hide)'!$F:$F,3,'Time based aggregation (hide)'!$A:$A,ROW(A9))</f>
        <v>0</v>
      </c>
      <c r="LY51" s="6">
        <f>SUMIFS('Time based aggregation (hide)'!$J:$J,'Time based aggregation (hide)'!$E:$E,16,'Time based aggregation (hide)'!$F:$F,1,'Time based aggregation (hide)'!$A:$A,ROW(A9))</f>
        <v>0</v>
      </c>
      <c r="LZ51" s="6">
        <f>SUMIFS('Time based aggregation (hide)'!$J:$J,'Time based aggregation (hide)'!$E:$E,16,'Time based aggregation (hide)'!$F:$F,2,'Time based aggregation (hide)'!$A:$A,ROW(A9))</f>
        <v>0</v>
      </c>
      <c r="MA51" s="6">
        <f>SUMIFS('Time based aggregation (hide)'!$J:$J,'Time based aggregation (hide)'!$E:$E,16,'Time based aggregation (hide)'!$F:$F,3,'Time based aggregation (hide)'!$A:$A,ROW(A9))</f>
        <v>0</v>
      </c>
      <c r="MB51" s="6">
        <f>SUMIFS('Time based aggregation (hide)'!$J:$J,'Time based aggregation (hide)'!$E:$E,17,'Time based aggregation (hide)'!$F:$F,1,'Time based aggregation (hide)'!$A:$A,ROW(A9))</f>
        <v>0</v>
      </c>
      <c r="MC51" s="6">
        <f>SUMIFS('Time based aggregation (hide)'!$J:$J,'Time based aggregation (hide)'!$E:$E,17,'Time based aggregation (hide)'!$F:$F,2,'Time based aggregation (hide)'!$A:$A,ROW(A9))</f>
        <v>0</v>
      </c>
      <c r="MD51" s="6">
        <f>SUMIFS('Time based aggregation (hide)'!$J:$J,'Time based aggregation (hide)'!$E:$E,17,'Time based aggregation (hide)'!$F:$F,3,'Time based aggregation (hide)'!$A:$A,ROW(A9))</f>
        <v>0</v>
      </c>
      <c r="ME51" s="6">
        <f>SUMIFS('Time based aggregation (hide)'!$J:$J,'Time based aggregation (hide)'!$E:$E,18,'Time based aggregation (hide)'!$F:$F,1,'Time based aggregation (hide)'!$A:$A,ROW(A9))</f>
        <v>0</v>
      </c>
      <c r="MF51" s="6">
        <f>SUMIFS('Time based aggregation (hide)'!$J:$J,'Time based aggregation (hide)'!$E:$E,18,'Time based aggregation (hide)'!$F:$F,2,'Time based aggregation (hide)'!$A:$A,ROW(A9))</f>
        <v>0</v>
      </c>
      <c r="MG51" s="6">
        <f>SUMIFS('Time based aggregation (hide)'!$J:$J,'Time based aggregation (hide)'!$E:$E,18,'Time based aggregation (hide)'!$F:$F,3,'Time based aggregation (hide)'!$A:$A,ROW(A9))</f>
        <v>0</v>
      </c>
      <c r="MH51" s="6">
        <f>SUMIFS('Time based aggregation (hide)'!$J:$J,'Time based aggregation (hide)'!$E:$E,19,'Time based aggregation (hide)'!$F:$F,1,'Time based aggregation (hide)'!$A:$A,ROW(A9))</f>
        <v>0</v>
      </c>
      <c r="MI51" s="6">
        <f>SUMIFS('Time based aggregation (hide)'!$J:$J,'Time based aggregation (hide)'!$E:$E,19,'Time based aggregation (hide)'!$F:$F,2,'Time based aggregation (hide)'!$A:$A,ROW(A9))</f>
        <v>0</v>
      </c>
      <c r="MJ51" s="6">
        <f>SUMIFS('Time based aggregation (hide)'!$J:$J,'Time based aggregation (hide)'!$E:$E,19,'Time based aggregation (hide)'!$F:$F,3,'Time based aggregation (hide)'!$A:$A,ROW(A9))</f>
        <v>0</v>
      </c>
      <c r="MK51" s="6">
        <f>SUMIFS('Time based aggregation (hide)'!$J:$J,'Time based aggregation (hide)'!$E:$E,20,'Time based aggregation (hide)'!$F:$F,1,'Time based aggregation (hide)'!$A:$A,ROW(A9))</f>
        <v>0</v>
      </c>
      <c r="ML51" s="6">
        <f>SUMIFS('Time based aggregation (hide)'!$J:$J,'Time based aggregation (hide)'!$E:$E,20,'Time based aggregation (hide)'!$F:$F,2,'Time based aggregation (hide)'!$A:$A,ROW(A9))</f>
        <v>0</v>
      </c>
      <c r="MM51" s="6">
        <f>SUMIFS('Time based aggregation (hide)'!$J:$J,'Time based aggregation (hide)'!$E:$E,20,'Time based aggregation (hide)'!$F:$F,3,'Time based aggregation (hide)'!$A:$A,ROW(A9))</f>
        <v>0</v>
      </c>
      <c r="MN51" s="7">
        <f t="shared" ca="1" si="36"/>
        <v>0</v>
      </c>
      <c r="MO51" s="7">
        <f t="shared" ca="1" si="32"/>
        <v>0</v>
      </c>
      <c r="MP51" s="7">
        <f t="shared" ca="1" si="32"/>
        <v>0</v>
      </c>
      <c r="MQ51" s="7">
        <f t="shared" ca="1" si="32"/>
        <v>0</v>
      </c>
      <c r="MR51" s="7">
        <f t="shared" ca="1" si="32"/>
        <v>0</v>
      </c>
    </row>
    <row r="52" spans="1:356" x14ac:dyDescent="0.25">
      <c r="A52">
        <f>1</f>
        <v>1</v>
      </c>
      <c r="B52" s="85">
        <f t="shared" si="37"/>
        <v>43840</v>
      </c>
      <c r="C52" s="85">
        <f t="shared" si="25"/>
        <v>43836</v>
      </c>
      <c r="D52">
        <f t="shared" ca="1" si="26"/>
        <v>1</v>
      </c>
      <c r="E52" s="85">
        <f t="shared" si="27"/>
        <v>43831</v>
      </c>
      <c r="F52">
        <f t="shared" si="33"/>
        <v>2</v>
      </c>
      <c r="H52">
        <f t="shared" si="34"/>
        <v>10</v>
      </c>
      <c r="I52" s="85">
        <f t="shared" si="38"/>
        <v>43892</v>
      </c>
      <c r="J52">
        <f t="shared" ca="1" si="28"/>
        <v>5</v>
      </c>
      <c r="K52">
        <f t="shared" ca="1" si="29"/>
        <v>1.968503937007874E-2</v>
      </c>
      <c r="L52" s="114"/>
      <c r="N52" s="85">
        <f t="shared" si="35"/>
        <v>43892</v>
      </c>
      <c r="O52" s="122">
        <f t="shared" ca="1" si="30"/>
        <v>0</v>
      </c>
      <c r="P52" s="122">
        <f t="shared" ca="1" si="30"/>
        <v>0</v>
      </c>
      <c r="Q52" s="122">
        <f t="shared" ca="1" si="30"/>
        <v>1</v>
      </c>
      <c r="R52" s="122">
        <f t="shared" ca="1" si="30"/>
        <v>0</v>
      </c>
      <c r="S52" s="122">
        <f t="shared" ca="1" si="30"/>
        <v>0</v>
      </c>
      <c r="T52" s="122">
        <f t="shared" ca="1" si="30"/>
        <v>0</v>
      </c>
      <c r="U52" s="122">
        <f t="shared" ca="1" si="30"/>
        <v>0</v>
      </c>
      <c r="V52" s="122">
        <f t="shared" ca="1" si="30"/>
        <v>0</v>
      </c>
      <c r="W52" s="122">
        <f t="shared" ca="1" si="30"/>
        <v>0</v>
      </c>
      <c r="X52" s="122">
        <f t="shared" ca="1" si="30"/>
        <v>0</v>
      </c>
      <c r="Y52" s="122">
        <f t="shared" ca="1" si="30"/>
        <v>0</v>
      </c>
      <c r="Z52" s="122">
        <f t="shared" ca="1" si="30"/>
        <v>0</v>
      </c>
      <c r="AA52" s="122"/>
      <c r="AB52" s="140">
        <f>INDEX('File 1'!Weekly_Adjusted,10,1)</f>
        <v>388.17143954725253</v>
      </c>
      <c r="AC52" s="140">
        <f>INDEX('File 1'!Weekly_Adjusted,10,2)</f>
        <v>0</v>
      </c>
      <c r="AD52" s="140">
        <f>INDEX('File 1'!Weekly_Adjusted,10,3)</f>
        <v>0</v>
      </c>
      <c r="AE52" s="141">
        <f>INDEX('File 2'!Weekly_Adjusted,10,1)</f>
        <v>0</v>
      </c>
      <c r="AF52" s="141">
        <f>INDEX('File 2'!Weekly_Adjusted,10,2)</f>
        <v>0</v>
      </c>
      <c r="AG52" s="141">
        <f>INDEX('File 2'!Weekly_Adjusted,10,3)</f>
        <v>0</v>
      </c>
      <c r="AH52" s="140">
        <f>INDEX('File 3'!Weekly_Adjusted,10,1)</f>
        <v>0</v>
      </c>
      <c r="AI52" s="140">
        <f>INDEX('File 3'!Weekly_Adjusted,10,2)</f>
        <v>0</v>
      </c>
      <c r="AJ52" s="140">
        <f>INDEX('File 3'!Weekly_Adjusted,10,3)</f>
        <v>0</v>
      </c>
      <c r="AK52" s="141">
        <f>INDEX('File 4'!Weekly_Adjusted,10,1)</f>
        <v>0</v>
      </c>
      <c r="AL52" s="141">
        <f>INDEX('File 4'!Weekly_Adjusted,10,2)</f>
        <v>0</v>
      </c>
      <c r="AM52" s="141">
        <f>INDEX('File 4'!Weekly_Adjusted,10,3)</f>
        <v>0</v>
      </c>
      <c r="AN52" s="140">
        <f>INDEX('File 5'!Weekly_Adjusted,10,1)</f>
        <v>0</v>
      </c>
      <c r="AO52" s="140">
        <f>INDEX('File 5'!Weekly_Adjusted,10,2)</f>
        <v>0</v>
      </c>
      <c r="AP52" s="140">
        <f>INDEX('File 5'!Weekly_Adjusted,10,3)</f>
        <v>0</v>
      </c>
      <c r="AQ52" s="141">
        <f>INDEX('File 6'!Weekly_Adjusted,10,1)</f>
        <v>0</v>
      </c>
      <c r="AR52" s="141">
        <f>INDEX('File 6'!Weekly_Adjusted,10,2)</f>
        <v>0</v>
      </c>
      <c r="AS52" s="141">
        <f>INDEX('File 6'!Weekly_Adjusted,10,3)</f>
        <v>0</v>
      </c>
      <c r="AT52" s="140">
        <f>INDEX('File 7'!Weekly_Adjusted,10,1)</f>
        <v>0</v>
      </c>
      <c r="AU52" s="140">
        <f>INDEX('File 7'!Weekly_Adjusted,10,2)</f>
        <v>0</v>
      </c>
      <c r="AV52" s="140">
        <f>INDEX('File 7'!Weekly_Adjusted,10,3)</f>
        <v>0</v>
      </c>
      <c r="AW52" s="141">
        <f>INDEX('File 8'!Weekly_Adjusted,10,1)</f>
        <v>0</v>
      </c>
      <c r="AX52" s="141">
        <f>INDEX('File 8'!Weekly_Adjusted,10,2)</f>
        <v>0</v>
      </c>
      <c r="AY52" s="141">
        <f>INDEX('File 8'!Weekly_Adjusted,10,3)</f>
        <v>0</v>
      </c>
      <c r="AZ52" s="140">
        <f>INDEX('File 9'!Weekly_Adjusted,10,1)</f>
        <v>0</v>
      </c>
      <c r="BA52" s="140">
        <f>INDEX('File 9'!Weekly_Adjusted,10,2)</f>
        <v>0</v>
      </c>
      <c r="BB52" s="140">
        <f>INDEX('File 9'!Weekly_Adjusted,10,3)</f>
        <v>0</v>
      </c>
      <c r="BC52" s="141">
        <f>INDEX('File 10'!Weekly_Adjusted,10,1)</f>
        <v>0</v>
      </c>
      <c r="BD52" s="141">
        <f>INDEX('File 10'!Weekly_Adjusted,10,2)</f>
        <v>0</v>
      </c>
      <c r="BE52" s="141">
        <f>INDEX('File 10'!Weekly_Adjusted,10,3)</f>
        <v>0</v>
      </c>
      <c r="BF52" s="140">
        <f>INDEX('File 11'!Weekly_Adjusted,10,1)</f>
        <v>0</v>
      </c>
      <c r="BG52" s="140">
        <f>INDEX('File 11'!Weekly_Adjusted,10,2)</f>
        <v>0</v>
      </c>
      <c r="BH52" s="140">
        <f>INDEX('File 11'!Weekly_Adjusted,10,3)</f>
        <v>0</v>
      </c>
      <c r="BI52" s="141">
        <f>INDEX('File 12'!Weekly_Adjusted,10,1)</f>
        <v>0</v>
      </c>
      <c r="BJ52" s="141">
        <f>INDEX('File 12'!Weekly_Adjusted,10,2)</f>
        <v>0</v>
      </c>
      <c r="BK52" s="141">
        <f>INDEX('File 12'!Weekly_Adjusted,10,3)</f>
        <v>0</v>
      </c>
      <c r="BL52" s="140">
        <f>INDEX('File 13'!Weekly_Adjusted,10,1)</f>
        <v>0</v>
      </c>
      <c r="BM52" s="140">
        <f>INDEX('File 13'!Weekly_Adjusted,10,2)</f>
        <v>0</v>
      </c>
      <c r="BN52" s="140">
        <f>INDEX('File 13'!Weekly_Adjusted,10,3)</f>
        <v>0</v>
      </c>
      <c r="BO52" s="141">
        <f>INDEX('File 14'!Weekly_Adjusted,10,1)</f>
        <v>0</v>
      </c>
      <c r="BP52" s="141">
        <f>INDEX('File 14'!Weekly_Adjusted,10,2)</f>
        <v>0</v>
      </c>
      <c r="BQ52" s="141">
        <f>INDEX('File 14'!Weekly_Adjusted,10,3)</f>
        <v>0</v>
      </c>
      <c r="BR52" s="140">
        <f>INDEX('File 15'!Weekly_Adjusted,10,1)</f>
        <v>0</v>
      </c>
      <c r="BS52" s="140">
        <f>INDEX('File 15'!Weekly_Adjusted,10,2)</f>
        <v>0</v>
      </c>
      <c r="BT52" s="140">
        <f>INDEX('File 15'!Weekly_Adjusted,10,3)</f>
        <v>0</v>
      </c>
      <c r="BU52" s="141">
        <f>INDEX('File 16'!Weekly_Adjusted,10,1)</f>
        <v>0</v>
      </c>
      <c r="BV52" s="141">
        <f>INDEX('File 16'!Weekly_Adjusted,10,2)</f>
        <v>0</v>
      </c>
      <c r="BW52" s="141">
        <f>INDEX('File 16'!Weekly_Adjusted,10,3)</f>
        <v>0</v>
      </c>
      <c r="BX52" s="140">
        <f>INDEX('File 17'!Weekly_Adjusted,10,1)</f>
        <v>0</v>
      </c>
      <c r="BY52" s="140">
        <f>INDEX('File 17'!Weekly_Adjusted,10,2)</f>
        <v>0</v>
      </c>
      <c r="BZ52" s="140">
        <f>INDEX('File 17'!Weekly_Adjusted,10,3)</f>
        <v>0</v>
      </c>
      <c r="CA52" s="141">
        <f>INDEX('File 18'!Weekly_Adjusted,10,1)</f>
        <v>0</v>
      </c>
      <c r="CB52" s="141">
        <f>INDEX('File 18'!Weekly_Adjusted,10,2)</f>
        <v>0</v>
      </c>
      <c r="CC52" s="141">
        <f>INDEX('File 18'!Weekly_Adjusted,10,3)</f>
        <v>0</v>
      </c>
      <c r="CD52" s="140">
        <f>INDEX('File 19'!Weekly_Adjusted,10,1)</f>
        <v>0</v>
      </c>
      <c r="CE52" s="140">
        <f>INDEX('File 19'!Weekly_Adjusted,10,2)</f>
        <v>0</v>
      </c>
      <c r="CF52" s="140">
        <f>INDEX('File 19'!Weekly_Adjusted,10,3)</f>
        <v>0</v>
      </c>
      <c r="CG52" s="141">
        <f>INDEX('File 20'!Weekly_Adjusted,10,1)</f>
        <v>0</v>
      </c>
      <c r="CH52" s="141">
        <f>INDEX('File 20'!Weekly_Adjusted,10,2)</f>
        <v>0</v>
      </c>
      <c r="CI52" s="141">
        <f>INDEX('File 20'!Weekly_Adjusted,10,3)</f>
        <v>0</v>
      </c>
      <c r="CJ52" s="6">
        <f ca="1">SUMIFS(INDEX(Demand_Activity_Weekly,ROW(A10),0),Demand_Activity_Weekly_Header,CJ$42)</f>
        <v>388.17143954725253</v>
      </c>
      <c r="CK52" s="6">
        <f ca="1">SUMIFS(INDEX(Demand_Activity_Weekly,ROW(B10),0),Demand_Activity_Weekly_Header,CK$42)</f>
        <v>0</v>
      </c>
      <c r="CL52" s="6">
        <f ca="1">SUMIFS(INDEX(Demand_Activity_Weekly,ROW(C10),0),Demand_Activity_Weekly_Header,CL$42)</f>
        <v>0</v>
      </c>
      <c r="CM52" s="6">
        <f ca="1">SUMIFS(INDEX(Demand_Activity_Weekly,ROW(D10),0),Demand_Activity_Weekly_Header,CM$42)</f>
        <v>0</v>
      </c>
      <c r="CN52" s="6">
        <f ca="1">SUMIFS(INDEX(Demand_Activity_Weekly,ROW(E10),0),Demand_Activity_Weekly_Header,CN$42)</f>
        <v>0</v>
      </c>
      <c r="CP52" s="142">
        <f ca="1">INDEX('File 1'!Weekly_Adjusted,10,10)</f>
        <v>24.919784152855019</v>
      </c>
      <c r="CQ52" s="142">
        <f>INDEX('File 1'!Weekly_Adjusted,10,11)</f>
        <v>0</v>
      </c>
      <c r="CR52" s="142">
        <f>INDEX('File 1'!Weekly_Adjusted,10,12)</f>
        <v>0</v>
      </c>
      <c r="CS52" s="143">
        <f>INDEX('File 2'!Weekly_Adjusted,10,10)</f>
        <v>0</v>
      </c>
      <c r="CT52" s="143">
        <f>INDEX('File 2'!Weekly_Adjusted,10,11)</f>
        <v>0</v>
      </c>
      <c r="CU52" s="143">
        <f>INDEX('File 2'!Weekly_Adjusted,10,12)</f>
        <v>0</v>
      </c>
      <c r="CV52" s="142">
        <f>INDEX('File 3'!Weekly_Adjusted,10,10)</f>
        <v>0</v>
      </c>
      <c r="CW52" s="142">
        <f>INDEX('File 3'!Weekly_Adjusted,10,11)</f>
        <v>0</v>
      </c>
      <c r="CX52" s="142">
        <f>INDEX('File 3'!Weekly_Adjusted,10,12)</f>
        <v>0</v>
      </c>
      <c r="CY52" s="143">
        <f>INDEX('File 4'!Weekly_Adjusted,10,10)</f>
        <v>0</v>
      </c>
      <c r="CZ52" s="143">
        <f>INDEX('File 4'!Weekly_Adjusted,10,11)</f>
        <v>0</v>
      </c>
      <c r="DA52" s="143">
        <f>INDEX('File 4'!Weekly_Adjusted,10,12)</f>
        <v>0</v>
      </c>
      <c r="DB52" s="142">
        <f>INDEX('File 5'!Weekly_Adjusted,10,10)</f>
        <v>0</v>
      </c>
      <c r="DC52" s="142">
        <f>INDEX('File 5'!Weekly_Adjusted,10,11)</f>
        <v>0</v>
      </c>
      <c r="DD52" s="142">
        <f>INDEX('File 5'!Weekly_Adjusted,10,12)</f>
        <v>0</v>
      </c>
      <c r="DE52" s="143">
        <f>INDEX('File 6'!Weekly_Adjusted,10,10)</f>
        <v>0</v>
      </c>
      <c r="DF52" s="143">
        <f>INDEX('File 6'!Weekly_Adjusted,10,11)</f>
        <v>0</v>
      </c>
      <c r="DG52" s="143">
        <f>INDEX('File 6'!Weekly_Adjusted,10,12)</f>
        <v>0</v>
      </c>
      <c r="DH52" s="142">
        <f>INDEX('File 7'!Weekly_Adjusted,10,10)</f>
        <v>0</v>
      </c>
      <c r="DI52" s="142">
        <f>INDEX('File 7'!Weekly_Adjusted,10,11)</f>
        <v>0</v>
      </c>
      <c r="DJ52" s="142">
        <f>INDEX('File 7'!Weekly_Adjusted,10,12)</f>
        <v>0</v>
      </c>
      <c r="DK52" s="143">
        <f>INDEX('File 8'!Weekly_Adjusted,10,10)</f>
        <v>0</v>
      </c>
      <c r="DL52" s="143">
        <f>INDEX('File 8'!Weekly_Adjusted,10,11)</f>
        <v>0</v>
      </c>
      <c r="DM52" s="143">
        <f>INDEX('File 8'!Weekly_Adjusted,10,12)</f>
        <v>0</v>
      </c>
      <c r="DN52" s="142">
        <f>INDEX('File 9'!Weekly_Adjusted,10,10)</f>
        <v>0</v>
      </c>
      <c r="DO52" s="142">
        <f>INDEX('File 9'!Weekly_Adjusted,10,11)</f>
        <v>0</v>
      </c>
      <c r="DP52" s="142">
        <f>INDEX('File 9'!Weekly_Adjusted,10,12)</f>
        <v>0</v>
      </c>
      <c r="DQ52" s="143">
        <f>INDEX('File 10'!Weekly_Adjusted,10,10)</f>
        <v>0</v>
      </c>
      <c r="DR52" s="143">
        <f>INDEX('File 10'!Weekly_Adjusted,10,11)</f>
        <v>0</v>
      </c>
      <c r="DS52" s="143">
        <f>INDEX('File 10'!Weekly_Adjusted,10,12)</f>
        <v>0</v>
      </c>
      <c r="DT52" s="142">
        <f>INDEX('File 11'!Weekly_Adjusted,10,10)</f>
        <v>0</v>
      </c>
      <c r="DU52" s="142">
        <f>INDEX('File 11'!Weekly_Adjusted,10,11)</f>
        <v>0</v>
      </c>
      <c r="DV52" s="142">
        <f>INDEX('File 11'!Weekly_Adjusted,10,12)</f>
        <v>0</v>
      </c>
      <c r="DW52" s="143">
        <f>INDEX('File 12'!Weekly_Adjusted,10,10)</f>
        <v>0</v>
      </c>
      <c r="DX52" s="143">
        <f>INDEX('File 12'!Weekly_Adjusted,10,11)</f>
        <v>0</v>
      </c>
      <c r="DY52" s="143">
        <f>INDEX('File 12'!Weekly_Adjusted,10,12)</f>
        <v>0</v>
      </c>
      <c r="DZ52" s="142">
        <f>INDEX('File 13'!Weekly_Adjusted,10,10)</f>
        <v>0</v>
      </c>
      <c r="EA52" s="142">
        <f>INDEX('File 13'!Weekly_Adjusted,10,11)</f>
        <v>0</v>
      </c>
      <c r="EB52" s="142">
        <f>INDEX('File 13'!Weekly_Adjusted,10,12)</f>
        <v>0</v>
      </c>
      <c r="EC52" s="143">
        <f>INDEX('File 14'!Weekly_Adjusted,10,10)</f>
        <v>0</v>
      </c>
      <c r="ED52" s="143">
        <f>INDEX('File 14'!Weekly_Adjusted,10,11)</f>
        <v>0</v>
      </c>
      <c r="EE52" s="143">
        <f>INDEX('File 14'!Weekly_Adjusted,10,12)</f>
        <v>0</v>
      </c>
      <c r="EF52" s="142">
        <f>INDEX('File 15'!Weekly_Adjusted,10,10)</f>
        <v>0</v>
      </c>
      <c r="EG52" s="142">
        <f>INDEX('File 15'!Weekly_Adjusted,10,11)</f>
        <v>0</v>
      </c>
      <c r="EH52" s="142">
        <f>INDEX('File 15'!Weekly_Adjusted,10,12)</f>
        <v>0</v>
      </c>
      <c r="EI52" s="143">
        <f>INDEX('File 16'!Weekly_Adjusted,10,10)</f>
        <v>0</v>
      </c>
      <c r="EJ52" s="143">
        <f>INDEX('File 16'!Weekly_Adjusted,10,11)</f>
        <v>0</v>
      </c>
      <c r="EK52" s="143">
        <f>INDEX('File 16'!Weekly_Adjusted,10,12)</f>
        <v>0</v>
      </c>
      <c r="EL52" s="142">
        <f>INDEX('File 17'!Weekly_Adjusted,10,10)</f>
        <v>0</v>
      </c>
      <c r="EM52" s="142">
        <f>INDEX('File 17'!Weekly_Adjusted,10,11)</f>
        <v>0</v>
      </c>
      <c r="EN52" s="142">
        <f>INDEX('File 17'!Weekly_Adjusted,10,12)</f>
        <v>0</v>
      </c>
      <c r="EO52" s="143">
        <f>INDEX('File 18'!Weekly_Adjusted,10,10)</f>
        <v>0</v>
      </c>
      <c r="EP52" s="143">
        <f>INDEX('File 18'!Weekly_Adjusted,10,11)</f>
        <v>0</v>
      </c>
      <c r="EQ52" s="143">
        <f>INDEX('File 18'!Weekly_Adjusted,10,12)</f>
        <v>0</v>
      </c>
      <c r="ER52" s="142">
        <f>INDEX('File 19'!Weekly_Adjusted,10,10)</f>
        <v>0</v>
      </c>
      <c r="ES52" s="142">
        <f>INDEX('File 19'!Weekly_Adjusted,10,11)</f>
        <v>0</v>
      </c>
      <c r="ET52" s="142">
        <f>INDEX('File 19'!Weekly_Adjusted,10,12)</f>
        <v>0</v>
      </c>
      <c r="EU52" s="143">
        <f>INDEX('File 20'!Weekly_Adjusted,10,10)</f>
        <v>0</v>
      </c>
      <c r="EV52" s="143">
        <f>INDEX('File 20'!Weekly_Adjusted,10,11)</f>
        <v>0</v>
      </c>
      <c r="EW52" s="143">
        <f>INDEX('File 20'!Weekly_Adjusted,10,12)</f>
        <v>0</v>
      </c>
      <c r="EX52" s="6">
        <f ca="1">SUMIFS(INDEX(Capacity_Activity_Weekly,ROW(A10),0),Demand_Activity_Weekly_Header,CJ$42)</f>
        <v>24.919784152855019</v>
      </c>
      <c r="EY52" s="6">
        <f ca="1">SUMIFS(INDEX(Capacity_Activity_Weekly,ROW(B10),0),Demand_Activity_Weekly_Header,CK$42)</f>
        <v>0</v>
      </c>
      <c r="EZ52" s="6">
        <f ca="1">SUMIFS(INDEX(Capacity_Activity_Weekly,ROW(C10),0),Demand_Activity_Weekly_Header,CL$42)</f>
        <v>0</v>
      </c>
      <c r="FA52" s="6">
        <f ca="1">SUMIFS(INDEX(Capacity_Activity_Weekly,ROW(D10),0),Demand_Activity_Weekly_Header,CM$42)</f>
        <v>0</v>
      </c>
      <c r="FB52" s="6">
        <f ca="1">SUMIFS(INDEX(Capacity_Activity_Weekly,ROW(E10),0),Demand_Activity_Weekly_Header,CN$42)</f>
        <v>0</v>
      </c>
      <c r="FD52" s="7">
        <f>'File 1'!$Q$54*'Time based aggregation (hide)'!$Q14</f>
        <v>0</v>
      </c>
      <c r="FE52" s="7">
        <f>'File 1'!$R$54*'Time based aggregation (hide)'!$R14</f>
        <v>0</v>
      </c>
      <c r="FF52" s="7">
        <f>'File 1'!$S$54*'Time based aggregation (hide)'!$S14</f>
        <v>0</v>
      </c>
      <c r="FG52" s="7">
        <f>'File 2'!$Q$54*'Time based aggregation (hide)'!$T14</f>
        <v>0</v>
      </c>
      <c r="FH52" s="7">
        <f>'File 2'!$R$54*'Time based aggregation (hide)'!$U14</f>
        <v>0</v>
      </c>
      <c r="FI52" s="7">
        <f>'File 2'!$S$54*'Time based aggregation (hide)'!$V14</f>
        <v>0</v>
      </c>
      <c r="FJ52" s="7">
        <f>'File 3'!$Q$54*'Time based aggregation (hide)'!$W14</f>
        <v>0</v>
      </c>
      <c r="FK52" s="7">
        <f>'File 3'!$R$54*'Time based aggregation (hide)'!$X14</f>
        <v>0</v>
      </c>
      <c r="FL52" s="7">
        <f>'File 3'!$S$54*'Time based aggregation (hide)'!$Y14</f>
        <v>0</v>
      </c>
      <c r="FM52" s="7">
        <f>'File 4'!$Q$54*'Time based aggregation (hide)'!$Z14</f>
        <v>0</v>
      </c>
      <c r="FN52" s="7">
        <f>'File 4'!$R$54*'Time based aggregation (hide)'!$AA14</f>
        <v>0</v>
      </c>
      <c r="FO52" s="7">
        <f>'File 4'!$S$54*'Time based aggregation (hide)'!$AB14</f>
        <v>0</v>
      </c>
      <c r="FP52" s="7">
        <f>'File 5'!$Q$54*'Time based aggregation (hide)'!$AC14</f>
        <v>0</v>
      </c>
      <c r="FQ52" s="7">
        <f>'File 5'!$R$54*'Time based aggregation (hide)'!$AD14</f>
        <v>0</v>
      </c>
      <c r="FR52" s="7">
        <f>'File 5'!$S$54*'Time based aggregation (hide)'!$AE14</f>
        <v>0</v>
      </c>
      <c r="FS52" s="7">
        <f>'File 6'!$Q$54*'Time based aggregation (hide)'!$AF14</f>
        <v>0</v>
      </c>
      <c r="FT52" s="7">
        <f>'File 6'!$R$54*'Time based aggregation (hide)'!$AG14</f>
        <v>0</v>
      </c>
      <c r="FU52" s="7">
        <f>'File 6'!$S$54*'Time based aggregation (hide)'!$AH14</f>
        <v>0</v>
      </c>
      <c r="FV52" s="7">
        <f>'File 7'!$Q$54*'Time based aggregation (hide)'!$AI14</f>
        <v>0</v>
      </c>
      <c r="FW52" s="7">
        <f>'File 7'!$R$54*'Time based aggregation (hide)'!$AJ14</f>
        <v>0</v>
      </c>
      <c r="FX52" s="7">
        <f>'File 7'!$S$54*'Time based aggregation (hide)'!$AK14</f>
        <v>0</v>
      </c>
      <c r="FY52" s="7">
        <f>'File 8'!$Q$54*'Time based aggregation (hide)'!$AL14</f>
        <v>0</v>
      </c>
      <c r="FZ52" s="7">
        <f>'File 8'!$R$54*'Time based aggregation (hide)'!$AM14</f>
        <v>0</v>
      </c>
      <c r="GA52" s="7">
        <f>'File 8'!$S$54*'Time based aggregation (hide)'!$AN14</f>
        <v>0</v>
      </c>
      <c r="GB52" s="7">
        <f>'File 9'!$Q$54*'Time based aggregation (hide)'!$AO14</f>
        <v>0</v>
      </c>
      <c r="GC52" s="7">
        <f>'File 9'!$R$54*'Time based aggregation (hide)'!$AP14</f>
        <v>0</v>
      </c>
      <c r="GD52" s="7">
        <f>'File 9'!$S$54*'Time based aggregation (hide)'!$AQ14</f>
        <v>0</v>
      </c>
      <c r="GE52" s="7">
        <f>'File 10'!$Q$54*'Time based aggregation (hide)'!$AR14</f>
        <v>0</v>
      </c>
      <c r="GF52" s="7">
        <f>'File 10'!$R$54*'Time based aggregation (hide)'!$AS14</f>
        <v>0</v>
      </c>
      <c r="GG52" s="7">
        <f>'File 10'!$S$54*'Time based aggregation (hide)'!$AT14</f>
        <v>0</v>
      </c>
      <c r="GH52" s="7">
        <f>'File 11'!$Q$54*'Time based aggregation (hide)'!$AU14</f>
        <v>0</v>
      </c>
      <c r="GI52" s="7">
        <f>'File 11'!$R$54*'Time based aggregation (hide)'!$AV14</f>
        <v>0</v>
      </c>
      <c r="GJ52" s="7">
        <f>'File 11'!$S$54*'Time based aggregation (hide)'!$AW14</f>
        <v>0</v>
      </c>
      <c r="GK52" s="7">
        <f>'File 12'!$Q$54*'Time based aggregation (hide)'!$AX14</f>
        <v>0</v>
      </c>
      <c r="GL52" s="7">
        <f>'File 12'!$R$54*'Time based aggregation (hide)'!$AY14</f>
        <v>0</v>
      </c>
      <c r="GM52" s="7">
        <f>'File 12'!$S$54*'Time based aggregation (hide)'!$AZ14</f>
        <v>0</v>
      </c>
      <c r="GN52" s="7">
        <f>'File 13'!$Q$54*'Time based aggregation (hide)'!$BA14</f>
        <v>0</v>
      </c>
      <c r="GO52" s="7">
        <f>'File 13'!$R$54*'Time based aggregation (hide)'!$BB14</f>
        <v>0</v>
      </c>
      <c r="GP52" s="7">
        <f>'File 13'!$S$54*'Time based aggregation (hide)'!$BC14</f>
        <v>0</v>
      </c>
      <c r="GQ52" s="7">
        <f>'File 14'!$Q$54*'Time based aggregation (hide)'!$BD14</f>
        <v>0</v>
      </c>
      <c r="GR52" s="7">
        <f>'File 14'!$R$54*'Time based aggregation (hide)'!$BE14</f>
        <v>0</v>
      </c>
      <c r="GS52" s="7">
        <f>'File 14'!$S$54*'Time based aggregation (hide)'!$BF14</f>
        <v>0</v>
      </c>
      <c r="GT52" s="7">
        <f>'File 15'!$Q$54*'Time based aggregation (hide)'!$BG14</f>
        <v>0</v>
      </c>
      <c r="GU52" s="7">
        <f>'File 15'!$R$54*'Time based aggregation (hide)'!$BH14</f>
        <v>0</v>
      </c>
      <c r="GV52" s="7">
        <f>'File 15'!$S$54*'Time based aggregation (hide)'!$BI14</f>
        <v>0</v>
      </c>
      <c r="GW52" s="7">
        <f>'File 16'!$Q$54*'Time based aggregation (hide)'!$BJ14</f>
        <v>0</v>
      </c>
      <c r="GX52" s="7">
        <f>'File 16'!$R$54*'Time based aggregation (hide)'!$BK14</f>
        <v>0</v>
      </c>
      <c r="GY52" s="7">
        <f>'File 16'!$S$54*'Time based aggregation (hide)'!$BL14</f>
        <v>0</v>
      </c>
      <c r="GZ52" s="7">
        <f>'File 17'!$Q$54*'Time based aggregation (hide)'!$BM14</f>
        <v>0</v>
      </c>
      <c r="HA52" s="7">
        <f>'File 17'!$R$54*'Time based aggregation (hide)'!$BN14</f>
        <v>0</v>
      </c>
      <c r="HB52" s="7">
        <f>'File 17'!$S$54*'Time based aggregation (hide)'!$BO14</f>
        <v>0</v>
      </c>
      <c r="HC52" s="7">
        <f>'File 18'!$Q$54*'Time based aggregation (hide)'!$BP14</f>
        <v>0</v>
      </c>
      <c r="HD52" s="7">
        <f>'File 18'!$R$54*'Time based aggregation (hide)'!$BQ14</f>
        <v>0</v>
      </c>
      <c r="HE52" s="7">
        <f>'File 18'!$S$54*'Time based aggregation (hide)'!$BR14</f>
        <v>0</v>
      </c>
      <c r="HF52" s="7">
        <f>'File 19'!$Q$54*'Time based aggregation (hide)'!$BS14</f>
        <v>0</v>
      </c>
      <c r="HG52" s="7">
        <f>'File 19'!$R$54*'Time based aggregation (hide)'!$BT14</f>
        <v>0</v>
      </c>
      <c r="HH52" s="7">
        <f>'File 19'!$S$54*'Time based aggregation (hide)'!$BU14</f>
        <v>0</v>
      </c>
      <c r="HI52" s="7">
        <f>'File 20'!$Q$54*'Time based aggregation (hide)'!$BV14</f>
        <v>0</v>
      </c>
      <c r="HJ52" s="7">
        <f>'File 20'!$R$54*'Time based aggregation (hide)'!$BW14</f>
        <v>0</v>
      </c>
      <c r="HK52" s="7">
        <f>'File 20'!$S$54*'Time based aggregation (hide)'!$BX14</f>
        <v>0</v>
      </c>
      <c r="HL52" s="7">
        <f t="shared" ca="1" si="31"/>
        <v>0</v>
      </c>
      <c r="HM52" s="7">
        <f t="shared" ca="1" si="31"/>
        <v>0</v>
      </c>
      <c r="HN52" s="7">
        <f t="shared" ca="1" si="31"/>
        <v>0</v>
      </c>
      <c r="HO52" s="7">
        <f t="shared" ca="1" si="31"/>
        <v>0</v>
      </c>
      <c r="HP52" s="7">
        <f t="shared" ca="1" si="31"/>
        <v>0</v>
      </c>
      <c r="HR52" s="142">
        <f ca="1">INDEX('File 1'!Weekly_Adjusted,10,16)</f>
        <v>21.427839876658773</v>
      </c>
      <c r="HS52" s="142">
        <f>INDEX('File 1'!Weekly_Adjusted,10,17)</f>
        <v>0</v>
      </c>
      <c r="HT52" s="142">
        <f>INDEX('File 1'!Weekly_Adjusted,10,18)</f>
        <v>0</v>
      </c>
      <c r="HU52" s="143">
        <f>INDEX('File 2'!Weekly_Adjusted,10,16)</f>
        <v>0</v>
      </c>
      <c r="HV52" s="143">
        <f>INDEX('File 2'!Weekly_Adjusted,10,17)</f>
        <v>0</v>
      </c>
      <c r="HW52" s="143">
        <f>INDEX('File 2'!Weekly_Adjusted,10,18)</f>
        <v>0</v>
      </c>
      <c r="HX52" s="142">
        <f>INDEX('File 3'!Weekly_Adjusted,10,16)</f>
        <v>0</v>
      </c>
      <c r="HY52" s="142">
        <f>INDEX('File 3'!Weekly_Adjusted,10,17)</f>
        <v>0</v>
      </c>
      <c r="HZ52" s="142">
        <f>INDEX('File 3'!Weekly_Adjusted,10,18)</f>
        <v>0</v>
      </c>
      <c r="IA52" s="143">
        <f>INDEX('File 4'!Weekly_Adjusted,10,16)</f>
        <v>0</v>
      </c>
      <c r="IB52" s="143">
        <f>INDEX('File 4'!Weekly_Adjusted,10,17)</f>
        <v>0</v>
      </c>
      <c r="IC52" s="143">
        <f>INDEX('File 4'!Weekly_Adjusted,10,18)</f>
        <v>0</v>
      </c>
      <c r="ID52" s="142">
        <f>INDEX('File 5'!Weekly_Adjusted,10,16)</f>
        <v>0</v>
      </c>
      <c r="IE52" s="142">
        <f>INDEX('File 5'!Weekly_Adjusted,10,17)</f>
        <v>0</v>
      </c>
      <c r="IF52" s="142">
        <f>INDEX('File 5'!Weekly_Adjusted,10,18)</f>
        <v>0</v>
      </c>
      <c r="IG52" s="143">
        <f>INDEX('File 6'!Weekly_Adjusted,10,16)</f>
        <v>0</v>
      </c>
      <c r="IH52" s="143">
        <f>INDEX('File 6'!Weekly_Adjusted,10,17)</f>
        <v>0</v>
      </c>
      <c r="II52" s="143">
        <f>INDEX('File 6'!Weekly_Adjusted,10,18)</f>
        <v>0</v>
      </c>
      <c r="IJ52" s="142">
        <f>INDEX('File 7'!Weekly_Adjusted,10,16)</f>
        <v>0</v>
      </c>
      <c r="IK52" s="142">
        <f>INDEX('File 7'!Weekly_Adjusted,10,17)</f>
        <v>0</v>
      </c>
      <c r="IL52" s="142">
        <f>INDEX('File 7'!Weekly_Adjusted,10,18)</f>
        <v>0</v>
      </c>
      <c r="IM52" s="143">
        <f>INDEX('File 8'!Weekly_Adjusted,10,16)</f>
        <v>0</v>
      </c>
      <c r="IN52" s="143">
        <f>INDEX('File 8'!Weekly_Adjusted,10,17)</f>
        <v>0</v>
      </c>
      <c r="IO52" s="143">
        <f>INDEX('File 8'!Weekly_Adjusted,10,18)</f>
        <v>0</v>
      </c>
      <c r="IP52" s="142">
        <f>INDEX('File 9'!Weekly_Adjusted,10,16)</f>
        <v>0</v>
      </c>
      <c r="IQ52" s="142">
        <f>INDEX('File 9'!Weekly_Adjusted,10,17)</f>
        <v>0</v>
      </c>
      <c r="IR52" s="142">
        <f>INDEX('File 9'!Weekly_Adjusted,10,18)</f>
        <v>0</v>
      </c>
      <c r="IS52" s="143">
        <f>INDEX('File 10'!Weekly_Adjusted,10,16)</f>
        <v>0</v>
      </c>
      <c r="IT52" s="143">
        <f>INDEX('File 10'!Weekly_Adjusted,10,17)</f>
        <v>0</v>
      </c>
      <c r="IU52" s="143">
        <f>INDEX('File 10'!Weekly_Adjusted,10,18)</f>
        <v>0</v>
      </c>
      <c r="IV52" s="142">
        <f>INDEX('File 11'!Weekly_Adjusted,10,16)</f>
        <v>0</v>
      </c>
      <c r="IW52" s="142">
        <f>INDEX('File 11'!Weekly_Adjusted,10,17)</f>
        <v>0</v>
      </c>
      <c r="IX52" s="142">
        <f>INDEX('File 11'!Weekly_Adjusted,10,18)</f>
        <v>0</v>
      </c>
      <c r="IY52" s="143">
        <f>INDEX('File 12'!Weekly_Adjusted,10,16)</f>
        <v>0</v>
      </c>
      <c r="IZ52" s="143">
        <f>INDEX('File 12'!Weekly_Adjusted,10,17)</f>
        <v>0</v>
      </c>
      <c r="JA52" s="143">
        <f>INDEX('File 12'!Weekly_Adjusted,10,18)</f>
        <v>0</v>
      </c>
      <c r="JB52" s="142">
        <f>INDEX('File 13'!Weekly_Adjusted,10,16)</f>
        <v>0</v>
      </c>
      <c r="JC52" s="142">
        <f>INDEX('File 13'!Weekly_Adjusted,10,17)</f>
        <v>0</v>
      </c>
      <c r="JD52" s="142">
        <f>INDEX('File 13'!Weekly_Adjusted,10,18)</f>
        <v>0</v>
      </c>
      <c r="JE52" s="143">
        <f>INDEX('File 14'!Weekly_Adjusted,10,16)</f>
        <v>0</v>
      </c>
      <c r="JF52" s="143">
        <f>INDEX('File 14'!Weekly_Adjusted,10,17)</f>
        <v>0</v>
      </c>
      <c r="JG52" s="143">
        <f>INDEX('File 14'!Weekly_Adjusted,10,18)</f>
        <v>0</v>
      </c>
      <c r="JH52" s="142">
        <f>INDEX('File 15'!Weekly_Adjusted,10,16)</f>
        <v>0</v>
      </c>
      <c r="JI52" s="142">
        <f>INDEX('File 15'!Weekly_Adjusted,10,17)</f>
        <v>0</v>
      </c>
      <c r="JJ52" s="142">
        <f>INDEX('File 15'!Weekly_Adjusted,10,18)</f>
        <v>0</v>
      </c>
      <c r="JK52" s="143">
        <f>INDEX('File 16'!Weekly_Adjusted,10,16)</f>
        <v>0</v>
      </c>
      <c r="JL52" s="143">
        <f>INDEX('File 16'!Weekly_Adjusted,10,17)</f>
        <v>0</v>
      </c>
      <c r="JM52" s="143">
        <f>INDEX('File 16'!Weekly_Adjusted,10,18)</f>
        <v>0</v>
      </c>
      <c r="JN52" s="142">
        <f>INDEX('File 17'!Weekly_Adjusted,10,16)</f>
        <v>0</v>
      </c>
      <c r="JO52" s="142">
        <f>INDEX('File 17'!Weekly_Adjusted,10,17)</f>
        <v>0</v>
      </c>
      <c r="JP52" s="142">
        <f>INDEX('File 17'!Weekly_Adjusted,10,18)</f>
        <v>0</v>
      </c>
      <c r="JQ52" s="143">
        <f>INDEX('File 18'!Weekly_Adjusted,10,16)</f>
        <v>0</v>
      </c>
      <c r="JR52" s="143">
        <f>INDEX('File 18'!Weekly_Adjusted,10,17)</f>
        <v>0</v>
      </c>
      <c r="JS52" s="143">
        <f>INDEX('File 18'!Weekly_Adjusted,10,18)</f>
        <v>0</v>
      </c>
      <c r="JT52" s="142">
        <f>INDEX('File 19'!Weekly_Adjusted,10,16)</f>
        <v>0</v>
      </c>
      <c r="JU52" s="142">
        <f>INDEX('File 19'!Weekly_Adjusted,10,17)</f>
        <v>0</v>
      </c>
      <c r="JV52" s="142">
        <f>INDEX('File 19'!Weekly_Adjusted,10,18)</f>
        <v>0</v>
      </c>
      <c r="JW52" s="143">
        <f>INDEX('File 20'!Weekly_Adjusted,10,16)</f>
        <v>0</v>
      </c>
      <c r="JX52" s="143">
        <f>INDEX('File 20'!Weekly_Adjusted,10,17)</f>
        <v>0</v>
      </c>
      <c r="JY52" s="143">
        <f>INDEX('File 20'!Weekly_Adjusted,10,18)</f>
        <v>0</v>
      </c>
      <c r="JZ52" s="6">
        <f ca="1">SUMIFS(INDEX(CapacityCore_Activity_Weekly,ROW(EC10),0),Demand_Activity_Weekly_Header,HL$42)</f>
        <v>21.427839876658773</v>
      </c>
      <c r="KA52" s="6">
        <f ca="1">SUMIFS(INDEX(CapacityCore_Activity_Weekly,ROW(ED10),0),Demand_Activity_Weekly_Header,HM$42)</f>
        <v>0</v>
      </c>
      <c r="KB52" s="6">
        <f ca="1">SUMIFS(INDEX(CapacityCore_Activity_Weekly,ROW(EE10),0),Demand_Activity_Weekly_Header,HN$42)</f>
        <v>0</v>
      </c>
      <c r="KC52" s="6">
        <f ca="1">SUMIFS(INDEX(CapacityCore_Activity_Weekly,ROW(EF10),0),Demand_Activity_Weekly_Header,HO$42)</f>
        <v>0</v>
      </c>
      <c r="KD52" s="6">
        <f ca="1">SUMIFS(INDEX(CapacityCore_Activity_Weekly,ROW(EG10),0),Demand_Activity_Weekly_Header,HP$42)</f>
        <v>0</v>
      </c>
      <c r="KF52" s="6">
        <f>SUMIFS('Time based aggregation (hide)'!$J:$J,'Time based aggregation (hide)'!$E:$E,1,'Time based aggregation (hide)'!$F:$F,1,'Time based aggregation (hide)'!$A:$A,ROW(A10))</f>
        <v>0</v>
      </c>
      <c r="KG52" s="6">
        <f>SUMIFS('Time based aggregation (hide)'!$J:$J,'Time based aggregation (hide)'!$E:$E,1,'Time based aggregation (hide)'!$F:$F,2,'Time based aggregation (hide)'!$A:$A,ROW(A10))</f>
        <v>0</v>
      </c>
      <c r="KH52" s="6">
        <f>SUMIFS('Time based aggregation (hide)'!$J:$J,'Time based aggregation (hide)'!$E:$E,1,'Time based aggregation (hide)'!$F:$F,3,'Time based aggregation (hide)'!$A:$A,ROW(A10))</f>
        <v>0</v>
      </c>
      <c r="KI52" s="6">
        <f>SUMIFS('Time based aggregation (hide)'!$J:$J,'Time based aggregation (hide)'!$E:$E,2,'Time based aggregation (hide)'!$F:$F,1,'Time based aggregation (hide)'!$A:$A,ROW(A10))</f>
        <v>0</v>
      </c>
      <c r="KJ52" s="6">
        <f>SUMIFS('Time based aggregation (hide)'!$J:$J,'Time based aggregation (hide)'!$E:$E,2,'Time based aggregation (hide)'!$F:$F,2,'Time based aggregation (hide)'!$A:$A,ROW(A10))</f>
        <v>0</v>
      </c>
      <c r="KK52" s="6">
        <f>SUMIFS('Time based aggregation (hide)'!$J:$J,'Time based aggregation (hide)'!$E:$E,2,'Time based aggregation (hide)'!$F:$F,3,'Time based aggregation (hide)'!$A:$A,ROW(A10))</f>
        <v>0</v>
      </c>
      <c r="KL52" s="6">
        <f>SUMIFS('Time based aggregation (hide)'!$J:$J,'Time based aggregation (hide)'!$E:$E,3,'Time based aggregation (hide)'!$F:$F,1,'Time based aggregation (hide)'!$A:$A,ROW(A10))</f>
        <v>0</v>
      </c>
      <c r="KM52" s="6">
        <f>SUMIFS('Time based aggregation (hide)'!$J:$J,'Time based aggregation (hide)'!$E:$E,3,'Time based aggregation (hide)'!$F:$F,2,'Time based aggregation (hide)'!$A:$A,ROW(A10))</f>
        <v>0</v>
      </c>
      <c r="KN52" s="6">
        <f>SUMIFS('Time based aggregation (hide)'!$J:$J,'Time based aggregation (hide)'!$E:$E,3,'Time based aggregation (hide)'!$F:$F,3,'Time based aggregation (hide)'!$A:$A,ROW(A10))</f>
        <v>0</v>
      </c>
      <c r="KO52" s="6">
        <f>SUMIFS('Time based aggregation (hide)'!$J:$J,'Time based aggregation (hide)'!$E:$E,4,'Time based aggregation (hide)'!$F:$F,1,'Time based aggregation (hide)'!$A:$A,ROW(A10))</f>
        <v>0</v>
      </c>
      <c r="KP52" s="6">
        <f>SUMIFS('Time based aggregation (hide)'!$J:$J,'Time based aggregation (hide)'!$E:$E,4,'Time based aggregation (hide)'!$F:$F,2,'Time based aggregation (hide)'!$A:$A,ROW(A10))</f>
        <v>0</v>
      </c>
      <c r="KQ52" s="6">
        <f>SUMIFS('Time based aggregation (hide)'!$J:$J,'Time based aggregation (hide)'!$E:$E,4,'Time based aggregation (hide)'!$F:$F,3,'Time based aggregation (hide)'!$A:$A,ROW(A10))</f>
        <v>0</v>
      </c>
      <c r="KR52" s="6">
        <f>SUMIFS('Time based aggregation (hide)'!$J:$J,'Time based aggregation (hide)'!$E:$E,5,'Time based aggregation (hide)'!$F:$F,1,'Time based aggregation (hide)'!$A:$A,ROW(A10))</f>
        <v>0</v>
      </c>
      <c r="KS52" s="6">
        <f>SUMIFS('Time based aggregation (hide)'!$J:$J,'Time based aggregation (hide)'!$E:$E,5,'Time based aggregation (hide)'!$F:$F,2,'Time based aggregation (hide)'!$A:$A,ROW(A10))</f>
        <v>0</v>
      </c>
      <c r="KT52" s="6">
        <f>SUMIFS('Time based aggregation (hide)'!$J:$J,'Time based aggregation (hide)'!$E:$E,5,'Time based aggregation (hide)'!$F:$F,3,'Time based aggregation (hide)'!$A:$A,ROW(A10))</f>
        <v>0</v>
      </c>
      <c r="KU52" s="6">
        <f>SUMIFS('Time based aggregation (hide)'!$J:$J,'Time based aggregation (hide)'!$E:$E,6,'Time based aggregation (hide)'!$F:$F,1,'Time based aggregation (hide)'!$A:$A,ROW(A10))</f>
        <v>0</v>
      </c>
      <c r="KV52" s="6">
        <f>SUMIFS('Time based aggregation (hide)'!$J:$J,'Time based aggregation (hide)'!$E:$E,6,'Time based aggregation (hide)'!$F:$F,2,'Time based aggregation (hide)'!$A:$A,ROW(A10))</f>
        <v>0</v>
      </c>
      <c r="KW52" s="6">
        <f>SUMIFS('Time based aggregation (hide)'!$J:$J,'Time based aggregation (hide)'!$E:$E,6,'Time based aggregation (hide)'!$F:$F,3,'Time based aggregation (hide)'!$A:$A,ROW(A10))</f>
        <v>0</v>
      </c>
      <c r="KX52" s="6">
        <f>SUMIFS('Time based aggregation (hide)'!$J:$J,'Time based aggregation (hide)'!$E:$E,7,'Time based aggregation (hide)'!$F:$F,1,'Time based aggregation (hide)'!$A:$A,ROW(A10))</f>
        <v>0</v>
      </c>
      <c r="KY52" s="6">
        <f>SUMIFS('Time based aggregation (hide)'!$J:$J,'Time based aggregation (hide)'!$E:$E,7,'Time based aggregation (hide)'!$F:$F,2,'Time based aggregation (hide)'!$A:$A,ROW(A10))</f>
        <v>0</v>
      </c>
      <c r="KZ52" s="6">
        <f>SUMIFS('Time based aggregation (hide)'!$J:$J,'Time based aggregation (hide)'!$E:$E,7,'Time based aggregation (hide)'!$F:$F,3,'Time based aggregation (hide)'!$A:$A,ROW(A10))</f>
        <v>0</v>
      </c>
      <c r="LA52" s="6">
        <f>SUMIFS('Time based aggregation (hide)'!$J:$J,'Time based aggregation (hide)'!$E:$E,8,'Time based aggregation (hide)'!$F:$F,1,'Time based aggregation (hide)'!$A:$A,ROW(A10))</f>
        <v>0</v>
      </c>
      <c r="LB52" s="6">
        <f>SUMIFS('Time based aggregation (hide)'!$J:$J,'Time based aggregation (hide)'!$E:$E,8,'Time based aggregation (hide)'!$F:$F,2,'Time based aggregation (hide)'!$A:$A,ROW(A10))</f>
        <v>0</v>
      </c>
      <c r="LC52" s="6">
        <f>SUMIFS('Time based aggregation (hide)'!$J:$J,'Time based aggregation (hide)'!$E:$E,8,'Time based aggregation (hide)'!$F:$F,3,'Time based aggregation (hide)'!$A:$A,ROW(A10))</f>
        <v>0</v>
      </c>
      <c r="LD52" s="6">
        <f>SUMIFS('Time based aggregation (hide)'!$J:$J,'Time based aggregation (hide)'!$E:$E,9,'Time based aggregation (hide)'!$F:$F,1,'Time based aggregation (hide)'!$A:$A,ROW(A10))</f>
        <v>0</v>
      </c>
      <c r="LE52" s="6">
        <f>SUMIFS('Time based aggregation (hide)'!$J:$J,'Time based aggregation (hide)'!$E:$E,9,'Time based aggregation (hide)'!$F:$F,2,'Time based aggregation (hide)'!$A:$A,ROW(A10))</f>
        <v>0</v>
      </c>
      <c r="LF52" s="6">
        <f>SUMIFS('Time based aggregation (hide)'!$J:$J,'Time based aggregation (hide)'!$E:$E,9,'Time based aggregation (hide)'!$F:$F,3,'Time based aggregation (hide)'!$A:$A,ROW(A10))</f>
        <v>0</v>
      </c>
      <c r="LG52" s="6">
        <f>SUMIFS('Time based aggregation (hide)'!$J:$J,'Time based aggregation (hide)'!$E:$E,10,'Time based aggregation (hide)'!$F:$F,1,'Time based aggregation (hide)'!$A:$A,ROW(A10))</f>
        <v>0</v>
      </c>
      <c r="LH52" s="6">
        <f>SUMIFS('Time based aggregation (hide)'!$J:$J,'Time based aggregation (hide)'!$E:$E,10,'Time based aggregation (hide)'!$F:$F,2,'Time based aggregation (hide)'!$A:$A,ROW(A10))</f>
        <v>0</v>
      </c>
      <c r="LI52" s="6">
        <f>SUMIFS('Time based aggregation (hide)'!$J:$J,'Time based aggregation (hide)'!$E:$E,10,'Time based aggregation (hide)'!$F:$F,3,'Time based aggregation (hide)'!$A:$A,ROW(A10))</f>
        <v>0</v>
      </c>
      <c r="LJ52" s="6">
        <f>SUMIFS('Time based aggregation (hide)'!$J:$J,'Time based aggregation (hide)'!$E:$E,11,'Time based aggregation (hide)'!$F:$F,1,'Time based aggregation (hide)'!$A:$A,ROW(A10))</f>
        <v>0</v>
      </c>
      <c r="LK52" s="6">
        <f>SUMIFS('Time based aggregation (hide)'!$J:$J,'Time based aggregation (hide)'!$E:$E,11,'Time based aggregation (hide)'!$F:$F,2,'Time based aggregation (hide)'!$A:$A,ROW(A10))</f>
        <v>0</v>
      </c>
      <c r="LL52" s="6">
        <f>SUMIFS('Time based aggregation (hide)'!$J:$J,'Time based aggregation (hide)'!$E:$E,11,'Time based aggregation (hide)'!$F:$F,3,'Time based aggregation (hide)'!$A:$A,ROW(A10))</f>
        <v>0</v>
      </c>
      <c r="LM52" s="6">
        <f>SUMIFS('Time based aggregation (hide)'!$J:$J,'Time based aggregation (hide)'!$E:$E,12,'Time based aggregation (hide)'!$F:$F,1,'Time based aggregation (hide)'!$A:$A,ROW(A10))</f>
        <v>0</v>
      </c>
      <c r="LN52" s="6">
        <f>SUMIFS('Time based aggregation (hide)'!$J:$J,'Time based aggregation (hide)'!$E:$E,12,'Time based aggregation (hide)'!$F:$F,2,'Time based aggregation (hide)'!$A:$A,ROW(A10))</f>
        <v>0</v>
      </c>
      <c r="LO52" s="6">
        <f>SUMIFS('Time based aggregation (hide)'!$J:$J,'Time based aggregation (hide)'!$E:$E,12,'Time based aggregation (hide)'!$F:$F,3,'Time based aggregation (hide)'!$A:$A,ROW(A10))</f>
        <v>0</v>
      </c>
      <c r="LP52" s="6">
        <f>SUMIFS('Time based aggregation (hide)'!$J:$J,'Time based aggregation (hide)'!$E:$E,13,'Time based aggregation (hide)'!$F:$F,1,'Time based aggregation (hide)'!$A:$A,ROW(A10))</f>
        <v>0</v>
      </c>
      <c r="LQ52" s="6">
        <f>SUMIFS('Time based aggregation (hide)'!$J:$J,'Time based aggregation (hide)'!$E:$E,13,'Time based aggregation (hide)'!$F:$F,2,'Time based aggregation (hide)'!$A:$A,ROW(A10))</f>
        <v>0</v>
      </c>
      <c r="LR52" s="6">
        <f>SUMIFS('Time based aggregation (hide)'!$J:$J,'Time based aggregation (hide)'!$E:$E,13,'Time based aggregation (hide)'!$F:$F,3,'Time based aggregation (hide)'!$A:$A,ROW(A10))</f>
        <v>0</v>
      </c>
      <c r="LS52" s="6">
        <f>SUMIFS('Time based aggregation (hide)'!$J:$J,'Time based aggregation (hide)'!$E:$E,14,'Time based aggregation (hide)'!$F:$F,1,'Time based aggregation (hide)'!$A:$A,ROW(A10))</f>
        <v>0</v>
      </c>
      <c r="LT52" s="6">
        <f>SUMIFS('Time based aggregation (hide)'!$J:$J,'Time based aggregation (hide)'!$E:$E,14,'Time based aggregation (hide)'!$F:$F,2,'Time based aggregation (hide)'!$A:$A,ROW(A10))</f>
        <v>0</v>
      </c>
      <c r="LU52" s="6">
        <f>SUMIFS('Time based aggregation (hide)'!$J:$J,'Time based aggregation (hide)'!$E:$E,14,'Time based aggregation (hide)'!$F:$F,3,'Time based aggregation (hide)'!$A:$A,ROW(A10))</f>
        <v>0</v>
      </c>
      <c r="LV52" s="6">
        <f>SUMIFS('Time based aggregation (hide)'!$J:$J,'Time based aggregation (hide)'!$E:$E,15,'Time based aggregation (hide)'!$F:$F,1,'Time based aggregation (hide)'!$A:$A,ROW(A10))</f>
        <v>0</v>
      </c>
      <c r="LW52" s="6">
        <f>SUMIFS('Time based aggregation (hide)'!$J:$J,'Time based aggregation (hide)'!$E:$E,15,'Time based aggregation (hide)'!$F:$F,2,'Time based aggregation (hide)'!$A:$A,ROW(A10))</f>
        <v>0</v>
      </c>
      <c r="LX52" s="6">
        <f>SUMIFS('Time based aggregation (hide)'!$J:$J,'Time based aggregation (hide)'!$E:$E,15,'Time based aggregation (hide)'!$F:$F,3,'Time based aggregation (hide)'!$A:$A,ROW(A10))</f>
        <v>0</v>
      </c>
      <c r="LY52" s="6">
        <f>SUMIFS('Time based aggregation (hide)'!$J:$J,'Time based aggregation (hide)'!$E:$E,16,'Time based aggregation (hide)'!$F:$F,1,'Time based aggregation (hide)'!$A:$A,ROW(A10))</f>
        <v>0</v>
      </c>
      <c r="LZ52" s="6">
        <f>SUMIFS('Time based aggregation (hide)'!$J:$J,'Time based aggregation (hide)'!$E:$E,16,'Time based aggregation (hide)'!$F:$F,2,'Time based aggregation (hide)'!$A:$A,ROW(A10))</f>
        <v>0</v>
      </c>
      <c r="MA52" s="6">
        <f>SUMIFS('Time based aggregation (hide)'!$J:$J,'Time based aggregation (hide)'!$E:$E,16,'Time based aggregation (hide)'!$F:$F,3,'Time based aggregation (hide)'!$A:$A,ROW(A10))</f>
        <v>0</v>
      </c>
      <c r="MB52" s="6">
        <f>SUMIFS('Time based aggregation (hide)'!$J:$J,'Time based aggregation (hide)'!$E:$E,17,'Time based aggregation (hide)'!$F:$F,1,'Time based aggregation (hide)'!$A:$A,ROW(A10))</f>
        <v>0</v>
      </c>
      <c r="MC52" s="6">
        <f>SUMIFS('Time based aggregation (hide)'!$J:$J,'Time based aggregation (hide)'!$E:$E,17,'Time based aggregation (hide)'!$F:$F,2,'Time based aggregation (hide)'!$A:$A,ROW(A10))</f>
        <v>0</v>
      </c>
      <c r="MD52" s="6">
        <f>SUMIFS('Time based aggregation (hide)'!$J:$J,'Time based aggregation (hide)'!$E:$E,17,'Time based aggregation (hide)'!$F:$F,3,'Time based aggregation (hide)'!$A:$A,ROW(A10))</f>
        <v>0</v>
      </c>
      <c r="ME52" s="6">
        <f>SUMIFS('Time based aggregation (hide)'!$J:$J,'Time based aggregation (hide)'!$E:$E,18,'Time based aggregation (hide)'!$F:$F,1,'Time based aggregation (hide)'!$A:$A,ROW(A10))</f>
        <v>0</v>
      </c>
      <c r="MF52" s="6">
        <f>SUMIFS('Time based aggregation (hide)'!$J:$J,'Time based aggregation (hide)'!$E:$E,18,'Time based aggregation (hide)'!$F:$F,2,'Time based aggregation (hide)'!$A:$A,ROW(A10))</f>
        <v>0</v>
      </c>
      <c r="MG52" s="6">
        <f>SUMIFS('Time based aggregation (hide)'!$J:$J,'Time based aggregation (hide)'!$E:$E,18,'Time based aggregation (hide)'!$F:$F,3,'Time based aggregation (hide)'!$A:$A,ROW(A10))</f>
        <v>0</v>
      </c>
      <c r="MH52" s="6">
        <f>SUMIFS('Time based aggregation (hide)'!$J:$J,'Time based aggregation (hide)'!$E:$E,19,'Time based aggregation (hide)'!$F:$F,1,'Time based aggregation (hide)'!$A:$A,ROW(A10))</f>
        <v>0</v>
      </c>
      <c r="MI52" s="6">
        <f>SUMIFS('Time based aggregation (hide)'!$J:$J,'Time based aggregation (hide)'!$E:$E,19,'Time based aggregation (hide)'!$F:$F,2,'Time based aggregation (hide)'!$A:$A,ROW(A10))</f>
        <v>0</v>
      </c>
      <c r="MJ52" s="6">
        <f>SUMIFS('Time based aggregation (hide)'!$J:$J,'Time based aggregation (hide)'!$E:$E,19,'Time based aggregation (hide)'!$F:$F,3,'Time based aggregation (hide)'!$A:$A,ROW(A10))</f>
        <v>0</v>
      </c>
      <c r="MK52" s="6">
        <f>SUMIFS('Time based aggregation (hide)'!$J:$J,'Time based aggregation (hide)'!$E:$E,20,'Time based aggregation (hide)'!$F:$F,1,'Time based aggregation (hide)'!$A:$A,ROW(A10))</f>
        <v>0</v>
      </c>
      <c r="ML52" s="6">
        <f>SUMIFS('Time based aggregation (hide)'!$J:$J,'Time based aggregation (hide)'!$E:$E,20,'Time based aggregation (hide)'!$F:$F,2,'Time based aggregation (hide)'!$A:$A,ROW(A10))</f>
        <v>0</v>
      </c>
      <c r="MM52" s="6">
        <f>SUMIFS('Time based aggregation (hide)'!$J:$J,'Time based aggregation (hide)'!$E:$E,20,'Time based aggregation (hide)'!$F:$F,3,'Time based aggregation (hide)'!$A:$A,ROW(A10))</f>
        <v>0</v>
      </c>
      <c r="MN52" s="7">
        <f t="shared" ca="1" si="36"/>
        <v>0</v>
      </c>
      <c r="MO52" s="7">
        <f t="shared" ca="1" si="32"/>
        <v>0</v>
      </c>
      <c r="MP52" s="7">
        <f t="shared" ca="1" si="32"/>
        <v>0</v>
      </c>
      <c r="MQ52" s="7">
        <f t="shared" ca="1" si="32"/>
        <v>0</v>
      </c>
      <c r="MR52" s="7">
        <f t="shared" ca="1" si="32"/>
        <v>0</v>
      </c>
    </row>
    <row r="53" spans="1:356" x14ac:dyDescent="0.25">
      <c r="A53">
        <f>1</f>
        <v>1</v>
      </c>
      <c r="B53" s="85">
        <f t="shared" si="37"/>
        <v>43841</v>
      </c>
      <c r="C53" s="85">
        <f t="shared" si="25"/>
        <v>43836</v>
      </c>
      <c r="D53">
        <f t="shared" ca="1" si="26"/>
        <v>0</v>
      </c>
      <c r="E53" s="85">
        <f t="shared" si="27"/>
        <v>43831</v>
      </c>
      <c r="F53">
        <f t="shared" si="33"/>
        <v>2</v>
      </c>
      <c r="H53">
        <f t="shared" si="34"/>
        <v>11</v>
      </c>
      <c r="I53" s="85">
        <f t="shared" si="38"/>
        <v>43899</v>
      </c>
      <c r="J53">
        <f t="shared" ca="1" si="28"/>
        <v>5</v>
      </c>
      <c r="K53">
        <f t="shared" ca="1" si="29"/>
        <v>1.968503937007874E-2</v>
      </c>
      <c r="L53" s="114"/>
      <c r="N53" s="85">
        <f t="shared" si="35"/>
        <v>43899</v>
      </c>
      <c r="O53" s="122">
        <f t="shared" ref="O53:Z62" ca="1" si="39">SUMIFS($D$43:$D$408,$C$43:$C$408,$N53,$E$43:$E$408,O$42)/$J53</f>
        <v>0</v>
      </c>
      <c r="P53" s="122">
        <f t="shared" ca="1" si="39"/>
        <v>0</v>
      </c>
      <c r="Q53" s="122">
        <f t="shared" ca="1" si="39"/>
        <v>1</v>
      </c>
      <c r="R53" s="122">
        <f t="shared" ca="1" si="39"/>
        <v>0</v>
      </c>
      <c r="S53" s="122">
        <f t="shared" ca="1" si="39"/>
        <v>0</v>
      </c>
      <c r="T53" s="122">
        <f t="shared" ca="1" si="39"/>
        <v>0</v>
      </c>
      <c r="U53" s="122">
        <f t="shared" ca="1" si="39"/>
        <v>0</v>
      </c>
      <c r="V53" s="122">
        <f t="shared" ca="1" si="39"/>
        <v>0</v>
      </c>
      <c r="W53" s="122">
        <f t="shared" ca="1" si="39"/>
        <v>0</v>
      </c>
      <c r="X53" s="122">
        <f t="shared" ca="1" si="39"/>
        <v>0</v>
      </c>
      <c r="Y53" s="122">
        <f t="shared" ca="1" si="39"/>
        <v>0</v>
      </c>
      <c r="Z53" s="122">
        <f t="shared" ca="1" si="39"/>
        <v>0</v>
      </c>
      <c r="AA53" s="122"/>
      <c r="AB53" s="140">
        <f>INDEX('File 1'!Weekly_Adjusted,11,1)</f>
        <v>388.17143954725253</v>
      </c>
      <c r="AC53" s="140">
        <f>INDEX('File 1'!Weekly_Adjusted,11,2)</f>
        <v>0</v>
      </c>
      <c r="AD53" s="140">
        <f>INDEX('File 1'!Weekly_Adjusted,11,3)</f>
        <v>0</v>
      </c>
      <c r="AE53" s="141">
        <f>INDEX('File 2'!Weekly_Adjusted,11,1)</f>
        <v>0</v>
      </c>
      <c r="AF53" s="141">
        <f>INDEX('File 2'!Weekly_Adjusted,11,2)</f>
        <v>0</v>
      </c>
      <c r="AG53" s="141">
        <f>INDEX('File 2'!Weekly_Adjusted,11,3)</f>
        <v>0</v>
      </c>
      <c r="AH53" s="140">
        <f>INDEX('File 3'!Weekly_Adjusted,11,1)</f>
        <v>0</v>
      </c>
      <c r="AI53" s="140">
        <f>INDEX('File 3'!Weekly_Adjusted,11,2)</f>
        <v>0</v>
      </c>
      <c r="AJ53" s="140">
        <f>INDEX('File 3'!Weekly_Adjusted,11,3)</f>
        <v>0</v>
      </c>
      <c r="AK53" s="141">
        <f>INDEX('File 4'!Weekly_Adjusted,11,1)</f>
        <v>0</v>
      </c>
      <c r="AL53" s="141">
        <f>INDEX('File 4'!Weekly_Adjusted,11,2)</f>
        <v>0</v>
      </c>
      <c r="AM53" s="141">
        <f>INDEX('File 4'!Weekly_Adjusted,11,3)</f>
        <v>0</v>
      </c>
      <c r="AN53" s="140">
        <f>INDEX('File 5'!Weekly_Adjusted,11,1)</f>
        <v>0</v>
      </c>
      <c r="AO53" s="140">
        <f>INDEX('File 5'!Weekly_Adjusted,11,2)</f>
        <v>0</v>
      </c>
      <c r="AP53" s="140">
        <f>INDEX('File 5'!Weekly_Adjusted,11,3)</f>
        <v>0</v>
      </c>
      <c r="AQ53" s="141">
        <f>INDEX('File 6'!Weekly_Adjusted,11,1)</f>
        <v>0</v>
      </c>
      <c r="AR53" s="141">
        <f>INDEX('File 6'!Weekly_Adjusted,11,2)</f>
        <v>0</v>
      </c>
      <c r="AS53" s="141">
        <f>INDEX('File 6'!Weekly_Adjusted,11,3)</f>
        <v>0</v>
      </c>
      <c r="AT53" s="140">
        <f>INDEX('File 7'!Weekly_Adjusted,11,1)</f>
        <v>0</v>
      </c>
      <c r="AU53" s="140">
        <f>INDEX('File 7'!Weekly_Adjusted,11,2)</f>
        <v>0</v>
      </c>
      <c r="AV53" s="140">
        <f>INDEX('File 7'!Weekly_Adjusted,11,3)</f>
        <v>0</v>
      </c>
      <c r="AW53" s="141">
        <f>INDEX('File 8'!Weekly_Adjusted,11,1)</f>
        <v>0</v>
      </c>
      <c r="AX53" s="141">
        <f>INDEX('File 8'!Weekly_Adjusted,11,2)</f>
        <v>0</v>
      </c>
      <c r="AY53" s="141">
        <f>INDEX('File 8'!Weekly_Adjusted,11,3)</f>
        <v>0</v>
      </c>
      <c r="AZ53" s="140">
        <f>INDEX('File 9'!Weekly_Adjusted,11,1)</f>
        <v>0</v>
      </c>
      <c r="BA53" s="140">
        <f>INDEX('File 9'!Weekly_Adjusted,11,2)</f>
        <v>0</v>
      </c>
      <c r="BB53" s="140">
        <f>INDEX('File 9'!Weekly_Adjusted,11,3)</f>
        <v>0</v>
      </c>
      <c r="BC53" s="141">
        <f>INDEX('File 10'!Weekly_Adjusted,11,1)</f>
        <v>0</v>
      </c>
      <c r="BD53" s="141">
        <f>INDEX('File 10'!Weekly_Adjusted,11,2)</f>
        <v>0</v>
      </c>
      <c r="BE53" s="141">
        <f>INDEX('File 10'!Weekly_Adjusted,11,3)</f>
        <v>0</v>
      </c>
      <c r="BF53" s="140">
        <f>INDEX('File 11'!Weekly_Adjusted,11,1)</f>
        <v>0</v>
      </c>
      <c r="BG53" s="140">
        <f>INDEX('File 11'!Weekly_Adjusted,11,2)</f>
        <v>0</v>
      </c>
      <c r="BH53" s="140">
        <f>INDEX('File 11'!Weekly_Adjusted,11,3)</f>
        <v>0</v>
      </c>
      <c r="BI53" s="141">
        <f>INDEX('File 12'!Weekly_Adjusted,11,1)</f>
        <v>0</v>
      </c>
      <c r="BJ53" s="141">
        <f>INDEX('File 12'!Weekly_Adjusted,11,2)</f>
        <v>0</v>
      </c>
      <c r="BK53" s="141">
        <f>INDEX('File 12'!Weekly_Adjusted,11,3)</f>
        <v>0</v>
      </c>
      <c r="BL53" s="140">
        <f>INDEX('File 13'!Weekly_Adjusted,11,1)</f>
        <v>0</v>
      </c>
      <c r="BM53" s="140">
        <f>INDEX('File 13'!Weekly_Adjusted,11,2)</f>
        <v>0</v>
      </c>
      <c r="BN53" s="140">
        <f>INDEX('File 13'!Weekly_Adjusted,11,3)</f>
        <v>0</v>
      </c>
      <c r="BO53" s="141">
        <f>INDEX('File 14'!Weekly_Adjusted,11,1)</f>
        <v>0</v>
      </c>
      <c r="BP53" s="141">
        <f>INDEX('File 14'!Weekly_Adjusted,11,2)</f>
        <v>0</v>
      </c>
      <c r="BQ53" s="141">
        <f>INDEX('File 14'!Weekly_Adjusted,11,3)</f>
        <v>0</v>
      </c>
      <c r="BR53" s="140">
        <f>INDEX('File 15'!Weekly_Adjusted,11,1)</f>
        <v>0</v>
      </c>
      <c r="BS53" s="140">
        <f>INDEX('File 15'!Weekly_Adjusted,11,2)</f>
        <v>0</v>
      </c>
      <c r="BT53" s="140">
        <f>INDEX('File 15'!Weekly_Adjusted,11,3)</f>
        <v>0</v>
      </c>
      <c r="BU53" s="141">
        <f>INDEX('File 16'!Weekly_Adjusted,11,1)</f>
        <v>0</v>
      </c>
      <c r="BV53" s="141">
        <f>INDEX('File 16'!Weekly_Adjusted,11,2)</f>
        <v>0</v>
      </c>
      <c r="BW53" s="141">
        <f>INDEX('File 16'!Weekly_Adjusted,11,3)</f>
        <v>0</v>
      </c>
      <c r="BX53" s="140">
        <f>INDEX('File 17'!Weekly_Adjusted,11,1)</f>
        <v>0</v>
      </c>
      <c r="BY53" s="140">
        <f>INDEX('File 17'!Weekly_Adjusted,11,2)</f>
        <v>0</v>
      </c>
      <c r="BZ53" s="140">
        <f>INDEX('File 17'!Weekly_Adjusted,11,3)</f>
        <v>0</v>
      </c>
      <c r="CA53" s="141">
        <f>INDEX('File 18'!Weekly_Adjusted,11,1)</f>
        <v>0</v>
      </c>
      <c r="CB53" s="141">
        <f>INDEX('File 18'!Weekly_Adjusted,11,2)</f>
        <v>0</v>
      </c>
      <c r="CC53" s="141">
        <f>INDEX('File 18'!Weekly_Adjusted,11,3)</f>
        <v>0</v>
      </c>
      <c r="CD53" s="140">
        <f>INDEX('File 19'!Weekly_Adjusted,11,1)</f>
        <v>0</v>
      </c>
      <c r="CE53" s="140">
        <f>INDEX('File 19'!Weekly_Adjusted,11,2)</f>
        <v>0</v>
      </c>
      <c r="CF53" s="140">
        <f>INDEX('File 19'!Weekly_Adjusted,11,3)</f>
        <v>0</v>
      </c>
      <c r="CG53" s="141">
        <f>INDEX('File 20'!Weekly_Adjusted,11,1)</f>
        <v>0</v>
      </c>
      <c r="CH53" s="141">
        <f>INDEX('File 20'!Weekly_Adjusted,11,2)</f>
        <v>0</v>
      </c>
      <c r="CI53" s="141">
        <f>INDEX('File 20'!Weekly_Adjusted,11,3)</f>
        <v>0</v>
      </c>
      <c r="CJ53" s="6">
        <f ca="1">SUMIFS(INDEX(Demand_Activity_Weekly,ROW(A11),0),Demand_Activity_Weekly_Header,CJ$42)</f>
        <v>388.17143954725253</v>
      </c>
      <c r="CK53" s="6">
        <f ca="1">SUMIFS(INDEX(Demand_Activity_Weekly,ROW(B11),0),Demand_Activity_Weekly_Header,CK$42)</f>
        <v>0</v>
      </c>
      <c r="CL53" s="6">
        <f ca="1">SUMIFS(INDEX(Demand_Activity_Weekly,ROW(C11),0),Demand_Activity_Weekly_Header,CL$42)</f>
        <v>0</v>
      </c>
      <c r="CM53" s="6">
        <f ca="1">SUMIFS(INDEX(Demand_Activity_Weekly,ROW(D11),0),Demand_Activity_Weekly_Header,CM$42)</f>
        <v>0</v>
      </c>
      <c r="CN53" s="6">
        <f ca="1">SUMIFS(INDEX(Demand_Activity_Weekly,ROW(E11),0),Demand_Activity_Weekly_Header,CN$42)</f>
        <v>0</v>
      </c>
      <c r="CP53" s="142">
        <f ca="1">INDEX('File 1'!Weekly_Adjusted,11,10)</f>
        <v>24.919784152855019</v>
      </c>
      <c r="CQ53" s="142">
        <f>INDEX('File 1'!Weekly_Adjusted,11,11)</f>
        <v>0</v>
      </c>
      <c r="CR53" s="142">
        <f>INDEX('File 1'!Weekly_Adjusted,11,12)</f>
        <v>0</v>
      </c>
      <c r="CS53" s="143">
        <f>INDEX('File 2'!Weekly_Adjusted,11,10)</f>
        <v>0</v>
      </c>
      <c r="CT53" s="143">
        <f>INDEX('File 2'!Weekly_Adjusted,11,11)</f>
        <v>0</v>
      </c>
      <c r="CU53" s="143">
        <f>INDEX('File 2'!Weekly_Adjusted,11,12)</f>
        <v>0</v>
      </c>
      <c r="CV53" s="142">
        <f>INDEX('File 3'!Weekly_Adjusted,11,10)</f>
        <v>0</v>
      </c>
      <c r="CW53" s="142">
        <f>INDEX('File 3'!Weekly_Adjusted,11,11)</f>
        <v>0</v>
      </c>
      <c r="CX53" s="142">
        <f>INDEX('File 3'!Weekly_Adjusted,11,12)</f>
        <v>0</v>
      </c>
      <c r="CY53" s="143">
        <f>INDEX('File 4'!Weekly_Adjusted,11,10)</f>
        <v>0</v>
      </c>
      <c r="CZ53" s="143">
        <f>INDEX('File 4'!Weekly_Adjusted,11,11)</f>
        <v>0</v>
      </c>
      <c r="DA53" s="143">
        <f>INDEX('File 4'!Weekly_Adjusted,11,12)</f>
        <v>0</v>
      </c>
      <c r="DB53" s="142">
        <f>INDEX('File 5'!Weekly_Adjusted,11,10)</f>
        <v>0</v>
      </c>
      <c r="DC53" s="142">
        <f>INDEX('File 5'!Weekly_Adjusted,11,11)</f>
        <v>0</v>
      </c>
      <c r="DD53" s="142">
        <f>INDEX('File 5'!Weekly_Adjusted,11,12)</f>
        <v>0</v>
      </c>
      <c r="DE53" s="143">
        <f>INDEX('File 6'!Weekly_Adjusted,11,10)</f>
        <v>0</v>
      </c>
      <c r="DF53" s="143">
        <f>INDEX('File 6'!Weekly_Adjusted,11,11)</f>
        <v>0</v>
      </c>
      <c r="DG53" s="143">
        <f>INDEX('File 6'!Weekly_Adjusted,11,12)</f>
        <v>0</v>
      </c>
      <c r="DH53" s="142">
        <f>INDEX('File 7'!Weekly_Adjusted,11,10)</f>
        <v>0</v>
      </c>
      <c r="DI53" s="142">
        <f>INDEX('File 7'!Weekly_Adjusted,11,11)</f>
        <v>0</v>
      </c>
      <c r="DJ53" s="142">
        <f>INDEX('File 7'!Weekly_Adjusted,11,12)</f>
        <v>0</v>
      </c>
      <c r="DK53" s="143">
        <f>INDEX('File 8'!Weekly_Adjusted,11,10)</f>
        <v>0</v>
      </c>
      <c r="DL53" s="143">
        <f>INDEX('File 8'!Weekly_Adjusted,11,11)</f>
        <v>0</v>
      </c>
      <c r="DM53" s="143">
        <f>INDEX('File 8'!Weekly_Adjusted,11,12)</f>
        <v>0</v>
      </c>
      <c r="DN53" s="142">
        <f>INDEX('File 9'!Weekly_Adjusted,11,10)</f>
        <v>0</v>
      </c>
      <c r="DO53" s="142">
        <f>INDEX('File 9'!Weekly_Adjusted,11,11)</f>
        <v>0</v>
      </c>
      <c r="DP53" s="142">
        <f>INDEX('File 9'!Weekly_Adjusted,11,12)</f>
        <v>0</v>
      </c>
      <c r="DQ53" s="143">
        <f>INDEX('File 10'!Weekly_Adjusted,11,10)</f>
        <v>0</v>
      </c>
      <c r="DR53" s="143">
        <f>INDEX('File 10'!Weekly_Adjusted,11,11)</f>
        <v>0</v>
      </c>
      <c r="DS53" s="143">
        <f>INDEX('File 10'!Weekly_Adjusted,11,12)</f>
        <v>0</v>
      </c>
      <c r="DT53" s="142">
        <f>INDEX('File 11'!Weekly_Adjusted,11,10)</f>
        <v>0</v>
      </c>
      <c r="DU53" s="142">
        <f>INDEX('File 11'!Weekly_Adjusted,11,11)</f>
        <v>0</v>
      </c>
      <c r="DV53" s="142">
        <f>INDEX('File 11'!Weekly_Adjusted,11,12)</f>
        <v>0</v>
      </c>
      <c r="DW53" s="143">
        <f>INDEX('File 12'!Weekly_Adjusted,11,10)</f>
        <v>0</v>
      </c>
      <c r="DX53" s="143">
        <f>INDEX('File 12'!Weekly_Adjusted,11,11)</f>
        <v>0</v>
      </c>
      <c r="DY53" s="143">
        <f>INDEX('File 12'!Weekly_Adjusted,11,12)</f>
        <v>0</v>
      </c>
      <c r="DZ53" s="142">
        <f>INDEX('File 13'!Weekly_Adjusted,11,10)</f>
        <v>0</v>
      </c>
      <c r="EA53" s="142">
        <f>INDEX('File 13'!Weekly_Adjusted,11,11)</f>
        <v>0</v>
      </c>
      <c r="EB53" s="142">
        <f>INDEX('File 13'!Weekly_Adjusted,11,12)</f>
        <v>0</v>
      </c>
      <c r="EC53" s="143">
        <f>INDEX('File 14'!Weekly_Adjusted,11,10)</f>
        <v>0</v>
      </c>
      <c r="ED53" s="143">
        <f>INDEX('File 14'!Weekly_Adjusted,11,11)</f>
        <v>0</v>
      </c>
      <c r="EE53" s="143">
        <f>INDEX('File 14'!Weekly_Adjusted,11,12)</f>
        <v>0</v>
      </c>
      <c r="EF53" s="142">
        <f>INDEX('File 15'!Weekly_Adjusted,11,10)</f>
        <v>0</v>
      </c>
      <c r="EG53" s="142">
        <f>INDEX('File 15'!Weekly_Adjusted,11,11)</f>
        <v>0</v>
      </c>
      <c r="EH53" s="142">
        <f>INDEX('File 15'!Weekly_Adjusted,11,12)</f>
        <v>0</v>
      </c>
      <c r="EI53" s="143">
        <f>INDEX('File 16'!Weekly_Adjusted,11,10)</f>
        <v>0</v>
      </c>
      <c r="EJ53" s="143">
        <f>INDEX('File 16'!Weekly_Adjusted,11,11)</f>
        <v>0</v>
      </c>
      <c r="EK53" s="143">
        <f>INDEX('File 16'!Weekly_Adjusted,11,12)</f>
        <v>0</v>
      </c>
      <c r="EL53" s="142">
        <f>INDEX('File 17'!Weekly_Adjusted,11,10)</f>
        <v>0</v>
      </c>
      <c r="EM53" s="142">
        <f>INDEX('File 17'!Weekly_Adjusted,11,11)</f>
        <v>0</v>
      </c>
      <c r="EN53" s="142">
        <f>INDEX('File 17'!Weekly_Adjusted,11,12)</f>
        <v>0</v>
      </c>
      <c r="EO53" s="143">
        <f>INDEX('File 18'!Weekly_Adjusted,11,10)</f>
        <v>0</v>
      </c>
      <c r="EP53" s="143">
        <f>INDEX('File 18'!Weekly_Adjusted,11,11)</f>
        <v>0</v>
      </c>
      <c r="EQ53" s="143">
        <f>INDEX('File 18'!Weekly_Adjusted,11,12)</f>
        <v>0</v>
      </c>
      <c r="ER53" s="142">
        <f>INDEX('File 19'!Weekly_Adjusted,11,10)</f>
        <v>0</v>
      </c>
      <c r="ES53" s="142">
        <f>INDEX('File 19'!Weekly_Adjusted,11,11)</f>
        <v>0</v>
      </c>
      <c r="ET53" s="142">
        <f>INDEX('File 19'!Weekly_Adjusted,11,12)</f>
        <v>0</v>
      </c>
      <c r="EU53" s="143">
        <f>INDEX('File 20'!Weekly_Adjusted,11,10)</f>
        <v>0</v>
      </c>
      <c r="EV53" s="143">
        <f>INDEX('File 20'!Weekly_Adjusted,11,11)</f>
        <v>0</v>
      </c>
      <c r="EW53" s="143">
        <f>INDEX('File 20'!Weekly_Adjusted,11,12)</f>
        <v>0</v>
      </c>
      <c r="EX53" s="6">
        <f ca="1">SUMIFS(INDEX(Capacity_Activity_Weekly,ROW(A11),0),Demand_Activity_Weekly_Header,CJ$42)</f>
        <v>24.919784152855019</v>
      </c>
      <c r="EY53" s="6">
        <f ca="1">SUMIFS(INDEX(Capacity_Activity_Weekly,ROW(B11),0),Demand_Activity_Weekly_Header,CK$42)</f>
        <v>0</v>
      </c>
      <c r="EZ53" s="6">
        <f ca="1">SUMIFS(INDEX(Capacity_Activity_Weekly,ROW(C11),0),Demand_Activity_Weekly_Header,CL$42)</f>
        <v>0</v>
      </c>
      <c r="FA53" s="6">
        <f ca="1">SUMIFS(INDEX(Capacity_Activity_Weekly,ROW(D11),0),Demand_Activity_Weekly_Header,CM$42)</f>
        <v>0</v>
      </c>
      <c r="FB53" s="6">
        <f ca="1">SUMIFS(INDEX(Capacity_Activity_Weekly,ROW(E11),0),Demand_Activity_Weekly_Header,CN$42)</f>
        <v>0</v>
      </c>
      <c r="FD53" s="7">
        <f>'File 1'!$Q$54*'Time based aggregation (hide)'!$Q15</f>
        <v>0</v>
      </c>
      <c r="FE53" s="7">
        <f>'File 1'!$R$54*'Time based aggregation (hide)'!$R15</f>
        <v>0</v>
      </c>
      <c r="FF53" s="7">
        <f>'File 1'!$S$54*'Time based aggregation (hide)'!$S15</f>
        <v>0</v>
      </c>
      <c r="FG53" s="7">
        <f>'File 2'!$Q$54*'Time based aggregation (hide)'!$T15</f>
        <v>0</v>
      </c>
      <c r="FH53" s="7">
        <f>'File 2'!$R$54*'Time based aggregation (hide)'!$U15</f>
        <v>0</v>
      </c>
      <c r="FI53" s="7">
        <f>'File 2'!$S$54*'Time based aggregation (hide)'!$V15</f>
        <v>0</v>
      </c>
      <c r="FJ53" s="7">
        <f>'File 3'!$Q$54*'Time based aggregation (hide)'!$W15</f>
        <v>0</v>
      </c>
      <c r="FK53" s="7">
        <f>'File 3'!$R$54*'Time based aggregation (hide)'!$X15</f>
        <v>0</v>
      </c>
      <c r="FL53" s="7">
        <f>'File 3'!$S$54*'Time based aggregation (hide)'!$Y15</f>
        <v>0</v>
      </c>
      <c r="FM53" s="7">
        <f>'File 4'!$Q$54*'Time based aggregation (hide)'!$Z15</f>
        <v>0</v>
      </c>
      <c r="FN53" s="7">
        <f>'File 4'!$R$54*'Time based aggregation (hide)'!$AA15</f>
        <v>0</v>
      </c>
      <c r="FO53" s="7">
        <f>'File 4'!$S$54*'Time based aggregation (hide)'!$AB15</f>
        <v>0</v>
      </c>
      <c r="FP53" s="7">
        <f>'File 5'!$Q$54*'Time based aggregation (hide)'!$AC15</f>
        <v>0</v>
      </c>
      <c r="FQ53" s="7">
        <f>'File 5'!$R$54*'Time based aggregation (hide)'!$AD15</f>
        <v>0</v>
      </c>
      <c r="FR53" s="7">
        <f>'File 5'!$S$54*'Time based aggregation (hide)'!$AE15</f>
        <v>0</v>
      </c>
      <c r="FS53" s="7">
        <f>'File 6'!$Q$54*'Time based aggregation (hide)'!$AF15</f>
        <v>0</v>
      </c>
      <c r="FT53" s="7">
        <f>'File 6'!$R$54*'Time based aggregation (hide)'!$AG15</f>
        <v>0</v>
      </c>
      <c r="FU53" s="7">
        <f>'File 6'!$S$54*'Time based aggregation (hide)'!$AH15</f>
        <v>0</v>
      </c>
      <c r="FV53" s="7">
        <f>'File 7'!$Q$54*'Time based aggregation (hide)'!$AI15</f>
        <v>0</v>
      </c>
      <c r="FW53" s="7">
        <f>'File 7'!$R$54*'Time based aggregation (hide)'!$AJ15</f>
        <v>0</v>
      </c>
      <c r="FX53" s="7">
        <f>'File 7'!$S$54*'Time based aggregation (hide)'!$AK15</f>
        <v>0</v>
      </c>
      <c r="FY53" s="7">
        <f>'File 8'!$Q$54*'Time based aggregation (hide)'!$AL15</f>
        <v>0</v>
      </c>
      <c r="FZ53" s="7">
        <f>'File 8'!$R$54*'Time based aggregation (hide)'!$AM15</f>
        <v>0</v>
      </c>
      <c r="GA53" s="7">
        <f>'File 8'!$S$54*'Time based aggregation (hide)'!$AN15</f>
        <v>0</v>
      </c>
      <c r="GB53" s="7">
        <f>'File 9'!$Q$54*'Time based aggregation (hide)'!$AO15</f>
        <v>0</v>
      </c>
      <c r="GC53" s="7">
        <f>'File 9'!$R$54*'Time based aggregation (hide)'!$AP15</f>
        <v>0</v>
      </c>
      <c r="GD53" s="7">
        <f>'File 9'!$S$54*'Time based aggregation (hide)'!$AQ15</f>
        <v>0</v>
      </c>
      <c r="GE53" s="7">
        <f>'File 10'!$Q$54*'Time based aggregation (hide)'!$AR15</f>
        <v>0</v>
      </c>
      <c r="GF53" s="7">
        <f>'File 10'!$R$54*'Time based aggregation (hide)'!$AS15</f>
        <v>0</v>
      </c>
      <c r="GG53" s="7">
        <f>'File 10'!$S$54*'Time based aggregation (hide)'!$AT15</f>
        <v>0</v>
      </c>
      <c r="GH53" s="7">
        <f>'File 11'!$Q$54*'Time based aggregation (hide)'!$AU15</f>
        <v>0</v>
      </c>
      <c r="GI53" s="7">
        <f>'File 11'!$R$54*'Time based aggregation (hide)'!$AV15</f>
        <v>0</v>
      </c>
      <c r="GJ53" s="7">
        <f>'File 11'!$S$54*'Time based aggregation (hide)'!$AW15</f>
        <v>0</v>
      </c>
      <c r="GK53" s="7">
        <f>'File 12'!$Q$54*'Time based aggregation (hide)'!$AX15</f>
        <v>0</v>
      </c>
      <c r="GL53" s="7">
        <f>'File 12'!$R$54*'Time based aggregation (hide)'!$AY15</f>
        <v>0</v>
      </c>
      <c r="GM53" s="7">
        <f>'File 12'!$S$54*'Time based aggregation (hide)'!$AZ15</f>
        <v>0</v>
      </c>
      <c r="GN53" s="7">
        <f>'File 13'!$Q$54*'Time based aggregation (hide)'!$BA15</f>
        <v>0</v>
      </c>
      <c r="GO53" s="7">
        <f>'File 13'!$R$54*'Time based aggregation (hide)'!$BB15</f>
        <v>0</v>
      </c>
      <c r="GP53" s="7">
        <f>'File 13'!$S$54*'Time based aggregation (hide)'!$BC15</f>
        <v>0</v>
      </c>
      <c r="GQ53" s="7">
        <f>'File 14'!$Q$54*'Time based aggregation (hide)'!$BD15</f>
        <v>0</v>
      </c>
      <c r="GR53" s="7">
        <f>'File 14'!$R$54*'Time based aggregation (hide)'!$BE15</f>
        <v>0</v>
      </c>
      <c r="GS53" s="7">
        <f>'File 14'!$S$54*'Time based aggregation (hide)'!$BF15</f>
        <v>0</v>
      </c>
      <c r="GT53" s="7">
        <f>'File 15'!$Q$54*'Time based aggregation (hide)'!$BG15</f>
        <v>0</v>
      </c>
      <c r="GU53" s="7">
        <f>'File 15'!$R$54*'Time based aggregation (hide)'!$BH15</f>
        <v>0</v>
      </c>
      <c r="GV53" s="7">
        <f>'File 15'!$S$54*'Time based aggregation (hide)'!$BI15</f>
        <v>0</v>
      </c>
      <c r="GW53" s="7">
        <f>'File 16'!$Q$54*'Time based aggregation (hide)'!$BJ15</f>
        <v>0</v>
      </c>
      <c r="GX53" s="7">
        <f>'File 16'!$R$54*'Time based aggregation (hide)'!$BK15</f>
        <v>0</v>
      </c>
      <c r="GY53" s="7">
        <f>'File 16'!$S$54*'Time based aggregation (hide)'!$BL15</f>
        <v>0</v>
      </c>
      <c r="GZ53" s="7">
        <f>'File 17'!$Q$54*'Time based aggregation (hide)'!$BM15</f>
        <v>0</v>
      </c>
      <c r="HA53" s="7">
        <f>'File 17'!$R$54*'Time based aggregation (hide)'!$BN15</f>
        <v>0</v>
      </c>
      <c r="HB53" s="7">
        <f>'File 17'!$S$54*'Time based aggregation (hide)'!$BO15</f>
        <v>0</v>
      </c>
      <c r="HC53" s="7">
        <f>'File 18'!$Q$54*'Time based aggregation (hide)'!$BP15</f>
        <v>0</v>
      </c>
      <c r="HD53" s="7">
        <f>'File 18'!$R$54*'Time based aggregation (hide)'!$BQ15</f>
        <v>0</v>
      </c>
      <c r="HE53" s="7">
        <f>'File 18'!$S$54*'Time based aggregation (hide)'!$BR15</f>
        <v>0</v>
      </c>
      <c r="HF53" s="7">
        <f>'File 19'!$Q$54*'Time based aggregation (hide)'!$BS15</f>
        <v>0</v>
      </c>
      <c r="HG53" s="7">
        <f>'File 19'!$R$54*'Time based aggregation (hide)'!$BT15</f>
        <v>0</v>
      </c>
      <c r="HH53" s="7">
        <f>'File 19'!$S$54*'Time based aggregation (hide)'!$BU15</f>
        <v>0</v>
      </c>
      <c r="HI53" s="7">
        <f>'File 20'!$Q$54*'Time based aggregation (hide)'!$BV15</f>
        <v>0</v>
      </c>
      <c r="HJ53" s="7">
        <f>'File 20'!$R$54*'Time based aggregation (hide)'!$BW15</f>
        <v>0</v>
      </c>
      <c r="HK53" s="7">
        <f>'File 20'!$S$54*'Time based aggregation (hide)'!$BX15</f>
        <v>0</v>
      </c>
      <c r="HL53" s="7">
        <f t="shared" ref="HL53:HP62" ca="1" si="40">IF(OR($J$102=0,AND($J$102=0,$J$103=0)),SUMIFS($FD53:$HK53,$AB$42:$CI$42,HL$42),SUMIFS(OFFSET($FD53,0,($J$102-1)*3,1,3),OFFSET($FD$42,0,($J$102-1)*3,1,3),HL$42))</f>
        <v>0</v>
      </c>
      <c r="HM53" s="7">
        <f t="shared" ca="1" si="40"/>
        <v>0</v>
      </c>
      <c r="HN53" s="7">
        <f t="shared" ca="1" si="40"/>
        <v>0</v>
      </c>
      <c r="HO53" s="7">
        <f t="shared" ca="1" si="40"/>
        <v>0</v>
      </c>
      <c r="HP53" s="7">
        <f t="shared" ca="1" si="40"/>
        <v>0</v>
      </c>
      <c r="HR53" s="142">
        <f ca="1">INDEX('File 1'!Weekly_Adjusted,11,16)</f>
        <v>21.427839876658773</v>
      </c>
      <c r="HS53" s="142">
        <f>INDEX('File 1'!Weekly_Adjusted,11,17)</f>
        <v>0</v>
      </c>
      <c r="HT53" s="142">
        <f>INDEX('File 1'!Weekly_Adjusted,11,18)</f>
        <v>0</v>
      </c>
      <c r="HU53" s="143">
        <f>INDEX('File 2'!Weekly_Adjusted,11,16)</f>
        <v>0</v>
      </c>
      <c r="HV53" s="143">
        <f>INDEX('File 2'!Weekly_Adjusted,11,17)</f>
        <v>0</v>
      </c>
      <c r="HW53" s="143">
        <f>INDEX('File 2'!Weekly_Adjusted,11,18)</f>
        <v>0</v>
      </c>
      <c r="HX53" s="142">
        <f>INDEX('File 3'!Weekly_Adjusted,11,16)</f>
        <v>0</v>
      </c>
      <c r="HY53" s="142">
        <f>INDEX('File 3'!Weekly_Adjusted,11,17)</f>
        <v>0</v>
      </c>
      <c r="HZ53" s="142">
        <f>INDEX('File 3'!Weekly_Adjusted,11,18)</f>
        <v>0</v>
      </c>
      <c r="IA53" s="143">
        <f>INDEX('File 4'!Weekly_Adjusted,11,16)</f>
        <v>0</v>
      </c>
      <c r="IB53" s="143">
        <f>INDEX('File 4'!Weekly_Adjusted,11,17)</f>
        <v>0</v>
      </c>
      <c r="IC53" s="143">
        <f>INDEX('File 4'!Weekly_Adjusted,11,18)</f>
        <v>0</v>
      </c>
      <c r="ID53" s="142">
        <f>INDEX('File 5'!Weekly_Adjusted,11,16)</f>
        <v>0</v>
      </c>
      <c r="IE53" s="142">
        <f>INDEX('File 5'!Weekly_Adjusted,11,17)</f>
        <v>0</v>
      </c>
      <c r="IF53" s="142">
        <f>INDEX('File 5'!Weekly_Adjusted,11,18)</f>
        <v>0</v>
      </c>
      <c r="IG53" s="143">
        <f>INDEX('File 6'!Weekly_Adjusted,11,16)</f>
        <v>0</v>
      </c>
      <c r="IH53" s="143">
        <f>INDEX('File 6'!Weekly_Adjusted,11,17)</f>
        <v>0</v>
      </c>
      <c r="II53" s="143">
        <f>INDEX('File 6'!Weekly_Adjusted,11,18)</f>
        <v>0</v>
      </c>
      <c r="IJ53" s="142">
        <f>INDEX('File 7'!Weekly_Adjusted,11,16)</f>
        <v>0</v>
      </c>
      <c r="IK53" s="142">
        <f>INDEX('File 7'!Weekly_Adjusted,11,17)</f>
        <v>0</v>
      </c>
      <c r="IL53" s="142">
        <f>INDEX('File 7'!Weekly_Adjusted,11,18)</f>
        <v>0</v>
      </c>
      <c r="IM53" s="143">
        <f>INDEX('File 8'!Weekly_Adjusted,11,16)</f>
        <v>0</v>
      </c>
      <c r="IN53" s="143">
        <f>INDEX('File 8'!Weekly_Adjusted,11,17)</f>
        <v>0</v>
      </c>
      <c r="IO53" s="143">
        <f>INDEX('File 8'!Weekly_Adjusted,11,18)</f>
        <v>0</v>
      </c>
      <c r="IP53" s="142">
        <f>INDEX('File 9'!Weekly_Adjusted,11,16)</f>
        <v>0</v>
      </c>
      <c r="IQ53" s="142">
        <f>INDEX('File 9'!Weekly_Adjusted,11,17)</f>
        <v>0</v>
      </c>
      <c r="IR53" s="142">
        <f>INDEX('File 9'!Weekly_Adjusted,11,18)</f>
        <v>0</v>
      </c>
      <c r="IS53" s="143">
        <f>INDEX('File 10'!Weekly_Adjusted,11,16)</f>
        <v>0</v>
      </c>
      <c r="IT53" s="143">
        <f>INDEX('File 10'!Weekly_Adjusted,11,17)</f>
        <v>0</v>
      </c>
      <c r="IU53" s="143">
        <f>INDEX('File 10'!Weekly_Adjusted,11,18)</f>
        <v>0</v>
      </c>
      <c r="IV53" s="142">
        <f>INDEX('File 11'!Weekly_Adjusted,11,16)</f>
        <v>0</v>
      </c>
      <c r="IW53" s="142">
        <f>INDEX('File 11'!Weekly_Adjusted,11,17)</f>
        <v>0</v>
      </c>
      <c r="IX53" s="142">
        <f>INDEX('File 11'!Weekly_Adjusted,11,18)</f>
        <v>0</v>
      </c>
      <c r="IY53" s="143">
        <f>INDEX('File 12'!Weekly_Adjusted,11,16)</f>
        <v>0</v>
      </c>
      <c r="IZ53" s="143">
        <f>INDEX('File 12'!Weekly_Adjusted,11,17)</f>
        <v>0</v>
      </c>
      <c r="JA53" s="143">
        <f>INDEX('File 12'!Weekly_Adjusted,11,18)</f>
        <v>0</v>
      </c>
      <c r="JB53" s="142">
        <f>INDEX('File 13'!Weekly_Adjusted,11,16)</f>
        <v>0</v>
      </c>
      <c r="JC53" s="142">
        <f>INDEX('File 13'!Weekly_Adjusted,11,17)</f>
        <v>0</v>
      </c>
      <c r="JD53" s="142">
        <f>INDEX('File 13'!Weekly_Adjusted,11,18)</f>
        <v>0</v>
      </c>
      <c r="JE53" s="143">
        <f>INDEX('File 14'!Weekly_Adjusted,11,16)</f>
        <v>0</v>
      </c>
      <c r="JF53" s="143">
        <f>INDEX('File 14'!Weekly_Adjusted,11,17)</f>
        <v>0</v>
      </c>
      <c r="JG53" s="143">
        <f>INDEX('File 14'!Weekly_Adjusted,11,18)</f>
        <v>0</v>
      </c>
      <c r="JH53" s="142">
        <f>INDEX('File 15'!Weekly_Adjusted,11,16)</f>
        <v>0</v>
      </c>
      <c r="JI53" s="142">
        <f>INDEX('File 15'!Weekly_Adjusted,11,17)</f>
        <v>0</v>
      </c>
      <c r="JJ53" s="142">
        <f>INDEX('File 15'!Weekly_Adjusted,11,18)</f>
        <v>0</v>
      </c>
      <c r="JK53" s="143">
        <f>INDEX('File 16'!Weekly_Adjusted,11,16)</f>
        <v>0</v>
      </c>
      <c r="JL53" s="143">
        <f>INDEX('File 16'!Weekly_Adjusted,11,17)</f>
        <v>0</v>
      </c>
      <c r="JM53" s="143">
        <f>INDEX('File 16'!Weekly_Adjusted,11,18)</f>
        <v>0</v>
      </c>
      <c r="JN53" s="142">
        <f>INDEX('File 17'!Weekly_Adjusted,11,16)</f>
        <v>0</v>
      </c>
      <c r="JO53" s="142">
        <f>INDEX('File 17'!Weekly_Adjusted,11,17)</f>
        <v>0</v>
      </c>
      <c r="JP53" s="142">
        <f>INDEX('File 17'!Weekly_Adjusted,11,18)</f>
        <v>0</v>
      </c>
      <c r="JQ53" s="143">
        <f>INDEX('File 18'!Weekly_Adjusted,11,16)</f>
        <v>0</v>
      </c>
      <c r="JR53" s="143">
        <f>INDEX('File 18'!Weekly_Adjusted,11,17)</f>
        <v>0</v>
      </c>
      <c r="JS53" s="143">
        <f>INDEX('File 18'!Weekly_Adjusted,11,18)</f>
        <v>0</v>
      </c>
      <c r="JT53" s="142">
        <f>INDEX('File 19'!Weekly_Adjusted,11,16)</f>
        <v>0</v>
      </c>
      <c r="JU53" s="142">
        <f>INDEX('File 19'!Weekly_Adjusted,11,17)</f>
        <v>0</v>
      </c>
      <c r="JV53" s="142">
        <f>INDEX('File 19'!Weekly_Adjusted,11,18)</f>
        <v>0</v>
      </c>
      <c r="JW53" s="143">
        <f>INDEX('File 20'!Weekly_Adjusted,11,16)</f>
        <v>0</v>
      </c>
      <c r="JX53" s="143">
        <f>INDEX('File 20'!Weekly_Adjusted,11,17)</f>
        <v>0</v>
      </c>
      <c r="JY53" s="143">
        <f>INDEX('File 20'!Weekly_Adjusted,11,18)</f>
        <v>0</v>
      </c>
      <c r="JZ53" s="6">
        <f ca="1">SUMIFS(INDEX(CapacityCore_Activity_Weekly,ROW(EC11),0),Demand_Activity_Weekly_Header,HL$42)</f>
        <v>21.427839876658773</v>
      </c>
      <c r="KA53" s="6">
        <f ca="1">SUMIFS(INDEX(CapacityCore_Activity_Weekly,ROW(ED11),0),Demand_Activity_Weekly_Header,HM$42)</f>
        <v>0</v>
      </c>
      <c r="KB53" s="6">
        <f ca="1">SUMIFS(INDEX(CapacityCore_Activity_Weekly,ROW(EE11),0),Demand_Activity_Weekly_Header,HN$42)</f>
        <v>0</v>
      </c>
      <c r="KC53" s="6">
        <f ca="1">SUMIFS(INDEX(CapacityCore_Activity_Weekly,ROW(EF11),0),Demand_Activity_Weekly_Header,HO$42)</f>
        <v>0</v>
      </c>
      <c r="KD53" s="6">
        <f ca="1">SUMIFS(INDEX(CapacityCore_Activity_Weekly,ROW(EG11),0),Demand_Activity_Weekly_Header,HP$42)</f>
        <v>0</v>
      </c>
      <c r="KF53" s="6">
        <f>SUMIFS('Time based aggregation (hide)'!$J:$J,'Time based aggregation (hide)'!$E:$E,1,'Time based aggregation (hide)'!$F:$F,1,'Time based aggregation (hide)'!$A:$A,ROW(A11))</f>
        <v>0</v>
      </c>
      <c r="KG53" s="6">
        <f>SUMIFS('Time based aggregation (hide)'!$J:$J,'Time based aggregation (hide)'!$E:$E,1,'Time based aggregation (hide)'!$F:$F,2,'Time based aggregation (hide)'!$A:$A,ROW(A11))</f>
        <v>0</v>
      </c>
      <c r="KH53" s="6">
        <f>SUMIFS('Time based aggregation (hide)'!$J:$J,'Time based aggregation (hide)'!$E:$E,1,'Time based aggregation (hide)'!$F:$F,3,'Time based aggregation (hide)'!$A:$A,ROW(A11))</f>
        <v>0</v>
      </c>
      <c r="KI53" s="6">
        <f>SUMIFS('Time based aggregation (hide)'!$J:$J,'Time based aggregation (hide)'!$E:$E,2,'Time based aggregation (hide)'!$F:$F,1,'Time based aggregation (hide)'!$A:$A,ROW(A11))</f>
        <v>0</v>
      </c>
      <c r="KJ53" s="6">
        <f>SUMIFS('Time based aggregation (hide)'!$J:$J,'Time based aggregation (hide)'!$E:$E,2,'Time based aggregation (hide)'!$F:$F,2,'Time based aggregation (hide)'!$A:$A,ROW(A11))</f>
        <v>0</v>
      </c>
      <c r="KK53" s="6">
        <f>SUMIFS('Time based aggregation (hide)'!$J:$J,'Time based aggregation (hide)'!$E:$E,2,'Time based aggregation (hide)'!$F:$F,3,'Time based aggregation (hide)'!$A:$A,ROW(A11))</f>
        <v>0</v>
      </c>
      <c r="KL53" s="6">
        <f>SUMIFS('Time based aggregation (hide)'!$J:$J,'Time based aggregation (hide)'!$E:$E,3,'Time based aggregation (hide)'!$F:$F,1,'Time based aggregation (hide)'!$A:$A,ROW(A11))</f>
        <v>0</v>
      </c>
      <c r="KM53" s="6">
        <f>SUMIFS('Time based aggregation (hide)'!$J:$J,'Time based aggregation (hide)'!$E:$E,3,'Time based aggregation (hide)'!$F:$F,2,'Time based aggregation (hide)'!$A:$A,ROW(A11))</f>
        <v>0</v>
      </c>
      <c r="KN53" s="6">
        <f>SUMIFS('Time based aggregation (hide)'!$J:$J,'Time based aggregation (hide)'!$E:$E,3,'Time based aggregation (hide)'!$F:$F,3,'Time based aggregation (hide)'!$A:$A,ROW(A11))</f>
        <v>0</v>
      </c>
      <c r="KO53" s="6">
        <f>SUMIFS('Time based aggregation (hide)'!$J:$J,'Time based aggregation (hide)'!$E:$E,4,'Time based aggregation (hide)'!$F:$F,1,'Time based aggregation (hide)'!$A:$A,ROW(A11))</f>
        <v>0</v>
      </c>
      <c r="KP53" s="6">
        <f>SUMIFS('Time based aggregation (hide)'!$J:$J,'Time based aggregation (hide)'!$E:$E,4,'Time based aggregation (hide)'!$F:$F,2,'Time based aggregation (hide)'!$A:$A,ROW(A11))</f>
        <v>0</v>
      </c>
      <c r="KQ53" s="6">
        <f>SUMIFS('Time based aggregation (hide)'!$J:$J,'Time based aggregation (hide)'!$E:$E,4,'Time based aggregation (hide)'!$F:$F,3,'Time based aggregation (hide)'!$A:$A,ROW(A11))</f>
        <v>0</v>
      </c>
      <c r="KR53" s="6">
        <f>SUMIFS('Time based aggregation (hide)'!$J:$J,'Time based aggregation (hide)'!$E:$E,5,'Time based aggregation (hide)'!$F:$F,1,'Time based aggregation (hide)'!$A:$A,ROW(A11))</f>
        <v>0</v>
      </c>
      <c r="KS53" s="6">
        <f>SUMIFS('Time based aggregation (hide)'!$J:$J,'Time based aggregation (hide)'!$E:$E,5,'Time based aggregation (hide)'!$F:$F,2,'Time based aggregation (hide)'!$A:$A,ROW(A11))</f>
        <v>0</v>
      </c>
      <c r="KT53" s="6">
        <f>SUMIFS('Time based aggregation (hide)'!$J:$J,'Time based aggregation (hide)'!$E:$E,5,'Time based aggregation (hide)'!$F:$F,3,'Time based aggregation (hide)'!$A:$A,ROW(A11))</f>
        <v>0</v>
      </c>
      <c r="KU53" s="6">
        <f>SUMIFS('Time based aggregation (hide)'!$J:$J,'Time based aggregation (hide)'!$E:$E,6,'Time based aggregation (hide)'!$F:$F,1,'Time based aggregation (hide)'!$A:$A,ROW(A11))</f>
        <v>0</v>
      </c>
      <c r="KV53" s="6">
        <f>SUMIFS('Time based aggregation (hide)'!$J:$J,'Time based aggregation (hide)'!$E:$E,6,'Time based aggregation (hide)'!$F:$F,2,'Time based aggregation (hide)'!$A:$A,ROW(A11))</f>
        <v>0</v>
      </c>
      <c r="KW53" s="6">
        <f>SUMIFS('Time based aggregation (hide)'!$J:$J,'Time based aggregation (hide)'!$E:$E,6,'Time based aggregation (hide)'!$F:$F,3,'Time based aggregation (hide)'!$A:$A,ROW(A11))</f>
        <v>0</v>
      </c>
      <c r="KX53" s="6">
        <f>SUMIFS('Time based aggregation (hide)'!$J:$J,'Time based aggregation (hide)'!$E:$E,7,'Time based aggregation (hide)'!$F:$F,1,'Time based aggregation (hide)'!$A:$A,ROW(A11))</f>
        <v>0</v>
      </c>
      <c r="KY53" s="6">
        <f>SUMIFS('Time based aggregation (hide)'!$J:$J,'Time based aggregation (hide)'!$E:$E,7,'Time based aggregation (hide)'!$F:$F,2,'Time based aggregation (hide)'!$A:$A,ROW(A11))</f>
        <v>0</v>
      </c>
      <c r="KZ53" s="6">
        <f>SUMIFS('Time based aggregation (hide)'!$J:$J,'Time based aggregation (hide)'!$E:$E,7,'Time based aggregation (hide)'!$F:$F,3,'Time based aggregation (hide)'!$A:$A,ROW(A11))</f>
        <v>0</v>
      </c>
      <c r="LA53" s="6">
        <f>SUMIFS('Time based aggregation (hide)'!$J:$J,'Time based aggregation (hide)'!$E:$E,8,'Time based aggregation (hide)'!$F:$F,1,'Time based aggregation (hide)'!$A:$A,ROW(A11))</f>
        <v>0</v>
      </c>
      <c r="LB53" s="6">
        <f>SUMIFS('Time based aggregation (hide)'!$J:$J,'Time based aggregation (hide)'!$E:$E,8,'Time based aggregation (hide)'!$F:$F,2,'Time based aggregation (hide)'!$A:$A,ROW(A11))</f>
        <v>0</v>
      </c>
      <c r="LC53" s="6">
        <f>SUMIFS('Time based aggregation (hide)'!$J:$J,'Time based aggregation (hide)'!$E:$E,8,'Time based aggregation (hide)'!$F:$F,3,'Time based aggregation (hide)'!$A:$A,ROW(A11))</f>
        <v>0</v>
      </c>
      <c r="LD53" s="6">
        <f>SUMIFS('Time based aggregation (hide)'!$J:$J,'Time based aggregation (hide)'!$E:$E,9,'Time based aggregation (hide)'!$F:$F,1,'Time based aggregation (hide)'!$A:$A,ROW(A11))</f>
        <v>0</v>
      </c>
      <c r="LE53" s="6">
        <f>SUMIFS('Time based aggregation (hide)'!$J:$J,'Time based aggregation (hide)'!$E:$E,9,'Time based aggregation (hide)'!$F:$F,2,'Time based aggregation (hide)'!$A:$A,ROW(A11))</f>
        <v>0</v>
      </c>
      <c r="LF53" s="6">
        <f>SUMIFS('Time based aggregation (hide)'!$J:$J,'Time based aggregation (hide)'!$E:$E,9,'Time based aggregation (hide)'!$F:$F,3,'Time based aggregation (hide)'!$A:$A,ROW(A11))</f>
        <v>0</v>
      </c>
      <c r="LG53" s="6">
        <f>SUMIFS('Time based aggregation (hide)'!$J:$J,'Time based aggregation (hide)'!$E:$E,10,'Time based aggregation (hide)'!$F:$F,1,'Time based aggregation (hide)'!$A:$A,ROW(A11))</f>
        <v>0</v>
      </c>
      <c r="LH53" s="6">
        <f>SUMIFS('Time based aggregation (hide)'!$J:$J,'Time based aggregation (hide)'!$E:$E,10,'Time based aggregation (hide)'!$F:$F,2,'Time based aggregation (hide)'!$A:$A,ROW(A11))</f>
        <v>0</v>
      </c>
      <c r="LI53" s="6">
        <f>SUMIFS('Time based aggregation (hide)'!$J:$J,'Time based aggregation (hide)'!$E:$E,10,'Time based aggregation (hide)'!$F:$F,3,'Time based aggregation (hide)'!$A:$A,ROW(A11))</f>
        <v>0</v>
      </c>
      <c r="LJ53" s="6">
        <f>SUMIFS('Time based aggregation (hide)'!$J:$J,'Time based aggregation (hide)'!$E:$E,11,'Time based aggregation (hide)'!$F:$F,1,'Time based aggregation (hide)'!$A:$A,ROW(A11))</f>
        <v>0</v>
      </c>
      <c r="LK53" s="6">
        <f>SUMIFS('Time based aggregation (hide)'!$J:$J,'Time based aggregation (hide)'!$E:$E,11,'Time based aggregation (hide)'!$F:$F,2,'Time based aggregation (hide)'!$A:$A,ROW(A11))</f>
        <v>0</v>
      </c>
      <c r="LL53" s="6">
        <f>SUMIFS('Time based aggregation (hide)'!$J:$J,'Time based aggregation (hide)'!$E:$E,11,'Time based aggregation (hide)'!$F:$F,3,'Time based aggregation (hide)'!$A:$A,ROW(A11))</f>
        <v>0</v>
      </c>
      <c r="LM53" s="6">
        <f>SUMIFS('Time based aggregation (hide)'!$J:$J,'Time based aggregation (hide)'!$E:$E,12,'Time based aggregation (hide)'!$F:$F,1,'Time based aggregation (hide)'!$A:$A,ROW(A11))</f>
        <v>0</v>
      </c>
      <c r="LN53" s="6">
        <f>SUMIFS('Time based aggregation (hide)'!$J:$J,'Time based aggregation (hide)'!$E:$E,12,'Time based aggregation (hide)'!$F:$F,2,'Time based aggregation (hide)'!$A:$A,ROW(A11))</f>
        <v>0</v>
      </c>
      <c r="LO53" s="6">
        <f>SUMIFS('Time based aggregation (hide)'!$J:$J,'Time based aggregation (hide)'!$E:$E,12,'Time based aggregation (hide)'!$F:$F,3,'Time based aggregation (hide)'!$A:$A,ROW(A11))</f>
        <v>0</v>
      </c>
      <c r="LP53" s="6">
        <f>SUMIFS('Time based aggregation (hide)'!$J:$J,'Time based aggregation (hide)'!$E:$E,13,'Time based aggregation (hide)'!$F:$F,1,'Time based aggregation (hide)'!$A:$A,ROW(A11))</f>
        <v>0</v>
      </c>
      <c r="LQ53" s="6">
        <f>SUMIFS('Time based aggregation (hide)'!$J:$J,'Time based aggregation (hide)'!$E:$E,13,'Time based aggregation (hide)'!$F:$F,2,'Time based aggregation (hide)'!$A:$A,ROW(A11))</f>
        <v>0</v>
      </c>
      <c r="LR53" s="6">
        <f>SUMIFS('Time based aggregation (hide)'!$J:$J,'Time based aggregation (hide)'!$E:$E,13,'Time based aggregation (hide)'!$F:$F,3,'Time based aggregation (hide)'!$A:$A,ROW(A11))</f>
        <v>0</v>
      </c>
      <c r="LS53" s="6">
        <f>SUMIFS('Time based aggregation (hide)'!$J:$J,'Time based aggregation (hide)'!$E:$E,14,'Time based aggregation (hide)'!$F:$F,1,'Time based aggregation (hide)'!$A:$A,ROW(A11))</f>
        <v>0</v>
      </c>
      <c r="LT53" s="6">
        <f>SUMIFS('Time based aggregation (hide)'!$J:$J,'Time based aggregation (hide)'!$E:$E,14,'Time based aggregation (hide)'!$F:$F,2,'Time based aggregation (hide)'!$A:$A,ROW(A11))</f>
        <v>0</v>
      </c>
      <c r="LU53" s="6">
        <f>SUMIFS('Time based aggregation (hide)'!$J:$J,'Time based aggregation (hide)'!$E:$E,14,'Time based aggregation (hide)'!$F:$F,3,'Time based aggregation (hide)'!$A:$A,ROW(A11))</f>
        <v>0</v>
      </c>
      <c r="LV53" s="6">
        <f>SUMIFS('Time based aggregation (hide)'!$J:$J,'Time based aggregation (hide)'!$E:$E,15,'Time based aggregation (hide)'!$F:$F,1,'Time based aggregation (hide)'!$A:$A,ROW(A11))</f>
        <v>0</v>
      </c>
      <c r="LW53" s="6">
        <f>SUMIFS('Time based aggregation (hide)'!$J:$J,'Time based aggregation (hide)'!$E:$E,15,'Time based aggregation (hide)'!$F:$F,2,'Time based aggregation (hide)'!$A:$A,ROW(A11))</f>
        <v>0</v>
      </c>
      <c r="LX53" s="6">
        <f>SUMIFS('Time based aggregation (hide)'!$J:$J,'Time based aggregation (hide)'!$E:$E,15,'Time based aggregation (hide)'!$F:$F,3,'Time based aggregation (hide)'!$A:$A,ROW(A11))</f>
        <v>0</v>
      </c>
      <c r="LY53" s="6">
        <f>SUMIFS('Time based aggregation (hide)'!$J:$J,'Time based aggregation (hide)'!$E:$E,16,'Time based aggregation (hide)'!$F:$F,1,'Time based aggregation (hide)'!$A:$A,ROW(A11))</f>
        <v>0</v>
      </c>
      <c r="LZ53" s="6">
        <f>SUMIFS('Time based aggregation (hide)'!$J:$J,'Time based aggregation (hide)'!$E:$E,16,'Time based aggregation (hide)'!$F:$F,2,'Time based aggregation (hide)'!$A:$A,ROW(A11))</f>
        <v>0</v>
      </c>
      <c r="MA53" s="6">
        <f>SUMIFS('Time based aggregation (hide)'!$J:$J,'Time based aggregation (hide)'!$E:$E,16,'Time based aggregation (hide)'!$F:$F,3,'Time based aggregation (hide)'!$A:$A,ROW(A11))</f>
        <v>0</v>
      </c>
      <c r="MB53" s="6">
        <f>SUMIFS('Time based aggregation (hide)'!$J:$J,'Time based aggregation (hide)'!$E:$E,17,'Time based aggregation (hide)'!$F:$F,1,'Time based aggregation (hide)'!$A:$A,ROW(A11))</f>
        <v>0</v>
      </c>
      <c r="MC53" s="6">
        <f>SUMIFS('Time based aggregation (hide)'!$J:$J,'Time based aggregation (hide)'!$E:$E,17,'Time based aggregation (hide)'!$F:$F,2,'Time based aggregation (hide)'!$A:$A,ROW(A11))</f>
        <v>0</v>
      </c>
      <c r="MD53" s="6">
        <f>SUMIFS('Time based aggregation (hide)'!$J:$J,'Time based aggregation (hide)'!$E:$E,17,'Time based aggregation (hide)'!$F:$F,3,'Time based aggregation (hide)'!$A:$A,ROW(A11))</f>
        <v>0</v>
      </c>
      <c r="ME53" s="6">
        <f>SUMIFS('Time based aggregation (hide)'!$J:$J,'Time based aggregation (hide)'!$E:$E,18,'Time based aggregation (hide)'!$F:$F,1,'Time based aggregation (hide)'!$A:$A,ROW(A11))</f>
        <v>0</v>
      </c>
      <c r="MF53" s="6">
        <f>SUMIFS('Time based aggregation (hide)'!$J:$J,'Time based aggregation (hide)'!$E:$E,18,'Time based aggregation (hide)'!$F:$F,2,'Time based aggregation (hide)'!$A:$A,ROW(A11))</f>
        <v>0</v>
      </c>
      <c r="MG53" s="6">
        <f>SUMIFS('Time based aggregation (hide)'!$J:$J,'Time based aggregation (hide)'!$E:$E,18,'Time based aggregation (hide)'!$F:$F,3,'Time based aggregation (hide)'!$A:$A,ROW(A11))</f>
        <v>0</v>
      </c>
      <c r="MH53" s="6">
        <f>SUMIFS('Time based aggregation (hide)'!$J:$J,'Time based aggregation (hide)'!$E:$E,19,'Time based aggregation (hide)'!$F:$F,1,'Time based aggregation (hide)'!$A:$A,ROW(A11))</f>
        <v>0</v>
      </c>
      <c r="MI53" s="6">
        <f>SUMIFS('Time based aggregation (hide)'!$J:$J,'Time based aggregation (hide)'!$E:$E,19,'Time based aggregation (hide)'!$F:$F,2,'Time based aggregation (hide)'!$A:$A,ROW(A11))</f>
        <v>0</v>
      </c>
      <c r="MJ53" s="6">
        <f>SUMIFS('Time based aggregation (hide)'!$J:$J,'Time based aggregation (hide)'!$E:$E,19,'Time based aggregation (hide)'!$F:$F,3,'Time based aggregation (hide)'!$A:$A,ROW(A11))</f>
        <v>0</v>
      </c>
      <c r="MK53" s="6">
        <f>SUMIFS('Time based aggregation (hide)'!$J:$J,'Time based aggregation (hide)'!$E:$E,20,'Time based aggregation (hide)'!$F:$F,1,'Time based aggregation (hide)'!$A:$A,ROW(A11))</f>
        <v>0</v>
      </c>
      <c r="ML53" s="6">
        <f>SUMIFS('Time based aggregation (hide)'!$J:$J,'Time based aggregation (hide)'!$E:$E,20,'Time based aggregation (hide)'!$F:$F,2,'Time based aggregation (hide)'!$A:$A,ROW(A11))</f>
        <v>0</v>
      </c>
      <c r="MM53" s="6">
        <f>SUMIFS('Time based aggregation (hide)'!$J:$J,'Time based aggregation (hide)'!$E:$E,20,'Time based aggregation (hide)'!$F:$F,3,'Time based aggregation (hide)'!$A:$A,ROW(A11))</f>
        <v>0</v>
      </c>
      <c r="MN53" s="7">
        <f t="shared" ca="1" si="36"/>
        <v>0</v>
      </c>
      <c r="MO53" s="7">
        <f t="shared" ca="1" si="32"/>
        <v>0</v>
      </c>
      <c r="MP53" s="7">
        <f t="shared" ca="1" si="32"/>
        <v>0</v>
      </c>
      <c r="MQ53" s="7">
        <f t="shared" ca="1" si="32"/>
        <v>0</v>
      </c>
      <c r="MR53" s="7">
        <f t="shared" ca="1" si="32"/>
        <v>0</v>
      </c>
    </row>
    <row r="54" spans="1:356" x14ac:dyDescent="0.25">
      <c r="A54">
        <f>1</f>
        <v>1</v>
      </c>
      <c r="B54" s="85">
        <f t="shared" si="37"/>
        <v>43842</v>
      </c>
      <c r="C54" s="85">
        <f t="shared" si="25"/>
        <v>43836</v>
      </c>
      <c r="D54">
        <f t="shared" ca="1" si="26"/>
        <v>0</v>
      </c>
      <c r="E54" s="85">
        <f t="shared" si="27"/>
        <v>43831</v>
      </c>
      <c r="F54">
        <f t="shared" si="33"/>
        <v>2</v>
      </c>
      <c r="H54">
        <f t="shared" si="34"/>
        <v>12</v>
      </c>
      <c r="I54" s="85">
        <f t="shared" si="38"/>
        <v>43906</v>
      </c>
      <c r="J54">
        <f t="shared" ca="1" si="28"/>
        <v>5</v>
      </c>
      <c r="K54">
        <f t="shared" ca="1" si="29"/>
        <v>1.968503937007874E-2</v>
      </c>
      <c r="L54" s="114"/>
      <c r="N54" s="85">
        <f t="shared" si="35"/>
        <v>43906</v>
      </c>
      <c r="O54" s="122">
        <f t="shared" ca="1" si="39"/>
        <v>0</v>
      </c>
      <c r="P54" s="122">
        <f t="shared" ca="1" si="39"/>
        <v>0</v>
      </c>
      <c r="Q54" s="122">
        <f t="shared" ca="1" si="39"/>
        <v>1</v>
      </c>
      <c r="R54" s="122">
        <f t="shared" ca="1" si="39"/>
        <v>0</v>
      </c>
      <c r="S54" s="122">
        <f t="shared" ca="1" si="39"/>
        <v>0</v>
      </c>
      <c r="T54" s="122">
        <f t="shared" ca="1" si="39"/>
        <v>0</v>
      </c>
      <c r="U54" s="122">
        <f t="shared" ca="1" si="39"/>
        <v>0</v>
      </c>
      <c r="V54" s="122">
        <f t="shared" ca="1" si="39"/>
        <v>0</v>
      </c>
      <c r="W54" s="122">
        <f t="shared" ca="1" si="39"/>
        <v>0</v>
      </c>
      <c r="X54" s="122">
        <f t="shared" ca="1" si="39"/>
        <v>0</v>
      </c>
      <c r="Y54" s="122">
        <f t="shared" ca="1" si="39"/>
        <v>0</v>
      </c>
      <c r="Z54" s="122">
        <f t="shared" ca="1" si="39"/>
        <v>0</v>
      </c>
      <c r="AA54" s="122"/>
      <c r="AB54" s="140">
        <f>INDEX('File 1'!Weekly_Adjusted,12,1)</f>
        <v>388.17143954725253</v>
      </c>
      <c r="AC54" s="140">
        <f>INDEX('File 1'!Weekly_Adjusted,12,2)</f>
        <v>0</v>
      </c>
      <c r="AD54" s="140">
        <f>INDEX('File 1'!Weekly_Adjusted,12,3)</f>
        <v>0</v>
      </c>
      <c r="AE54" s="141">
        <f>INDEX('File 2'!Weekly_Adjusted,12,1)</f>
        <v>0</v>
      </c>
      <c r="AF54" s="141">
        <f>INDEX('File 2'!Weekly_Adjusted,12,2)</f>
        <v>0</v>
      </c>
      <c r="AG54" s="141">
        <f>INDEX('File 2'!Weekly_Adjusted,12,3)</f>
        <v>0</v>
      </c>
      <c r="AH54" s="140">
        <f>INDEX('File 3'!Weekly_Adjusted,12,1)</f>
        <v>0</v>
      </c>
      <c r="AI54" s="140">
        <f>INDEX('File 3'!Weekly_Adjusted,12,2)</f>
        <v>0</v>
      </c>
      <c r="AJ54" s="140">
        <f>INDEX('File 3'!Weekly_Adjusted,12,3)</f>
        <v>0</v>
      </c>
      <c r="AK54" s="141">
        <f>INDEX('File 4'!Weekly_Adjusted,12,1)</f>
        <v>0</v>
      </c>
      <c r="AL54" s="141">
        <f>INDEX('File 4'!Weekly_Adjusted,12,2)</f>
        <v>0</v>
      </c>
      <c r="AM54" s="141">
        <f>INDEX('File 4'!Weekly_Adjusted,12,3)</f>
        <v>0</v>
      </c>
      <c r="AN54" s="140">
        <f>INDEX('File 5'!Weekly_Adjusted,12,1)</f>
        <v>0</v>
      </c>
      <c r="AO54" s="140">
        <f>INDEX('File 5'!Weekly_Adjusted,12,2)</f>
        <v>0</v>
      </c>
      <c r="AP54" s="140">
        <f>INDEX('File 5'!Weekly_Adjusted,12,3)</f>
        <v>0</v>
      </c>
      <c r="AQ54" s="141">
        <f>INDEX('File 6'!Weekly_Adjusted,12,1)</f>
        <v>0</v>
      </c>
      <c r="AR54" s="141">
        <f>INDEX('File 6'!Weekly_Adjusted,12,2)</f>
        <v>0</v>
      </c>
      <c r="AS54" s="141">
        <f>INDEX('File 6'!Weekly_Adjusted,12,3)</f>
        <v>0</v>
      </c>
      <c r="AT54" s="140">
        <f>INDEX('File 7'!Weekly_Adjusted,12,1)</f>
        <v>0</v>
      </c>
      <c r="AU54" s="140">
        <f>INDEX('File 7'!Weekly_Adjusted,12,2)</f>
        <v>0</v>
      </c>
      <c r="AV54" s="140">
        <f>INDEX('File 7'!Weekly_Adjusted,12,3)</f>
        <v>0</v>
      </c>
      <c r="AW54" s="141">
        <f>INDEX('File 8'!Weekly_Adjusted,12,1)</f>
        <v>0</v>
      </c>
      <c r="AX54" s="141">
        <f>INDEX('File 8'!Weekly_Adjusted,12,2)</f>
        <v>0</v>
      </c>
      <c r="AY54" s="141">
        <f>INDEX('File 8'!Weekly_Adjusted,12,3)</f>
        <v>0</v>
      </c>
      <c r="AZ54" s="140">
        <f>INDEX('File 9'!Weekly_Adjusted,12,1)</f>
        <v>0</v>
      </c>
      <c r="BA54" s="140">
        <f>INDEX('File 9'!Weekly_Adjusted,12,2)</f>
        <v>0</v>
      </c>
      <c r="BB54" s="140">
        <f>INDEX('File 9'!Weekly_Adjusted,12,3)</f>
        <v>0</v>
      </c>
      <c r="BC54" s="141">
        <f>INDEX('File 10'!Weekly_Adjusted,12,1)</f>
        <v>0</v>
      </c>
      <c r="BD54" s="141">
        <f>INDEX('File 10'!Weekly_Adjusted,12,2)</f>
        <v>0</v>
      </c>
      <c r="BE54" s="141">
        <f>INDEX('File 10'!Weekly_Adjusted,12,3)</f>
        <v>0</v>
      </c>
      <c r="BF54" s="140">
        <f>INDEX('File 11'!Weekly_Adjusted,12,1)</f>
        <v>0</v>
      </c>
      <c r="BG54" s="140">
        <f>INDEX('File 11'!Weekly_Adjusted,12,2)</f>
        <v>0</v>
      </c>
      <c r="BH54" s="140">
        <f>INDEX('File 11'!Weekly_Adjusted,12,3)</f>
        <v>0</v>
      </c>
      <c r="BI54" s="141">
        <f>INDEX('File 12'!Weekly_Adjusted,12,1)</f>
        <v>0</v>
      </c>
      <c r="BJ54" s="141">
        <f>INDEX('File 12'!Weekly_Adjusted,12,2)</f>
        <v>0</v>
      </c>
      <c r="BK54" s="141">
        <f>INDEX('File 12'!Weekly_Adjusted,12,3)</f>
        <v>0</v>
      </c>
      <c r="BL54" s="140">
        <f>INDEX('File 13'!Weekly_Adjusted,12,1)</f>
        <v>0</v>
      </c>
      <c r="BM54" s="140">
        <f>INDEX('File 13'!Weekly_Adjusted,12,2)</f>
        <v>0</v>
      </c>
      <c r="BN54" s="140">
        <f>INDEX('File 13'!Weekly_Adjusted,12,3)</f>
        <v>0</v>
      </c>
      <c r="BO54" s="141">
        <f>INDEX('File 14'!Weekly_Adjusted,12,1)</f>
        <v>0</v>
      </c>
      <c r="BP54" s="141">
        <f>INDEX('File 14'!Weekly_Adjusted,12,2)</f>
        <v>0</v>
      </c>
      <c r="BQ54" s="141">
        <f>INDEX('File 14'!Weekly_Adjusted,12,3)</f>
        <v>0</v>
      </c>
      <c r="BR54" s="140">
        <f>INDEX('File 15'!Weekly_Adjusted,12,1)</f>
        <v>0</v>
      </c>
      <c r="BS54" s="140">
        <f>INDEX('File 15'!Weekly_Adjusted,12,2)</f>
        <v>0</v>
      </c>
      <c r="BT54" s="140">
        <f>INDEX('File 15'!Weekly_Adjusted,12,3)</f>
        <v>0</v>
      </c>
      <c r="BU54" s="141">
        <f>INDEX('File 16'!Weekly_Adjusted,12,1)</f>
        <v>0</v>
      </c>
      <c r="BV54" s="141">
        <f>INDEX('File 16'!Weekly_Adjusted,12,2)</f>
        <v>0</v>
      </c>
      <c r="BW54" s="141">
        <f>INDEX('File 16'!Weekly_Adjusted,12,3)</f>
        <v>0</v>
      </c>
      <c r="BX54" s="140">
        <f>INDEX('File 17'!Weekly_Adjusted,12,1)</f>
        <v>0</v>
      </c>
      <c r="BY54" s="140">
        <f>INDEX('File 17'!Weekly_Adjusted,12,2)</f>
        <v>0</v>
      </c>
      <c r="BZ54" s="140">
        <f>INDEX('File 17'!Weekly_Adjusted,12,3)</f>
        <v>0</v>
      </c>
      <c r="CA54" s="141">
        <f>INDEX('File 18'!Weekly_Adjusted,12,1)</f>
        <v>0</v>
      </c>
      <c r="CB54" s="141">
        <f>INDEX('File 18'!Weekly_Adjusted,12,2)</f>
        <v>0</v>
      </c>
      <c r="CC54" s="141">
        <f>INDEX('File 18'!Weekly_Adjusted,12,3)</f>
        <v>0</v>
      </c>
      <c r="CD54" s="140">
        <f>INDEX('File 19'!Weekly_Adjusted,12,1)</f>
        <v>0</v>
      </c>
      <c r="CE54" s="140">
        <f>INDEX('File 19'!Weekly_Adjusted,12,2)</f>
        <v>0</v>
      </c>
      <c r="CF54" s="140">
        <f>INDEX('File 19'!Weekly_Adjusted,12,3)</f>
        <v>0</v>
      </c>
      <c r="CG54" s="141">
        <f>INDEX('File 20'!Weekly_Adjusted,12,1)</f>
        <v>0</v>
      </c>
      <c r="CH54" s="141">
        <f>INDEX('File 20'!Weekly_Adjusted,12,2)</f>
        <v>0</v>
      </c>
      <c r="CI54" s="141">
        <f>INDEX('File 20'!Weekly_Adjusted,12,3)</f>
        <v>0</v>
      </c>
      <c r="CJ54" s="6">
        <f ca="1">SUMIFS(INDEX(Demand_Activity_Weekly,ROW(A12),0),Demand_Activity_Weekly_Header,CJ$42)</f>
        <v>388.17143954725253</v>
      </c>
      <c r="CK54" s="6">
        <f ca="1">SUMIFS(INDEX(Demand_Activity_Weekly,ROW(B12),0),Demand_Activity_Weekly_Header,CK$42)</f>
        <v>0</v>
      </c>
      <c r="CL54" s="6">
        <f ca="1">SUMIFS(INDEX(Demand_Activity_Weekly,ROW(C12),0),Demand_Activity_Weekly_Header,CL$42)</f>
        <v>0</v>
      </c>
      <c r="CM54" s="6">
        <f ca="1">SUMIFS(INDEX(Demand_Activity_Weekly,ROW(D12),0),Demand_Activity_Weekly_Header,CM$42)</f>
        <v>0</v>
      </c>
      <c r="CN54" s="6">
        <f ca="1">SUMIFS(INDEX(Demand_Activity_Weekly,ROW(E12),0),Demand_Activity_Weekly_Header,CN$42)</f>
        <v>0</v>
      </c>
      <c r="CP54" s="142">
        <f ca="1">INDEX('File 1'!Weekly_Adjusted,12,10)</f>
        <v>24.919784152855019</v>
      </c>
      <c r="CQ54" s="142">
        <f>INDEX('File 1'!Weekly_Adjusted,12,11)</f>
        <v>0</v>
      </c>
      <c r="CR54" s="142">
        <f>INDEX('File 1'!Weekly_Adjusted,12,12)</f>
        <v>0</v>
      </c>
      <c r="CS54" s="143">
        <f>INDEX('File 2'!Weekly_Adjusted,12,10)</f>
        <v>0</v>
      </c>
      <c r="CT54" s="143">
        <f>INDEX('File 2'!Weekly_Adjusted,12,11)</f>
        <v>0</v>
      </c>
      <c r="CU54" s="143">
        <f>INDEX('File 2'!Weekly_Adjusted,12,12)</f>
        <v>0</v>
      </c>
      <c r="CV54" s="142">
        <f>INDEX('File 3'!Weekly_Adjusted,12,10)</f>
        <v>0</v>
      </c>
      <c r="CW54" s="142">
        <f>INDEX('File 3'!Weekly_Adjusted,12,11)</f>
        <v>0</v>
      </c>
      <c r="CX54" s="142">
        <f>INDEX('File 3'!Weekly_Adjusted,12,12)</f>
        <v>0</v>
      </c>
      <c r="CY54" s="143">
        <f>INDEX('File 4'!Weekly_Adjusted,12,10)</f>
        <v>0</v>
      </c>
      <c r="CZ54" s="143">
        <f>INDEX('File 4'!Weekly_Adjusted,12,11)</f>
        <v>0</v>
      </c>
      <c r="DA54" s="143">
        <f>INDEX('File 4'!Weekly_Adjusted,12,12)</f>
        <v>0</v>
      </c>
      <c r="DB54" s="142">
        <f>INDEX('File 5'!Weekly_Adjusted,12,10)</f>
        <v>0</v>
      </c>
      <c r="DC54" s="142">
        <f>INDEX('File 5'!Weekly_Adjusted,12,11)</f>
        <v>0</v>
      </c>
      <c r="DD54" s="142">
        <f>INDEX('File 5'!Weekly_Adjusted,12,12)</f>
        <v>0</v>
      </c>
      <c r="DE54" s="143">
        <f>INDEX('File 6'!Weekly_Adjusted,12,10)</f>
        <v>0</v>
      </c>
      <c r="DF54" s="143">
        <f>INDEX('File 6'!Weekly_Adjusted,12,11)</f>
        <v>0</v>
      </c>
      <c r="DG54" s="143">
        <f>INDEX('File 6'!Weekly_Adjusted,12,12)</f>
        <v>0</v>
      </c>
      <c r="DH54" s="142">
        <f>INDEX('File 7'!Weekly_Adjusted,12,10)</f>
        <v>0</v>
      </c>
      <c r="DI54" s="142">
        <f>INDEX('File 7'!Weekly_Adjusted,12,11)</f>
        <v>0</v>
      </c>
      <c r="DJ54" s="142">
        <f>INDEX('File 7'!Weekly_Adjusted,12,12)</f>
        <v>0</v>
      </c>
      <c r="DK54" s="143">
        <f>INDEX('File 8'!Weekly_Adjusted,12,10)</f>
        <v>0</v>
      </c>
      <c r="DL54" s="143">
        <f>INDEX('File 8'!Weekly_Adjusted,12,11)</f>
        <v>0</v>
      </c>
      <c r="DM54" s="143">
        <f>INDEX('File 8'!Weekly_Adjusted,12,12)</f>
        <v>0</v>
      </c>
      <c r="DN54" s="142">
        <f>INDEX('File 9'!Weekly_Adjusted,12,10)</f>
        <v>0</v>
      </c>
      <c r="DO54" s="142">
        <f>INDEX('File 9'!Weekly_Adjusted,12,11)</f>
        <v>0</v>
      </c>
      <c r="DP54" s="142">
        <f>INDEX('File 9'!Weekly_Adjusted,12,12)</f>
        <v>0</v>
      </c>
      <c r="DQ54" s="143">
        <f>INDEX('File 10'!Weekly_Adjusted,12,10)</f>
        <v>0</v>
      </c>
      <c r="DR54" s="143">
        <f>INDEX('File 10'!Weekly_Adjusted,12,11)</f>
        <v>0</v>
      </c>
      <c r="DS54" s="143">
        <f>INDEX('File 10'!Weekly_Adjusted,12,12)</f>
        <v>0</v>
      </c>
      <c r="DT54" s="142">
        <f>INDEX('File 11'!Weekly_Adjusted,12,10)</f>
        <v>0</v>
      </c>
      <c r="DU54" s="142">
        <f>INDEX('File 11'!Weekly_Adjusted,12,11)</f>
        <v>0</v>
      </c>
      <c r="DV54" s="142">
        <f>INDEX('File 11'!Weekly_Adjusted,12,12)</f>
        <v>0</v>
      </c>
      <c r="DW54" s="143">
        <f>INDEX('File 12'!Weekly_Adjusted,12,10)</f>
        <v>0</v>
      </c>
      <c r="DX54" s="143">
        <f>INDEX('File 12'!Weekly_Adjusted,12,11)</f>
        <v>0</v>
      </c>
      <c r="DY54" s="143">
        <f>INDEX('File 12'!Weekly_Adjusted,12,12)</f>
        <v>0</v>
      </c>
      <c r="DZ54" s="142">
        <f>INDEX('File 13'!Weekly_Adjusted,12,10)</f>
        <v>0</v>
      </c>
      <c r="EA54" s="142">
        <f>INDEX('File 13'!Weekly_Adjusted,12,11)</f>
        <v>0</v>
      </c>
      <c r="EB54" s="142">
        <f>INDEX('File 13'!Weekly_Adjusted,12,12)</f>
        <v>0</v>
      </c>
      <c r="EC54" s="143">
        <f>INDEX('File 14'!Weekly_Adjusted,12,10)</f>
        <v>0</v>
      </c>
      <c r="ED54" s="143">
        <f>INDEX('File 14'!Weekly_Adjusted,12,11)</f>
        <v>0</v>
      </c>
      <c r="EE54" s="143">
        <f>INDEX('File 14'!Weekly_Adjusted,12,12)</f>
        <v>0</v>
      </c>
      <c r="EF54" s="142">
        <f>INDEX('File 15'!Weekly_Adjusted,12,10)</f>
        <v>0</v>
      </c>
      <c r="EG54" s="142">
        <f>INDEX('File 15'!Weekly_Adjusted,12,11)</f>
        <v>0</v>
      </c>
      <c r="EH54" s="142">
        <f>INDEX('File 15'!Weekly_Adjusted,12,12)</f>
        <v>0</v>
      </c>
      <c r="EI54" s="143">
        <f>INDEX('File 16'!Weekly_Adjusted,12,10)</f>
        <v>0</v>
      </c>
      <c r="EJ54" s="143">
        <f>INDEX('File 16'!Weekly_Adjusted,12,11)</f>
        <v>0</v>
      </c>
      <c r="EK54" s="143">
        <f>INDEX('File 16'!Weekly_Adjusted,12,12)</f>
        <v>0</v>
      </c>
      <c r="EL54" s="142">
        <f>INDEX('File 17'!Weekly_Adjusted,12,10)</f>
        <v>0</v>
      </c>
      <c r="EM54" s="142">
        <f>INDEX('File 17'!Weekly_Adjusted,12,11)</f>
        <v>0</v>
      </c>
      <c r="EN54" s="142">
        <f>INDEX('File 17'!Weekly_Adjusted,12,12)</f>
        <v>0</v>
      </c>
      <c r="EO54" s="143">
        <f>INDEX('File 18'!Weekly_Adjusted,12,10)</f>
        <v>0</v>
      </c>
      <c r="EP54" s="143">
        <f>INDEX('File 18'!Weekly_Adjusted,12,11)</f>
        <v>0</v>
      </c>
      <c r="EQ54" s="143">
        <f>INDEX('File 18'!Weekly_Adjusted,12,12)</f>
        <v>0</v>
      </c>
      <c r="ER54" s="142">
        <f>INDEX('File 19'!Weekly_Adjusted,12,10)</f>
        <v>0</v>
      </c>
      <c r="ES54" s="142">
        <f>INDEX('File 19'!Weekly_Adjusted,12,11)</f>
        <v>0</v>
      </c>
      <c r="ET54" s="142">
        <f>INDEX('File 19'!Weekly_Adjusted,12,12)</f>
        <v>0</v>
      </c>
      <c r="EU54" s="143">
        <f>INDEX('File 20'!Weekly_Adjusted,12,10)</f>
        <v>0</v>
      </c>
      <c r="EV54" s="143">
        <f>INDEX('File 20'!Weekly_Adjusted,12,11)</f>
        <v>0</v>
      </c>
      <c r="EW54" s="143">
        <f>INDEX('File 20'!Weekly_Adjusted,12,12)</f>
        <v>0</v>
      </c>
      <c r="EX54" s="6">
        <f ca="1">SUMIFS(INDEX(Capacity_Activity_Weekly,ROW(A12),0),Demand_Activity_Weekly_Header,CJ$42)</f>
        <v>24.919784152855019</v>
      </c>
      <c r="EY54" s="6">
        <f ca="1">SUMIFS(INDEX(Capacity_Activity_Weekly,ROW(B12),0),Demand_Activity_Weekly_Header,CK$42)</f>
        <v>0</v>
      </c>
      <c r="EZ54" s="6">
        <f ca="1">SUMIFS(INDEX(Capacity_Activity_Weekly,ROW(C12),0),Demand_Activity_Weekly_Header,CL$42)</f>
        <v>0</v>
      </c>
      <c r="FA54" s="6">
        <f ca="1">SUMIFS(INDEX(Capacity_Activity_Weekly,ROW(D12),0),Demand_Activity_Weekly_Header,CM$42)</f>
        <v>0</v>
      </c>
      <c r="FB54" s="6">
        <f ca="1">SUMIFS(INDEX(Capacity_Activity_Weekly,ROW(E12),0),Demand_Activity_Weekly_Header,CN$42)</f>
        <v>0</v>
      </c>
      <c r="FD54" s="7">
        <f>'File 1'!$Q$54*'Time based aggregation (hide)'!$Q16</f>
        <v>0</v>
      </c>
      <c r="FE54" s="7">
        <f>'File 1'!$R$54*'Time based aggregation (hide)'!$R16</f>
        <v>0</v>
      </c>
      <c r="FF54" s="7">
        <f>'File 1'!$S$54*'Time based aggregation (hide)'!$S16</f>
        <v>0</v>
      </c>
      <c r="FG54" s="7">
        <f>'File 2'!$Q$54*'Time based aggregation (hide)'!$T16</f>
        <v>0</v>
      </c>
      <c r="FH54" s="7">
        <f>'File 2'!$R$54*'Time based aggregation (hide)'!$U16</f>
        <v>0</v>
      </c>
      <c r="FI54" s="7">
        <f>'File 2'!$S$54*'Time based aggregation (hide)'!$V16</f>
        <v>0</v>
      </c>
      <c r="FJ54" s="7">
        <f>'File 3'!$Q$54*'Time based aggregation (hide)'!$W16</f>
        <v>0</v>
      </c>
      <c r="FK54" s="7">
        <f>'File 3'!$R$54*'Time based aggregation (hide)'!$X16</f>
        <v>0</v>
      </c>
      <c r="FL54" s="7">
        <f>'File 3'!$S$54*'Time based aggregation (hide)'!$Y16</f>
        <v>0</v>
      </c>
      <c r="FM54" s="7">
        <f>'File 4'!$Q$54*'Time based aggregation (hide)'!$Z16</f>
        <v>0</v>
      </c>
      <c r="FN54" s="7">
        <f>'File 4'!$R$54*'Time based aggregation (hide)'!$AA16</f>
        <v>0</v>
      </c>
      <c r="FO54" s="7">
        <f>'File 4'!$S$54*'Time based aggregation (hide)'!$AB16</f>
        <v>0</v>
      </c>
      <c r="FP54" s="7">
        <f>'File 5'!$Q$54*'Time based aggregation (hide)'!$AC16</f>
        <v>0</v>
      </c>
      <c r="FQ54" s="7">
        <f>'File 5'!$R$54*'Time based aggregation (hide)'!$AD16</f>
        <v>0</v>
      </c>
      <c r="FR54" s="7">
        <f>'File 5'!$S$54*'Time based aggregation (hide)'!$AE16</f>
        <v>0</v>
      </c>
      <c r="FS54" s="7">
        <f>'File 6'!$Q$54*'Time based aggregation (hide)'!$AF16</f>
        <v>0</v>
      </c>
      <c r="FT54" s="7">
        <f>'File 6'!$R$54*'Time based aggregation (hide)'!$AG16</f>
        <v>0</v>
      </c>
      <c r="FU54" s="7">
        <f>'File 6'!$S$54*'Time based aggregation (hide)'!$AH16</f>
        <v>0</v>
      </c>
      <c r="FV54" s="7">
        <f>'File 7'!$Q$54*'Time based aggregation (hide)'!$AI16</f>
        <v>0</v>
      </c>
      <c r="FW54" s="7">
        <f>'File 7'!$R$54*'Time based aggregation (hide)'!$AJ16</f>
        <v>0</v>
      </c>
      <c r="FX54" s="7">
        <f>'File 7'!$S$54*'Time based aggregation (hide)'!$AK16</f>
        <v>0</v>
      </c>
      <c r="FY54" s="7">
        <f>'File 8'!$Q$54*'Time based aggregation (hide)'!$AL16</f>
        <v>0</v>
      </c>
      <c r="FZ54" s="7">
        <f>'File 8'!$R$54*'Time based aggregation (hide)'!$AM16</f>
        <v>0</v>
      </c>
      <c r="GA54" s="7">
        <f>'File 8'!$S$54*'Time based aggregation (hide)'!$AN16</f>
        <v>0</v>
      </c>
      <c r="GB54" s="7">
        <f>'File 9'!$Q$54*'Time based aggregation (hide)'!$AO16</f>
        <v>0</v>
      </c>
      <c r="GC54" s="7">
        <f>'File 9'!$R$54*'Time based aggregation (hide)'!$AP16</f>
        <v>0</v>
      </c>
      <c r="GD54" s="7">
        <f>'File 9'!$S$54*'Time based aggregation (hide)'!$AQ16</f>
        <v>0</v>
      </c>
      <c r="GE54" s="7">
        <f>'File 10'!$Q$54*'Time based aggregation (hide)'!$AR16</f>
        <v>0</v>
      </c>
      <c r="GF54" s="7">
        <f>'File 10'!$R$54*'Time based aggregation (hide)'!$AS16</f>
        <v>0</v>
      </c>
      <c r="GG54" s="7">
        <f>'File 10'!$S$54*'Time based aggregation (hide)'!$AT16</f>
        <v>0</v>
      </c>
      <c r="GH54" s="7">
        <f>'File 11'!$Q$54*'Time based aggregation (hide)'!$AU16</f>
        <v>0</v>
      </c>
      <c r="GI54" s="7">
        <f>'File 11'!$R$54*'Time based aggregation (hide)'!$AV16</f>
        <v>0</v>
      </c>
      <c r="GJ54" s="7">
        <f>'File 11'!$S$54*'Time based aggregation (hide)'!$AW16</f>
        <v>0</v>
      </c>
      <c r="GK54" s="7">
        <f>'File 12'!$Q$54*'Time based aggregation (hide)'!$AX16</f>
        <v>0</v>
      </c>
      <c r="GL54" s="7">
        <f>'File 12'!$R$54*'Time based aggregation (hide)'!$AY16</f>
        <v>0</v>
      </c>
      <c r="GM54" s="7">
        <f>'File 12'!$S$54*'Time based aggregation (hide)'!$AZ16</f>
        <v>0</v>
      </c>
      <c r="GN54" s="7">
        <f>'File 13'!$Q$54*'Time based aggregation (hide)'!$BA16</f>
        <v>0</v>
      </c>
      <c r="GO54" s="7">
        <f>'File 13'!$R$54*'Time based aggregation (hide)'!$BB16</f>
        <v>0</v>
      </c>
      <c r="GP54" s="7">
        <f>'File 13'!$S$54*'Time based aggregation (hide)'!$BC16</f>
        <v>0</v>
      </c>
      <c r="GQ54" s="7">
        <f>'File 14'!$Q$54*'Time based aggregation (hide)'!$BD16</f>
        <v>0</v>
      </c>
      <c r="GR54" s="7">
        <f>'File 14'!$R$54*'Time based aggregation (hide)'!$BE16</f>
        <v>0</v>
      </c>
      <c r="GS54" s="7">
        <f>'File 14'!$S$54*'Time based aggregation (hide)'!$BF16</f>
        <v>0</v>
      </c>
      <c r="GT54" s="7">
        <f>'File 15'!$Q$54*'Time based aggregation (hide)'!$BG16</f>
        <v>0</v>
      </c>
      <c r="GU54" s="7">
        <f>'File 15'!$R$54*'Time based aggregation (hide)'!$BH16</f>
        <v>0</v>
      </c>
      <c r="GV54" s="7">
        <f>'File 15'!$S$54*'Time based aggregation (hide)'!$BI16</f>
        <v>0</v>
      </c>
      <c r="GW54" s="7">
        <f>'File 16'!$Q$54*'Time based aggregation (hide)'!$BJ16</f>
        <v>0</v>
      </c>
      <c r="GX54" s="7">
        <f>'File 16'!$R$54*'Time based aggregation (hide)'!$BK16</f>
        <v>0</v>
      </c>
      <c r="GY54" s="7">
        <f>'File 16'!$S$54*'Time based aggregation (hide)'!$BL16</f>
        <v>0</v>
      </c>
      <c r="GZ54" s="7">
        <f>'File 17'!$Q$54*'Time based aggregation (hide)'!$BM16</f>
        <v>0</v>
      </c>
      <c r="HA54" s="7">
        <f>'File 17'!$R$54*'Time based aggregation (hide)'!$BN16</f>
        <v>0</v>
      </c>
      <c r="HB54" s="7">
        <f>'File 17'!$S$54*'Time based aggregation (hide)'!$BO16</f>
        <v>0</v>
      </c>
      <c r="HC54" s="7">
        <f>'File 18'!$Q$54*'Time based aggregation (hide)'!$BP16</f>
        <v>0</v>
      </c>
      <c r="HD54" s="7">
        <f>'File 18'!$R$54*'Time based aggregation (hide)'!$BQ16</f>
        <v>0</v>
      </c>
      <c r="HE54" s="7">
        <f>'File 18'!$S$54*'Time based aggregation (hide)'!$BR16</f>
        <v>0</v>
      </c>
      <c r="HF54" s="7">
        <f>'File 19'!$Q$54*'Time based aggregation (hide)'!$BS16</f>
        <v>0</v>
      </c>
      <c r="HG54" s="7">
        <f>'File 19'!$R$54*'Time based aggregation (hide)'!$BT16</f>
        <v>0</v>
      </c>
      <c r="HH54" s="7">
        <f>'File 19'!$S$54*'Time based aggregation (hide)'!$BU16</f>
        <v>0</v>
      </c>
      <c r="HI54" s="7">
        <f>'File 20'!$Q$54*'Time based aggregation (hide)'!$BV16</f>
        <v>0</v>
      </c>
      <c r="HJ54" s="7">
        <f>'File 20'!$R$54*'Time based aggregation (hide)'!$BW16</f>
        <v>0</v>
      </c>
      <c r="HK54" s="7">
        <f>'File 20'!$S$54*'Time based aggregation (hide)'!$BX16</f>
        <v>0</v>
      </c>
      <c r="HL54" s="7">
        <f t="shared" ca="1" si="40"/>
        <v>0</v>
      </c>
      <c r="HM54" s="7">
        <f t="shared" ca="1" si="40"/>
        <v>0</v>
      </c>
      <c r="HN54" s="7">
        <f t="shared" ca="1" si="40"/>
        <v>0</v>
      </c>
      <c r="HO54" s="7">
        <f t="shared" ca="1" si="40"/>
        <v>0</v>
      </c>
      <c r="HP54" s="7">
        <f t="shared" ca="1" si="40"/>
        <v>0</v>
      </c>
      <c r="HR54" s="142">
        <f ca="1">INDEX('File 1'!Weekly_Adjusted,12,16)</f>
        <v>21.427839876658773</v>
      </c>
      <c r="HS54" s="142">
        <f>INDEX('File 1'!Weekly_Adjusted,12,17)</f>
        <v>0</v>
      </c>
      <c r="HT54" s="142">
        <f>INDEX('File 1'!Weekly_Adjusted,12,18)</f>
        <v>0</v>
      </c>
      <c r="HU54" s="143">
        <f>INDEX('File 2'!Weekly_Adjusted,12,16)</f>
        <v>0</v>
      </c>
      <c r="HV54" s="143">
        <f>INDEX('File 2'!Weekly_Adjusted,12,17)</f>
        <v>0</v>
      </c>
      <c r="HW54" s="143">
        <f>INDEX('File 2'!Weekly_Adjusted,12,18)</f>
        <v>0</v>
      </c>
      <c r="HX54" s="142">
        <f>INDEX('File 3'!Weekly_Adjusted,12,16)</f>
        <v>0</v>
      </c>
      <c r="HY54" s="142">
        <f>INDEX('File 3'!Weekly_Adjusted,12,17)</f>
        <v>0</v>
      </c>
      <c r="HZ54" s="142">
        <f>INDEX('File 3'!Weekly_Adjusted,12,18)</f>
        <v>0</v>
      </c>
      <c r="IA54" s="143">
        <f>INDEX('File 4'!Weekly_Adjusted,12,16)</f>
        <v>0</v>
      </c>
      <c r="IB54" s="143">
        <f>INDEX('File 4'!Weekly_Adjusted,12,17)</f>
        <v>0</v>
      </c>
      <c r="IC54" s="143">
        <f>INDEX('File 4'!Weekly_Adjusted,12,18)</f>
        <v>0</v>
      </c>
      <c r="ID54" s="142">
        <f>INDEX('File 5'!Weekly_Adjusted,12,16)</f>
        <v>0</v>
      </c>
      <c r="IE54" s="142">
        <f>INDEX('File 5'!Weekly_Adjusted,12,17)</f>
        <v>0</v>
      </c>
      <c r="IF54" s="142">
        <f>INDEX('File 5'!Weekly_Adjusted,12,18)</f>
        <v>0</v>
      </c>
      <c r="IG54" s="143">
        <f>INDEX('File 6'!Weekly_Adjusted,12,16)</f>
        <v>0</v>
      </c>
      <c r="IH54" s="143">
        <f>INDEX('File 6'!Weekly_Adjusted,12,17)</f>
        <v>0</v>
      </c>
      <c r="II54" s="143">
        <f>INDEX('File 6'!Weekly_Adjusted,12,18)</f>
        <v>0</v>
      </c>
      <c r="IJ54" s="142">
        <f>INDEX('File 7'!Weekly_Adjusted,12,16)</f>
        <v>0</v>
      </c>
      <c r="IK54" s="142">
        <f>INDEX('File 7'!Weekly_Adjusted,12,17)</f>
        <v>0</v>
      </c>
      <c r="IL54" s="142">
        <f>INDEX('File 7'!Weekly_Adjusted,12,18)</f>
        <v>0</v>
      </c>
      <c r="IM54" s="143">
        <f>INDEX('File 8'!Weekly_Adjusted,12,16)</f>
        <v>0</v>
      </c>
      <c r="IN54" s="143">
        <f>INDEX('File 8'!Weekly_Adjusted,12,17)</f>
        <v>0</v>
      </c>
      <c r="IO54" s="143">
        <f>INDEX('File 8'!Weekly_Adjusted,12,18)</f>
        <v>0</v>
      </c>
      <c r="IP54" s="142">
        <f>INDEX('File 9'!Weekly_Adjusted,12,16)</f>
        <v>0</v>
      </c>
      <c r="IQ54" s="142">
        <f>INDEX('File 9'!Weekly_Adjusted,12,17)</f>
        <v>0</v>
      </c>
      <c r="IR54" s="142">
        <f>INDEX('File 9'!Weekly_Adjusted,12,18)</f>
        <v>0</v>
      </c>
      <c r="IS54" s="143">
        <f>INDEX('File 10'!Weekly_Adjusted,12,16)</f>
        <v>0</v>
      </c>
      <c r="IT54" s="143">
        <f>INDEX('File 10'!Weekly_Adjusted,12,17)</f>
        <v>0</v>
      </c>
      <c r="IU54" s="143">
        <f>INDEX('File 10'!Weekly_Adjusted,12,18)</f>
        <v>0</v>
      </c>
      <c r="IV54" s="142">
        <f>INDEX('File 11'!Weekly_Adjusted,12,16)</f>
        <v>0</v>
      </c>
      <c r="IW54" s="142">
        <f>INDEX('File 11'!Weekly_Adjusted,12,17)</f>
        <v>0</v>
      </c>
      <c r="IX54" s="142">
        <f>INDEX('File 11'!Weekly_Adjusted,12,18)</f>
        <v>0</v>
      </c>
      <c r="IY54" s="143">
        <f>INDEX('File 12'!Weekly_Adjusted,12,16)</f>
        <v>0</v>
      </c>
      <c r="IZ54" s="143">
        <f>INDEX('File 12'!Weekly_Adjusted,12,17)</f>
        <v>0</v>
      </c>
      <c r="JA54" s="143">
        <f>INDEX('File 12'!Weekly_Adjusted,12,18)</f>
        <v>0</v>
      </c>
      <c r="JB54" s="142">
        <f>INDEX('File 13'!Weekly_Adjusted,12,16)</f>
        <v>0</v>
      </c>
      <c r="JC54" s="142">
        <f>INDEX('File 13'!Weekly_Adjusted,12,17)</f>
        <v>0</v>
      </c>
      <c r="JD54" s="142">
        <f>INDEX('File 13'!Weekly_Adjusted,12,18)</f>
        <v>0</v>
      </c>
      <c r="JE54" s="143">
        <f>INDEX('File 14'!Weekly_Adjusted,12,16)</f>
        <v>0</v>
      </c>
      <c r="JF54" s="143">
        <f>INDEX('File 14'!Weekly_Adjusted,12,17)</f>
        <v>0</v>
      </c>
      <c r="JG54" s="143">
        <f>INDEX('File 14'!Weekly_Adjusted,12,18)</f>
        <v>0</v>
      </c>
      <c r="JH54" s="142">
        <f>INDEX('File 15'!Weekly_Adjusted,12,16)</f>
        <v>0</v>
      </c>
      <c r="JI54" s="142">
        <f>INDEX('File 15'!Weekly_Adjusted,12,17)</f>
        <v>0</v>
      </c>
      <c r="JJ54" s="142">
        <f>INDEX('File 15'!Weekly_Adjusted,12,18)</f>
        <v>0</v>
      </c>
      <c r="JK54" s="143">
        <f>INDEX('File 16'!Weekly_Adjusted,12,16)</f>
        <v>0</v>
      </c>
      <c r="JL54" s="143">
        <f>INDEX('File 16'!Weekly_Adjusted,12,17)</f>
        <v>0</v>
      </c>
      <c r="JM54" s="143">
        <f>INDEX('File 16'!Weekly_Adjusted,12,18)</f>
        <v>0</v>
      </c>
      <c r="JN54" s="142">
        <f>INDEX('File 17'!Weekly_Adjusted,12,16)</f>
        <v>0</v>
      </c>
      <c r="JO54" s="142">
        <f>INDEX('File 17'!Weekly_Adjusted,12,17)</f>
        <v>0</v>
      </c>
      <c r="JP54" s="142">
        <f>INDEX('File 17'!Weekly_Adjusted,12,18)</f>
        <v>0</v>
      </c>
      <c r="JQ54" s="143">
        <f>INDEX('File 18'!Weekly_Adjusted,12,16)</f>
        <v>0</v>
      </c>
      <c r="JR54" s="143">
        <f>INDEX('File 18'!Weekly_Adjusted,12,17)</f>
        <v>0</v>
      </c>
      <c r="JS54" s="143">
        <f>INDEX('File 18'!Weekly_Adjusted,12,18)</f>
        <v>0</v>
      </c>
      <c r="JT54" s="142">
        <f>INDEX('File 19'!Weekly_Adjusted,12,16)</f>
        <v>0</v>
      </c>
      <c r="JU54" s="142">
        <f>INDEX('File 19'!Weekly_Adjusted,12,17)</f>
        <v>0</v>
      </c>
      <c r="JV54" s="142">
        <f>INDEX('File 19'!Weekly_Adjusted,12,18)</f>
        <v>0</v>
      </c>
      <c r="JW54" s="143">
        <f>INDEX('File 20'!Weekly_Adjusted,12,16)</f>
        <v>0</v>
      </c>
      <c r="JX54" s="143">
        <f>INDEX('File 20'!Weekly_Adjusted,12,17)</f>
        <v>0</v>
      </c>
      <c r="JY54" s="143">
        <f>INDEX('File 20'!Weekly_Adjusted,12,18)</f>
        <v>0</v>
      </c>
      <c r="JZ54" s="6">
        <f ca="1">SUMIFS(INDEX(CapacityCore_Activity_Weekly,ROW(EC12),0),Demand_Activity_Weekly_Header,HL$42)</f>
        <v>21.427839876658773</v>
      </c>
      <c r="KA54" s="6">
        <f ca="1">SUMIFS(INDEX(CapacityCore_Activity_Weekly,ROW(ED12),0),Demand_Activity_Weekly_Header,HM$42)</f>
        <v>0</v>
      </c>
      <c r="KB54" s="6">
        <f ca="1">SUMIFS(INDEX(CapacityCore_Activity_Weekly,ROW(EE12),0),Demand_Activity_Weekly_Header,HN$42)</f>
        <v>0</v>
      </c>
      <c r="KC54" s="6">
        <f ca="1">SUMIFS(INDEX(CapacityCore_Activity_Weekly,ROW(EF12),0),Demand_Activity_Weekly_Header,HO$42)</f>
        <v>0</v>
      </c>
      <c r="KD54" s="6">
        <f ca="1">SUMIFS(INDEX(CapacityCore_Activity_Weekly,ROW(EG12),0),Demand_Activity_Weekly_Header,HP$42)</f>
        <v>0</v>
      </c>
      <c r="KF54" s="6">
        <f>SUMIFS('Time based aggregation (hide)'!$J:$J,'Time based aggregation (hide)'!$E:$E,1,'Time based aggregation (hide)'!$F:$F,1,'Time based aggregation (hide)'!$A:$A,ROW(A12))</f>
        <v>0</v>
      </c>
      <c r="KG54" s="6">
        <f>SUMIFS('Time based aggregation (hide)'!$J:$J,'Time based aggregation (hide)'!$E:$E,1,'Time based aggregation (hide)'!$F:$F,2,'Time based aggregation (hide)'!$A:$A,ROW(A12))</f>
        <v>0</v>
      </c>
      <c r="KH54" s="6">
        <f>SUMIFS('Time based aggregation (hide)'!$J:$J,'Time based aggregation (hide)'!$E:$E,1,'Time based aggregation (hide)'!$F:$F,3,'Time based aggregation (hide)'!$A:$A,ROW(A12))</f>
        <v>0</v>
      </c>
      <c r="KI54" s="6">
        <f>SUMIFS('Time based aggregation (hide)'!$J:$J,'Time based aggregation (hide)'!$E:$E,2,'Time based aggregation (hide)'!$F:$F,1,'Time based aggregation (hide)'!$A:$A,ROW(A12))</f>
        <v>0</v>
      </c>
      <c r="KJ54" s="6">
        <f>SUMIFS('Time based aggregation (hide)'!$J:$J,'Time based aggregation (hide)'!$E:$E,2,'Time based aggregation (hide)'!$F:$F,2,'Time based aggregation (hide)'!$A:$A,ROW(A12))</f>
        <v>0</v>
      </c>
      <c r="KK54" s="6">
        <f>SUMIFS('Time based aggregation (hide)'!$J:$J,'Time based aggregation (hide)'!$E:$E,2,'Time based aggregation (hide)'!$F:$F,3,'Time based aggregation (hide)'!$A:$A,ROW(A12))</f>
        <v>0</v>
      </c>
      <c r="KL54" s="6">
        <f>SUMIFS('Time based aggregation (hide)'!$J:$J,'Time based aggregation (hide)'!$E:$E,3,'Time based aggregation (hide)'!$F:$F,1,'Time based aggregation (hide)'!$A:$A,ROW(A12))</f>
        <v>0</v>
      </c>
      <c r="KM54" s="6">
        <f>SUMIFS('Time based aggregation (hide)'!$J:$J,'Time based aggregation (hide)'!$E:$E,3,'Time based aggregation (hide)'!$F:$F,2,'Time based aggregation (hide)'!$A:$A,ROW(A12))</f>
        <v>0</v>
      </c>
      <c r="KN54" s="6">
        <f>SUMIFS('Time based aggregation (hide)'!$J:$J,'Time based aggregation (hide)'!$E:$E,3,'Time based aggregation (hide)'!$F:$F,3,'Time based aggregation (hide)'!$A:$A,ROW(A12))</f>
        <v>0</v>
      </c>
      <c r="KO54" s="6">
        <f>SUMIFS('Time based aggregation (hide)'!$J:$J,'Time based aggregation (hide)'!$E:$E,4,'Time based aggregation (hide)'!$F:$F,1,'Time based aggregation (hide)'!$A:$A,ROW(A12))</f>
        <v>0</v>
      </c>
      <c r="KP54" s="6">
        <f>SUMIFS('Time based aggregation (hide)'!$J:$J,'Time based aggregation (hide)'!$E:$E,4,'Time based aggregation (hide)'!$F:$F,2,'Time based aggregation (hide)'!$A:$A,ROW(A12))</f>
        <v>0</v>
      </c>
      <c r="KQ54" s="6">
        <f>SUMIFS('Time based aggregation (hide)'!$J:$J,'Time based aggregation (hide)'!$E:$E,4,'Time based aggregation (hide)'!$F:$F,3,'Time based aggregation (hide)'!$A:$A,ROW(A12))</f>
        <v>0</v>
      </c>
      <c r="KR54" s="6">
        <f>SUMIFS('Time based aggregation (hide)'!$J:$J,'Time based aggregation (hide)'!$E:$E,5,'Time based aggregation (hide)'!$F:$F,1,'Time based aggregation (hide)'!$A:$A,ROW(A12))</f>
        <v>0</v>
      </c>
      <c r="KS54" s="6">
        <f>SUMIFS('Time based aggregation (hide)'!$J:$J,'Time based aggregation (hide)'!$E:$E,5,'Time based aggregation (hide)'!$F:$F,2,'Time based aggregation (hide)'!$A:$A,ROW(A12))</f>
        <v>0</v>
      </c>
      <c r="KT54" s="6">
        <f>SUMIFS('Time based aggregation (hide)'!$J:$J,'Time based aggregation (hide)'!$E:$E,5,'Time based aggregation (hide)'!$F:$F,3,'Time based aggregation (hide)'!$A:$A,ROW(A12))</f>
        <v>0</v>
      </c>
      <c r="KU54" s="6">
        <f>SUMIFS('Time based aggregation (hide)'!$J:$J,'Time based aggregation (hide)'!$E:$E,6,'Time based aggregation (hide)'!$F:$F,1,'Time based aggregation (hide)'!$A:$A,ROW(A12))</f>
        <v>0</v>
      </c>
      <c r="KV54" s="6">
        <f>SUMIFS('Time based aggregation (hide)'!$J:$J,'Time based aggregation (hide)'!$E:$E,6,'Time based aggregation (hide)'!$F:$F,2,'Time based aggregation (hide)'!$A:$A,ROW(A12))</f>
        <v>0</v>
      </c>
      <c r="KW54" s="6">
        <f>SUMIFS('Time based aggregation (hide)'!$J:$J,'Time based aggregation (hide)'!$E:$E,6,'Time based aggregation (hide)'!$F:$F,3,'Time based aggregation (hide)'!$A:$A,ROW(A12))</f>
        <v>0</v>
      </c>
      <c r="KX54" s="6">
        <f>SUMIFS('Time based aggregation (hide)'!$J:$J,'Time based aggregation (hide)'!$E:$E,7,'Time based aggregation (hide)'!$F:$F,1,'Time based aggregation (hide)'!$A:$A,ROW(A12))</f>
        <v>0</v>
      </c>
      <c r="KY54" s="6">
        <f>SUMIFS('Time based aggregation (hide)'!$J:$J,'Time based aggregation (hide)'!$E:$E,7,'Time based aggregation (hide)'!$F:$F,2,'Time based aggregation (hide)'!$A:$A,ROW(A12))</f>
        <v>0</v>
      </c>
      <c r="KZ54" s="6">
        <f>SUMIFS('Time based aggregation (hide)'!$J:$J,'Time based aggregation (hide)'!$E:$E,7,'Time based aggregation (hide)'!$F:$F,3,'Time based aggregation (hide)'!$A:$A,ROW(A12))</f>
        <v>0</v>
      </c>
      <c r="LA54" s="6">
        <f>SUMIFS('Time based aggregation (hide)'!$J:$J,'Time based aggregation (hide)'!$E:$E,8,'Time based aggregation (hide)'!$F:$F,1,'Time based aggregation (hide)'!$A:$A,ROW(A12))</f>
        <v>0</v>
      </c>
      <c r="LB54" s="6">
        <f>SUMIFS('Time based aggregation (hide)'!$J:$J,'Time based aggregation (hide)'!$E:$E,8,'Time based aggregation (hide)'!$F:$F,2,'Time based aggregation (hide)'!$A:$A,ROW(A12))</f>
        <v>0</v>
      </c>
      <c r="LC54" s="6">
        <f>SUMIFS('Time based aggregation (hide)'!$J:$J,'Time based aggregation (hide)'!$E:$E,8,'Time based aggregation (hide)'!$F:$F,3,'Time based aggregation (hide)'!$A:$A,ROW(A12))</f>
        <v>0</v>
      </c>
      <c r="LD54" s="6">
        <f>SUMIFS('Time based aggregation (hide)'!$J:$J,'Time based aggregation (hide)'!$E:$E,9,'Time based aggregation (hide)'!$F:$F,1,'Time based aggregation (hide)'!$A:$A,ROW(A12))</f>
        <v>0</v>
      </c>
      <c r="LE54" s="6">
        <f>SUMIFS('Time based aggregation (hide)'!$J:$J,'Time based aggregation (hide)'!$E:$E,9,'Time based aggregation (hide)'!$F:$F,2,'Time based aggregation (hide)'!$A:$A,ROW(A12))</f>
        <v>0</v>
      </c>
      <c r="LF54" s="6">
        <f>SUMIFS('Time based aggregation (hide)'!$J:$J,'Time based aggregation (hide)'!$E:$E,9,'Time based aggregation (hide)'!$F:$F,3,'Time based aggregation (hide)'!$A:$A,ROW(A12))</f>
        <v>0</v>
      </c>
      <c r="LG54" s="6">
        <f>SUMIFS('Time based aggregation (hide)'!$J:$J,'Time based aggregation (hide)'!$E:$E,10,'Time based aggregation (hide)'!$F:$F,1,'Time based aggregation (hide)'!$A:$A,ROW(A12))</f>
        <v>0</v>
      </c>
      <c r="LH54" s="6">
        <f>SUMIFS('Time based aggregation (hide)'!$J:$J,'Time based aggregation (hide)'!$E:$E,10,'Time based aggregation (hide)'!$F:$F,2,'Time based aggregation (hide)'!$A:$A,ROW(A12))</f>
        <v>0</v>
      </c>
      <c r="LI54" s="6">
        <f>SUMIFS('Time based aggregation (hide)'!$J:$J,'Time based aggregation (hide)'!$E:$E,10,'Time based aggregation (hide)'!$F:$F,3,'Time based aggregation (hide)'!$A:$A,ROW(A12))</f>
        <v>0</v>
      </c>
      <c r="LJ54" s="6">
        <f>SUMIFS('Time based aggregation (hide)'!$J:$J,'Time based aggregation (hide)'!$E:$E,11,'Time based aggregation (hide)'!$F:$F,1,'Time based aggregation (hide)'!$A:$A,ROW(A12))</f>
        <v>0</v>
      </c>
      <c r="LK54" s="6">
        <f>SUMIFS('Time based aggregation (hide)'!$J:$J,'Time based aggregation (hide)'!$E:$E,11,'Time based aggregation (hide)'!$F:$F,2,'Time based aggregation (hide)'!$A:$A,ROW(A12))</f>
        <v>0</v>
      </c>
      <c r="LL54" s="6">
        <f>SUMIFS('Time based aggregation (hide)'!$J:$J,'Time based aggregation (hide)'!$E:$E,11,'Time based aggregation (hide)'!$F:$F,3,'Time based aggregation (hide)'!$A:$A,ROW(A12))</f>
        <v>0</v>
      </c>
      <c r="LM54" s="6">
        <f>SUMIFS('Time based aggregation (hide)'!$J:$J,'Time based aggregation (hide)'!$E:$E,12,'Time based aggregation (hide)'!$F:$F,1,'Time based aggregation (hide)'!$A:$A,ROW(A12))</f>
        <v>0</v>
      </c>
      <c r="LN54" s="6">
        <f>SUMIFS('Time based aggregation (hide)'!$J:$J,'Time based aggregation (hide)'!$E:$E,12,'Time based aggregation (hide)'!$F:$F,2,'Time based aggregation (hide)'!$A:$A,ROW(A12))</f>
        <v>0</v>
      </c>
      <c r="LO54" s="6">
        <f>SUMIFS('Time based aggregation (hide)'!$J:$J,'Time based aggregation (hide)'!$E:$E,12,'Time based aggregation (hide)'!$F:$F,3,'Time based aggregation (hide)'!$A:$A,ROW(A12))</f>
        <v>0</v>
      </c>
      <c r="LP54" s="6">
        <f>SUMIFS('Time based aggregation (hide)'!$J:$J,'Time based aggregation (hide)'!$E:$E,13,'Time based aggregation (hide)'!$F:$F,1,'Time based aggregation (hide)'!$A:$A,ROW(A12))</f>
        <v>0</v>
      </c>
      <c r="LQ54" s="6">
        <f>SUMIFS('Time based aggregation (hide)'!$J:$J,'Time based aggregation (hide)'!$E:$E,13,'Time based aggregation (hide)'!$F:$F,2,'Time based aggregation (hide)'!$A:$A,ROW(A12))</f>
        <v>0</v>
      </c>
      <c r="LR54" s="6">
        <f>SUMIFS('Time based aggregation (hide)'!$J:$J,'Time based aggregation (hide)'!$E:$E,13,'Time based aggregation (hide)'!$F:$F,3,'Time based aggregation (hide)'!$A:$A,ROW(A12))</f>
        <v>0</v>
      </c>
      <c r="LS54" s="6">
        <f>SUMIFS('Time based aggregation (hide)'!$J:$J,'Time based aggregation (hide)'!$E:$E,14,'Time based aggregation (hide)'!$F:$F,1,'Time based aggregation (hide)'!$A:$A,ROW(A12))</f>
        <v>0</v>
      </c>
      <c r="LT54" s="6">
        <f>SUMIFS('Time based aggregation (hide)'!$J:$J,'Time based aggregation (hide)'!$E:$E,14,'Time based aggregation (hide)'!$F:$F,2,'Time based aggregation (hide)'!$A:$A,ROW(A12))</f>
        <v>0</v>
      </c>
      <c r="LU54" s="6">
        <f>SUMIFS('Time based aggregation (hide)'!$J:$J,'Time based aggregation (hide)'!$E:$E,14,'Time based aggregation (hide)'!$F:$F,3,'Time based aggregation (hide)'!$A:$A,ROW(A12))</f>
        <v>0</v>
      </c>
      <c r="LV54" s="6">
        <f>SUMIFS('Time based aggregation (hide)'!$J:$J,'Time based aggregation (hide)'!$E:$E,15,'Time based aggregation (hide)'!$F:$F,1,'Time based aggregation (hide)'!$A:$A,ROW(A12))</f>
        <v>0</v>
      </c>
      <c r="LW54" s="6">
        <f>SUMIFS('Time based aggregation (hide)'!$J:$J,'Time based aggregation (hide)'!$E:$E,15,'Time based aggregation (hide)'!$F:$F,2,'Time based aggregation (hide)'!$A:$A,ROW(A12))</f>
        <v>0</v>
      </c>
      <c r="LX54" s="6">
        <f>SUMIFS('Time based aggregation (hide)'!$J:$J,'Time based aggregation (hide)'!$E:$E,15,'Time based aggregation (hide)'!$F:$F,3,'Time based aggregation (hide)'!$A:$A,ROW(A12))</f>
        <v>0</v>
      </c>
      <c r="LY54" s="6">
        <f>SUMIFS('Time based aggregation (hide)'!$J:$J,'Time based aggregation (hide)'!$E:$E,16,'Time based aggregation (hide)'!$F:$F,1,'Time based aggregation (hide)'!$A:$A,ROW(A12))</f>
        <v>0</v>
      </c>
      <c r="LZ54" s="6">
        <f>SUMIFS('Time based aggregation (hide)'!$J:$J,'Time based aggregation (hide)'!$E:$E,16,'Time based aggregation (hide)'!$F:$F,2,'Time based aggregation (hide)'!$A:$A,ROW(A12))</f>
        <v>0</v>
      </c>
      <c r="MA54" s="6">
        <f>SUMIFS('Time based aggregation (hide)'!$J:$J,'Time based aggregation (hide)'!$E:$E,16,'Time based aggregation (hide)'!$F:$F,3,'Time based aggregation (hide)'!$A:$A,ROW(A12))</f>
        <v>0</v>
      </c>
      <c r="MB54" s="6">
        <f>SUMIFS('Time based aggregation (hide)'!$J:$J,'Time based aggregation (hide)'!$E:$E,17,'Time based aggregation (hide)'!$F:$F,1,'Time based aggregation (hide)'!$A:$A,ROW(A12))</f>
        <v>0</v>
      </c>
      <c r="MC54" s="6">
        <f>SUMIFS('Time based aggregation (hide)'!$J:$J,'Time based aggregation (hide)'!$E:$E,17,'Time based aggregation (hide)'!$F:$F,2,'Time based aggregation (hide)'!$A:$A,ROW(A12))</f>
        <v>0</v>
      </c>
      <c r="MD54" s="6">
        <f>SUMIFS('Time based aggregation (hide)'!$J:$J,'Time based aggregation (hide)'!$E:$E,17,'Time based aggregation (hide)'!$F:$F,3,'Time based aggregation (hide)'!$A:$A,ROW(A12))</f>
        <v>0</v>
      </c>
      <c r="ME54" s="6">
        <f>SUMIFS('Time based aggregation (hide)'!$J:$J,'Time based aggregation (hide)'!$E:$E,18,'Time based aggregation (hide)'!$F:$F,1,'Time based aggregation (hide)'!$A:$A,ROW(A12))</f>
        <v>0</v>
      </c>
      <c r="MF54" s="6">
        <f>SUMIFS('Time based aggregation (hide)'!$J:$J,'Time based aggregation (hide)'!$E:$E,18,'Time based aggregation (hide)'!$F:$F,2,'Time based aggregation (hide)'!$A:$A,ROW(A12))</f>
        <v>0</v>
      </c>
      <c r="MG54" s="6">
        <f>SUMIFS('Time based aggregation (hide)'!$J:$J,'Time based aggregation (hide)'!$E:$E,18,'Time based aggregation (hide)'!$F:$F,3,'Time based aggregation (hide)'!$A:$A,ROW(A12))</f>
        <v>0</v>
      </c>
      <c r="MH54" s="6">
        <f>SUMIFS('Time based aggregation (hide)'!$J:$J,'Time based aggregation (hide)'!$E:$E,19,'Time based aggregation (hide)'!$F:$F,1,'Time based aggregation (hide)'!$A:$A,ROW(A12))</f>
        <v>0</v>
      </c>
      <c r="MI54" s="6">
        <f>SUMIFS('Time based aggregation (hide)'!$J:$J,'Time based aggregation (hide)'!$E:$E,19,'Time based aggregation (hide)'!$F:$F,2,'Time based aggregation (hide)'!$A:$A,ROW(A12))</f>
        <v>0</v>
      </c>
      <c r="MJ54" s="6">
        <f>SUMIFS('Time based aggregation (hide)'!$J:$J,'Time based aggregation (hide)'!$E:$E,19,'Time based aggregation (hide)'!$F:$F,3,'Time based aggregation (hide)'!$A:$A,ROW(A12))</f>
        <v>0</v>
      </c>
      <c r="MK54" s="6">
        <f>SUMIFS('Time based aggregation (hide)'!$J:$J,'Time based aggregation (hide)'!$E:$E,20,'Time based aggregation (hide)'!$F:$F,1,'Time based aggregation (hide)'!$A:$A,ROW(A12))</f>
        <v>0</v>
      </c>
      <c r="ML54" s="6">
        <f>SUMIFS('Time based aggregation (hide)'!$J:$J,'Time based aggregation (hide)'!$E:$E,20,'Time based aggregation (hide)'!$F:$F,2,'Time based aggregation (hide)'!$A:$A,ROW(A12))</f>
        <v>0</v>
      </c>
      <c r="MM54" s="6">
        <f>SUMIFS('Time based aggregation (hide)'!$J:$J,'Time based aggregation (hide)'!$E:$E,20,'Time based aggregation (hide)'!$F:$F,3,'Time based aggregation (hide)'!$A:$A,ROW(A12))</f>
        <v>0</v>
      </c>
      <c r="MN54" s="7">
        <f t="shared" ca="1" si="36"/>
        <v>0</v>
      </c>
      <c r="MO54" s="7">
        <f t="shared" ca="1" si="32"/>
        <v>0</v>
      </c>
      <c r="MP54" s="7">
        <f t="shared" ca="1" si="32"/>
        <v>0</v>
      </c>
      <c r="MQ54" s="7">
        <f t="shared" ca="1" si="32"/>
        <v>0</v>
      </c>
      <c r="MR54" s="7">
        <f t="shared" ca="1" si="32"/>
        <v>0</v>
      </c>
    </row>
    <row r="55" spans="1:356" x14ac:dyDescent="0.25">
      <c r="A55">
        <f>1</f>
        <v>1</v>
      </c>
      <c r="B55" s="85">
        <f t="shared" si="37"/>
        <v>43843</v>
      </c>
      <c r="C55" s="85">
        <f t="shared" si="25"/>
        <v>43843</v>
      </c>
      <c r="D55">
        <f t="shared" ca="1" si="26"/>
        <v>1</v>
      </c>
      <c r="E55" s="85">
        <f t="shared" si="27"/>
        <v>43831</v>
      </c>
      <c r="F55">
        <f t="shared" si="33"/>
        <v>3</v>
      </c>
      <c r="H55">
        <f t="shared" si="34"/>
        <v>13</v>
      </c>
      <c r="I55" s="85">
        <f t="shared" si="38"/>
        <v>43913</v>
      </c>
      <c r="J55">
        <f t="shared" ca="1" si="28"/>
        <v>5</v>
      </c>
      <c r="K55">
        <f t="shared" ca="1" si="29"/>
        <v>1.968503937007874E-2</v>
      </c>
      <c r="L55" s="114"/>
      <c r="M55" s="85"/>
      <c r="N55" s="85">
        <f t="shared" si="35"/>
        <v>43913</v>
      </c>
      <c r="O55" s="122">
        <f t="shared" ca="1" si="39"/>
        <v>0</v>
      </c>
      <c r="P55" s="122">
        <f t="shared" ca="1" si="39"/>
        <v>0</v>
      </c>
      <c r="Q55" s="122">
        <f t="shared" ca="1" si="39"/>
        <v>1</v>
      </c>
      <c r="R55" s="122">
        <f t="shared" ca="1" si="39"/>
        <v>0</v>
      </c>
      <c r="S55" s="122">
        <f t="shared" ca="1" si="39"/>
        <v>0</v>
      </c>
      <c r="T55" s="122">
        <f t="shared" ca="1" si="39"/>
        <v>0</v>
      </c>
      <c r="U55" s="122">
        <f t="shared" ca="1" si="39"/>
        <v>0</v>
      </c>
      <c r="V55" s="122">
        <f t="shared" ca="1" si="39"/>
        <v>0</v>
      </c>
      <c r="W55" s="122">
        <f t="shared" ca="1" si="39"/>
        <v>0</v>
      </c>
      <c r="X55" s="122">
        <f t="shared" ca="1" si="39"/>
        <v>0</v>
      </c>
      <c r="Y55" s="122">
        <f t="shared" ca="1" si="39"/>
        <v>0</v>
      </c>
      <c r="Z55" s="122">
        <f t="shared" ca="1" si="39"/>
        <v>0</v>
      </c>
      <c r="AA55" s="122"/>
      <c r="AB55" s="140">
        <f>INDEX('File 1'!Weekly_Adjusted,13,1)</f>
        <v>388.17143954725253</v>
      </c>
      <c r="AC55" s="140">
        <f>INDEX('File 1'!Weekly_Adjusted,13,2)</f>
        <v>0</v>
      </c>
      <c r="AD55" s="140">
        <f>INDEX('File 1'!Weekly_Adjusted,13,3)</f>
        <v>0</v>
      </c>
      <c r="AE55" s="141">
        <f>INDEX('File 2'!Weekly_Adjusted,13,1)</f>
        <v>0</v>
      </c>
      <c r="AF55" s="141">
        <f>INDEX('File 2'!Weekly_Adjusted,13,2)</f>
        <v>0</v>
      </c>
      <c r="AG55" s="141">
        <f>INDEX('File 2'!Weekly_Adjusted,13,3)</f>
        <v>0</v>
      </c>
      <c r="AH55" s="140">
        <f>INDEX('File 3'!Weekly_Adjusted,13,1)</f>
        <v>0</v>
      </c>
      <c r="AI55" s="140">
        <f>INDEX('File 3'!Weekly_Adjusted,13,2)</f>
        <v>0</v>
      </c>
      <c r="AJ55" s="140">
        <f>INDEX('File 3'!Weekly_Adjusted,13,3)</f>
        <v>0</v>
      </c>
      <c r="AK55" s="141">
        <f>INDEX('File 4'!Weekly_Adjusted,13,1)</f>
        <v>0</v>
      </c>
      <c r="AL55" s="141">
        <f>INDEX('File 4'!Weekly_Adjusted,13,2)</f>
        <v>0</v>
      </c>
      <c r="AM55" s="141">
        <f>INDEX('File 4'!Weekly_Adjusted,13,3)</f>
        <v>0</v>
      </c>
      <c r="AN55" s="140">
        <f>INDEX('File 5'!Weekly_Adjusted,13,1)</f>
        <v>0</v>
      </c>
      <c r="AO55" s="140">
        <f>INDEX('File 5'!Weekly_Adjusted,13,2)</f>
        <v>0</v>
      </c>
      <c r="AP55" s="140">
        <f>INDEX('File 5'!Weekly_Adjusted,13,3)</f>
        <v>0</v>
      </c>
      <c r="AQ55" s="141">
        <f>INDEX('File 6'!Weekly_Adjusted,13,1)</f>
        <v>0</v>
      </c>
      <c r="AR55" s="141">
        <f>INDEX('File 6'!Weekly_Adjusted,13,2)</f>
        <v>0</v>
      </c>
      <c r="AS55" s="141">
        <f>INDEX('File 6'!Weekly_Adjusted,13,3)</f>
        <v>0</v>
      </c>
      <c r="AT55" s="140">
        <f>INDEX('File 7'!Weekly_Adjusted,13,1)</f>
        <v>0</v>
      </c>
      <c r="AU55" s="140">
        <f>INDEX('File 7'!Weekly_Adjusted,13,2)</f>
        <v>0</v>
      </c>
      <c r="AV55" s="140">
        <f>INDEX('File 7'!Weekly_Adjusted,13,3)</f>
        <v>0</v>
      </c>
      <c r="AW55" s="141">
        <f>INDEX('File 8'!Weekly_Adjusted,13,1)</f>
        <v>0</v>
      </c>
      <c r="AX55" s="141">
        <f>INDEX('File 8'!Weekly_Adjusted,13,2)</f>
        <v>0</v>
      </c>
      <c r="AY55" s="141">
        <f>INDEX('File 8'!Weekly_Adjusted,13,3)</f>
        <v>0</v>
      </c>
      <c r="AZ55" s="140">
        <f>INDEX('File 9'!Weekly_Adjusted,13,1)</f>
        <v>0</v>
      </c>
      <c r="BA55" s="140">
        <f>INDEX('File 9'!Weekly_Adjusted,13,2)</f>
        <v>0</v>
      </c>
      <c r="BB55" s="140">
        <f>INDEX('File 9'!Weekly_Adjusted,13,3)</f>
        <v>0</v>
      </c>
      <c r="BC55" s="141">
        <f>INDEX('File 10'!Weekly_Adjusted,13,1)</f>
        <v>0</v>
      </c>
      <c r="BD55" s="141">
        <f>INDEX('File 10'!Weekly_Adjusted,13,2)</f>
        <v>0</v>
      </c>
      <c r="BE55" s="141">
        <f>INDEX('File 10'!Weekly_Adjusted,13,3)</f>
        <v>0</v>
      </c>
      <c r="BF55" s="140">
        <f>INDEX('File 11'!Weekly_Adjusted,13,1)</f>
        <v>0</v>
      </c>
      <c r="BG55" s="140">
        <f>INDEX('File 11'!Weekly_Adjusted,13,2)</f>
        <v>0</v>
      </c>
      <c r="BH55" s="140">
        <f>INDEX('File 11'!Weekly_Adjusted,13,3)</f>
        <v>0</v>
      </c>
      <c r="BI55" s="141">
        <f>INDEX('File 12'!Weekly_Adjusted,13,1)</f>
        <v>0</v>
      </c>
      <c r="BJ55" s="141">
        <f>INDEX('File 12'!Weekly_Adjusted,13,2)</f>
        <v>0</v>
      </c>
      <c r="BK55" s="141">
        <f>INDEX('File 12'!Weekly_Adjusted,13,3)</f>
        <v>0</v>
      </c>
      <c r="BL55" s="140">
        <f>INDEX('File 13'!Weekly_Adjusted,13,1)</f>
        <v>0</v>
      </c>
      <c r="BM55" s="140">
        <f>INDEX('File 13'!Weekly_Adjusted,13,2)</f>
        <v>0</v>
      </c>
      <c r="BN55" s="140">
        <f>INDEX('File 13'!Weekly_Adjusted,13,3)</f>
        <v>0</v>
      </c>
      <c r="BO55" s="141">
        <f>INDEX('File 14'!Weekly_Adjusted,13,1)</f>
        <v>0</v>
      </c>
      <c r="BP55" s="141">
        <f>INDEX('File 14'!Weekly_Adjusted,13,2)</f>
        <v>0</v>
      </c>
      <c r="BQ55" s="141">
        <f>INDEX('File 14'!Weekly_Adjusted,13,3)</f>
        <v>0</v>
      </c>
      <c r="BR55" s="140">
        <f>INDEX('File 15'!Weekly_Adjusted,13,1)</f>
        <v>0</v>
      </c>
      <c r="BS55" s="140">
        <f>INDEX('File 15'!Weekly_Adjusted,13,2)</f>
        <v>0</v>
      </c>
      <c r="BT55" s="140">
        <f>INDEX('File 15'!Weekly_Adjusted,13,3)</f>
        <v>0</v>
      </c>
      <c r="BU55" s="141">
        <f>INDEX('File 16'!Weekly_Adjusted,13,1)</f>
        <v>0</v>
      </c>
      <c r="BV55" s="141">
        <f>INDEX('File 16'!Weekly_Adjusted,13,2)</f>
        <v>0</v>
      </c>
      <c r="BW55" s="141">
        <f>INDEX('File 16'!Weekly_Adjusted,13,3)</f>
        <v>0</v>
      </c>
      <c r="BX55" s="140">
        <f>INDEX('File 17'!Weekly_Adjusted,13,1)</f>
        <v>0</v>
      </c>
      <c r="BY55" s="140">
        <f>INDEX('File 17'!Weekly_Adjusted,13,2)</f>
        <v>0</v>
      </c>
      <c r="BZ55" s="140">
        <f>INDEX('File 17'!Weekly_Adjusted,13,3)</f>
        <v>0</v>
      </c>
      <c r="CA55" s="141">
        <f>INDEX('File 18'!Weekly_Adjusted,13,1)</f>
        <v>0</v>
      </c>
      <c r="CB55" s="141">
        <f>INDEX('File 18'!Weekly_Adjusted,13,2)</f>
        <v>0</v>
      </c>
      <c r="CC55" s="141">
        <f>INDEX('File 18'!Weekly_Adjusted,13,3)</f>
        <v>0</v>
      </c>
      <c r="CD55" s="140">
        <f>INDEX('File 19'!Weekly_Adjusted,13,1)</f>
        <v>0</v>
      </c>
      <c r="CE55" s="140">
        <f>INDEX('File 19'!Weekly_Adjusted,13,2)</f>
        <v>0</v>
      </c>
      <c r="CF55" s="140">
        <f>INDEX('File 19'!Weekly_Adjusted,13,3)</f>
        <v>0</v>
      </c>
      <c r="CG55" s="141">
        <f>INDEX('File 20'!Weekly_Adjusted,13,1)</f>
        <v>0</v>
      </c>
      <c r="CH55" s="141">
        <f>INDEX('File 20'!Weekly_Adjusted,13,2)</f>
        <v>0</v>
      </c>
      <c r="CI55" s="141">
        <f>INDEX('File 20'!Weekly_Adjusted,13,3)</f>
        <v>0</v>
      </c>
      <c r="CJ55" s="6">
        <f ca="1">SUMIFS(INDEX(Demand_Activity_Weekly,ROW(A13),0),Demand_Activity_Weekly_Header,CJ$42)</f>
        <v>388.17143954725253</v>
      </c>
      <c r="CK55" s="6">
        <f ca="1">SUMIFS(INDEX(Demand_Activity_Weekly,ROW(B13),0),Demand_Activity_Weekly_Header,CK$42)</f>
        <v>0</v>
      </c>
      <c r="CL55" s="6">
        <f ca="1">SUMIFS(INDEX(Demand_Activity_Weekly,ROW(C13),0),Demand_Activity_Weekly_Header,CL$42)</f>
        <v>0</v>
      </c>
      <c r="CM55" s="6">
        <f ca="1">SUMIFS(INDEX(Demand_Activity_Weekly,ROW(D13),0),Demand_Activity_Weekly_Header,CM$42)</f>
        <v>0</v>
      </c>
      <c r="CN55" s="6">
        <f ca="1">SUMIFS(INDEX(Demand_Activity_Weekly,ROW(E13),0),Demand_Activity_Weekly_Header,CN$42)</f>
        <v>0</v>
      </c>
      <c r="CP55" s="142">
        <f ca="1">INDEX('File 1'!Weekly_Adjusted,13,10)</f>
        <v>24.919784152855019</v>
      </c>
      <c r="CQ55" s="142">
        <f>INDEX('File 1'!Weekly_Adjusted,13,11)</f>
        <v>0</v>
      </c>
      <c r="CR55" s="142">
        <f>INDEX('File 1'!Weekly_Adjusted,13,12)</f>
        <v>0</v>
      </c>
      <c r="CS55" s="143">
        <f>INDEX('File 2'!Weekly_Adjusted,13,10)</f>
        <v>0</v>
      </c>
      <c r="CT55" s="143">
        <f>INDEX('File 2'!Weekly_Adjusted,13,11)</f>
        <v>0</v>
      </c>
      <c r="CU55" s="143">
        <f>INDEX('File 2'!Weekly_Adjusted,13,12)</f>
        <v>0</v>
      </c>
      <c r="CV55" s="142">
        <f>INDEX('File 3'!Weekly_Adjusted,13,10)</f>
        <v>0</v>
      </c>
      <c r="CW55" s="142">
        <f>INDEX('File 3'!Weekly_Adjusted,13,11)</f>
        <v>0</v>
      </c>
      <c r="CX55" s="142">
        <f>INDEX('File 3'!Weekly_Adjusted,13,12)</f>
        <v>0</v>
      </c>
      <c r="CY55" s="143">
        <f>INDEX('File 4'!Weekly_Adjusted,13,10)</f>
        <v>0</v>
      </c>
      <c r="CZ55" s="143">
        <f>INDEX('File 4'!Weekly_Adjusted,13,11)</f>
        <v>0</v>
      </c>
      <c r="DA55" s="143">
        <f>INDEX('File 4'!Weekly_Adjusted,13,12)</f>
        <v>0</v>
      </c>
      <c r="DB55" s="142">
        <f>INDEX('File 5'!Weekly_Adjusted,13,10)</f>
        <v>0</v>
      </c>
      <c r="DC55" s="142">
        <f>INDEX('File 5'!Weekly_Adjusted,13,11)</f>
        <v>0</v>
      </c>
      <c r="DD55" s="142">
        <f>INDEX('File 5'!Weekly_Adjusted,13,12)</f>
        <v>0</v>
      </c>
      <c r="DE55" s="143">
        <f>INDEX('File 6'!Weekly_Adjusted,13,10)</f>
        <v>0</v>
      </c>
      <c r="DF55" s="143">
        <f>INDEX('File 6'!Weekly_Adjusted,13,11)</f>
        <v>0</v>
      </c>
      <c r="DG55" s="143">
        <f>INDEX('File 6'!Weekly_Adjusted,13,12)</f>
        <v>0</v>
      </c>
      <c r="DH55" s="142">
        <f>INDEX('File 7'!Weekly_Adjusted,13,10)</f>
        <v>0</v>
      </c>
      <c r="DI55" s="142">
        <f>INDEX('File 7'!Weekly_Adjusted,13,11)</f>
        <v>0</v>
      </c>
      <c r="DJ55" s="142">
        <f>INDEX('File 7'!Weekly_Adjusted,13,12)</f>
        <v>0</v>
      </c>
      <c r="DK55" s="143">
        <f>INDEX('File 8'!Weekly_Adjusted,13,10)</f>
        <v>0</v>
      </c>
      <c r="DL55" s="143">
        <f>INDEX('File 8'!Weekly_Adjusted,13,11)</f>
        <v>0</v>
      </c>
      <c r="DM55" s="143">
        <f>INDEX('File 8'!Weekly_Adjusted,13,12)</f>
        <v>0</v>
      </c>
      <c r="DN55" s="142">
        <f>INDEX('File 9'!Weekly_Adjusted,13,10)</f>
        <v>0</v>
      </c>
      <c r="DO55" s="142">
        <f>INDEX('File 9'!Weekly_Adjusted,13,11)</f>
        <v>0</v>
      </c>
      <c r="DP55" s="142">
        <f>INDEX('File 9'!Weekly_Adjusted,13,12)</f>
        <v>0</v>
      </c>
      <c r="DQ55" s="143">
        <f>INDEX('File 10'!Weekly_Adjusted,13,10)</f>
        <v>0</v>
      </c>
      <c r="DR55" s="143">
        <f>INDEX('File 10'!Weekly_Adjusted,13,11)</f>
        <v>0</v>
      </c>
      <c r="DS55" s="143">
        <f>INDEX('File 10'!Weekly_Adjusted,13,12)</f>
        <v>0</v>
      </c>
      <c r="DT55" s="142">
        <f>INDEX('File 11'!Weekly_Adjusted,13,10)</f>
        <v>0</v>
      </c>
      <c r="DU55" s="142">
        <f>INDEX('File 11'!Weekly_Adjusted,13,11)</f>
        <v>0</v>
      </c>
      <c r="DV55" s="142">
        <f>INDEX('File 11'!Weekly_Adjusted,13,12)</f>
        <v>0</v>
      </c>
      <c r="DW55" s="143">
        <f>INDEX('File 12'!Weekly_Adjusted,13,10)</f>
        <v>0</v>
      </c>
      <c r="DX55" s="143">
        <f>INDEX('File 12'!Weekly_Adjusted,13,11)</f>
        <v>0</v>
      </c>
      <c r="DY55" s="143">
        <f>INDEX('File 12'!Weekly_Adjusted,13,12)</f>
        <v>0</v>
      </c>
      <c r="DZ55" s="142">
        <f>INDEX('File 13'!Weekly_Adjusted,13,10)</f>
        <v>0</v>
      </c>
      <c r="EA55" s="142">
        <f>INDEX('File 13'!Weekly_Adjusted,13,11)</f>
        <v>0</v>
      </c>
      <c r="EB55" s="142">
        <f>INDEX('File 13'!Weekly_Adjusted,13,12)</f>
        <v>0</v>
      </c>
      <c r="EC55" s="143">
        <f>INDEX('File 14'!Weekly_Adjusted,13,10)</f>
        <v>0</v>
      </c>
      <c r="ED55" s="143">
        <f>INDEX('File 14'!Weekly_Adjusted,13,11)</f>
        <v>0</v>
      </c>
      <c r="EE55" s="143">
        <f>INDEX('File 14'!Weekly_Adjusted,13,12)</f>
        <v>0</v>
      </c>
      <c r="EF55" s="142">
        <f>INDEX('File 15'!Weekly_Adjusted,13,10)</f>
        <v>0</v>
      </c>
      <c r="EG55" s="142">
        <f>INDEX('File 15'!Weekly_Adjusted,13,11)</f>
        <v>0</v>
      </c>
      <c r="EH55" s="142">
        <f>INDEX('File 15'!Weekly_Adjusted,13,12)</f>
        <v>0</v>
      </c>
      <c r="EI55" s="143">
        <f>INDEX('File 16'!Weekly_Adjusted,13,10)</f>
        <v>0</v>
      </c>
      <c r="EJ55" s="143">
        <f>INDEX('File 16'!Weekly_Adjusted,13,11)</f>
        <v>0</v>
      </c>
      <c r="EK55" s="143">
        <f>INDEX('File 16'!Weekly_Adjusted,13,12)</f>
        <v>0</v>
      </c>
      <c r="EL55" s="142">
        <f>INDEX('File 17'!Weekly_Adjusted,13,10)</f>
        <v>0</v>
      </c>
      <c r="EM55" s="142">
        <f>INDEX('File 17'!Weekly_Adjusted,13,11)</f>
        <v>0</v>
      </c>
      <c r="EN55" s="142">
        <f>INDEX('File 17'!Weekly_Adjusted,13,12)</f>
        <v>0</v>
      </c>
      <c r="EO55" s="143">
        <f>INDEX('File 18'!Weekly_Adjusted,13,10)</f>
        <v>0</v>
      </c>
      <c r="EP55" s="143">
        <f>INDEX('File 18'!Weekly_Adjusted,13,11)</f>
        <v>0</v>
      </c>
      <c r="EQ55" s="143">
        <f>INDEX('File 18'!Weekly_Adjusted,13,12)</f>
        <v>0</v>
      </c>
      <c r="ER55" s="142">
        <f>INDEX('File 19'!Weekly_Adjusted,13,10)</f>
        <v>0</v>
      </c>
      <c r="ES55" s="142">
        <f>INDEX('File 19'!Weekly_Adjusted,13,11)</f>
        <v>0</v>
      </c>
      <c r="ET55" s="142">
        <f>INDEX('File 19'!Weekly_Adjusted,13,12)</f>
        <v>0</v>
      </c>
      <c r="EU55" s="143">
        <f>INDEX('File 20'!Weekly_Adjusted,13,10)</f>
        <v>0</v>
      </c>
      <c r="EV55" s="143">
        <f>INDEX('File 20'!Weekly_Adjusted,13,11)</f>
        <v>0</v>
      </c>
      <c r="EW55" s="143">
        <f>INDEX('File 20'!Weekly_Adjusted,13,12)</f>
        <v>0</v>
      </c>
      <c r="EX55" s="6">
        <f ca="1">SUMIFS(INDEX(Capacity_Activity_Weekly,ROW(A13),0),Demand_Activity_Weekly_Header,CJ$42)</f>
        <v>24.919784152855019</v>
      </c>
      <c r="EY55" s="6">
        <f ca="1">SUMIFS(INDEX(Capacity_Activity_Weekly,ROW(B13),0),Demand_Activity_Weekly_Header,CK$42)</f>
        <v>0</v>
      </c>
      <c r="EZ55" s="6">
        <f ca="1">SUMIFS(INDEX(Capacity_Activity_Weekly,ROW(C13),0),Demand_Activity_Weekly_Header,CL$42)</f>
        <v>0</v>
      </c>
      <c r="FA55" s="6">
        <f ca="1">SUMIFS(INDEX(Capacity_Activity_Weekly,ROW(D13),0),Demand_Activity_Weekly_Header,CM$42)</f>
        <v>0</v>
      </c>
      <c r="FB55" s="6">
        <f ca="1">SUMIFS(INDEX(Capacity_Activity_Weekly,ROW(E13),0),Demand_Activity_Weekly_Header,CN$42)</f>
        <v>0</v>
      </c>
      <c r="FD55" s="7">
        <f>'File 1'!$Q$54*'Time based aggregation (hide)'!$Q17</f>
        <v>0</v>
      </c>
      <c r="FE55" s="7">
        <f>'File 1'!$R$54*'Time based aggregation (hide)'!$R17</f>
        <v>0</v>
      </c>
      <c r="FF55" s="7">
        <f>'File 1'!$S$54*'Time based aggregation (hide)'!$S17</f>
        <v>0</v>
      </c>
      <c r="FG55" s="7">
        <f>'File 2'!$Q$54*'Time based aggregation (hide)'!$T17</f>
        <v>0</v>
      </c>
      <c r="FH55" s="7">
        <f>'File 2'!$R$54*'Time based aggregation (hide)'!$U17</f>
        <v>0</v>
      </c>
      <c r="FI55" s="7">
        <f>'File 2'!$S$54*'Time based aggregation (hide)'!$V17</f>
        <v>0</v>
      </c>
      <c r="FJ55" s="7">
        <f>'File 3'!$Q$54*'Time based aggregation (hide)'!$W17</f>
        <v>0</v>
      </c>
      <c r="FK55" s="7">
        <f>'File 3'!$R$54*'Time based aggregation (hide)'!$X17</f>
        <v>0</v>
      </c>
      <c r="FL55" s="7">
        <f>'File 3'!$S$54*'Time based aggregation (hide)'!$Y17</f>
        <v>0</v>
      </c>
      <c r="FM55" s="7">
        <f>'File 4'!$Q$54*'Time based aggregation (hide)'!$Z17</f>
        <v>0</v>
      </c>
      <c r="FN55" s="7">
        <f>'File 4'!$R$54*'Time based aggregation (hide)'!$AA17</f>
        <v>0</v>
      </c>
      <c r="FO55" s="7">
        <f>'File 4'!$S$54*'Time based aggregation (hide)'!$AB17</f>
        <v>0</v>
      </c>
      <c r="FP55" s="7">
        <f>'File 5'!$Q$54*'Time based aggregation (hide)'!$AC17</f>
        <v>0</v>
      </c>
      <c r="FQ55" s="7">
        <f>'File 5'!$R$54*'Time based aggregation (hide)'!$AD17</f>
        <v>0</v>
      </c>
      <c r="FR55" s="7">
        <f>'File 5'!$S$54*'Time based aggregation (hide)'!$AE17</f>
        <v>0</v>
      </c>
      <c r="FS55" s="7">
        <f>'File 6'!$Q$54*'Time based aggregation (hide)'!$AF17</f>
        <v>0</v>
      </c>
      <c r="FT55" s="7">
        <f>'File 6'!$R$54*'Time based aggregation (hide)'!$AG17</f>
        <v>0</v>
      </c>
      <c r="FU55" s="7">
        <f>'File 6'!$S$54*'Time based aggregation (hide)'!$AH17</f>
        <v>0</v>
      </c>
      <c r="FV55" s="7">
        <f>'File 7'!$Q$54*'Time based aggregation (hide)'!$AI17</f>
        <v>0</v>
      </c>
      <c r="FW55" s="7">
        <f>'File 7'!$R$54*'Time based aggregation (hide)'!$AJ17</f>
        <v>0</v>
      </c>
      <c r="FX55" s="7">
        <f>'File 7'!$S$54*'Time based aggregation (hide)'!$AK17</f>
        <v>0</v>
      </c>
      <c r="FY55" s="7">
        <f>'File 8'!$Q$54*'Time based aggregation (hide)'!$AL17</f>
        <v>0</v>
      </c>
      <c r="FZ55" s="7">
        <f>'File 8'!$R$54*'Time based aggregation (hide)'!$AM17</f>
        <v>0</v>
      </c>
      <c r="GA55" s="7">
        <f>'File 8'!$S$54*'Time based aggregation (hide)'!$AN17</f>
        <v>0</v>
      </c>
      <c r="GB55" s="7">
        <f>'File 9'!$Q$54*'Time based aggregation (hide)'!$AO17</f>
        <v>0</v>
      </c>
      <c r="GC55" s="7">
        <f>'File 9'!$R$54*'Time based aggregation (hide)'!$AP17</f>
        <v>0</v>
      </c>
      <c r="GD55" s="7">
        <f>'File 9'!$S$54*'Time based aggregation (hide)'!$AQ17</f>
        <v>0</v>
      </c>
      <c r="GE55" s="7">
        <f>'File 10'!$Q$54*'Time based aggregation (hide)'!$AR17</f>
        <v>0</v>
      </c>
      <c r="GF55" s="7">
        <f>'File 10'!$R$54*'Time based aggregation (hide)'!$AS17</f>
        <v>0</v>
      </c>
      <c r="GG55" s="7">
        <f>'File 10'!$S$54*'Time based aggregation (hide)'!$AT17</f>
        <v>0</v>
      </c>
      <c r="GH55" s="7">
        <f>'File 11'!$Q$54*'Time based aggregation (hide)'!$AU17</f>
        <v>0</v>
      </c>
      <c r="GI55" s="7">
        <f>'File 11'!$R$54*'Time based aggregation (hide)'!$AV17</f>
        <v>0</v>
      </c>
      <c r="GJ55" s="7">
        <f>'File 11'!$S$54*'Time based aggregation (hide)'!$AW17</f>
        <v>0</v>
      </c>
      <c r="GK55" s="7">
        <f>'File 12'!$Q$54*'Time based aggregation (hide)'!$AX17</f>
        <v>0</v>
      </c>
      <c r="GL55" s="7">
        <f>'File 12'!$R$54*'Time based aggregation (hide)'!$AY17</f>
        <v>0</v>
      </c>
      <c r="GM55" s="7">
        <f>'File 12'!$S$54*'Time based aggregation (hide)'!$AZ17</f>
        <v>0</v>
      </c>
      <c r="GN55" s="7">
        <f>'File 13'!$Q$54*'Time based aggregation (hide)'!$BA17</f>
        <v>0</v>
      </c>
      <c r="GO55" s="7">
        <f>'File 13'!$R$54*'Time based aggregation (hide)'!$BB17</f>
        <v>0</v>
      </c>
      <c r="GP55" s="7">
        <f>'File 13'!$S$54*'Time based aggregation (hide)'!$BC17</f>
        <v>0</v>
      </c>
      <c r="GQ55" s="7">
        <f>'File 14'!$Q$54*'Time based aggregation (hide)'!$BD17</f>
        <v>0</v>
      </c>
      <c r="GR55" s="7">
        <f>'File 14'!$R$54*'Time based aggregation (hide)'!$BE17</f>
        <v>0</v>
      </c>
      <c r="GS55" s="7">
        <f>'File 14'!$S$54*'Time based aggregation (hide)'!$BF17</f>
        <v>0</v>
      </c>
      <c r="GT55" s="7">
        <f>'File 15'!$Q$54*'Time based aggregation (hide)'!$BG17</f>
        <v>0</v>
      </c>
      <c r="GU55" s="7">
        <f>'File 15'!$R$54*'Time based aggregation (hide)'!$BH17</f>
        <v>0</v>
      </c>
      <c r="GV55" s="7">
        <f>'File 15'!$S$54*'Time based aggregation (hide)'!$BI17</f>
        <v>0</v>
      </c>
      <c r="GW55" s="7">
        <f>'File 16'!$Q$54*'Time based aggregation (hide)'!$BJ17</f>
        <v>0</v>
      </c>
      <c r="GX55" s="7">
        <f>'File 16'!$R$54*'Time based aggregation (hide)'!$BK17</f>
        <v>0</v>
      </c>
      <c r="GY55" s="7">
        <f>'File 16'!$S$54*'Time based aggregation (hide)'!$BL17</f>
        <v>0</v>
      </c>
      <c r="GZ55" s="7">
        <f>'File 17'!$Q$54*'Time based aggregation (hide)'!$BM17</f>
        <v>0</v>
      </c>
      <c r="HA55" s="7">
        <f>'File 17'!$R$54*'Time based aggregation (hide)'!$BN17</f>
        <v>0</v>
      </c>
      <c r="HB55" s="7">
        <f>'File 17'!$S$54*'Time based aggregation (hide)'!$BO17</f>
        <v>0</v>
      </c>
      <c r="HC55" s="7">
        <f>'File 18'!$Q$54*'Time based aggregation (hide)'!$BP17</f>
        <v>0</v>
      </c>
      <c r="HD55" s="7">
        <f>'File 18'!$R$54*'Time based aggregation (hide)'!$BQ17</f>
        <v>0</v>
      </c>
      <c r="HE55" s="7">
        <f>'File 18'!$S$54*'Time based aggregation (hide)'!$BR17</f>
        <v>0</v>
      </c>
      <c r="HF55" s="7">
        <f>'File 19'!$Q$54*'Time based aggregation (hide)'!$BS17</f>
        <v>0</v>
      </c>
      <c r="HG55" s="7">
        <f>'File 19'!$R$54*'Time based aggregation (hide)'!$BT17</f>
        <v>0</v>
      </c>
      <c r="HH55" s="7">
        <f>'File 19'!$S$54*'Time based aggregation (hide)'!$BU17</f>
        <v>0</v>
      </c>
      <c r="HI55" s="7">
        <f>'File 20'!$Q$54*'Time based aggregation (hide)'!$BV17</f>
        <v>0</v>
      </c>
      <c r="HJ55" s="7">
        <f>'File 20'!$R$54*'Time based aggregation (hide)'!$BW17</f>
        <v>0</v>
      </c>
      <c r="HK55" s="7">
        <f>'File 20'!$S$54*'Time based aggregation (hide)'!$BX17</f>
        <v>0</v>
      </c>
      <c r="HL55" s="7">
        <f t="shared" ca="1" si="40"/>
        <v>0</v>
      </c>
      <c r="HM55" s="7">
        <f t="shared" ca="1" si="40"/>
        <v>0</v>
      </c>
      <c r="HN55" s="7">
        <f t="shared" ca="1" si="40"/>
        <v>0</v>
      </c>
      <c r="HO55" s="7">
        <f t="shared" ca="1" si="40"/>
        <v>0</v>
      </c>
      <c r="HP55" s="7">
        <f t="shared" ca="1" si="40"/>
        <v>0</v>
      </c>
      <c r="HR55" s="142">
        <f ca="1">INDEX('File 1'!Weekly_Adjusted,13,16)</f>
        <v>21.427839876658773</v>
      </c>
      <c r="HS55" s="142">
        <f>INDEX('File 1'!Weekly_Adjusted,13,17)</f>
        <v>0</v>
      </c>
      <c r="HT55" s="142">
        <f>INDEX('File 1'!Weekly_Adjusted,13,18)</f>
        <v>0</v>
      </c>
      <c r="HU55" s="143">
        <f>INDEX('File 2'!Weekly_Adjusted,13,16)</f>
        <v>0</v>
      </c>
      <c r="HV55" s="143">
        <f>INDEX('File 2'!Weekly_Adjusted,13,17)</f>
        <v>0</v>
      </c>
      <c r="HW55" s="143">
        <f>INDEX('File 2'!Weekly_Adjusted,13,18)</f>
        <v>0</v>
      </c>
      <c r="HX55" s="142">
        <f>INDEX('File 3'!Weekly_Adjusted,13,16)</f>
        <v>0</v>
      </c>
      <c r="HY55" s="142">
        <f>INDEX('File 3'!Weekly_Adjusted,13,17)</f>
        <v>0</v>
      </c>
      <c r="HZ55" s="142">
        <f>INDEX('File 3'!Weekly_Adjusted,13,18)</f>
        <v>0</v>
      </c>
      <c r="IA55" s="143">
        <f>INDEX('File 4'!Weekly_Adjusted,13,16)</f>
        <v>0</v>
      </c>
      <c r="IB55" s="143">
        <f>INDEX('File 4'!Weekly_Adjusted,13,17)</f>
        <v>0</v>
      </c>
      <c r="IC55" s="143">
        <f>INDEX('File 4'!Weekly_Adjusted,13,18)</f>
        <v>0</v>
      </c>
      <c r="ID55" s="142">
        <f>INDEX('File 5'!Weekly_Adjusted,13,16)</f>
        <v>0</v>
      </c>
      <c r="IE55" s="142">
        <f>INDEX('File 5'!Weekly_Adjusted,13,17)</f>
        <v>0</v>
      </c>
      <c r="IF55" s="142">
        <f>INDEX('File 5'!Weekly_Adjusted,13,18)</f>
        <v>0</v>
      </c>
      <c r="IG55" s="143">
        <f>INDEX('File 6'!Weekly_Adjusted,13,16)</f>
        <v>0</v>
      </c>
      <c r="IH55" s="143">
        <f>INDEX('File 6'!Weekly_Adjusted,13,17)</f>
        <v>0</v>
      </c>
      <c r="II55" s="143">
        <f>INDEX('File 6'!Weekly_Adjusted,13,18)</f>
        <v>0</v>
      </c>
      <c r="IJ55" s="142">
        <f>INDEX('File 7'!Weekly_Adjusted,13,16)</f>
        <v>0</v>
      </c>
      <c r="IK55" s="142">
        <f>INDEX('File 7'!Weekly_Adjusted,13,17)</f>
        <v>0</v>
      </c>
      <c r="IL55" s="142">
        <f>INDEX('File 7'!Weekly_Adjusted,13,18)</f>
        <v>0</v>
      </c>
      <c r="IM55" s="143">
        <f>INDEX('File 8'!Weekly_Adjusted,13,16)</f>
        <v>0</v>
      </c>
      <c r="IN55" s="143">
        <f>INDEX('File 8'!Weekly_Adjusted,13,17)</f>
        <v>0</v>
      </c>
      <c r="IO55" s="143">
        <f>INDEX('File 8'!Weekly_Adjusted,13,18)</f>
        <v>0</v>
      </c>
      <c r="IP55" s="142">
        <f>INDEX('File 9'!Weekly_Adjusted,13,16)</f>
        <v>0</v>
      </c>
      <c r="IQ55" s="142">
        <f>INDEX('File 9'!Weekly_Adjusted,13,17)</f>
        <v>0</v>
      </c>
      <c r="IR55" s="142">
        <f>INDEX('File 9'!Weekly_Adjusted,13,18)</f>
        <v>0</v>
      </c>
      <c r="IS55" s="143">
        <f>INDEX('File 10'!Weekly_Adjusted,13,16)</f>
        <v>0</v>
      </c>
      <c r="IT55" s="143">
        <f>INDEX('File 10'!Weekly_Adjusted,13,17)</f>
        <v>0</v>
      </c>
      <c r="IU55" s="143">
        <f>INDEX('File 10'!Weekly_Adjusted,13,18)</f>
        <v>0</v>
      </c>
      <c r="IV55" s="142">
        <f>INDEX('File 11'!Weekly_Adjusted,13,16)</f>
        <v>0</v>
      </c>
      <c r="IW55" s="142">
        <f>INDEX('File 11'!Weekly_Adjusted,13,17)</f>
        <v>0</v>
      </c>
      <c r="IX55" s="142">
        <f>INDEX('File 11'!Weekly_Adjusted,13,18)</f>
        <v>0</v>
      </c>
      <c r="IY55" s="143">
        <f>INDEX('File 12'!Weekly_Adjusted,13,16)</f>
        <v>0</v>
      </c>
      <c r="IZ55" s="143">
        <f>INDEX('File 12'!Weekly_Adjusted,13,17)</f>
        <v>0</v>
      </c>
      <c r="JA55" s="143">
        <f>INDEX('File 12'!Weekly_Adjusted,13,18)</f>
        <v>0</v>
      </c>
      <c r="JB55" s="142">
        <f>INDEX('File 13'!Weekly_Adjusted,13,16)</f>
        <v>0</v>
      </c>
      <c r="JC55" s="142">
        <f>INDEX('File 13'!Weekly_Adjusted,13,17)</f>
        <v>0</v>
      </c>
      <c r="JD55" s="142">
        <f>INDEX('File 13'!Weekly_Adjusted,13,18)</f>
        <v>0</v>
      </c>
      <c r="JE55" s="143">
        <f>INDEX('File 14'!Weekly_Adjusted,13,16)</f>
        <v>0</v>
      </c>
      <c r="JF55" s="143">
        <f>INDEX('File 14'!Weekly_Adjusted,13,17)</f>
        <v>0</v>
      </c>
      <c r="JG55" s="143">
        <f>INDEX('File 14'!Weekly_Adjusted,13,18)</f>
        <v>0</v>
      </c>
      <c r="JH55" s="142">
        <f>INDEX('File 15'!Weekly_Adjusted,13,16)</f>
        <v>0</v>
      </c>
      <c r="JI55" s="142">
        <f>INDEX('File 15'!Weekly_Adjusted,13,17)</f>
        <v>0</v>
      </c>
      <c r="JJ55" s="142">
        <f>INDEX('File 15'!Weekly_Adjusted,13,18)</f>
        <v>0</v>
      </c>
      <c r="JK55" s="143">
        <f>INDEX('File 16'!Weekly_Adjusted,13,16)</f>
        <v>0</v>
      </c>
      <c r="JL55" s="143">
        <f>INDEX('File 16'!Weekly_Adjusted,13,17)</f>
        <v>0</v>
      </c>
      <c r="JM55" s="143">
        <f>INDEX('File 16'!Weekly_Adjusted,13,18)</f>
        <v>0</v>
      </c>
      <c r="JN55" s="142">
        <f>INDEX('File 17'!Weekly_Adjusted,13,16)</f>
        <v>0</v>
      </c>
      <c r="JO55" s="142">
        <f>INDEX('File 17'!Weekly_Adjusted,13,17)</f>
        <v>0</v>
      </c>
      <c r="JP55" s="142">
        <f>INDEX('File 17'!Weekly_Adjusted,13,18)</f>
        <v>0</v>
      </c>
      <c r="JQ55" s="143">
        <f>INDEX('File 18'!Weekly_Adjusted,13,16)</f>
        <v>0</v>
      </c>
      <c r="JR55" s="143">
        <f>INDEX('File 18'!Weekly_Adjusted,13,17)</f>
        <v>0</v>
      </c>
      <c r="JS55" s="143">
        <f>INDEX('File 18'!Weekly_Adjusted,13,18)</f>
        <v>0</v>
      </c>
      <c r="JT55" s="142">
        <f>INDEX('File 19'!Weekly_Adjusted,13,16)</f>
        <v>0</v>
      </c>
      <c r="JU55" s="142">
        <f>INDEX('File 19'!Weekly_Adjusted,13,17)</f>
        <v>0</v>
      </c>
      <c r="JV55" s="142">
        <f>INDEX('File 19'!Weekly_Adjusted,13,18)</f>
        <v>0</v>
      </c>
      <c r="JW55" s="143">
        <f>INDEX('File 20'!Weekly_Adjusted,13,16)</f>
        <v>0</v>
      </c>
      <c r="JX55" s="143">
        <f>INDEX('File 20'!Weekly_Adjusted,13,17)</f>
        <v>0</v>
      </c>
      <c r="JY55" s="143">
        <f>INDEX('File 20'!Weekly_Adjusted,13,18)</f>
        <v>0</v>
      </c>
      <c r="JZ55" s="6">
        <f ca="1">SUMIFS(INDEX(CapacityCore_Activity_Weekly,ROW(EC13),0),Demand_Activity_Weekly_Header,HL$42)</f>
        <v>21.427839876658773</v>
      </c>
      <c r="KA55" s="6">
        <f ca="1">SUMIFS(INDEX(CapacityCore_Activity_Weekly,ROW(ED13),0),Demand_Activity_Weekly_Header,HM$42)</f>
        <v>0</v>
      </c>
      <c r="KB55" s="6">
        <f ca="1">SUMIFS(INDEX(CapacityCore_Activity_Weekly,ROW(EE13),0),Demand_Activity_Weekly_Header,HN$42)</f>
        <v>0</v>
      </c>
      <c r="KC55" s="6">
        <f ca="1">SUMIFS(INDEX(CapacityCore_Activity_Weekly,ROW(EF13),0),Demand_Activity_Weekly_Header,HO$42)</f>
        <v>0</v>
      </c>
      <c r="KD55" s="6">
        <f ca="1">SUMIFS(INDEX(CapacityCore_Activity_Weekly,ROW(EG13),0),Demand_Activity_Weekly_Header,HP$42)</f>
        <v>0</v>
      </c>
      <c r="KF55" s="6">
        <f>SUMIFS('Time based aggregation (hide)'!$J:$J,'Time based aggregation (hide)'!$E:$E,1,'Time based aggregation (hide)'!$F:$F,1,'Time based aggregation (hide)'!$A:$A,ROW(A13))</f>
        <v>0</v>
      </c>
      <c r="KG55" s="6">
        <f>SUMIFS('Time based aggregation (hide)'!$J:$J,'Time based aggregation (hide)'!$E:$E,1,'Time based aggregation (hide)'!$F:$F,2,'Time based aggregation (hide)'!$A:$A,ROW(A13))</f>
        <v>0</v>
      </c>
      <c r="KH55" s="6">
        <f>SUMIFS('Time based aggregation (hide)'!$J:$J,'Time based aggregation (hide)'!$E:$E,1,'Time based aggregation (hide)'!$F:$F,3,'Time based aggregation (hide)'!$A:$A,ROW(A13))</f>
        <v>0</v>
      </c>
      <c r="KI55" s="6">
        <f>SUMIFS('Time based aggregation (hide)'!$J:$J,'Time based aggregation (hide)'!$E:$E,2,'Time based aggregation (hide)'!$F:$F,1,'Time based aggregation (hide)'!$A:$A,ROW(A13))</f>
        <v>0</v>
      </c>
      <c r="KJ55" s="6">
        <f>SUMIFS('Time based aggregation (hide)'!$J:$J,'Time based aggregation (hide)'!$E:$E,2,'Time based aggregation (hide)'!$F:$F,2,'Time based aggregation (hide)'!$A:$A,ROW(A13))</f>
        <v>0</v>
      </c>
      <c r="KK55" s="6">
        <f>SUMIFS('Time based aggregation (hide)'!$J:$J,'Time based aggregation (hide)'!$E:$E,2,'Time based aggregation (hide)'!$F:$F,3,'Time based aggregation (hide)'!$A:$A,ROW(A13))</f>
        <v>0</v>
      </c>
      <c r="KL55" s="6">
        <f>SUMIFS('Time based aggregation (hide)'!$J:$J,'Time based aggregation (hide)'!$E:$E,3,'Time based aggregation (hide)'!$F:$F,1,'Time based aggregation (hide)'!$A:$A,ROW(A13))</f>
        <v>0</v>
      </c>
      <c r="KM55" s="6">
        <f>SUMIFS('Time based aggregation (hide)'!$J:$J,'Time based aggregation (hide)'!$E:$E,3,'Time based aggregation (hide)'!$F:$F,2,'Time based aggregation (hide)'!$A:$A,ROW(A13))</f>
        <v>0</v>
      </c>
      <c r="KN55" s="6">
        <f>SUMIFS('Time based aggregation (hide)'!$J:$J,'Time based aggregation (hide)'!$E:$E,3,'Time based aggregation (hide)'!$F:$F,3,'Time based aggregation (hide)'!$A:$A,ROW(A13))</f>
        <v>0</v>
      </c>
      <c r="KO55" s="6">
        <f>SUMIFS('Time based aggregation (hide)'!$J:$J,'Time based aggregation (hide)'!$E:$E,4,'Time based aggregation (hide)'!$F:$F,1,'Time based aggregation (hide)'!$A:$A,ROW(A13))</f>
        <v>0</v>
      </c>
      <c r="KP55" s="6">
        <f>SUMIFS('Time based aggregation (hide)'!$J:$J,'Time based aggregation (hide)'!$E:$E,4,'Time based aggregation (hide)'!$F:$F,2,'Time based aggregation (hide)'!$A:$A,ROW(A13))</f>
        <v>0</v>
      </c>
      <c r="KQ55" s="6">
        <f>SUMIFS('Time based aggregation (hide)'!$J:$J,'Time based aggregation (hide)'!$E:$E,4,'Time based aggregation (hide)'!$F:$F,3,'Time based aggregation (hide)'!$A:$A,ROW(A13))</f>
        <v>0</v>
      </c>
      <c r="KR55" s="6">
        <f>SUMIFS('Time based aggregation (hide)'!$J:$J,'Time based aggregation (hide)'!$E:$E,5,'Time based aggregation (hide)'!$F:$F,1,'Time based aggregation (hide)'!$A:$A,ROW(A13))</f>
        <v>0</v>
      </c>
      <c r="KS55" s="6">
        <f>SUMIFS('Time based aggregation (hide)'!$J:$J,'Time based aggregation (hide)'!$E:$E,5,'Time based aggregation (hide)'!$F:$F,2,'Time based aggregation (hide)'!$A:$A,ROW(A13))</f>
        <v>0</v>
      </c>
      <c r="KT55" s="6">
        <f>SUMIFS('Time based aggregation (hide)'!$J:$J,'Time based aggregation (hide)'!$E:$E,5,'Time based aggregation (hide)'!$F:$F,3,'Time based aggregation (hide)'!$A:$A,ROW(A13))</f>
        <v>0</v>
      </c>
      <c r="KU55" s="6">
        <f>SUMIFS('Time based aggregation (hide)'!$J:$J,'Time based aggregation (hide)'!$E:$E,6,'Time based aggregation (hide)'!$F:$F,1,'Time based aggregation (hide)'!$A:$A,ROW(A13))</f>
        <v>0</v>
      </c>
      <c r="KV55" s="6">
        <f>SUMIFS('Time based aggregation (hide)'!$J:$J,'Time based aggregation (hide)'!$E:$E,6,'Time based aggregation (hide)'!$F:$F,2,'Time based aggregation (hide)'!$A:$A,ROW(A13))</f>
        <v>0</v>
      </c>
      <c r="KW55" s="6">
        <f>SUMIFS('Time based aggregation (hide)'!$J:$J,'Time based aggregation (hide)'!$E:$E,6,'Time based aggregation (hide)'!$F:$F,3,'Time based aggregation (hide)'!$A:$A,ROW(A13))</f>
        <v>0</v>
      </c>
      <c r="KX55" s="6">
        <f>SUMIFS('Time based aggregation (hide)'!$J:$J,'Time based aggregation (hide)'!$E:$E,7,'Time based aggregation (hide)'!$F:$F,1,'Time based aggregation (hide)'!$A:$A,ROW(A13))</f>
        <v>0</v>
      </c>
      <c r="KY55" s="6">
        <f>SUMIFS('Time based aggregation (hide)'!$J:$J,'Time based aggregation (hide)'!$E:$E,7,'Time based aggregation (hide)'!$F:$F,2,'Time based aggregation (hide)'!$A:$A,ROW(A13))</f>
        <v>0</v>
      </c>
      <c r="KZ55" s="6">
        <f>SUMIFS('Time based aggregation (hide)'!$J:$J,'Time based aggregation (hide)'!$E:$E,7,'Time based aggregation (hide)'!$F:$F,3,'Time based aggregation (hide)'!$A:$A,ROW(A13))</f>
        <v>0</v>
      </c>
      <c r="LA55" s="6">
        <f>SUMIFS('Time based aggregation (hide)'!$J:$J,'Time based aggregation (hide)'!$E:$E,8,'Time based aggregation (hide)'!$F:$F,1,'Time based aggregation (hide)'!$A:$A,ROW(A13))</f>
        <v>0</v>
      </c>
      <c r="LB55" s="6">
        <f>SUMIFS('Time based aggregation (hide)'!$J:$J,'Time based aggregation (hide)'!$E:$E,8,'Time based aggregation (hide)'!$F:$F,2,'Time based aggregation (hide)'!$A:$A,ROW(A13))</f>
        <v>0</v>
      </c>
      <c r="LC55" s="6">
        <f>SUMIFS('Time based aggregation (hide)'!$J:$J,'Time based aggregation (hide)'!$E:$E,8,'Time based aggregation (hide)'!$F:$F,3,'Time based aggregation (hide)'!$A:$A,ROW(A13))</f>
        <v>0</v>
      </c>
      <c r="LD55" s="6">
        <f>SUMIFS('Time based aggregation (hide)'!$J:$J,'Time based aggregation (hide)'!$E:$E,9,'Time based aggregation (hide)'!$F:$F,1,'Time based aggregation (hide)'!$A:$A,ROW(A13))</f>
        <v>0</v>
      </c>
      <c r="LE55" s="6">
        <f>SUMIFS('Time based aggregation (hide)'!$J:$J,'Time based aggregation (hide)'!$E:$E,9,'Time based aggregation (hide)'!$F:$F,2,'Time based aggregation (hide)'!$A:$A,ROW(A13))</f>
        <v>0</v>
      </c>
      <c r="LF55" s="6">
        <f>SUMIFS('Time based aggregation (hide)'!$J:$J,'Time based aggregation (hide)'!$E:$E,9,'Time based aggregation (hide)'!$F:$F,3,'Time based aggregation (hide)'!$A:$A,ROW(A13))</f>
        <v>0</v>
      </c>
      <c r="LG55" s="6">
        <f>SUMIFS('Time based aggregation (hide)'!$J:$J,'Time based aggregation (hide)'!$E:$E,10,'Time based aggregation (hide)'!$F:$F,1,'Time based aggregation (hide)'!$A:$A,ROW(A13))</f>
        <v>0</v>
      </c>
      <c r="LH55" s="6">
        <f>SUMIFS('Time based aggregation (hide)'!$J:$J,'Time based aggregation (hide)'!$E:$E,10,'Time based aggregation (hide)'!$F:$F,2,'Time based aggregation (hide)'!$A:$A,ROW(A13))</f>
        <v>0</v>
      </c>
      <c r="LI55" s="6">
        <f>SUMIFS('Time based aggregation (hide)'!$J:$J,'Time based aggregation (hide)'!$E:$E,10,'Time based aggregation (hide)'!$F:$F,3,'Time based aggregation (hide)'!$A:$A,ROW(A13))</f>
        <v>0</v>
      </c>
      <c r="LJ55" s="6">
        <f>SUMIFS('Time based aggregation (hide)'!$J:$J,'Time based aggregation (hide)'!$E:$E,11,'Time based aggregation (hide)'!$F:$F,1,'Time based aggregation (hide)'!$A:$A,ROW(A13))</f>
        <v>0</v>
      </c>
      <c r="LK55" s="6">
        <f>SUMIFS('Time based aggregation (hide)'!$J:$J,'Time based aggregation (hide)'!$E:$E,11,'Time based aggregation (hide)'!$F:$F,2,'Time based aggregation (hide)'!$A:$A,ROW(A13))</f>
        <v>0</v>
      </c>
      <c r="LL55" s="6">
        <f>SUMIFS('Time based aggregation (hide)'!$J:$J,'Time based aggregation (hide)'!$E:$E,11,'Time based aggregation (hide)'!$F:$F,3,'Time based aggregation (hide)'!$A:$A,ROW(A13))</f>
        <v>0</v>
      </c>
      <c r="LM55" s="6">
        <f>SUMIFS('Time based aggregation (hide)'!$J:$J,'Time based aggregation (hide)'!$E:$E,12,'Time based aggregation (hide)'!$F:$F,1,'Time based aggregation (hide)'!$A:$A,ROW(A13))</f>
        <v>0</v>
      </c>
      <c r="LN55" s="6">
        <f>SUMIFS('Time based aggregation (hide)'!$J:$J,'Time based aggregation (hide)'!$E:$E,12,'Time based aggregation (hide)'!$F:$F,2,'Time based aggregation (hide)'!$A:$A,ROW(A13))</f>
        <v>0</v>
      </c>
      <c r="LO55" s="6">
        <f>SUMIFS('Time based aggregation (hide)'!$J:$J,'Time based aggregation (hide)'!$E:$E,12,'Time based aggregation (hide)'!$F:$F,3,'Time based aggregation (hide)'!$A:$A,ROW(A13))</f>
        <v>0</v>
      </c>
      <c r="LP55" s="6">
        <f>SUMIFS('Time based aggregation (hide)'!$J:$J,'Time based aggregation (hide)'!$E:$E,13,'Time based aggregation (hide)'!$F:$F,1,'Time based aggregation (hide)'!$A:$A,ROW(A13))</f>
        <v>0</v>
      </c>
      <c r="LQ55" s="6">
        <f>SUMIFS('Time based aggregation (hide)'!$J:$J,'Time based aggregation (hide)'!$E:$E,13,'Time based aggregation (hide)'!$F:$F,2,'Time based aggregation (hide)'!$A:$A,ROW(A13))</f>
        <v>0</v>
      </c>
      <c r="LR55" s="6">
        <f>SUMIFS('Time based aggregation (hide)'!$J:$J,'Time based aggregation (hide)'!$E:$E,13,'Time based aggregation (hide)'!$F:$F,3,'Time based aggregation (hide)'!$A:$A,ROW(A13))</f>
        <v>0</v>
      </c>
      <c r="LS55" s="6">
        <f>SUMIFS('Time based aggregation (hide)'!$J:$J,'Time based aggregation (hide)'!$E:$E,14,'Time based aggregation (hide)'!$F:$F,1,'Time based aggregation (hide)'!$A:$A,ROW(A13))</f>
        <v>0</v>
      </c>
      <c r="LT55" s="6">
        <f>SUMIFS('Time based aggregation (hide)'!$J:$J,'Time based aggregation (hide)'!$E:$E,14,'Time based aggregation (hide)'!$F:$F,2,'Time based aggregation (hide)'!$A:$A,ROW(A13))</f>
        <v>0</v>
      </c>
      <c r="LU55" s="6">
        <f>SUMIFS('Time based aggregation (hide)'!$J:$J,'Time based aggregation (hide)'!$E:$E,14,'Time based aggregation (hide)'!$F:$F,3,'Time based aggregation (hide)'!$A:$A,ROW(A13))</f>
        <v>0</v>
      </c>
      <c r="LV55" s="6">
        <f>SUMIFS('Time based aggregation (hide)'!$J:$J,'Time based aggregation (hide)'!$E:$E,15,'Time based aggregation (hide)'!$F:$F,1,'Time based aggregation (hide)'!$A:$A,ROW(A13))</f>
        <v>0</v>
      </c>
      <c r="LW55" s="6">
        <f>SUMIFS('Time based aggregation (hide)'!$J:$J,'Time based aggregation (hide)'!$E:$E,15,'Time based aggregation (hide)'!$F:$F,2,'Time based aggregation (hide)'!$A:$A,ROW(A13))</f>
        <v>0</v>
      </c>
      <c r="LX55" s="6">
        <f>SUMIFS('Time based aggregation (hide)'!$J:$J,'Time based aggregation (hide)'!$E:$E,15,'Time based aggregation (hide)'!$F:$F,3,'Time based aggregation (hide)'!$A:$A,ROW(A13))</f>
        <v>0</v>
      </c>
      <c r="LY55" s="6">
        <f>SUMIFS('Time based aggregation (hide)'!$J:$J,'Time based aggregation (hide)'!$E:$E,16,'Time based aggregation (hide)'!$F:$F,1,'Time based aggregation (hide)'!$A:$A,ROW(A13))</f>
        <v>0</v>
      </c>
      <c r="LZ55" s="6">
        <f>SUMIFS('Time based aggregation (hide)'!$J:$J,'Time based aggregation (hide)'!$E:$E,16,'Time based aggregation (hide)'!$F:$F,2,'Time based aggregation (hide)'!$A:$A,ROW(A13))</f>
        <v>0</v>
      </c>
      <c r="MA55" s="6">
        <f>SUMIFS('Time based aggregation (hide)'!$J:$J,'Time based aggregation (hide)'!$E:$E,16,'Time based aggregation (hide)'!$F:$F,3,'Time based aggregation (hide)'!$A:$A,ROW(A13))</f>
        <v>0</v>
      </c>
      <c r="MB55" s="6">
        <f>SUMIFS('Time based aggregation (hide)'!$J:$J,'Time based aggregation (hide)'!$E:$E,17,'Time based aggregation (hide)'!$F:$F,1,'Time based aggregation (hide)'!$A:$A,ROW(A13))</f>
        <v>0</v>
      </c>
      <c r="MC55" s="6">
        <f>SUMIFS('Time based aggregation (hide)'!$J:$J,'Time based aggregation (hide)'!$E:$E,17,'Time based aggregation (hide)'!$F:$F,2,'Time based aggregation (hide)'!$A:$A,ROW(A13))</f>
        <v>0</v>
      </c>
      <c r="MD55" s="6">
        <f>SUMIFS('Time based aggregation (hide)'!$J:$J,'Time based aggregation (hide)'!$E:$E,17,'Time based aggregation (hide)'!$F:$F,3,'Time based aggregation (hide)'!$A:$A,ROW(A13))</f>
        <v>0</v>
      </c>
      <c r="ME55" s="6">
        <f>SUMIFS('Time based aggregation (hide)'!$J:$J,'Time based aggregation (hide)'!$E:$E,18,'Time based aggregation (hide)'!$F:$F,1,'Time based aggregation (hide)'!$A:$A,ROW(A13))</f>
        <v>0</v>
      </c>
      <c r="MF55" s="6">
        <f>SUMIFS('Time based aggregation (hide)'!$J:$J,'Time based aggregation (hide)'!$E:$E,18,'Time based aggregation (hide)'!$F:$F,2,'Time based aggregation (hide)'!$A:$A,ROW(A13))</f>
        <v>0</v>
      </c>
      <c r="MG55" s="6">
        <f>SUMIFS('Time based aggregation (hide)'!$J:$J,'Time based aggregation (hide)'!$E:$E,18,'Time based aggregation (hide)'!$F:$F,3,'Time based aggregation (hide)'!$A:$A,ROW(A13))</f>
        <v>0</v>
      </c>
      <c r="MH55" s="6">
        <f>SUMIFS('Time based aggregation (hide)'!$J:$J,'Time based aggregation (hide)'!$E:$E,19,'Time based aggregation (hide)'!$F:$F,1,'Time based aggregation (hide)'!$A:$A,ROW(A13))</f>
        <v>0</v>
      </c>
      <c r="MI55" s="6">
        <f>SUMIFS('Time based aggregation (hide)'!$J:$J,'Time based aggregation (hide)'!$E:$E,19,'Time based aggregation (hide)'!$F:$F,2,'Time based aggregation (hide)'!$A:$A,ROW(A13))</f>
        <v>0</v>
      </c>
      <c r="MJ55" s="6">
        <f>SUMIFS('Time based aggregation (hide)'!$J:$J,'Time based aggregation (hide)'!$E:$E,19,'Time based aggregation (hide)'!$F:$F,3,'Time based aggregation (hide)'!$A:$A,ROW(A13))</f>
        <v>0</v>
      </c>
      <c r="MK55" s="6">
        <f>SUMIFS('Time based aggregation (hide)'!$J:$J,'Time based aggregation (hide)'!$E:$E,20,'Time based aggregation (hide)'!$F:$F,1,'Time based aggregation (hide)'!$A:$A,ROW(A13))</f>
        <v>0</v>
      </c>
      <c r="ML55" s="6">
        <f>SUMIFS('Time based aggregation (hide)'!$J:$J,'Time based aggregation (hide)'!$E:$E,20,'Time based aggregation (hide)'!$F:$F,2,'Time based aggregation (hide)'!$A:$A,ROW(A13))</f>
        <v>0</v>
      </c>
      <c r="MM55" s="6">
        <f>SUMIFS('Time based aggregation (hide)'!$J:$J,'Time based aggregation (hide)'!$E:$E,20,'Time based aggregation (hide)'!$F:$F,3,'Time based aggregation (hide)'!$A:$A,ROW(A13))</f>
        <v>0</v>
      </c>
      <c r="MN55" s="7">
        <f t="shared" ca="1" si="36"/>
        <v>0</v>
      </c>
      <c r="MO55" s="7">
        <f t="shared" ca="1" si="32"/>
        <v>0</v>
      </c>
      <c r="MP55" s="7">
        <f t="shared" ca="1" si="32"/>
        <v>0</v>
      </c>
      <c r="MQ55" s="7">
        <f t="shared" ca="1" si="32"/>
        <v>0</v>
      </c>
      <c r="MR55" s="7">
        <f t="shared" ca="1" si="32"/>
        <v>0</v>
      </c>
    </row>
    <row r="56" spans="1:356" x14ac:dyDescent="0.25">
      <c r="A56">
        <f>1</f>
        <v>1</v>
      </c>
      <c r="B56" s="85">
        <f t="shared" si="37"/>
        <v>43844</v>
      </c>
      <c r="C56" s="85">
        <f t="shared" si="25"/>
        <v>43843</v>
      </c>
      <c r="D56">
        <f t="shared" ca="1" si="26"/>
        <v>1</v>
      </c>
      <c r="E56" s="85">
        <f t="shared" si="27"/>
        <v>43831</v>
      </c>
      <c r="F56">
        <f t="shared" si="33"/>
        <v>3</v>
      </c>
      <c r="H56">
        <f t="shared" si="34"/>
        <v>14</v>
      </c>
      <c r="I56" s="85">
        <f t="shared" si="38"/>
        <v>43920</v>
      </c>
      <c r="J56">
        <f t="shared" ca="1" si="28"/>
        <v>5</v>
      </c>
      <c r="K56">
        <f t="shared" ca="1" si="29"/>
        <v>1.968503937007874E-2</v>
      </c>
      <c r="L56" s="114"/>
      <c r="M56" s="85"/>
      <c r="N56" s="85">
        <f t="shared" si="35"/>
        <v>43920</v>
      </c>
      <c r="O56" s="122">
        <f t="shared" ca="1" si="39"/>
        <v>0</v>
      </c>
      <c r="P56" s="122">
        <f t="shared" ca="1" si="39"/>
        <v>0</v>
      </c>
      <c r="Q56" s="122">
        <f t="shared" ca="1" si="39"/>
        <v>0.4</v>
      </c>
      <c r="R56" s="122">
        <f t="shared" ca="1" si="39"/>
        <v>0.6</v>
      </c>
      <c r="S56" s="122">
        <f t="shared" ca="1" si="39"/>
        <v>0</v>
      </c>
      <c r="T56" s="122">
        <f t="shared" ca="1" si="39"/>
        <v>0</v>
      </c>
      <c r="U56" s="122">
        <f t="shared" ca="1" si="39"/>
        <v>0</v>
      </c>
      <c r="V56" s="122">
        <f t="shared" ca="1" si="39"/>
        <v>0</v>
      </c>
      <c r="W56" s="122">
        <f t="shared" ca="1" si="39"/>
        <v>0</v>
      </c>
      <c r="X56" s="122">
        <f t="shared" ca="1" si="39"/>
        <v>0</v>
      </c>
      <c r="Y56" s="122">
        <f t="shared" ca="1" si="39"/>
        <v>0</v>
      </c>
      <c r="Z56" s="122">
        <f t="shared" ca="1" si="39"/>
        <v>0</v>
      </c>
      <c r="AA56" s="122"/>
      <c r="AB56" s="140">
        <f>INDEX('File 1'!Weekly_Adjusted,14,1)</f>
        <v>388.17143954725253</v>
      </c>
      <c r="AC56" s="140">
        <f>INDEX('File 1'!Weekly_Adjusted,14,2)</f>
        <v>0</v>
      </c>
      <c r="AD56" s="140">
        <f>INDEX('File 1'!Weekly_Adjusted,14,3)</f>
        <v>0</v>
      </c>
      <c r="AE56" s="141">
        <f>INDEX('File 2'!Weekly_Adjusted,14,1)</f>
        <v>0</v>
      </c>
      <c r="AF56" s="141">
        <f>INDEX('File 2'!Weekly_Adjusted,14,2)</f>
        <v>0</v>
      </c>
      <c r="AG56" s="141">
        <f>INDEX('File 2'!Weekly_Adjusted,14,3)</f>
        <v>0</v>
      </c>
      <c r="AH56" s="140">
        <f>INDEX('File 3'!Weekly_Adjusted,14,1)</f>
        <v>0</v>
      </c>
      <c r="AI56" s="140">
        <f>INDEX('File 3'!Weekly_Adjusted,14,2)</f>
        <v>0</v>
      </c>
      <c r="AJ56" s="140">
        <f>INDEX('File 3'!Weekly_Adjusted,14,3)</f>
        <v>0</v>
      </c>
      <c r="AK56" s="141">
        <f>INDEX('File 4'!Weekly_Adjusted,14,1)</f>
        <v>0</v>
      </c>
      <c r="AL56" s="141">
        <f>INDEX('File 4'!Weekly_Adjusted,14,2)</f>
        <v>0</v>
      </c>
      <c r="AM56" s="141">
        <f>INDEX('File 4'!Weekly_Adjusted,14,3)</f>
        <v>0</v>
      </c>
      <c r="AN56" s="140">
        <f>INDEX('File 5'!Weekly_Adjusted,14,1)</f>
        <v>0</v>
      </c>
      <c r="AO56" s="140">
        <f>INDEX('File 5'!Weekly_Adjusted,14,2)</f>
        <v>0</v>
      </c>
      <c r="AP56" s="140">
        <f>INDEX('File 5'!Weekly_Adjusted,14,3)</f>
        <v>0</v>
      </c>
      <c r="AQ56" s="141">
        <f>INDEX('File 6'!Weekly_Adjusted,14,1)</f>
        <v>0</v>
      </c>
      <c r="AR56" s="141">
        <f>INDEX('File 6'!Weekly_Adjusted,14,2)</f>
        <v>0</v>
      </c>
      <c r="AS56" s="141">
        <f>INDEX('File 6'!Weekly_Adjusted,14,3)</f>
        <v>0</v>
      </c>
      <c r="AT56" s="140">
        <f>INDEX('File 7'!Weekly_Adjusted,14,1)</f>
        <v>0</v>
      </c>
      <c r="AU56" s="140">
        <f>INDEX('File 7'!Weekly_Adjusted,14,2)</f>
        <v>0</v>
      </c>
      <c r="AV56" s="140">
        <f>INDEX('File 7'!Weekly_Adjusted,14,3)</f>
        <v>0</v>
      </c>
      <c r="AW56" s="141">
        <f>INDEX('File 8'!Weekly_Adjusted,14,1)</f>
        <v>0</v>
      </c>
      <c r="AX56" s="141">
        <f>INDEX('File 8'!Weekly_Adjusted,14,2)</f>
        <v>0</v>
      </c>
      <c r="AY56" s="141">
        <f>INDEX('File 8'!Weekly_Adjusted,14,3)</f>
        <v>0</v>
      </c>
      <c r="AZ56" s="140">
        <f>INDEX('File 9'!Weekly_Adjusted,14,1)</f>
        <v>0</v>
      </c>
      <c r="BA56" s="140">
        <f>INDEX('File 9'!Weekly_Adjusted,14,2)</f>
        <v>0</v>
      </c>
      <c r="BB56" s="140">
        <f>INDEX('File 9'!Weekly_Adjusted,14,3)</f>
        <v>0</v>
      </c>
      <c r="BC56" s="141">
        <f>INDEX('File 10'!Weekly_Adjusted,14,1)</f>
        <v>0</v>
      </c>
      <c r="BD56" s="141">
        <f>INDEX('File 10'!Weekly_Adjusted,14,2)</f>
        <v>0</v>
      </c>
      <c r="BE56" s="141">
        <f>INDEX('File 10'!Weekly_Adjusted,14,3)</f>
        <v>0</v>
      </c>
      <c r="BF56" s="140">
        <f>INDEX('File 11'!Weekly_Adjusted,14,1)</f>
        <v>0</v>
      </c>
      <c r="BG56" s="140">
        <f>INDEX('File 11'!Weekly_Adjusted,14,2)</f>
        <v>0</v>
      </c>
      <c r="BH56" s="140">
        <f>INDEX('File 11'!Weekly_Adjusted,14,3)</f>
        <v>0</v>
      </c>
      <c r="BI56" s="141">
        <f>INDEX('File 12'!Weekly_Adjusted,14,1)</f>
        <v>0</v>
      </c>
      <c r="BJ56" s="141">
        <f>INDEX('File 12'!Weekly_Adjusted,14,2)</f>
        <v>0</v>
      </c>
      <c r="BK56" s="141">
        <f>INDEX('File 12'!Weekly_Adjusted,14,3)</f>
        <v>0</v>
      </c>
      <c r="BL56" s="140">
        <f>INDEX('File 13'!Weekly_Adjusted,14,1)</f>
        <v>0</v>
      </c>
      <c r="BM56" s="140">
        <f>INDEX('File 13'!Weekly_Adjusted,14,2)</f>
        <v>0</v>
      </c>
      <c r="BN56" s="140">
        <f>INDEX('File 13'!Weekly_Adjusted,14,3)</f>
        <v>0</v>
      </c>
      <c r="BO56" s="141">
        <f>INDEX('File 14'!Weekly_Adjusted,14,1)</f>
        <v>0</v>
      </c>
      <c r="BP56" s="141">
        <f>INDEX('File 14'!Weekly_Adjusted,14,2)</f>
        <v>0</v>
      </c>
      <c r="BQ56" s="141">
        <f>INDEX('File 14'!Weekly_Adjusted,14,3)</f>
        <v>0</v>
      </c>
      <c r="BR56" s="140">
        <f>INDEX('File 15'!Weekly_Adjusted,14,1)</f>
        <v>0</v>
      </c>
      <c r="BS56" s="140">
        <f>INDEX('File 15'!Weekly_Adjusted,14,2)</f>
        <v>0</v>
      </c>
      <c r="BT56" s="140">
        <f>INDEX('File 15'!Weekly_Adjusted,14,3)</f>
        <v>0</v>
      </c>
      <c r="BU56" s="141">
        <f>INDEX('File 16'!Weekly_Adjusted,14,1)</f>
        <v>0</v>
      </c>
      <c r="BV56" s="141">
        <f>INDEX('File 16'!Weekly_Adjusted,14,2)</f>
        <v>0</v>
      </c>
      <c r="BW56" s="141">
        <f>INDEX('File 16'!Weekly_Adjusted,14,3)</f>
        <v>0</v>
      </c>
      <c r="BX56" s="140">
        <f>INDEX('File 17'!Weekly_Adjusted,14,1)</f>
        <v>0</v>
      </c>
      <c r="BY56" s="140">
        <f>INDEX('File 17'!Weekly_Adjusted,14,2)</f>
        <v>0</v>
      </c>
      <c r="BZ56" s="140">
        <f>INDEX('File 17'!Weekly_Adjusted,14,3)</f>
        <v>0</v>
      </c>
      <c r="CA56" s="141">
        <f>INDEX('File 18'!Weekly_Adjusted,14,1)</f>
        <v>0</v>
      </c>
      <c r="CB56" s="141">
        <f>INDEX('File 18'!Weekly_Adjusted,14,2)</f>
        <v>0</v>
      </c>
      <c r="CC56" s="141">
        <f>INDEX('File 18'!Weekly_Adjusted,14,3)</f>
        <v>0</v>
      </c>
      <c r="CD56" s="140">
        <f>INDEX('File 19'!Weekly_Adjusted,14,1)</f>
        <v>0</v>
      </c>
      <c r="CE56" s="140">
        <f>INDEX('File 19'!Weekly_Adjusted,14,2)</f>
        <v>0</v>
      </c>
      <c r="CF56" s="140">
        <f>INDEX('File 19'!Weekly_Adjusted,14,3)</f>
        <v>0</v>
      </c>
      <c r="CG56" s="141">
        <f>INDEX('File 20'!Weekly_Adjusted,14,1)</f>
        <v>0</v>
      </c>
      <c r="CH56" s="141">
        <f>INDEX('File 20'!Weekly_Adjusted,14,2)</f>
        <v>0</v>
      </c>
      <c r="CI56" s="141">
        <f>INDEX('File 20'!Weekly_Adjusted,14,3)</f>
        <v>0</v>
      </c>
      <c r="CJ56" s="6">
        <f ca="1">SUMIFS(INDEX(Demand_Activity_Weekly,ROW(A14),0),Demand_Activity_Weekly_Header,CJ$42)</f>
        <v>388.17143954725253</v>
      </c>
      <c r="CK56" s="6">
        <f ca="1">SUMIFS(INDEX(Demand_Activity_Weekly,ROW(B14),0),Demand_Activity_Weekly_Header,CK$42)</f>
        <v>0</v>
      </c>
      <c r="CL56" s="6">
        <f ca="1">SUMIFS(INDEX(Demand_Activity_Weekly,ROW(C14),0),Demand_Activity_Weekly_Header,CL$42)</f>
        <v>0</v>
      </c>
      <c r="CM56" s="6">
        <f ca="1">SUMIFS(INDEX(Demand_Activity_Weekly,ROW(D14),0),Demand_Activity_Weekly_Header,CM$42)</f>
        <v>0</v>
      </c>
      <c r="CN56" s="6">
        <f ca="1">SUMIFS(INDEX(Demand_Activity_Weekly,ROW(E14),0),Demand_Activity_Weekly_Header,CN$42)</f>
        <v>0</v>
      </c>
      <c r="CP56" s="142">
        <f ca="1">INDEX('File 1'!Weekly_Adjusted,14,10)</f>
        <v>24.919784152855019</v>
      </c>
      <c r="CQ56" s="142">
        <f>INDEX('File 1'!Weekly_Adjusted,14,11)</f>
        <v>0</v>
      </c>
      <c r="CR56" s="142">
        <f>INDEX('File 1'!Weekly_Adjusted,14,12)</f>
        <v>0</v>
      </c>
      <c r="CS56" s="143">
        <f>INDEX('File 2'!Weekly_Adjusted,14,10)</f>
        <v>0</v>
      </c>
      <c r="CT56" s="143">
        <f>INDEX('File 2'!Weekly_Adjusted,14,11)</f>
        <v>0</v>
      </c>
      <c r="CU56" s="143">
        <f>INDEX('File 2'!Weekly_Adjusted,14,12)</f>
        <v>0</v>
      </c>
      <c r="CV56" s="142">
        <f>INDEX('File 3'!Weekly_Adjusted,14,10)</f>
        <v>0</v>
      </c>
      <c r="CW56" s="142">
        <f>INDEX('File 3'!Weekly_Adjusted,14,11)</f>
        <v>0</v>
      </c>
      <c r="CX56" s="142">
        <f>INDEX('File 3'!Weekly_Adjusted,14,12)</f>
        <v>0</v>
      </c>
      <c r="CY56" s="143">
        <f>INDEX('File 4'!Weekly_Adjusted,14,10)</f>
        <v>0</v>
      </c>
      <c r="CZ56" s="143">
        <f>INDEX('File 4'!Weekly_Adjusted,14,11)</f>
        <v>0</v>
      </c>
      <c r="DA56" s="143">
        <f>INDEX('File 4'!Weekly_Adjusted,14,12)</f>
        <v>0</v>
      </c>
      <c r="DB56" s="142">
        <f>INDEX('File 5'!Weekly_Adjusted,14,10)</f>
        <v>0</v>
      </c>
      <c r="DC56" s="142">
        <f>INDEX('File 5'!Weekly_Adjusted,14,11)</f>
        <v>0</v>
      </c>
      <c r="DD56" s="142">
        <f>INDEX('File 5'!Weekly_Adjusted,14,12)</f>
        <v>0</v>
      </c>
      <c r="DE56" s="143">
        <f>INDEX('File 6'!Weekly_Adjusted,14,10)</f>
        <v>0</v>
      </c>
      <c r="DF56" s="143">
        <f>INDEX('File 6'!Weekly_Adjusted,14,11)</f>
        <v>0</v>
      </c>
      <c r="DG56" s="143">
        <f>INDEX('File 6'!Weekly_Adjusted,14,12)</f>
        <v>0</v>
      </c>
      <c r="DH56" s="142">
        <f>INDEX('File 7'!Weekly_Adjusted,14,10)</f>
        <v>0</v>
      </c>
      <c r="DI56" s="142">
        <f>INDEX('File 7'!Weekly_Adjusted,14,11)</f>
        <v>0</v>
      </c>
      <c r="DJ56" s="142">
        <f>INDEX('File 7'!Weekly_Adjusted,14,12)</f>
        <v>0</v>
      </c>
      <c r="DK56" s="143">
        <f>INDEX('File 8'!Weekly_Adjusted,14,10)</f>
        <v>0</v>
      </c>
      <c r="DL56" s="143">
        <f>INDEX('File 8'!Weekly_Adjusted,14,11)</f>
        <v>0</v>
      </c>
      <c r="DM56" s="143">
        <f>INDEX('File 8'!Weekly_Adjusted,14,12)</f>
        <v>0</v>
      </c>
      <c r="DN56" s="142">
        <f>INDEX('File 9'!Weekly_Adjusted,14,10)</f>
        <v>0</v>
      </c>
      <c r="DO56" s="142">
        <f>INDEX('File 9'!Weekly_Adjusted,14,11)</f>
        <v>0</v>
      </c>
      <c r="DP56" s="142">
        <f>INDEX('File 9'!Weekly_Adjusted,14,12)</f>
        <v>0</v>
      </c>
      <c r="DQ56" s="143">
        <f>INDEX('File 10'!Weekly_Adjusted,14,10)</f>
        <v>0</v>
      </c>
      <c r="DR56" s="143">
        <f>INDEX('File 10'!Weekly_Adjusted,14,11)</f>
        <v>0</v>
      </c>
      <c r="DS56" s="143">
        <f>INDEX('File 10'!Weekly_Adjusted,14,12)</f>
        <v>0</v>
      </c>
      <c r="DT56" s="142">
        <f>INDEX('File 11'!Weekly_Adjusted,14,10)</f>
        <v>0</v>
      </c>
      <c r="DU56" s="142">
        <f>INDEX('File 11'!Weekly_Adjusted,14,11)</f>
        <v>0</v>
      </c>
      <c r="DV56" s="142">
        <f>INDEX('File 11'!Weekly_Adjusted,14,12)</f>
        <v>0</v>
      </c>
      <c r="DW56" s="143">
        <f>INDEX('File 12'!Weekly_Adjusted,14,10)</f>
        <v>0</v>
      </c>
      <c r="DX56" s="143">
        <f>INDEX('File 12'!Weekly_Adjusted,14,11)</f>
        <v>0</v>
      </c>
      <c r="DY56" s="143">
        <f>INDEX('File 12'!Weekly_Adjusted,14,12)</f>
        <v>0</v>
      </c>
      <c r="DZ56" s="142">
        <f>INDEX('File 13'!Weekly_Adjusted,14,10)</f>
        <v>0</v>
      </c>
      <c r="EA56" s="142">
        <f>INDEX('File 13'!Weekly_Adjusted,14,11)</f>
        <v>0</v>
      </c>
      <c r="EB56" s="142">
        <f>INDEX('File 13'!Weekly_Adjusted,14,12)</f>
        <v>0</v>
      </c>
      <c r="EC56" s="143">
        <f>INDEX('File 14'!Weekly_Adjusted,14,10)</f>
        <v>0</v>
      </c>
      <c r="ED56" s="143">
        <f>INDEX('File 14'!Weekly_Adjusted,14,11)</f>
        <v>0</v>
      </c>
      <c r="EE56" s="143">
        <f>INDEX('File 14'!Weekly_Adjusted,14,12)</f>
        <v>0</v>
      </c>
      <c r="EF56" s="142">
        <f>INDEX('File 15'!Weekly_Adjusted,14,10)</f>
        <v>0</v>
      </c>
      <c r="EG56" s="142">
        <f>INDEX('File 15'!Weekly_Adjusted,14,11)</f>
        <v>0</v>
      </c>
      <c r="EH56" s="142">
        <f>INDEX('File 15'!Weekly_Adjusted,14,12)</f>
        <v>0</v>
      </c>
      <c r="EI56" s="143">
        <f>INDEX('File 16'!Weekly_Adjusted,14,10)</f>
        <v>0</v>
      </c>
      <c r="EJ56" s="143">
        <f>INDEX('File 16'!Weekly_Adjusted,14,11)</f>
        <v>0</v>
      </c>
      <c r="EK56" s="143">
        <f>INDEX('File 16'!Weekly_Adjusted,14,12)</f>
        <v>0</v>
      </c>
      <c r="EL56" s="142">
        <f>INDEX('File 17'!Weekly_Adjusted,14,10)</f>
        <v>0</v>
      </c>
      <c r="EM56" s="142">
        <f>INDEX('File 17'!Weekly_Adjusted,14,11)</f>
        <v>0</v>
      </c>
      <c r="EN56" s="142">
        <f>INDEX('File 17'!Weekly_Adjusted,14,12)</f>
        <v>0</v>
      </c>
      <c r="EO56" s="143">
        <f>INDEX('File 18'!Weekly_Adjusted,14,10)</f>
        <v>0</v>
      </c>
      <c r="EP56" s="143">
        <f>INDEX('File 18'!Weekly_Adjusted,14,11)</f>
        <v>0</v>
      </c>
      <c r="EQ56" s="143">
        <f>INDEX('File 18'!Weekly_Adjusted,14,12)</f>
        <v>0</v>
      </c>
      <c r="ER56" s="142">
        <f>INDEX('File 19'!Weekly_Adjusted,14,10)</f>
        <v>0</v>
      </c>
      <c r="ES56" s="142">
        <f>INDEX('File 19'!Weekly_Adjusted,14,11)</f>
        <v>0</v>
      </c>
      <c r="ET56" s="142">
        <f>INDEX('File 19'!Weekly_Adjusted,14,12)</f>
        <v>0</v>
      </c>
      <c r="EU56" s="143">
        <f>INDEX('File 20'!Weekly_Adjusted,14,10)</f>
        <v>0</v>
      </c>
      <c r="EV56" s="143">
        <f>INDEX('File 20'!Weekly_Adjusted,14,11)</f>
        <v>0</v>
      </c>
      <c r="EW56" s="143">
        <f>INDEX('File 20'!Weekly_Adjusted,14,12)</f>
        <v>0</v>
      </c>
      <c r="EX56" s="6">
        <f ca="1">SUMIFS(INDEX(Capacity_Activity_Weekly,ROW(A14),0),Demand_Activity_Weekly_Header,CJ$42)</f>
        <v>24.919784152855019</v>
      </c>
      <c r="EY56" s="6">
        <f ca="1">SUMIFS(INDEX(Capacity_Activity_Weekly,ROW(B14),0),Demand_Activity_Weekly_Header,CK$42)</f>
        <v>0</v>
      </c>
      <c r="EZ56" s="6">
        <f ca="1">SUMIFS(INDEX(Capacity_Activity_Weekly,ROW(C14),0),Demand_Activity_Weekly_Header,CL$42)</f>
        <v>0</v>
      </c>
      <c r="FA56" s="6">
        <f ca="1">SUMIFS(INDEX(Capacity_Activity_Weekly,ROW(D14),0),Demand_Activity_Weekly_Header,CM$42)</f>
        <v>0</v>
      </c>
      <c r="FB56" s="6">
        <f ca="1">SUMIFS(INDEX(Capacity_Activity_Weekly,ROW(E14),0),Demand_Activity_Weekly_Header,CN$42)</f>
        <v>0</v>
      </c>
      <c r="FD56" s="7">
        <f>'File 1'!$Q$54*'Time based aggregation (hide)'!$Q18</f>
        <v>0</v>
      </c>
      <c r="FE56" s="7">
        <f>'File 1'!$R$54*'Time based aggregation (hide)'!$R18</f>
        <v>0</v>
      </c>
      <c r="FF56" s="7">
        <f>'File 1'!$S$54*'Time based aggregation (hide)'!$S18</f>
        <v>0</v>
      </c>
      <c r="FG56" s="7">
        <f>'File 2'!$Q$54*'Time based aggregation (hide)'!$T18</f>
        <v>0</v>
      </c>
      <c r="FH56" s="7">
        <f>'File 2'!$R$54*'Time based aggregation (hide)'!$U18</f>
        <v>0</v>
      </c>
      <c r="FI56" s="7">
        <f>'File 2'!$S$54*'Time based aggregation (hide)'!$V18</f>
        <v>0</v>
      </c>
      <c r="FJ56" s="7">
        <f>'File 3'!$Q$54*'Time based aggregation (hide)'!$W18</f>
        <v>0</v>
      </c>
      <c r="FK56" s="7">
        <f>'File 3'!$R$54*'Time based aggregation (hide)'!$X18</f>
        <v>0</v>
      </c>
      <c r="FL56" s="7">
        <f>'File 3'!$S$54*'Time based aggregation (hide)'!$Y18</f>
        <v>0</v>
      </c>
      <c r="FM56" s="7">
        <f>'File 4'!$Q$54*'Time based aggregation (hide)'!$Z18</f>
        <v>0</v>
      </c>
      <c r="FN56" s="7">
        <f>'File 4'!$R$54*'Time based aggregation (hide)'!$AA18</f>
        <v>0</v>
      </c>
      <c r="FO56" s="7">
        <f>'File 4'!$S$54*'Time based aggregation (hide)'!$AB18</f>
        <v>0</v>
      </c>
      <c r="FP56" s="7">
        <f>'File 5'!$Q$54*'Time based aggregation (hide)'!$AC18</f>
        <v>0</v>
      </c>
      <c r="FQ56" s="7">
        <f>'File 5'!$R$54*'Time based aggregation (hide)'!$AD18</f>
        <v>0</v>
      </c>
      <c r="FR56" s="7">
        <f>'File 5'!$S$54*'Time based aggregation (hide)'!$AE18</f>
        <v>0</v>
      </c>
      <c r="FS56" s="7">
        <f>'File 6'!$Q$54*'Time based aggregation (hide)'!$AF18</f>
        <v>0</v>
      </c>
      <c r="FT56" s="7">
        <f>'File 6'!$R$54*'Time based aggregation (hide)'!$AG18</f>
        <v>0</v>
      </c>
      <c r="FU56" s="7">
        <f>'File 6'!$S$54*'Time based aggregation (hide)'!$AH18</f>
        <v>0</v>
      </c>
      <c r="FV56" s="7">
        <f>'File 7'!$Q$54*'Time based aggregation (hide)'!$AI18</f>
        <v>0</v>
      </c>
      <c r="FW56" s="7">
        <f>'File 7'!$R$54*'Time based aggregation (hide)'!$AJ18</f>
        <v>0</v>
      </c>
      <c r="FX56" s="7">
        <f>'File 7'!$S$54*'Time based aggregation (hide)'!$AK18</f>
        <v>0</v>
      </c>
      <c r="FY56" s="7">
        <f>'File 8'!$Q$54*'Time based aggregation (hide)'!$AL18</f>
        <v>0</v>
      </c>
      <c r="FZ56" s="7">
        <f>'File 8'!$R$54*'Time based aggregation (hide)'!$AM18</f>
        <v>0</v>
      </c>
      <c r="GA56" s="7">
        <f>'File 8'!$S$54*'Time based aggregation (hide)'!$AN18</f>
        <v>0</v>
      </c>
      <c r="GB56" s="7">
        <f>'File 9'!$Q$54*'Time based aggregation (hide)'!$AO18</f>
        <v>0</v>
      </c>
      <c r="GC56" s="7">
        <f>'File 9'!$R$54*'Time based aggregation (hide)'!$AP18</f>
        <v>0</v>
      </c>
      <c r="GD56" s="7">
        <f>'File 9'!$S$54*'Time based aggregation (hide)'!$AQ18</f>
        <v>0</v>
      </c>
      <c r="GE56" s="7">
        <f>'File 10'!$Q$54*'Time based aggregation (hide)'!$AR18</f>
        <v>0</v>
      </c>
      <c r="GF56" s="7">
        <f>'File 10'!$R$54*'Time based aggregation (hide)'!$AS18</f>
        <v>0</v>
      </c>
      <c r="GG56" s="7">
        <f>'File 10'!$S$54*'Time based aggregation (hide)'!$AT18</f>
        <v>0</v>
      </c>
      <c r="GH56" s="7">
        <f>'File 11'!$Q$54*'Time based aggregation (hide)'!$AU18</f>
        <v>0</v>
      </c>
      <c r="GI56" s="7">
        <f>'File 11'!$R$54*'Time based aggregation (hide)'!$AV18</f>
        <v>0</v>
      </c>
      <c r="GJ56" s="7">
        <f>'File 11'!$S$54*'Time based aggregation (hide)'!$AW18</f>
        <v>0</v>
      </c>
      <c r="GK56" s="7">
        <f>'File 12'!$Q$54*'Time based aggregation (hide)'!$AX18</f>
        <v>0</v>
      </c>
      <c r="GL56" s="7">
        <f>'File 12'!$R$54*'Time based aggregation (hide)'!$AY18</f>
        <v>0</v>
      </c>
      <c r="GM56" s="7">
        <f>'File 12'!$S$54*'Time based aggregation (hide)'!$AZ18</f>
        <v>0</v>
      </c>
      <c r="GN56" s="7">
        <f>'File 13'!$Q$54*'Time based aggregation (hide)'!$BA18</f>
        <v>0</v>
      </c>
      <c r="GO56" s="7">
        <f>'File 13'!$R$54*'Time based aggregation (hide)'!$BB18</f>
        <v>0</v>
      </c>
      <c r="GP56" s="7">
        <f>'File 13'!$S$54*'Time based aggregation (hide)'!$BC18</f>
        <v>0</v>
      </c>
      <c r="GQ56" s="7">
        <f>'File 14'!$Q$54*'Time based aggregation (hide)'!$BD18</f>
        <v>0</v>
      </c>
      <c r="GR56" s="7">
        <f>'File 14'!$R$54*'Time based aggregation (hide)'!$BE18</f>
        <v>0</v>
      </c>
      <c r="GS56" s="7">
        <f>'File 14'!$S$54*'Time based aggregation (hide)'!$BF18</f>
        <v>0</v>
      </c>
      <c r="GT56" s="7">
        <f>'File 15'!$Q$54*'Time based aggregation (hide)'!$BG18</f>
        <v>0</v>
      </c>
      <c r="GU56" s="7">
        <f>'File 15'!$R$54*'Time based aggregation (hide)'!$BH18</f>
        <v>0</v>
      </c>
      <c r="GV56" s="7">
        <f>'File 15'!$S$54*'Time based aggregation (hide)'!$BI18</f>
        <v>0</v>
      </c>
      <c r="GW56" s="7">
        <f>'File 16'!$Q$54*'Time based aggregation (hide)'!$BJ18</f>
        <v>0</v>
      </c>
      <c r="GX56" s="7">
        <f>'File 16'!$R$54*'Time based aggregation (hide)'!$BK18</f>
        <v>0</v>
      </c>
      <c r="GY56" s="7">
        <f>'File 16'!$S$54*'Time based aggregation (hide)'!$BL18</f>
        <v>0</v>
      </c>
      <c r="GZ56" s="7">
        <f>'File 17'!$Q$54*'Time based aggregation (hide)'!$BM18</f>
        <v>0</v>
      </c>
      <c r="HA56" s="7">
        <f>'File 17'!$R$54*'Time based aggregation (hide)'!$BN18</f>
        <v>0</v>
      </c>
      <c r="HB56" s="7">
        <f>'File 17'!$S$54*'Time based aggregation (hide)'!$BO18</f>
        <v>0</v>
      </c>
      <c r="HC56" s="7">
        <f>'File 18'!$Q$54*'Time based aggregation (hide)'!$BP18</f>
        <v>0</v>
      </c>
      <c r="HD56" s="7">
        <f>'File 18'!$R$54*'Time based aggregation (hide)'!$BQ18</f>
        <v>0</v>
      </c>
      <c r="HE56" s="7">
        <f>'File 18'!$S$54*'Time based aggregation (hide)'!$BR18</f>
        <v>0</v>
      </c>
      <c r="HF56" s="7">
        <f>'File 19'!$Q$54*'Time based aggregation (hide)'!$BS18</f>
        <v>0</v>
      </c>
      <c r="HG56" s="7">
        <f>'File 19'!$R$54*'Time based aggregation (hide)'!$BT18</f>
        <v>0</v>
      </c>
      <c r="HH56" s="7">
        <f>'File 19'!$S$54*'Time based aggregation (hide)'!$BU18</f>
        <v>0</v>
      </c>
      <c r="HI56" s="7">
        <f>'File 20'!$Q$54*'Time based aggregation (hide)'!$BV18</f>
        <v>0</v>
      </c>
      <c r="HJ56" s="7">
        <f>'File 20'!$R$54*'Time based aggregation (hide)'!$BW18</f>
        <v>0</v>
      </c>
      <c r="HK56" s="7">
        <f>'File 20'!$S$54*'Time based aggregation (hide)'!$BX18</f>
        <v>0</v>
      </c>
      <c r="HL56" s="7">
        <f t="shared" ca="1" si="40"/>
        <v>0</v>
      </c>
      <c r="HM56" s="7">
        <f t="shared" ca="1" si="40"/>
        <v>0</v>
      </c>
      <c r="HN56" s="7">
        <f t="shared" ca="1" si="40"/>
        <v>0</v>
      </c>
      <c r="HO56" s="7">
        <f t="shared" ca="1" si="40"/>
        <v>0</v>
      </c>
      <c r="HP56" s="7">
        <f t="shared" ca="1" si="40"/>
        <v>0</v>
      </c>
      <c r="HR56" s="142">
        <f ca="1">INDEX('File 1'!Weekly_Adjusted,14,16)</f>
        <v>21.427839876658773</v>
      </c>
      <c r="HS56" s="142">
        <f>INDEX('File 1'!Weekly_Adjusted,14,17)</f>
        <v>0</v>
      </c>
      <c r="HT56" s="142">
        <f>INDEX('File 1'!Weekly_Adjusted,14,18)</f>
        <v>0</v>
      </c>
      <c r="HU56" s="143">
        <f>INDEX('File 2'!Weekly_Adjusted,14,16)</f>
        <v>0</v>
      </c>
      <c r="HV56" s="143">
        <f>INDEX('File 2'!Weekly_Adjusted,14,17)</f>
        <v>0</v>
      </c>
      <c r="HW56" s="143">
        <f>INDEX('File 2'!Weekly_Adjusted,14,18)</f>
        <v>0</v>
      </c>
      <c r="HX56" s="142">
        <f>INDEX('File 3'!Weekly_Adjusted,14,16)</f>
        <v>0</v>
      </c>
      <c r="HY56" s="142">
        <f>INDEX('File 3'!Weekly_Adjusted,14,17)</f>
        <v>0</v>
      </c>
      <c r="HZ56" s="142">
        <f>INDEX('File 3'!Weekly_Adjusted,14,18)</f>
        <v>0</v>
      </c>
      <c r="IA56" s="143">
        <f>INDEX('File 4'!Weekly_Adjusted,14,16)</f>
        <v>0</v>
      </c>
      <c r="IB56" s="143">
        <f>INDEX('File 4'!Weekly_Adjusted,14,17)</f>
        <v>0</v>
      </c>
      <c r="IC56" s="143">
        <f>INDEX('File 4'!Weekly_Adjusted,14,18)</f>
        <v>0</v>
      </c>
      <c r="ID56" s="142">
        <f>INDEX('File 5'!Weekly_Adjusted,14,16)</f>
        <v>0</v>
      </c>
      <c r="IE56" s="142">
        <f>INDEX('File 5'!Weekly_Adjusted,14,17)</f>
        <v>0</v>
      </c>
      <c r="IF56" s="142">
        <f>INDEX('File 5'!Weekly_Adjusted,14,18)</f>
        <v>0</v>
      </c>
      <c r="IG56" s="143">
        <f>INDEX('File 6'!Weekly_Adjusted,14,16)</f>
        <v>0</v>
      </c>
      <c r="IH56" s="143">
        <f>INDEX('File 6'!Weekly_Adjusted,14,17)</f>
        <v>0</v>
      </c>
      <c r="II56" s="143">
        <f>INDEX('File 6'!Weekly_Adjusted,14,18)</f>
        <v>0</v>
      </c>
      <c r="IJ56" s="142">
        <f>INDEX('File 7'!Weekly_Adjusted,14,16)</f>
        <v>0</v>
      </c>
      <c r="IK56" s="142">
        <f>INDEX('File 7'!Weekly_Adjusted,14,17)</f>
        <v>0</v>
      </c>
      <c r="IL56" s="142">
        <f>INDEX('File 7'!Weekly_Adjusted,14,18)</f>
        <v>0</v>
      </c>
      <c r="IM56" s="143">
        <f>INDEX('File 8'!Weekly_Adjusted,14,16)</f>
        <v>0</v>
      </c>
      <c r="IN56" s="143">
        <f>INDEX('File 8'!Weekly_Adjusted,14,17)</f>
        <v>0</v>
      </c>
      <c r="IO56" s="143">
        <f>INDEX('File 8'!Weekly_Adjusted,14,18)</f>
        <v>0</v>
      </c>
      <c r="IP56" s="142">
        <f>INDEX('File 9'!Weekly_Adjusted,14,16)</f>
        <v>0</v>
      </c>
      <c r="IQ56" s="142">
        <f>INDEX('File 9'!Weekly_Adjusted,14,17)</f>
        <v>0</v>
      </c>
      <c r="IR56" s="142">
        <f>INDEX('File 9'!Weekly_Adjusted,14,18)</f>
        <v>0</v>
      </c>
      <c r="IS56" s="143">
        <f>INDEX('File 10'!Weekly_Adjusted,14,16)</f>
        <v>0</v>
      </c>
      <c r="IT56" s="143">
        <f>INDEX('File 10'!Weekly_Adjusted,14,17)</f>
        <v>0</v>
      </c>
      <c r="IU56" s="143">
        <f>INDEX('File 10'!Weekly_Adjusted,14,18)</f>
        <v>0</v>
      </c>
      <c r="IV56" s="142">
        <f>INDEX('File 11'!Weekly_Adjusted,14,16)</f>
        <v>0</v>
      </c>
      <c r="IW56" s="142">
        <f>INDEX('File 11'!Weekly_Adjusted,14,17)</f>
        <v>0</v>
      </c>
      <c r="IX56" s="142">
        <f>INDEX('File 11'!Weekly_Adjusted,14,18)</f>
        <v>0</v>
      </c>
      <c r="IY56" s="143">
        <f>INDEX('File 12'!Weekly_Adjusted,14,16)</f>
        <v>0</v>
      </c>
      <c r="IZ56" s="143">
        <f>INDEX('File 12'!Weekly_Adjusted,14,17)</f>
        <v>0</v>
      </c>
      <c r="JA56" s="143">
        <f>INDEX('File 12'!Weekly_Adjusted,14,18)</f>
        <v>0</v>
      </c>
      <c r="JB56" s="142">
        <f>INDEX('File 13'!Weekly_Adjusted,14,16)</f>
        <v>0</v>
      </c>
      <c r="JC56" s="142">
        <f>INDEX('File 13'!Weekly_Adjusted,14,17)</f>
        <v>0</v>
      </c>
      <c r="JD56" s="142">
        <f>INDEX('File 13'!Weekly_Adjusted,14,18)</f>
        <v>0</v>
      </c>
      <c r="JE56" s="143">
        <f>INDEX('File 14'!Weekly_Adjusted,14,16)</f>
        <v>0</v>
      </c>
      <c r="JF56" s="143">
        <f>INDEX('File 14'!Weekly_Adjusted,14,17)</f>
        <v>0</v>
      </c>
      <c r="JG56" s="143">
        <f>INDEX('File 14'!Weekly_Adjusted,14,18)</f>
        <v>0</v>
      </c>
      <c r="JH56" s="142">
        <f>INDEX('File 15'!Weekly_Adjusted,14,16)</f>
        <v>0</v>
      </c>
      <c r="JI56" s="142">
        <f>INDEX('File 15'!Weekly_Adjusted,14,17)</f>
        <v>0</v>
      </c>
      <c r="JJ56" s="142">
        <f>INDEX('File 15'!Weekly_Adjusted,14,18)</f>
        <v>0</v>
      </c>
      <c r="JK56" s="143">
        <f>INDEX('File 16'!Weekly_Adjusted,14,16)</f>
        <v>0</v>
      </c>
      <c r="JL56" s="143">
        <f>INDEX('File 16'!Weekly_Adjusted,14,17)</f>
        <v>0</v>
      </c>
      <c r="JM56" s="143">
        <f>INDEX('File 16'!Weekly_Adjusted,14,18)</f>
        <v>0</v>
      </c>
      <c r="JN56" s="142">
        <f>INDEX('File 17'!Weekly_Adjusted,14,16)</f>
        <v>0</v>
      </c>
      <c r="JO56" s="142">
        <f>INDEX('File 17'!Weekly_Adjusted,14,17)</f>
        <v>0</v>
      </c>
      <c r="JP56" s="142">
        <f>INDEX('File 17'!Weekly_Adjusted,14,18)</f>
        <v>0</v>
      </c>
      <c r="JQ56" s="143">
        <f>INDEX('File 18'!Weekly_Adjusted,14,16)</f>
        <v>0</v>
      </c>
      <c r="JR56" s="143">
        <f>INDEX('File 18'!Weekly_Adjusted,14,17)</f>
        <v>0</v>
      </c>
      <c r="JS56" s="143">
        <f>INDEX('File 18'!Weekly_Adjusted,14,18)</f>
        <v>0</v>
      </c>
      <c r="JT56" s="142">
        <f>INDEX('File 19'!Weekly_Adjusted,14,16)</f>
        <v>0</v>
      </c>
      <c r="JU56" s="142">
        <f>INDEX('File 19'!Weekly_Adjusted,14,17)</f>
        <v>0</v>
      </c>
      <c r="JV56" s="142">
        <f>INDEX('File 19'!Weekly_Adjusted,14,18)</f>
        <v>0</v>
      </c>
      <c r="JW56" s="143">
        <f>INDEX('File 20'!Weekly_Adjusted,14,16)</f>
        <v>0</v>
      </c>
      <c r="JX56" s="143">
        <f>INDEX('File 20'!Weekly_Adjusted,14,17)</f>
        <v>0</v>
      </c>
      <c r="JY56" s="143">
        <f>INDEX('File 20'!Weekly_Adjusted,14,18)</f>
        <v>0</v>
      </c>
      <c r="JZ56" s="6">
        <f ca="1">SUMIFS(INDEX(CapacityCore_Activity_Weekly,ROW(EC14),0),Demand_Activity_Weekly_Header,HL$42)</f>
        <v>21.427839876658773</v>
      </c>
      <c r="KA56" s="6">
        <f ca="1">SUMIFS(INDEX(CapacityCore_Activity_Weekly,ROW(ED14),0),Demand_Activity_Weekly_Header,HM$42)</f>
        <v>0</v>
      </c>
      <c r="KB56" s="6">
        <f ca="1">SUMIFS(INDEX(CapacityCore_Activity_Weekly,ROW(EE14),0),Demand_Activity_Weekly_Header,HN$42)</f>
        <v>0</v>
      </c>
      <c r="KC56" s="6">
        <f ca="1">SUMIFS(INDEX(CapacityCore_Activity_Weekly,ROW(EF14),0),Demand_Activity_Weekly_Header,HO$42)</f>
        <v>0</v>
      </c>
      <c r="KD56" s="6">
        <f ca="1">SUMIFS(INDEX(CapacityCore_Activity_Weekly,ROW(EG14),0),Demand_Activity_Weekly_Header,HP$42)</f>
        <v>0</v>
      </c>
      <c r="KF56" s="6">
        <f>SUMIFS('Time based aggregation (hide)'!$J:$J,'Time based aggregation (hide)'!$E:$E,1,'Time based aggregation (hide)'!$F:$F,1,'Time based aggregation (hide)'!$A:$A,ROW(A14))</f>
        <v>0</v>
      </c>
      <c r="KG56" s="6">
        <f>SUMIFS('Time based aggregation (hide)'!$J:$J,'Time based aggregation (hide)'!$E:$E,1,'Time based aggregation (hide)'!$F:$F,2,'Time based aggregation (hide)'!$A:$A,ROW(A14))</f>
        <v>0</v>
      </c>
      <c r="KH56" s="6">
        <f>SUMIFS('Time based aggregation (hide)'!$J:$J,'Time based aggregation (hide)'!$E:$E,1,'Time based aggregation (hide)'!$F:$F,3,'Time based aggregation (hide)'!$A:$A,ROW(A14))</f>
        <v>0</v>
      </c>
      <c r="KI56" s="6">
        <f>SUMIFS('Time based aggregation (hide)'!$J:$J,'Time based aggregation (hide)'!$E:$E,2,'Time based aggregation (hide)'!$F:$F,1,'Time based aggregation (hide)'!$A:$A,ROW(A14))</f>
        <v>0</v>
      </c>
      <c r="KJ56" s="6">
        <f>SUMIFS('Time based aggregation (hide)'!$J:$J,'Time based aggregation (hide)'!$E:$E,2,'Time based aggregation (hide)'!$F:$F,2,'Time based aggregation (hide)'!$A:$A,ROW(A14))</f>
        <v>0</v>
      </c>
      <c r="KK56" s="6">
        <f>SUMIFS('Time based aggregation (hide)'!$J:$J,'Time based aggregation (hide)'!$E:$E,2,'Time based aggregation (hide)'!$F:$F,3,'Time based aggregation (hide)'!$A:$A,ROW(A14))</f>
        <v>0</v>
      </c>
      <c r="KL56" s="6">
        <f>SUMIFS('Time based aggregation (hide)'!$J:$J,'Time based aggregation (hide)'!$E:$E,3,'Time based aggregation (hide)'!$F:$F,1,'Time based aggregation (hide)'!$A:$A,ROW(A14))</f>
        <v>0</v>
      </c>
      <c r="KM56" s="6">
        <f>SUMIFS('Time based aggregation (hide)'!$J:$J,'Time based aggregation (hide)'!$E:$E,3,'Time based aggregation (hide)'!$F:$F,2,'Time based aggregation (hide)'!$A:$A,ROW(A14))</f>
        <v>0</v>
      </c>
      <c r="KN56" s="6">
        <f>SUMIFS('Time based aggregation (hide)'!$J:$J,'Time based aggregation (hide)'!$E:$E,3,'Time based aggregation (hide)'!$F:$F,3,'Time based aggregation (hide)'!$A:$A,ROW(A14))</f>
        <v>0</v>
      </c>
      <c r="KO56" s="6">
        <f>SUMIFS('Time based aggregation (hide)'!$J:$J,'Time based aggregation (hide)'!$E:$E,4,'Time based aggregation (hide)'!$F:$F,1,'Time based aggregation (hide)'!$A:$A,ROW(A14))</f>
        <v>0</v>
      </c>
      <c r="KP56" s="6">
        <f>SUMIFS('Time based aggregation (hide)'!$J:$J,'Time based aggregation (hide)'!$E:$E,4,'Time based aggregation (hide)'!$F:$F,2,'Time based aggregation (hide)'!$A:$A,ROW(A14))</f>
        <v>0</v>
      </c>
      <c r="KQ56" s="6">
        <f>SUMIFS('Time based aggregation (hide)'!$J:$J,'Time based aggregation (hide)'!$E:$E,4,'Time based aggregation (hide)'!$F:$F,3,'Time based aggregation (hide)'!$A:$A,ROW(A14))</f>
        <v>0</v>
      </c>
      <c r="KR56" s="6">
        <f>SUMIFS('Time based aggregation (hide)'!$J:$J,'Time based aggregation (hide)'!$E:$E,5,'Time based aggregation (hide)'!$F:$F,1,'Time based aggregation (hide)'!$A:$A,ROW(A14))</f>
        <v>0</v>
      </c>
      <c r="KS56" s="6">
        <f>SUMIFS('Time based aggregation (hide)'!$J:$J,'Time based aggregation (hide)'!$E:$E,5,'Time based aggregation (hide)'!$F:$F,2,'Time based aggregation (hide)'!$A:$A,ROW(A14))</f>
        <v>0</v>
      </c>
      <c r="KT56" s="6">
        <f>SUMIFS('Time based aggregation (hide)'!$J:$J,'Time based aggregation (hide)'!$E:$E,5,'Time based aggregation (hide)'!$F:$F,3,'Time based aggregation (hide)'!$A:$A,ROW(A14))</f>
        <v>0</v>
      </c>
      <c r="KU56" s="6">
        <f>SUMIFS('Time based aggregation (hide)'!$J:$J,'Time based aggregation (hide)'!$E:$E,6,'Time based aggregation (hide)'!$F:$F,1,'Time based aggregation (hide)'!$A:$A,ROW(A14))</f>
        <v>0</v>
      </c>
      <c r="KV56" s="6">
        <f>SUMIFS('Time based aggregation (hide)'!$J:$J,'Time based aggregation (hide)'!$E:$E,6,'Time based aggregation (hide)'!$F:$F,2,'Time based aggregation (hide)'!$A:$A,ROW(A14))</f>
        <v>0</v>
      </c>
      <c r="KW56" s="6">
        <f>SUMIFS('Time based aggregation (hide)'!$J:$J,'Time based aggregation (hide)'!$E:$E,6,'Time based aggregation (hide)'!$F:$F,3,'Time based aggregation (hide)'!$A:$A,ROW(A14))</f>
        <v>0</v>
      </c>
      <c r="KX56" s="6">
        <f>SUMIFS('Time based aggregation (hide)'!$J:$J,'Time based aggregation (hide)'!$E:$E,7,'Time based aggregation (hide)'!$F:$F,1,'Time based aggregation (hide)'!$A:$A,ROW(A14))</f>
        <v>0</v>
      </c>
      <c r="KY56" s="6">
        <f>SUMIFS('Time based aggregation (hide)'!$J:$J,'Time based aggregation (hide)'!$E:$E,7,'Time based aggregation (hide)'!$F:$F,2,'Time based aggregation (hide)'!$A:$A,ROW(A14))</f>
        <v>0</v>
      </c>
      <c r="KZ56" s="6">
        <f>SUMIFS('Time based aggregation (hide)'!$J:$J,'Time based aggregation (hide)'!$E:$E,7,'Time based aggregation (hide)'!$F:$F,3,'Time based aggregation (hide)'!$A:$A,ROW(A14))</f>
        <v>0</v>
      </c>
      <c r="LA56" s="6">
        <f>SUMIFS('Time based aggregation (hide)'!$J:$J,'Time based aggregation (hide)'!$E:$E,8,'Time based aggregation (hide)'!$F:$F,1,'Time based aggregation (hide)'!$A:$A,ROW(A14))</f>
        <v>0</v>
      </c>
      <c r="LB56" s="6">
        <f>SUMIFS('Time based aggregation (hide)'!$J:$J,'Time based aggregation (hide)'!$E:$E,8,'Time based aggregation (hide)'!$F:$F,2,'Time based aggregation (hide)'!$A:$A,ROW(A14))</f>
        <v>0</v>
      </c>
      <c r="LC56" s="6">
        <f>SUMIFS('Time based aggregation (hide)'!$J:$J,'Time based aggregation (hide)'!$E:$E,8,'Time based aggregation (hide)'!$F:$F,3,'Time based aggregation (hide)'!$A:$A,ROW(A14))</f>
        <v>0</v>
      </c>
      <c r="LD56" s="6">
        <f>SUMIFS('Time based aggregation (hide)'!$J:$J,'Time based aggregation (hide)'!$E:$E,9,'Time based aggregation (hide)'!$F:$F,1,'Time based aggregation (hide)'!$A:$A,ROW(A14))</f>
        <v>0</v>
      </c>
      <c r="LE56" s="6">
        <f>SUMIFS('Time based aggregation (hide)'!$J:$J,'Time based aggregation (hide)'!$E:$E,9,'Time based aggregation (hide)'!$F:$F,2,'Time based aggregation (hide)'!$A:$A,ROW(A14))</f>
        <v>0</v>
      </c>
      <c r="LF56" s="6">
        <f>SUMIFS('Time based aggregation (hide)'!$J:$J,'Time based aggregation (hide)'!$E:$E,9,'Time based aggregation (hide)'!$F:$F,3,'Time based aggregation (hide)'!$A:$A,ROW(A14))</f>
        <v>0</v>
      </c>
      <c r="LG56" s="6">
        <f>SUMIFS('Time based aggregation (hide)'!$J:$J,'Time based aggregation (hide)'!$E:$E,10,'Time based aggregation (hide)'!$F:$F,1,'Time based aggregation (hide)'!$A:$A,ROW(A14))</f>
        <v>0</v>
      </c>
      <c r="LH56" s="6">
        <f>SUMIFS('Time based aggregation (hide)'!$J:$J,'Time based aggregation (hide)'!$E:$E,10,'Time based aggregation (hide)'!$F:$F,2,'Time based aggregation (hide)'!$A:$A,ROW(A14))</f>
        <v>0</v>
      </c>
      <c r="LI56" s="6">
        <f>SUMIFS('Time based aggregation (hide)'!$J:$J,'Time based aggregation (hide)'!$E:$E,10,'Time based aggregation (hide)'!$F:$F,3,'Time based aggregation (hide)'!$A:$A,ROW(A14))</f>
        <v>0</v>
      </c>
      <c r="LJ56" s="6">
        <f>SUMIFS('Time based aggregation (hide)'!$J:$J,'Time based aggregation (hide)'!$E:$E,11,'Time based aggregation (hide)'!$F:$F,1,'Time based aggregation (hide)'!$A:$A,ROW(A14))</f>
        <v>0</v>
      </c>
      <c r="LK56" s="6">
        <f>SUMIFS('Time based aggregation (hide)'!$J:$J,'Time based aggregation (hide)'!$E:$E,11,'Time based aggregation (hide)'!$F:$F,2,'Time based aggregation (hide)'!$A:$A,ROW(A14))</f>
        <v>0</v>
      </c>
      <c r="LL56" s="6">
        <f>SUMIFS('Time based aggregation (hide)'!$J:$J,'Time based aggregation (hide)'!$E:$E,11,'Time based aggregation (hide)'!$F:$F,3,'Time based aggregation (hide)'!$A:$A,ROW(A14))</f>
        <v>0</v>
      </c>
      <c r="LM56" s="6">
        <f>SUMIFS('Time based aggregation (hide)'!$J:$J,'Time based aggregation (hide)'!$E:$E,12,'Time based aggregation (hide)'!$F:$F,1,'Time based aggregation (hide)'!$A:$A,ROW(A14))</f>
        <v>0</v>
      </c>
      <c r="LN56" s="6">
        <f>SUMIFS('Time based aggregation (hide)'!$J:$J,'Time based aggregation (hide)'!$E:$E,12,'Time based aggregation (hide)'!$F:$F,2,'Time based aggregation (hide)'!$A:$A,ROW(A14))</f>
        <v>0</v>
      </c>
      <c r="LO56" s="6">
        <f>SUMIFS('Time based aggregation (hide)'!$J:$J,'Time based aggregation (hide)'!$E:$E,12,'Time based aggregation (hide)'!$F:$F,3,'Time based aggregation (hide)'!$A:$A,ROW(A14))</f>
        <v>0</v>
      </c>
      <c r="LP56" s="6">
        <f>SUMIFS('Time based aggregation (hide)'!$J:$J,'Time based aggregation (hide)'!$E:$E,13,'Time based aggregation (hide)'!$F:$F,1,'Time based aggregation (hide)'!$A:$A,ROW(A14))</f>
        <v>0</v>
      </c>
      <c r="LQ56" s="6">
        <f>SUMIFS('Time based aggregation (hide)'!$J:$J,'Time based aggregation (hide)'!$E:$E,13,'Time based aggregation (hide)'!$F:$F,2,'Time based aggregation (hide)'!$A:$A,ROW(A14))</f>
        <v>0</v>
      </c>
      <c r="LR56" s="6">
        <f>SUMIFS('Time based aggregation (hide)'!$J:$J,'Time based aggregation (hide)'!$E:$E,13,'Time based aggregation (hide)'!$F:$F,3,'Time based aggregation (hide)'!$A:$A,ROW(A14))</f>
        <v>0</v>
      </c>
      <c r="LS56" s="6">
        <f>SUMIFS('Time based aggregation (hide)'!$J:$J,'Time based aggregation (hide)'!$E:$E,14,'Time based aggregation (hide)'!$F:$F,1,'Time based aggregation (hide)'!$A:$A,ROW(A14))</f>
        <v>0</v>
      </c>
      <c r="LT56" s="6">
        <f>SUMIFS('Time based aggregation (hide)'!$J:$J,'Time based aggregation (hide)'!$E:$E,14,'Time based aggregation (hide)'!$F:$F,2,'Time based aggregation (hide)'!$A:$A,ROW(A14))</f>
        <v>0</v>
      </c>
      <c r="LU56" s="6">
        <f>SUMIFS('Time based aggregation (hide)'!$J:$J,'Time based aggregation (hide)'!$E:$E,14,'Time based aggregation (hide)'!$F:$F,3,'Time based aggregation (hide)'!$A:$A,ROW(A14))</f>
        <v>0</v>
      </c>
      <c r="LV56" s="6">
        <f>SUMIFS('Time based aggregation (hide)'!$J:$J,'Time based aggregation (hide)'!$E:$E,15,'Time based aggregation (hide)'!$F:$F,1,'Time based aggregation (hide)'!$A:$A,ROW(A14))</f>
        <v>0</v>
      </c>
      <c r="LW56" s="6">
        <f>SUMIFS('Time based aggregation (hide)'!$J:$J,'Time based aggregation (hide)'!$E:$E,15,'Time based aggregation (hide)'!$F:$F,2,'Time based aggregation (hide)'!$A:$A,ROW(A14))</f>
        <v>0</v>
      </c>
      <c r="LX56" s="6">
        <f>SUMIFS('Time based aggregation (hide)'!$J:$J,'Time based aggregation (hide)'!$E:$E,15,'Time based aggregation (hide)'!$F:$F,3,'Time based aggregation (hide)'!$A:$A,ROW(A14))</f>
        <v>0</v>
      </c>
      <c r="LY56" s="6">
        <f>SUMIFS('Time based aggregation (hide)'!$J:$J,'Time based aggregation (hide)'!$E:$E,16,'Time based aggregation (hide)'!$F:$F,1,'Time based aggregation (hide)'!$A:$A,ROW(A14))</f>
        <v>0</v>
      </c>
      <c r="LZ56" s="6">
        <f>SUMIFS('Time based aggregation (hide)'!$J:$J,'Time based aggregation (hide)'!$E:$E,16,'Time based aggregation (hide)'!$F:$F,2,'Time based aggregation (hide)'!$A:$A,ROW(A14))</f>
        <v>0</v>
      </c>
      <c r="MA56" s="6">
        <f>SUMIFS('Time based aggregation (hide)'!$J:$J,'Time based aggregation (hide)'!$E:$E,16,'Time based aggregation (hide)'!$F:$F,3,'Time based aggregation (hide)'!$A:$A,ROW(A14))</f>
        <v>0</v>
      </c>
      <c r="MB56" s="6">
        <f>SUMIFS('Time based aggregation (hide)'!$J:$J,'Time based aggregation (hide)'!$E:$E,17,'Time based aggregation (hide)'!$F:$F,1,'Time based aggregation (hide)'!$A:$A,ROW(A14))</f>
        <v>0</v>
      </c>
      <c r="MC56" s="6">
        <f>SUMIFS('Time based aggregation (hide)'!$J:$J,'Time based aggregation (hide)'!$E:$E,17,'Time based aggregation (hide)'!$F:$F,2,'Time based aggregation (hide)'!$A:$A,ROW(A14))</f>
        <v>0</v>
      </c>
      <c r="MD56" s="6">
        <f>SUMIFS('Time based aggregation (hide)'!$J:$J,'Time based aggregation (hide)'!$E:$E,17,'Time based aggregation (hide)'!$F:$F,3,'Time based aggregation (hide)'!$A:$A,ROW(A14))</f>
        <v>0</v>
      </c>
      <c r="ME56" s="6">
        <f>SUMIFS('Time based aggregation (hide)'!$J:$J,'Time based aggregation (hide)'!$E:$E,18,'Time based aggregation (hide)'!$F:$F,1,'Time based aggregation (hide)'!$A:$A,ROW(A14))</f>
        <v>0</v>
      </c>
      <c r="MF56" s="6">
        <f>SUMIFS('Time based aggregation (hide)'!$J:$J,'Time based aggregation (hide)'!$E:$E,18,'Time based aggregation (hide)'!$F:$F,2,'Time based aggregation (hide)'!$A:$A,ROW(A14))</f>
        <v>0</v>
      </c>
      <c r="MG56" s="6">
        <f>SUMIFS('Time based aggregation (hide)'!$J:$J,'Time based aggregation (hide)'!$E:$E,18,'Time based aggregation (hide)'!$F:$F,3,'Time based aggregation (hide)'!$A:$A,ROW(A14))</f>
        <v>0</v>
      </c>
      <c r="MH56" s="6">
        <f>SUMIFS('Time based aggregation (hide)'!$J:$J,'Time based aggregation (hide)'!$E:$E,19,'Time based aggregation (hide)'!$F:$F,1,'Time based aggregation (hide)'!$A:$A,ROW(A14))</f>
        <v>0</v>
      </c>
      <c r="MI56" s="6">
        <f>SUMIFS('Time based aggregation (hide)'!$J:$J,'Time based aggregation (hide)'!$E:$E,19,'Time based aggregation (hide)'!$F:$F,2,'Time based aggregation (hide)'!$A:$A,ROW(A14))</f>
        <v>0</v>
      </c>
      <c r="MJ56" s="6">
        <f>SUMIFS('Time based aggregation (hide)'!$J:$J,'Time based aggregation (hide)'!$E:$E,19,'Time based aggregation (hide)'!$F:$F,3,'Time based aggregation (hide)'!$A:$A,ROW(A14))</f>
        <v>0</v>
      </c>
      <c r="MK56" s="6">
        <f>SUMIFS('Time based aggregation (hide)'!$J:$J,'Time based aggregation (hide)'!$E:$E,20,'Time based aggregation (hide)'!$F:$F,1,'Time based aggregation (hide)'!$A:$A,ROW(A14))</f>
        <v>0</v>
      </c>
      <c r="ML56" s="6">
        <f>SUMIFS('Time based aggregation (hide)'!$J:$J,'Time based aggregation (hide)'!$E:$E,20,'Time based aggregation (hide)'!$F:$F,2,'Time based aggregation (hide)'!$A:$A,ROW(A14))</f>
        <v>0</v>
      </c>
      <c r="MM56" s="6">
        <f>SUMIFS('Time based aggregation (hide)'!$J:$J,'Time based aggregation (hide)'!$E:$E,20,'Time based aggregation (hide)'!$F:$F,3,'Time based aggregation (hide)'!$A:$A,ROW(A14))</f>
        <v>0</v>
      </c>
      <c r="MN56" s="7">
        <f t="shared" ca="1" si="36"/>
        <v>0</v>
      </c>
      <c r="MO56" s="7">
        <f t="shared" ca="1" si="32"/>
        <v>0</v>
      </c>
      <c r="MP56" s="7">
        <f t="shared" ca="1" si="32"/>
        <v>0</v>
      </c>
      <c r="MQ56" s="7">
        <f t="shared" ca="1" si="32"/>
        <v>0</v>
      </c>
      <c r="MR56" s="7">
        <f t="shared" ca="1" si="32"/>
        <v>0</v>
      </c>
    </row>
    <row r="57" spans="1:356" x14ac:dyDescent="0.25">
      <c r="A57">
        <f>1</f>
        <v>1</v>
      </c>
      <c r="B57" s="85">
        <f t="shared" si="37"/>
        <v>43845</v>
      </c>
      <c r="C57" s="85">
        <f t="shared" si="25"/>
        <v>43843</v>
      </c>
      <c r="D57">
        <f t="shared" ca="1" si="26"/>
        <v>1</v>
      </c>
      <c r="E57" s="85">
        <f t="shared" si="27"/>
        <v>43831</v>
      </c>
      <c r="F57">
        <f t="shared" si="33"/>
        <v>3</v>
      </c>
      <c r="H57">
        <f t="shared" si="34"/>
        <v>15</v>
      </c>
      <c r="I57" s="85">
        <f t="shared" si="38"/>
        <v>43927</v>
      </c>
      <c r="J57">
        <f t="shared" ca="1" si="28"/>
        <v>4</v>
      </c>
      <c r="K57">
        <f t="shared" ca="1" si="29"/>
        <v>1.5748031496062992E-2</v>
      </c>
      <c r="L57" s="114"/>
      <c r="M57" s="85"/>
      <c r="N57" s="85">
        <f t="shared" si="35"/>
        <v>43927</v>
      </c>
      <c r="O57" s="122">
        <f t="shared" ca="1" si="39"/>
        <v>0</v>
      </c>
      <c r="P57" s="122">
        <f t="shared" ca="1" si="39"/>
        <v>0</v>
      </c>
      <c r="Q57" s="122">
        <f t="shared" ca="1" si="39"/>
        <v>0</v>
      </c>
      <c r="R57" s="122">
        <f t="shared" ca="1" si="39"/>
        <v>1</v>
      </c>
      <c r="S57" s="122">
        <f t="shared" ca="1" si="39"/>
        <v>0</v>
      </c>
      <c r="T57" s="122">
        <f t="shared" ca="1" si="39"/>
        <v>0</v>
      </c>
      <c r="U57" s="122">
        <f t="shared" ca="1" si="39"/>
        <v>0</v>
      </c>
      <c r="V57" s="122">
        <f t="shared" ca="1" si="39"/>
        <v>0</v>
      </c>
      <c r="W57" s="122">
        <f t="shared" ca="1" si="39"/>
        <v>0</v>
      </c>
      <c r="X57" s="122">
        <f t="shared" ca="1" si="39"/>
        <v>0</v>
      </c>
      <c r="Y57" s="122">
        <f t="shared" ca="1" si="39"/>
        <v>0</v>
      </c>
      <c r="Z57" s="122">
        <f t="shared" ca="1" si="39"/>
        <v>0</v>
      </c>
      <c r="AA57" s="122"/>
      <c r="AB57" s="140">
        <f>INDEX('File 1'!Weekly_Adjusted,15,1)</f>
        <v>388.17143954725253</v>
      </c>
      <c r="AC57" s="140">
        <f>INDEX('File 1'!Weekly_Adjusted,15,2)</f>
        <v>0</v>
      </c>
      <c r="AD57" s="140">
        <f>INDEX('File 1'!Weekly_Adjusted,15,3)</f>
        <v>0</v>
      </c>
      <c r="AE57" s="141">
        <f>INDEX('File 2'!Weekly_Adjusted,15,1)</f>
        <v>0</v>
      </c>
      <c r="AF57" s="141">
        <f>INDEX('File 2'!Weekly_Adjusted,15,2)</f>
        <v>0</v>
      </c>
      <c r="AG57" s="141">
        <f>INDEX('File 2'!Weekly_Adjusted,15,3)</f>
        <v>0</v>
      </c>
      <c r="AH57" s="140">
        <f>INDEX('File 3'!Weekly_Adjusted,15,1)</f>
        <v>0</v>
      </c>
      <c r="AI57" s="140">
        <f>INDEX('File 3'!Weekly_Adjusted,15,2)</f>
        <v>0</v>
      </c>
      <c r="AJ57" s="140">
        <f>INDEX('File 3'!Weekly_Adjusted,15,3)</f>
        <v>0</v>
      </c>
      <c r="AK57" s="141">
        <f>INDEX('File 4'!Weekly_Adjusted,15,1)</f>
        <v>0</v>
      </c>
      <c r="AL57" s="141">
        <f>INDEX('File 4'!Weekly_Adjusted,15,2)</f>
        <v>0</v>
      </c>
      <c r="AM57" s="141">
        <f>INDEX('File 4'!Weekly_Adjusted,15,3)</f>
        <v>0</v>
      </c>
      <c r="AN57" s="140">
        <f>INDEX('File 5'!Weekly_Adjusted,15,1)</f>
        <v>0</v>
      </c>
      <c r="AO57" s="140">
        <f>INDEX('File 5'!Weekly_Adjusted,15,2)</f>
        <v>0</v>
      </c>
      <c r="AP57" s="140">
        <f>INDEX('File 5'!Weekly_Adjusted,15,3)</f>
        <v>0</v>
      </c>
      <c r="AQ57" s="141">
        <f>INDEX('File 6'!Weekly_Adjusted,15,1)</f>
        <v>0</v>
      </c>
      <c r="AR57" s="141">
        <f>INDEX('File 6'!Weekly_Adjusted,15,2)</f>
        <v>0</v>
      </c>
      <c r="AS57" s="141">
        <f>INDEX('File 6'!Weekly_Adjusted,15,3)</f>
        <v>0</v>
      </c>
      <c r="AT57" s="140">
        <f>INDEX('File 7'!Weekly_Adjusted,15,1)</f>
        <v>0</v>
      </c>
      <c r="AU57" s="140">
        <f>INDEX('File 7'!Weekly_Adjusted,15,2)</f>
        <v>0</v>
      </c>
      <c r="AV57" s="140">
        <f>INDEX('File 7'!Weekly_Adjusted,15,3)</f>
        <v>0</v>
      </c>
      <c r="AW57" s="141">
        <f>INDEX('File 8'!Weekly_Adjusted,15,1)</f>
        <v>0</v>
      </c>
      <c r="AX57" s="141">
        <f>INDEX('File 8'!Weekly_Adjusted,15,2)</f>
        <v>0</v>
      </c>
      <c r="AY57" s="141">
        <f>INDEX('File 8'!Weekly_Adjusted,15,3)</f>
        <v>0</v>
      </c>
      <c r="AZ57" s="140">
        <f>INDEX('File 9'!Weekly_Adjusted,15,1)</f>
        <v>0</v>
      </c>
      <c r="BA57" s="140">
        <f>INDEX('File 9'!Weekly_Adjusted,15,2)</f>
        <v>0</v>
      </c>
      <c r="BB57" s="140">
        <f>INDEX('File 9'!Weekly_Adjusted,15,3)</f>
        <v>0</v>
      </c>
      <c r="BC57" s="141">
        <f>INDEX('File 10'!Weekly_Adjusted,15,1)</f>
        <v>0</v>
      </c>
      <c r="BD57" s="141">
        <f>INDEX('File 10'!Weekly_Adjusted,15,2)</f>
        <v>0</v>
      </c>
      <c r="BE57" s="141">
        <f>INDEX('File 10'!Weekly_Adjusted,15,3)</f>
        <v>0</v>
      </c>
      <c r="BF57" s="140">
        <f>INDEX('File 11'!Weekly_Adjusted,15,1)</f>
        <v>0</v>
      </c>
      <c r="BG57" s="140">
        <f>INDEX('File 11'!Weekly_Adjusted,15,2)</f>
        <v>0</v>
      </c>
      <c r="BH57" s="140">
        <f>INDEX('File 11'!Weekly_Adjusted,15,3)</f>
        <v>0</v>
      </c>
      <c r="BI57" s="141">
        <f>INDEX('File 12'!Weekly_Adjusted,15,1)</f>
        <v>0</v>
      </c>
      <c r="BJ57" s="141">
        <f>INDEX('File 12'!Weekly_Adjusted,15,2)</f>
        <v>0</v>
      </c>
      <c r="BK57" s="141">
        <f>INDEX('File 12'!Weekly_Adjusted,15,3)</f>
        <v>0</v>
      </c>
      <c r="BL57" s="140">
        <f>INDEX('File 13'!Weekly_Adjusted,15,1)</f>
        <v>0</v>
      </c>
      <c r="BM57" s="140">
        <f>INDEX('File 13'!Weekly_Adjusted,15,2)</f>
        <v>0</v>
      </c>
      <c r="BN57" s="140">
        <f>INDEX('File 13'!Weekly_Adjusted,15,3)</f>
        <v>0</v>
      </c>
      <c r="BO57" s="141">
        <f>INDEX('File 14'!Weekly_Adjusted,15,1)</f>
        <v>0</v>
      </c>
      <c r="BP57" s="141">
        <f>INDEX('File 14'!Weekly_Adjusted,15,2)</f>
        <v>0</v>
      </c>
      <c r="BQ57" s="141">
        <f>INDEX('File 14'!Weekly_Adjusted,15,3)</f>
        <v>0</v>
      </c>
      <c r="BR57" s="140">
        <f>INDEX('File 15'!Weekly_Adjusted,15,1)</f>
        <v>0</v>
      </c>
      <c r="BS57" s="140">
        <f>INDEX('File 15'!Weekly_Adjusted,15,2)</f>
        <v>0</v>
      </c>
      <c r="BT57" s="140">
        <f>INDEX('File 15'!Weekly_Adjusted,15,3)</f>
        <v>0</v>
      </c>
      <c r="BU57" s="141">
        <f>INDEX('File 16'!Weekly_Adjusted,15,1)</f>
        <v>0</v>
      </c>
      <c r="BV57" s="141">
        <f>INDEX('File 16'!Weekly_Adjusted,15,2)</f>
        <v>0</v>
      </c>
      <c r="BW57" s="141">
        <f>INDEX('File 16'!Weekly_Adjusted,15,3)</f>
        <v>0</v>
      </c>
      <c r="BX57" s="140">
        <f>INDEX('File 17'!Weekly_Adjusted,15,1)</f>
        <v>0</v>
      </c>
      <c r="BY57" s="140">
        <f>INDEX('File 17'!Weekly_Adjusted,15,2)</f>
        <v>0</v>
      </c>
      <c r="BZ57" s="140">
        <f>INDEX('File 17'!Weekly_Adjusted,15,3)</f>
        <v>0</v>
      </c>
      <c r="CA57" s="141">
        <f>INDEX('File 18'!Weekly_Adjusted,15,1)</f>
        <v>0</v>
      </c>
      <c r="CB57" s="141">
        <f>INDEX('File 18'!Weekly_Adjusted,15,2)</f>
        <v>0</v>
      </c>
      <c r="CC57" s="141">
        <f>INDEX('File 18'!Weekly_Adjusted,15,3)</f>
        <v>0</v>
      </c>
      <c r="CD57" s="140">
        <f>INDEX('File 19'!Weekly_Adjusted,15,1)</f>
        <v>0</v>
      </c>
      <c r="CE57" s="140">
        <f>INDEX('File 19'!Weekly_Adjusted,15,2)</f>
        <v>0</v>
      </c>
      <c r="CF57" s="140">
        <f>INDEX('File 19'!Weekly_Adjusted,15,3)</f>
        <v>0</v>
      </c>
      <c r="CG57" s="141">
        <f>INDEX('File 20'!Weekly_Adjusted,15,1)</f>
        <v>0</v>
      </c>
      <c r="CH57" s="141">
        <f>INDEX('File 20'!Weekly_Adjusted,15,2)</f>
        <v>0</v>
      </c>
      <c r="CI57" s="141">
        <f>INDEX('File 20'!Weekly_Adjusted,15,3)</f>
        <v>0</v>
      </c>
      <c r="CJ57" s="6">
        <f ca="1">SUMIFS(INDEX(Demand_Activity_Weekly,ROW(A15),0),Demand_Activity_Weekly_Header,CJ$42)</f>
        <v>388.17143954725253</v>
      </c>
      <c r="CK57" s="6">
        <f ca="1">SUMIFS(INDEX(Demand_Activity_Weekly,ROW(B15),0),Demand_Activity_Weekly_Header,CK$42)</f>
        <v>0</v>
      </c>
      <c r="CL57" s="6">
        <f ca="1">SUMIFS(INDEX(Demand_Activity_Weekly,ROW(C15),0),Demand_Activity_Weekly_Header,CL$42)</f>
        <v>0</v>
      </c>
      <c r="CM57" s="6">
        <f ca="1">SUMIFS(INDEX(Demand_Activity_Weekly,ROW(D15),0),Demand_Activity_Weekly_Header,CM$42)</f>
        <v>0</v>
      </c>
      <c r="CN57" s="6">
        <f ca="1">SUMIFS(INDEX(Demand_Activity_Weekly,ROW(E15),0),Demand_Activity_Weekly_Header,CN$42)</f>
        <v>0</v>
      </c>
      <c r="CP57" s="142">
        <f ca="1">INDEX('File 1'!Weekly_Adjusted,15,10)</f>
        <v>19.935827322284016</v>
      </c>
      <c r="CQ57" s="142">
        <f>INDEX('File 1'!Weekly_Adjusted,15,11)</f>
        <v>0</v>
      </c>
      <c r="CR57" s="142">
        <f>INDEX('File 1'!Weekly_Adjusted,15,12)</f>
        <v>0</v>
      </c>
      <c r="CS57" s="143">
        <f>INDEX('File 2'!Weekly_Adjusted,15,10)</f>
        <v>0</v>
      </c>
      <c r="CT57" s="143">
        <f>INDEX('File 2'!Weekly_Adjusted,15,11)</f>
        <v>0</v>
      </c>
      <c r="CU57" s="143">
        <f>INDEX('File 2'!Weekly_Adjusted,15,12)</f>
        <v>0</v>
      </c>
      <c r="CV57" s="142">
        <f>INDEX('File 3'!Weekly_Adjusted,15,10)</f>
        <v>0</v>
      </c>
      <c r="CW57" s="142">
        <f>INDEX('File 3'!Weekly_Adjusted,15,11)</f>
        <v>0</v>
      </c>
      <c r="CX57" s="142">
        <f>INDEX('File 3'!Weekly_Adjusted,15,12)</f>
        <v>0</v>
      </c>
      <c r="CY57" s="143">
        <f>INDEX('File 4'!Weekly_Adjusted,15,10)</f>
        <v>0</v>
      </c>
      <c r="CZ57" s="143">
        <f>INDEX('File 4'!Weekly_Adjusted,15,11)</f>
        <v>0</v>
      </c>
      <c r="DA57" s="143">
        <f>INDEX('File 4'!Weekly_Adjusted,15,12)</f>
        <v>0</v>
      </c>
      <c r="DB57" s="142">
        <f>INDEX('File 5'!Weekly_Adjusted,15,10)</f>
        <v>0</v>
      </c>
      <c r="DC57" s="142">
        <f>INDEX('File 5'!Weekly_Adjusted,15,11)</f>
        <v>0</v>
      </c>
      <c r="DD57" s="142">
        <f>INDEX('File 5'!Weekly_Adjusted,15,12)</f>
        <v>0</v>
      </c>
      <c r="DE57" s="143">
        <f>INDEX('File 6'!Weekly_Adjusted,15,10)</f>
        <v>0</v>
      </c>
      <c r="DF57" s="143">
        <f>INDEX('File 6'!Weekly_Adjusted,15,11)</f>
        <v>0</v>
      </c>
      <c r="DG57" s="143">
        <f>INDEX('File 6'!Weekly_Adjusted,15,12)</f>
        <v>0</v>
      </c>
      <c r="DH57" s="142">
        <f>INDEX('File 7'!Weekly_Adjusted,15,10)</f>
        <v>0</v>
      </c>
      <c r="DI57" s="142">
        <f>INDEX('File 7'!Weekly_Adjusted,15,11)</f>
        <v>0</v>
      </c>
      <c r="DJ57" s="142">
        <f>INDEX('File 7'!Weekly_Adjusted,15,12)</f>
        <v>0</v>
      </c>
      <c r="DK57" s="143">
        <f>INDEX('File 8'!Weekly_Adjusted,15,10)</f>
        <v>0</v>
      </c>
      <c r="DL57" s="143">
        <f>INDEX('File 8'!Weekly_Adjusted,15,11)</f>
        <v>0</v>
      </c>
      <c r="DM57" s="143">
        <f>INDEX('File 8'!Weekly_Adjusted,15,12)</f>
        <v>0</v>
      </c>
      <c r="DN57" s="142">
        <f>INDEX('File 9'!Weekly_Adjusted,15,10)</f>
        <v>0</v>
      </c>
      <c r="DO57" s="142">
        <f>INDEX('File 9'!Weekly_Adjusted,15,11)</f>
        <v>0</v>
      </c>
      <c r="DP57" s="142">
        <f>INDEX('File 9'!Weekly_Adjusted,15,12)</f>
        <v>0</v>
      </c>
      <c r="DQ57" s="143">
        <f>INDEX('File 10'!Weekly_Adjusted,15,10)</f>
        <v>0</v>
      </c>
      <c r="DR57" s="143">
        <f>INDEX('File 10'!Weekly_Adjusted,15,11)</f>
        <v>0</v>
      </c>
      <c r="DS57" s="143">
        <f>INDEX('File 10'!Weekly_Adjusted,15,12)</f>
        <v>0</v>
      </c>
      <c r="DT57" s="142">
        <f>INDEX('File 11'!Weekly_Adjusted,15,10)</f>
        <v>0</v>
      </c>
      <c r="DU57" s="142">
        <f>INDEX('File 11'!Weekly_Adjusted,15,11)</f>
        <v>0</v>
      </c>
      <c r="DV57" s="142">
        <f>INDEX('File 11'!Weekly_Adjusted,15,12)</f>
        <v>0</v>
      </c>
      <c r="DW57" s="143">
        <f>INDEX('File 12'!Weekly_Adjusted,15,10)</f>
        <v>0</v>
      </c>
      <c r="DX57" s="143">
        <f>INDEX('File 12'!Weekly_Adjusted,15,11)</f>
        <v>0</v>
      </c>
      <c r="DY57" s="143">
        <f>INDEX('File 12'!Weekly_Adjusted,15,12)</f>
        <v>0</v>
      </c>
      <c r="DZ57" s="142">
        <f>INDEX('File 13'!Weekly_Adjusted,15,10)</f>
        <v>0</v>
      </c>
      <c r="EA57" s="142">
        <f>INDEX('File 13'!Weekly_Adjusted,15,11)</f>
        <v>0</v>
      </c>
      <c r="EB57" s="142">
        <f>INDEX('File 13'!Weekly_Adjusted,15,12)</f>
        <v>0</v>
      </c>
      <c r="EC57" s="143">
        <f>INDEX('File 14'!Weekly_Adjusted,15,10)</f>
        <v>0</v>
      </c>
      <c r="ED57" s="143">
        <f>INDEX('File 14'!Weekly_Adjusted,15,11)</f>
        <v>0</v>
      </c>
      <c r="EE57" s="143">
        <f>INDEX('File 14'!Weekly_Adjusted,15,12)</f>
        <v>0</v>
      </c>
      <c r="EF57" s="142">
        <f>INDEX('File 15'!Weekly_Adjusted,15,10)</f>
        <v>0</v>
      </c>
      <c r="EG57" s="142">
        <f>INDEX('File 15'!Weekly_Adjusted,15,11)</f>
        <v>0</v>
      </c>
      <c r="EH57" s="142">
        <f>INDEX('File 15'!Weekly_Adjusted,15,12)</f>
        <v>0</v>
      </c>
      <c r="EI57" s="143">
        <f>INDEX('File 16'!Weekly_Adjusted,15,10)</f>
        <v>0</v>
      </c>
      <c r="EJ57" s="143">
        <f>INDEX('File 16'!Weekly_Adjusted,15,11)</f>
        <v>0</v>
      </c>
      <c r="EK57" s="143">
        <f>INDEX('File 16'!Weekly_Adjusted,15,12)</f>
        <v>0</v>
      </c>
      <c r="EL57" s="142">
        <f>INDEX('File 17'!Weekly_Adjusted,15,10)</f>
        <v>0</v>
      </c>
      <c r="EM57" s="142">
        <f>INDEX('File 17'!Weekly_Adjusted,15,11)</f>
        <v>0</v>
      </c>
      <c r="EN57" s="142">
        <f>INDEX('File 17'!Weekly_Adjusted,15,12)</f>
        <v>0</v>
      </c>
      <c r="EO57" s="143">
        <f>INDEX('File 18'!Weekly_Adjusted,15,10)</f>
        <v>0</v>
      </c>
      <c r="EP57" s="143">
        <f>INDEX('File 18'!Weekly_Adjusted,15,11)</f>
        <v>0</v>
      </c>
      <c r="EQ57" s="143">
        <f>INDEX('File 18'!Weekly_Adjusted,15,12)</f>
        <v>0</v>
      </c>
      <c r="ER57" s="142">
        <f>INDEX('File 19'!Weekly_Adjusted,15,10)</f>
        <v>0</v>
      </c>
      <c r="ES57" s="142">
        <f>INDEX('File 19'!Weekly_Adjusted,15,11)</f>
        <v>0</v>
      </c>
      <c r="ET57" s="142">
        <f>INDEX('File 19'!Weekly_Adjusted,15,12)</f>
        <v>0</v>
      </c>
      <c r="EU57" s="143">
        <f>INDEX('File 20'!Weekly_Adjusted,15,10)</f>
        <v>0</v>
      </c>
      <c r="EV57" s="143">
        <f>INDEX('File 20'!Weekly_Adjusted,15,11)</f>
        <v>0</v>
      </c>
      <c r="EW57" s="143">
        <f>INDEX('File 20'!Weekly_Adjusted,15,12)</f>
        <v>0</v>
      </c>
      <c r="EX57" s="6">
        <f ca="1">SUMIFS(INDEX(Capacity_Activity_Weekly,ROW(A15),0),Demand_Activity_Weekly_Header,CJ$42)</f>
        <v>19.935827322284016</v>
      </c>
      <c r="EY57" s="6">
        <f ca="1">SUMIFS(INDEX(Capacity_Activity_Weekly,ROW(B15),0),Demand_Activity_Weekly_Header,CK$42)</f>
        <v>0</v>
      </c>
      <c r="EZ57" s="6">
        <f ca="1">SUMIFS(INDEX(Capacity_Activity_Weekly,ROW(C15),0),Demand_Activity_Weekly_Header,CL$42)</f>
        <v>0</v>
      </c>
      <c r="FA57" s="6">
        <f ca="1">SUMIFS(INDEX(Capacity_Activity_Weekly,ROW(D15),0),Demand_Activity_Weekly_Header,CM$42)</f>
        <v>0</v>
      </c>
      <c r="FB57" s="6">
        <f ca="1">SUMIFS(INDEX(Capacity_Activity_Weekly,ROW(E15),0),Demand_Activity_Weekly_Header,CN$42)</f>
        <v>0</v>
      </c>
      <c r="FD57" s="7">
        <f>'File 1'!$Q$54*'Time based aggregation (hide)'!$Q19</f>
        <v>0</v>
      </c>
      <c r="FE57" s="7">
        <f>'File 1'!$R$54*'Time based aggregation (hide)'!$R19</f>
        <v>0</v>
      </c>
      <c r="FF57" s="7">
        <f>'File 1'!$S$54*'Time based aggregation (hide)'!$S19</f>
        <v>0</v>
      </c>
      <c r="FG57" s="7">
        <f>'File 2'!$Q$54*'Time based aggregation (hide)'!$T19</f>
        <v>0</v>
      </c>
      <c r="FH57" s="7">
        <f>'File 2'!$R$54*'Time based aggregation (hide)'!$U19</f>
        <v>0</v>
      </c>
      <c r="FI57" s="7">
        <f>'File 2'!$S$54*'Time based aggregation (hide)'!$V19</f>
        <v>0</v>
      </c>
      <c r="FJ57" s="7">
        <f>'File 3'!$Q$54*'Time based aggregation (hide)'!$W19</f>
        <v>0</v>
      </c>
      <c r="FK57" s="7">
        <f>'File 3'!$R$54*'Time based aggregation (hide)'!$X19</f>
        <v>0</v>
      </c>
      <c r="FL57" s="7">
        <f>'File 3'!$S$54*'Time based aggregation (hide)'!$Y19</f>
        <v>0</v>
      </c>
      <c r="FM57" s="7">
        <f>'File 4'!$Q$54*'Time based aggregation (hide)'!$Z19</f>
        <v>0</v>
      </c>
      <c r="FN57" s="7">
        <f>'File 4'!$R$54*'Time based aggregation (hide)'!$AA19</f>
        <v>0</v>
      </c>
      <c r="FO57" s="7">
        <f>'File 4'!$S$54*'Time based aggregation (hide)'!$AB19</f>
        <v>0</v>
      </c>
      <c r="FP57" s="7">
        <f>'File 5'!$Q$54*'Time based aggregation (hide)'!$AC19</f>
        <v>0</v>
      </c>
      <c r="FQ57" s="7">
        <f>'File 5'!$R$54*'Time based aggregation (hide)'!$AD19</f>
        <v>0</v>
      </c>
      <c r="FR57" s="7">
        <f>'File 5'!$S$54*'Time based aggregation (hide)'!$AE19</f>
        <v>0</v>
      </c>
      <c r="FS57" s="7">
        <f>'File 6'!$Q$54*'Time based aggregation (hide)'!$AF19</f>
        <v>0</v>
      </c>
      <c r="FT57" s="7">
        <f>'File 6'!$R$54*'Time based aggregation (hide)'!$AG19</f>
        <v>0</v>
      </c>
      <c r="FU57" s="7">
        <f>'File 6'!$S$54*'Time based aggregation (hide)'!$AH19</f>
        <v>0</v>
      </c>
      <c r="FV57" s="7">
        <f>'File 7'!$Q$54*'Time based aggregation (hide)'!$AI19</f>
        <v>0</v>
      </c>
      <c r="FW57" s="7">
        <f>'File 7'!$R$54*'Time based aggregation (hide)'!$AJ19</f>
        <v>0</v>
      </c>
      <c r="FX57" s="7">
        <f>'File 7'!$S$54*'Time based aggregation (hide)'!$AK19</f>
        <v>0</v>
      </c>
      <c r="FY57" s="7">
        <f>'File 8'!$Q$54*'Time based aggregation (hide)'!$AL19</f>
        <v>0</v>
      </c>
      <c r="FZ57" s="7">
        <f>'File 8'!$R$54*'Time based aggregation (hide)'!$AM19</f>
        <v>0</v>
      </c>
      <c r="GA57" s="7">
        <f>'File 8'!$S$54*'Time based aggregation (hide)'!$AN19</f>
        <v>0</v>
      </c>
      <c r="GB57" s="7">
        <f>'File 9'!$Q$54*'Time based aggregation (hide)'!$AO19</f>
        <v>0</v>
      </c>
      <c r="GC57" s="7">
        <f>'File 9'!$R$54*'Time based aggregation (hide)'!$AP19</f>
        <v>0</v>
      </c>
      <c r="GD57" s="7">
        <f>'File 9'!$S$54*'Time based aggregation (hide)'!$AQ19</f>
        <v>0</v>
      </c>
      <c r="GE57" s="7">
        <f>'File 10'!$Q$54*'Time based aggregation (hide)'!$AR19</f>
        <v>0</v>
      </c>
      <c r="GF57" s="7">
        <f>'File 10'!$R$54*'Time based aggregation (hide)'!$AS19</f>
        <v>0</v>
      </c>
      <c r="GG57" s="7">
        <f>'File 10'!$S$54*'Time based aggregation (hide)'!$AT19</f>
        <v>0</v>
      </c>
      <c r="GH57" s="7">
        <f>'File 11'!$Q$54*'Time based aggregation (hide)'!$AU19</f>
        <v>0</v>
      </c>
      <c r="GI57" s="7">
        <f>'File 11'!$R$54*'Time based aggregation (hide)'!$AV19</f>
        <v>0</v>
      </c>
      <c r="GJ57" s="7">
        <f>'File 11'!$S$54*'Time based aggregation (hide)'!$AW19</f>
        <v>0</v>
      </c>
      <c r="GK57" s="7">
        <f>'File 12'!$Q$54*'Time based aggregation (hide)'!$AX19</f>
        <v>0</v>
      </c>
      <c r="GL57" s="7">
        <f>'File 12'!$R$54*'Time based aggregation (hide)'!$AY19</f>
        <v>0</v>
      </c>
      <c r="GM57" s="7">
        <f>'File 12'!$S$54*'Time based aggregation (hide)'!$AZ19</f>
        <v>0</v>
      </c>
      <c r="GN57" s="7">
        <f>'File 13'!$Q$54*'Time based aggregation (hide)'!$BA19</f>
        <v>0</v>
      </c>
      <c r="GO57" s="7">
        <f>'File 13'!$R$54*'Time based aggregation (hide)'!$BB19</f>
        <v>0</v>
      </c>
      <c r="GP57" s="7">
        <f>'File 13'!$S$54*'Time based aggregation (hide)'!$BC19</f>
        <v>0</v>
      </c>
      <c r="GQ57" s="7">
        <f>'File 14'!$Q$54*'Time based aggregation (hide)'!$BD19</f>
        <v>0</v>
      </c>
      <c r="GR57" s="7">
        <f>'File 14'!$R$54*'Time based aggregation (hide)'!$BE19</f>
        <v>0</v>
      </c>
      <c r="GS57" s="7">
        <f>'File 14'!$S$54*'Time based aggregation (hide)'!$BF19</f>
        <v>0</v>
      </c>
      <c r="GT57" s="7">
        <f>'File 15'!$Q$54*'Time based aggregation (hide)'!$BG19</f>
        <v>0</v>
      </c>
      <c r="GU57" s="7">
        <f>'File 15'!$R$54*'Time based aggregation (hide)'!$BH19</f>
        <v>0</v>
      </c>
      <c r="GV57" s="7">
        <f>'File 15'!$S$54*'Time based aggregation (hide)'!$BI19</f>
        <v>0</v>
      </c>
      <c r="GW57" s="7">
        <f>'File 16'!$Q$54*'Time based aggregation (hide)'!$BJ19</f>
        <v>0</v>
      </c>
      <c r="GX57" s="7">
        <f>'File 16'!$R$54*'Time based aggregation (hide)'!$BK19</f>
        <v>0</v>
      </c>
      <c r="GY57" s="7">
        <f>'File 16'!$S$54*'Time based aggregation (hide)'!$BL19</f>
        <v>0</v>
      </c>
      <c r="GZ57" s="7">
        <f>'File 17'!$Q$54*'Time based aggregation (hide)'!$BM19</f>
        <v>0</v>
      </c>
      <c r="HA57" s="7">
        <f>'File 17'!$R$54*'Time based aggregation (hide)'!$BN19</f>
        <v>0</v>
      </c>
      <c r="HB57" s="7">
        <f>'File 17'!$S$54*'Time based aggregation (hide)'!$BO19</f>
        <v>0</v>
      </c>
      <c r="HC57" s="7">
        <f>'File 18'!$Q$54*'Time based aggregation (hide)'!$BP19</f>
        <v>0</v>
      </c>
      <c r="HD57" s="7">
        <f>'File 18'!$R$54*'Time based aggregation (hide)'!$BQ19</f>
        <v>0</v>
      </c>
      <c r="HE57" s="7">
        <f>'File 18'!$S$54*'Time based aggregation (hide)'!$BR19</f>
        <v>0</v>
      </c>
      <c r="HF57" s="7">
        <f>'File 19'!$Q$54*'Time based aggregation (hide)'!$BS19</f>
        <v>0</v>
      </c>
      <c r="HG57" s="7">
        <f>'File 19'!$R$54*'Time based aggregation (hide)'!$BT19</f>
        <v>0</v>
      </c>
      <c r="HH57" s="7">
        <f>'File 19'!$S$54*'Time based aggregation (hide)'!$BU19</f>
        <v>0</v>
      </c>
      <c r="HI57" s="7">
        <f>'File 20'!$Q$54*'Time based aggregation (hide)'!$BV19</f>
        <v>0</v>
      </c>
      <c r="HJ57" s="7">
        <f>'File 20'!$R$54*'Time based aggregation (hide)'!$BW19</f>
        <v>0</v>
      </c>
      <c r="HK57" s="7">
        <f>'File 20'!$S$54*'Time based aggregation (hide)'!$BX19</f>
        <v>0</v>
      </c>
      <c r="HL57" s="7">
        <f t="shared" ca="1" si="40"/>
        <v>0</v>
      </c>
      <c r="HM57" s="7">
        <f t="shared" ca="1" si="40"/>
        <v>0</v>
      </c>
      <c r="HN57" s="7">
        <f t="shared" ca="1" si="40"/>
        <v>0</v>
      </c>
      <c r="HO57" s="7">
        <f t="shared" ca="1" si="40"/>
        <v>0</v>
      </c>
      <c r="HP57" s="7">
        <f t="shared" ca="1" si="40"/>
        <v>0</v>
      </c>
      <c r="HR57" s="142">
        <f ca="1">INDEX('File 1'!Weekly_Adjusted,15,16)</f>
        <v>17.142271901327018</v>
      </c>
      <c r="HS57" s="142">
        <f>INDEX('File 1'!Weekly_Adjusted,15,17)</f>
        <v>0</v>
      </c>
      <c r="HT57" s="142">
        <f>INDEX('File 1'!Weekly_Adjusted,15,18)</f>
        <v>0</v>
      </c>
      <c r="HU57" s="143">
        <f>INDEX('File 2'!Weekly_Adjusted,15,16)</f>
        <v>0</v>
      </c>
      <c r="HV57" s="143">
        <f>INDEX('File 2'!Weekly_Adjusted,15,17)</f>
        <v>0</v>
      </c>
      <c r="HW57" s="143">
        <f>INDEX('File 2'!Weekly_Adjusted,15,18)</f>
        <v>0</v>
      </c>
      <c r="HX57" s="142">
        <f>INDEX('File 3'!Weekly_Adjusted,15,16)</f>
        <v>0</v>
      </c>
      <c r="HY57" s="142">
        <f>INDEX('File 3'!Weekly_Adjusted,15,17)</f>
        <v>0</v>
      </c>
      <c r="HZ57" s="142">
        <f>INDEX('File 3'!Weekly_Adjusted,15,18)</f>
        <v>0</v>
      </c>
      <c r="IA57" s="143">
        <f>INDEX('File 4'!Weekly_Adjusted,15,16)</f>
        <v>0</v>
      </c>
      <c r="IB57" s="143">
        <f>INDEX('File 4'!Weekly_Adjusted,15,17)</f>
        <v>0</v>
      </c>
      <c r="IC57" s="143">
        <f>INDEX('File 4'!Weekly_Adjusted,15,18)</f>
        <v>0</v>
      </c>
      <c r="ID57" s="142">
        <f>INDEX('File 5'!Weekly_Adjusted,15,16)</f>
        <v>0</v>
      </c>
      <c r="IE57" s="142">
        <f>INDEX('File 5'!Weekly_Adjusted,15,17)</f>
        <v>0</v>
      </c>
      <c r="IF57" s="142">
        <f>INDEX('File 5'!Weekly_Adjusted,15,18)</f>
        <v>0</v>
      </c>
      <c r="IG57" s="143">
        <f>INDEX('File 6'!Weekly_Adjusted,15,16)</f>
        <v>0</v>
      </c>
      <c r="IH57" s="143">
        <f>INDEX('File 6'!Weekly_Adjusted,15,17)</f>
        <v>0</v>
      </c>
      <c r="II57" s="143">
        <f>INDEX('File 6'!Weekly_Adjusted,15,18)</f>
        <v>0</v>
      </c>
      <c r="IJ57" s="142">
        <f>INDEX('File 7'!Weekly_Adjusted,15,16)</f>
        <v>0</v>
      </c>
      <c r="IK57" s="142">
        <f>INDEX('File 7'!Weekly_Adjusted,15,17)</f>
        <v>0</v>
      </c>
      <c r="IL57" s="142">
        <f>INDEX('File 7'!Weekly_Adjusted,15,18)</f>
        <v>0</v>
      </c>
      <c r="IM57" s="143">
        <f>INDEX('File 8'!Weekly_Adjusted,15,16)</f>
        <v>0</v>
      </c>
      <c r="IN57" s="143">
        <f>INDEX('File 8'!Weekly_Adjusted,15,17)</f>
        <v>0</v>
      </c>
      <c r="IO57" s="143">
        <f>INDEX('File 8'!Weekly_Adjusted,15,18)</f>
        <v>0</v>
      </c>
      <c r="IP57" s="142">
        <f>INDEX('File 9'!Weekly_Adjusted,15,16)</f>
        <v>0</v>
      </c>
      <c r="IQ57" s="142">
        <f>INDEX('File 9'!Weekly_Adjusted,15,17)</f>
        <v>0</v>
      </c>
      <c r="IR57" s="142">
        <f>INDEX('File 9'!Weekly_Adjusted,15,18)</f>
        <v>0</v>
      </c>
      <c r="IS57" s="143">
        <f>INDEX('File 10'!Weekly_Adjusted,15,16)</f>
        <v>0</v>
      </c>
      <c r="IT57" s="143">
        <f>INDEX('File 10'!Weekly_Adjusted,15,17)</f>
        <v>0</v>
      </c>
      <c r="IU57" s="143">
        <f>INDEX('File 10'!Weekly_Adjusted,15,18)</f>
        <v>0</v>
      </c>
      <c r="IV57" s="142">
        <f>INDEX('File 11'!Weekly_Adjusted,15,16)</f>
        <v>0</v>
      </c>
      <c r="IW57" s="142">
        <f>INDEX('File 11'!Weekly_Adjusted,15,17)</f>
        <v>0</v>
      </c>
      <c r="IX57" s="142">
        <f>INDEX('File 11'!Weekly_Adjusted,15,18)</f>
        <v>0</v>
      </c>
      <c r="IY57" s="143">
        <f>INDEX('File 12'!Weekly_Adjusted,15,16)</f>
        <v>0</v>
      </c>
      <c r="IZ57" s="143">
        <f>INDEX('File 12'!Weekly_Adjusted,15,17)</f>
        <v>0</v>
      </c>
      <c r="JA57" s="143">
        <f>INDEX('File 12'!Weekly_Adjusted,15,18)</f>
        <v>0</v>
      </c>
      <c r="JB57" s="142">
        <f>INDEX('File 13'!Weekly_Adjusted,15,16)</f>
        <v>0</v>
      </c>
      <c r="JC57" s="142">
        <f>INDEX('File 13'!Weekly_Adjusted,15,17)</f>
        <v>0</v>
      </c>
      <c r="JD57" s="142">
        <f>INDEX('File 13'!Weekly_Adjusted,15,18)</f>
        <v>0</v>
      </c>
      <c r="JE57" s="143">
        <f>INDEX('File 14'!Weekly_Adjusted,15,16)</f>
        <v>0</v>
      </c>
      <c r="JF57" s="143">
        <f>INDEX('File 14'!Weekly_Adjusted,15,17)</f>
        <v>0</v>
      </c>
      <c r="JG57" s="143">
        <f>INDEX('File 14'!Weekly_Adjusted,15,18)</f>
        <v>0</v>
      </c>
      <c r="JH57" s="142">
        <f>INDEX('File 15'!Weekly_Adjusted,15,16)</f>
        <v>0</v>
      </c>
      <c r="JI57" s="142">
        <f>INDEX('File 15'!Weekly_Adjusted,15,17)</f>
        <v>0</v>
      </c>
      <c r="JJ57" s="142">
        <f>INDEX('File 15'!Weekly_Adjusted,15,18)</f>
        <v>0</v>
      </c>
      <c r="JK57" s="143">
        <f>INDEX('File 16'!Weekly_Adjusted,15,16)</f>
        <v>0</v>
      </c>
      <c r="JL57" s="143">
        <f>INDEX('File 16'!Weekly_Adjusted,15,17)</f>
        <v>0</v>
      </c>
      <c r="JM57" s="143">
        <f>INDEX('File 16'!Weekly_Adjusted,15,18)</f>
        <v>0</v>
      </c>
      <c r="JN57" s="142">
        <f>INDEX('File 17'!Weekly_Adjusted,15,16)</f>
        <v>0</v>
      </c>
      <c r="JO57" s="142">
        <f>INDEX('File 17'!Weekly_Adjusted,15,17)</f>
        <v>0</v>
      </c>
      <c r="JP57" s="142">
        <f>INDEX('File 17'!Weekly_Adjusted,15,18)</f>
        <v>0</v>
      </c>
      <c r="JQ57" s="143">
        <f>INDEX('File 18'!Weekly_Adjusted,15,16)</f>
        <v>0</v>
      </c>
      <c r="JR57" s="143">
        <f>INDEX('File 18'!Weekly_Adjusted,15,17)</f>
        <v>0</v>
      </c>
      <c r="JS57" s="143">
        <f>INDEX('File 18'!Weekly_Adjusted,15,18)</f>
        <v>0</v>
      </c>
      <c r="JT57" s="142">
        <f>INDEX('File 19'!Weekly_Adjusted,15,16)</f>
        <v>0</v>
      </c>
      <c r="JU57" s="142">
        <f>INDEX('File 19'!Weekly_Adjusted,15,17)</f>
        <v>0</v>
      </c>
      <c r="JV57" s="142">
        <f>INDEX('File 19'!Weekly_Adjusted,15,18)</f>
        <v>0</v>
      </c>
      <c r="JW57" s="143">
        <f>INDEX('File 20'!Weekly_Adjusted,15,16)</f>
        <v>0</v>
      </c>
      <c r="JX57" s="143">
        <f>INDEX('File 20'!Weekly_Adjusted,15,17)</f>
        <v>0</v>
      </c>
      <c r="JY57" s="143">
        <f>INDEX('File 20'!Weekly_Adjusted,15,18)</f>
        <v>0</v>
      </c>
      <c r="JZ57" s="6">
        <f ca="1">SUMIFS(INDEX(CapacityCore_Activity_Weekly,ROW(EC15),0),Demand_Activity_Weekly_Header,HL$42)</f>
        <v>17.142271901327018</v>
      </c>
      <c r="KA57" s="6">
        <f ca="1">SUMIFS(INDEX(CapacityCore_Activity_Weekly,ROW(ED15),0),Demand_Activity_Weekly_Header,HM$42)</f>
        <v>0</v>
      </c>
      <c r="KB57" s="6">
        <f ca="1">SUMIFS(INDEX(CapacityCore_Activity_Weekly,ROW(EE15),0),Demand_Activity_Weekly_Header,HN$42)</f>
        <v>0</v>
      </c>
      <c r="KC57" s="6">
        <f ca="1">SUMIFS(INDEX(CapacityCore_Activity_Weekly,ROW(EF15),0),Demand_Activity_Weekly_Header,HO$42)</f>
        <v>0</v>
      </c>
      <c r="KD57" s="6">
        <f ca="1">SUMIFS(INDEX(CapacityCore_Activity_Weekly,ROW(EG15),0),Demand_Activity_Weekly_Header,HP$42)</f>
        <v>0</v>
      </c>
      <c r="KF57" s="6">
        <f>SUMIFS('Time based aggregation (hide)'!$J:$J,'Time based aggregation (hide)'!$E:$E,1,'Time based aggregation (hide)'!$F:$F,1,'Time based aggregation (hide)'!$A:$A,ROW(A15))</f>
        <v>0</v>
      </c>
      <c r="KG57" s="6">
        <f>SUMIFS('Time based aggregation (hide)'!$J:$J,'Time based aggregation (hide)'!$E:$E,1,'Time based aggregation (hide)'!$F:$F,2,'Time based aggregation (hide)'!$A:$A,ROW(A15))</f>
        <v>0</v>
      </c>
      <c r="KH57" s="6">
        <f>SUMIFS('Time based aggregation (hide)'!$J:$J,'Time based aggregation (hide)'!$E:$E,1,'Time based aggregation (hide)'!$F:$F,3,'Time based aggregation (hide)'!$A:$A,ROW(A15))</f>
        <v>0</v>
      </c>
      <c r="KI57" s="6">
        <f>SUMIFS('Time based aggregation (hide)'!$J:$J,'Time based aggregation (hide)'!$E:$E,2,'Time based aggregation (hide)'!$F:$F,1,'Time based aggregation (hide)'!$A:$A,ROW(A15))</f>
        <v>0</v>
      </c>
      <c r="KJ57" s="6">
        <f>SUMIFS('Time based aggregation (hide)'!$J:$J,'Time based aggregation (hide)'!$E:$E,2,'Time based aggregation (hide)'!$F:$F,2,'Time based aggregation (hide)'!$A:$A,ROW(A15))</f>
        <v>0</v>
      </c>
      <c r="KK57" s="6">
        <f>SUMIFS('Time based aggregation (hide)'!$J:$J,'Time based aggregation (hide)'!$E:$E,2,'Time based aggregation (hide)'!$F:$F,3,'Time based aggregation (hide)'!$A:$A,ROW(A15))</f>
        <v>0</v>
      </c>
      <c r="KL57" s="6">
        <f>SUMIFS('Time based aggregation (hide)'!$J:$J,'Time based aggregation (hide)'!$E:$E,3,'Time based aggregation (hide)'!$F:$F,1,'Time based aggregation (hide)'!$A:$A,ROW(A15))</f>
        <v>0</v>
      </c>
      <c r="KM57" s="6">
        <f>SUMIFS('Time based aggregation (hide)'!$J:$J,'Time based aggregation (hide)'!$E:$E,3,'Time based aggregation (hide)'!$F:$F,2,'Time based aggregation (hide)'!$A:$A,ROW(A15))</f>
        <v>0</v>
      </c>
      <c r="KN57" s="6">
        <f>SUMIFS('Time based aggregation (hide)'!$J:$J,'Time based aggregation (hide)'!$E:$E,3,'Time based aggregation (hide)'!$F:$F,3,'Time based aggregation (hide)'!$A:$A,ROW(A15))</f>
        <v>0</v>
      </c>
      <c r="KO57" s="6">
        <f>SUMIFS('Time based aggregation (hide)'!$J:$J,'Time based aggregation (hide)'!$E:$E,4,'Time based aggregation (hide)'!$F:$F,1,'Time based aggregation (hide)'!$A:$A,ROW(A15))</f>
        <v>0</v>
      </c>
      <c r="KP57" s="6">
        <f>SUMIFS('Time based aggregation (hide)'!$J:$J,'Time based aggregation (hide)'!$E:$E,4,'Time based aggregation (hide)'!$F:$F,2,'Time based aggregation (hide)'!$A:$A,ROW(A15))</f>
        <v>0</v>
      </c>
      <c r="KQ57" s="6">
        <f>SUMIFS('Time based aggregation (hide)'!$J:$J,'Time based aggregation (hide)'!$E:$E,4,'Time based aggregation (hide)'!$F:$F,3,'Time based aggregation (hide)'!$A:$A,ROW(A15))</f>
        <v>0</v>
      </c>
      <c r="KR57" s="6">
        <f>SUMIFS('Time based aggregation (hide)'!$J:$J,'Time based aggregation (hide)'!$E:$E,5,'Time based aggregation (hide)'!$F:$F,1,'Time based aggregation (hide)'!$A:$A,ROW(A15))</f>
        <v>0</v>
      </c>
      <c r="KS57" s="6">
        <f>SUMIFS('Time based aggregation (hide)'!$J:$J,'Time based aggregation (hide)'!$E:$E,5,'Time based aggregation (hide)'!$F:$F,2,'Time based aggregation (hide)'!$A:$A,ROW(A15))</f>
        <v>0</v>
      </c>
      <c r="KT57" s="6">
        <f>SUMIFS('Time based aggregation (hide)'!$J:$J,'Time based aggregation (hide)'!$E:$E,5,'Time based aggregation (hide)'!$F:$F,3,'Time based aggregation (hide)'!$A:$A,ROW(A15))</f>
        <v>0</v>
      </c>
      <c r="KU57" s="6">
        <f>SUMIFS('Time based aggregation (hide)'!$J:$J,'Time based aggregation (hide)'!$E:$E,6,'Time based aggregation (hide)'!$F:$F,1,'Time based aggregation (hide)'!$A:$A,ROW(A15))</f>
        <v>0</v>
      </c>
      <c r="KV57" s="6">
        <f>SUMIFS('Time based aggregation (hide)'!$J:$J,'Time based aggregation (hide)'!$E:$E,6,'Time based aggregation (hide)'!$F:$F,2,'Time based aggregation (hide)'!$A:$A,ROW(A15))</f>
        <v>0</v>
      </c>
      <c r="KW57" s="6">
        <f>SUMIFS('Time based aggregation (hide)'!$J:$J,'Time based aggregation (hide)'!$E:$E,6,'Time based aggregation (hide)'!$F:$F,3,'Time based aggregation (hide)'!$A:$A,ROW(A15))</f>
        <v>0</v>
      </c>
      <c r="KX57" s="6">
        <f>SUMIFS('Time based aggregation (hide)'!$J:$J,'Time based aggregation (hide)'!$E:$E,7,'Time based aggregation (hide)'!$F:$F,1,'Time based aggregation (hide)'!$A:$A,ROW(A15))</f>
        <v>0</v>
      </c>
      <c r="KY57" s="6">
        <f>SUMIFS('Time based aggregation (hide)'!$J:$J,'Time based aggregation (hide)'!$E:$E,7,'Time based aggregation (hide)'!$F:$F,2,'Time based aggregation (hide)'!$A:$A,ROW(A15))</f>
        <v>0</v>
      </c>
      <c r="KZ57" s="6">
        <f>SUMIFS('Time based aggregation (hide)'!$J:$J,'Time based aggregation (hide)'!$E:$E,7,'Time based aggregation (hide)'!$F:$F,3,'Time based aggregation (hide)'!$A:$A,ROW(A15))</f>
        <v>0</v>
      </c>
      <c r="LA57" s="6">
        <f>SUMIFS('Time based aggregation (hide)'!$J:$J,'Time based aggregation (hide)'!$E:$E,8,'Time based aggregation (hide)'!$F:$F,1,'Time based aggregation (hide)'!$A:$A,ROW(A15))</f>
        <v>0</v>
      </c>
      <c r="LB57" s="6">
        <f>SUMIFS('Time based aggregation (hide)'!$J:$J,'Time based aggregation (hide)'!$E:$E,8,'Time based aggregation (hide)'!$F:$F,2,'Time based aggregation (hide)'!$A:$A,ROW(A15))</f>
        <v>0</v>
      </c>
      <c r="LC57" s="6">
        <f>SUMIFS('Time based aggregation (hide)'!$J:$J,'Time based aggregation (hide)'!$E:$E,8,'Time based aggregation (hide)'!$F:$F,3,'Time based aggregation (hide)'!$A:$A,ROW(A15))</f>
        <v>0</v>
      </c>
      <c r="LD57" s="6">
        <f>SUMIFS('Time based aggregation (hide)'!$J:$J,'Time based aggregation (hide)'!$E:$E,9,'Time based aggregation (hide)'!$F:$F,1,'Time based aggregation (hide)'!$A:$A,ROW(A15))</f>
        <v>0</v>
      </c>
      <c r="LE57" s="6">
        <f>SUMIFS('Time based aggregation (hide)'!$J:$J,'Time based aggregation (hide)'!$E:$E,9,'Time based aggregation (hide)'!$F:$F,2,'Time based aggregation (hide)'!$A:$A,ROW(A15))</f>
        <v>0</v>
      </c>
      <c r="LF57" s="6">
        <f>SUMIFS('Time based aggregation (hide)'!$J:$J,'Time based aggregation (hide)'!$E:$E,9,'Time based aggregation (hide)'!$F:$F,3,'Time based aggregation (hide)'!$A:$A,ROW(A15))</f>
        <v>0</v>
      </c>
      <c r="LG57" s="6">
        <f>SUMIFS('Time based aggregation (hide)'!$J:$J,'Time based aggregation (hide)'!$E:$E,10,'Time based aggregation (hide)'!$F:$F,1,'Time based aggregation (hide)'!$A:$A,ROW(A15))</f>
        <v>0</v>
      </c>
      <c r="LH57" s="6">
        <f>SUMIFS('Time based aggregation (hide)'!$J:$J,'Time based aggregation (hide)'!$E:$E,10,'Time based aggregation (hide)'!$F:$F,2,'Time based aggregation (hide)'!$A:$A,ROW(A15))</f>
        <v>0</v>
      </c>
      <c r="LI57" s="6">
        <f>SUMIFS('Time based aggregation (hide)'!$J:$J,'Time based aggregation (hide)'!$E:$E,10,'Time based aggregation (hide)'!$F:$F,3,'Time based aggregation (hide)'!$A:$A,ROW(A15))</f>
        <v>0</v>
      </c>
      <c r="LJ57" s="6">
        <f>SUMIFS('Time based aggregation (hide)'!$J:$J,'Time based aggregation (hide)'!$E:$E,11,'Time based aggregation (hide)'!$F:$F,1,'Time based aggregation (hide)'!$A:$A,ROW(A15))</f>
        <v>0</v>
      </c>
      <c r="LK57" s="6">
        <f>SUMIFS('Time based aggregation (hide)'!$J:$J,'Time based aggregation (hide)'!$E:$E,11,'Time based aggregation (hide)'!$F:$F,2,'Time based aggregation (hide)'!$A:$A,ROW(A15))</f>
        <v>0</v>
      </c>
      <c r="LL57" s="6">
        <f>SUMIFS('Time based aggregation (hide)'!$J:$J,'Time based aggregation (hide)'!$E:$E,11,'Time based aggregation (hide)'!$F:$F,3,'Time based aggregation (hide)'!$A:$A,ROW(A15))</f>
        <v>0</v>
      </c>
      <c r="LM57" s="6">
        <f>SUMIFS('Time based aggregation (hide)'!$J:$J,'Time based aggregation (hide)'!$E:$E,12,'Time based aggregation (hide)'!$F:$F,1,'Time based aggregation (hide)'!$A:$A,ROW(A15))</f>
        <v>0</v>
      </c>
      <c r="LN57" s="6">
        <f>SUMIFS('Time based aggregation (hide)'!$J:$J,'Time based aggregation (hide)'!$E:$E,12,'Time based aggregation (hide)'!$F:$F,2,'Time based aggregation (hide)'!$A:$A,ROW(A15))</f>
        <v>0</v>
      </c>
      <c r="LO57" s="6">
        <f>SUMIFS('Time based aggregation (hide)'!$J:$J,'Time based aggregation (hide)'!$E:$E,12,'Time based aggregation (hide)'!$F:$F,3,'Time based aggregation (hide)'!$A:$A,ROW(A15))</f>
        <v>0</v>
      </c>
      <c r="LP57" s="6">
        <f>SUMIFS('Time based aggregation (hide)'!$J:$J,'Time based aggregation (hide)'!$E:$E,13,'Time based aggregation (hide)'!$F:$F,1,'Time based aggregation (hide)'!$A:$A,ROW(A15))</f>
        <v>0</v>
      </c>
      <c r="LQ57" s="6">
        <f>SUMIFS('Time based aggregation (hide)'!$J:$J,'Time based aggregation (hide)'!$E:$E,13,'Time based aggregation (hide)'!$F:$F,2,'Time based aggregation (hide)'!$A:$A,ROW(A15))</f>
        <v>0</v>
      </c>
      <c r="LR57" s="6">
        <f>SUMIFS('Time based aggregation (hide)'!$J:$J,'Time based aggregation (hide)'!$E:$E,13,'Time based aggregation (hide)'!$F:$F,3,'Time based aggregation (hide)'!$A:$A,ROW(A15))</f>
        <v>0</v>
      </c>
      <c r="LS57" s="6">
        <f>SUMIFS('Time based aggregation (hide)'!$J:$J,'Time based aggregation (hide)'!$E:$E,14,'Time based aggregation (hide)'!$F:$F,1,'Time based aggregation (hide)'!$A:$A,ROW(A15))</f>
        <v>0</v>
      </c>
      <c r="LT57" s="6">
        <f>SUMIFS('Time based aggregation (hide)'!$J:$J,'Time based aggregation (hide)'!$E:$E,14,'Time based aggregation (hide)'!$F:$F,2,'Time based aggregation (hide)'!$A:$A,ROW(A15))</f>
        <v>0</v>
      </c>
      <c r="LU57" s="6">
        <f>SUMIFS('Time based aggregation (hide)'!$J:$J,'Time based aggregation (hide)'!$E:$E,14,'Time based aggregation (hide)'!$F:$F,3,'Time based aggregation (hide)'!$A:$A,ROW(A15))</f>
        <v>0</v>
      </c>
      <c r="LV57" s="6">
        <f>SUMIFS('Time based aggregation (hide)'!$J:$J,'Time based aggregation (hide)'!$E:$E,15,'Time based aggregation (hide)'!$F:$F,1,'Time based aggregation (hide)'!$A:$A,ROW(A15))</f>
        <v>0</v>
      </c>
      <c r="LW57" s="6">
        <f>SUMIFS('Time based aggregation (hide)'!$J:$J,'Time based aggregation (hide)'!$E:$E,15,'Time based aggregation (hide)'!$F:$F,2,'Time based aggregation (hide)'!$A:$A,ROW(A15))</f>
        <v>0</v>
      </c>
      <c r="LX57" s="6">
        <f>SUMIFS('Time based aggregation (hide)'!$J:$J,'Time based aggregation (hide)'!$E:$E,15,'Time based aggregation (hide)'!$F:$F,3,'Time based aggregation (hide)'!$A:$A,ROW(A15))</f>
        <v>0</v>
      </c>
      <c r="LY57" s="6">
        <f>SUMIFS('Time based aggregation (hide)'!$J:$J,'Time based aggregation (hide)'!$E:$E,16,'Time based aggregation (hide)'!$F:$F,1,'Time based aggregation (hide)'!$A:$A,ROW(A15))</f>
        <v>0</v>
      </c>
      <c r="LZ57" s="6">
        <f>SUMIFS('Time based aggregation (hide)'!$J:$J,'Time based aggregation (hide)'!$E:$E,16,'Time based aggregation (hide)'!$F:$F,2,'Time based aggregation (hide)'!$A:$A,ROW(A15))</f>
        <v>0</v>
      </c>
      <c r="MA57" s="6">
        <f>SUMIFS('Time based aggregation (hide)'!$J:$J,'Time based aggregation (hide)'!$E:$E,16,'Time based aggregation (hide)'!$F:$F,3,'Time based aggregation (hide)'!$A:$A,ROW(A15))</f>
        <v>0</v>
      </c>
      <c r="MB57" s="6">
        <f>SUMIFS('Time based aggregation (hide)'!$J:$J,'Time based aggregation (hide)'!$E:$E,17,'Time based aggregation (hide)'!$F:$F,1,'Time based aggregation (hide)'!$A:$A,ROW(A15))</f>
        <v>0</v>
      </c>
      <c r="MC57" s="6">
        <f>SUMIFS('Time based aggregation (hide)'!$J:$J,'Time based aggregation (hide)'!$E:$E,17,'Time based aggregation (hide)'!$F:$F,2,'Time based aggregation (hide)'!$A:$A,ROW(A15))</f>
        <v>0</v>
      </c>
      <c r="MD57" s="6">
        <f>SUMIFS('Time based aggregation (hide)'!$J:$J,'Time based aggregation (hide)'!$E:$E,17,'Time based aggregation (hide)'!$F:$F,3,'Time based aggregation (hide)'!$A:$A,ROW(A15))</f>
        <v>0</v>
      </c>
      <c r="ME57" s="6">
        <f>SUMIFS('Time based aggregation (hide)'!$J:$J,'Time based aggregation (hide)'!$E:$E,18,'Time based aggregation (hide)'!$F:$F,1,'Time based aggregation (hide)'!$A:$A,ROW(A15))</f>
        <v>0</v>
      </c>
      <c r="MF57" s="6">
        <f>SUMIFS('Time based aggregation (hide)'!$J:$J,'Time based aggregation (hide)'!$E:$E,18,'Time based aggregation (hide)'!$F:$F,2,'Time based aggregation (hide)'!$A:$A,ROW(A15))</f>
        <v>0</v>
      </c>
      <c r="MG57" s="6">
        <f>SUMIFS('Time based aggregation (hide)'!$J:$J,'Time based aggregation (hide)'!$E:$E,18,'Time based aggregation (hide)'!$F:$F,3,'Time based aggregation (hide)'!$A:$A,ROW(A15))</f>
        <v>0</v>
      </c>
      <c r="MH57" s="6">
        <f>SUMIFS('Time based aggregation (hide)'!$J:$J,'Time based aggregation (hide)'!$E:$E,19,'Time based aggregation (hide)'!$F:$F,1,'Time based aggregation (hide)'!$A:$A,ROW(A15))</f>
        <v>0</v>
      </c>
      <c r="MI57" s="6">
        <f>SUMIFS('Time based aggregation (hide)'!$J:$J,'Time based aggregation (hide)'!$E:$E,19,'Time based aggregation (hide)'!$F:$F,2,'Time based aggregation (hide)'!$A:$A,ROW(A15))</f>
        <v>0</v>
      </c>
      <c r="MJ57" s="6">
        <f>SUMIFS('Time based aggregation (hide)'!$J:$J,'Time based aggregation (hide)'!$E:$E,19,'Time based aggregation (hide)'!$F:$F,3,'Time based aggregation (hide)'!$A:$A,ROW(A15))</f>
        <v>0</v>
      </c>
      <c r="MK57" s="6">
        <f>SUMIFS('Time based aggregation (hide)'!$J:$J,'Time based aggregation (hide)'!$E:$E,20,'Time based aggregation (hide)'!$F:$F,1,'Time based aggregation (hide)'!$A:$A,ROW(A15))</f>
        <v>0</v>
      </c>
      <c r="ML57" s="6">
        <f>SUMIFS('Time based aggregation (hide)'!$J:$J,'Time based aggregation (hide)'!$E:$E,20,'Time based aggregation (hide)'!$F:$F,2,'Time based aggregation (hide)'!$A:$A,ROW(A15))</f>
        <v>0</v>
      </c>
      <c r="MM57" s="6">
        <f>SUMIFS('Time based aggregation (hide)'!$J:$J,'Time based aggregation (hide)'!$E:$E,20,'Time based aggregation (hide)'!$F:$F,3,'Time based aggregation (hide)'!$A:$A,ROW(A15))</f>
        <v>0</v>
      </c>
      <c r="MN57" s="7">
        <f t="shared" ca="1" si="36"/>
        <v>0</v>
      </c>
      <c r="MO57" s="7">
        <f t="shared" ca="1" si="32"/>
        <v>0</v>
      </c>
      <c r="MP57" s="7">
        <f t="shared" ca="1" si="32"/>
        <v>0</v>
      </c>
      <c r="MQ57" s="7">
        <f t="shared" ca="1" si="32"/>
        <v>0</v>
      </c>
      <c r="MR57" s="7">
        <f t="shared" ca="1" si="32"/>
        <v>0</v>
      </c>
    </row>
    <row r="58" spans="1:356" x14ac:dyDescent="0.25">
      <c r="A58">
        <f>1</f>
        <v>1</v>
      </c>
      <c r="B58" s="85">
        <f t="shared" si="37"/>
        <v>43846</v>
      </c>
      <c r="C58" s="85">
        <f t="shared" si="25"/>
        <v>43843</v>
      </c>
      <c r="D58">
        <f t="shared" ca="1" si="26"/>
        <v>1</v>
      </c>
      <c r="E58" s="85">
        <f t="shared" si="27"/>
        <v>43831</v>
      </c>
      <c r="F58">
        <f t="shared" si="33"/>
        <v>3</v>
      </c>
      <c r="H58">
        <f t="shared" si="34"/>
        <v>16</v>
      </c>
      <c r="I58" s="85">
        <f t="shared" si="38"/>
        <v>43934</v>
      </c>
      <c r="J58">
        <f t="shared" ca="1" si="28"/>
        <v>4</v>
      </c>
      <c r="K58">
        <f t="shared" ca="1" si="29"/>
        <v>1.5748031496062992E-2</v>
      </c>
      <c r="L58" s="114"/>
      <c r="M58" s="85"/>
      <c r="N58" s="85">
        <f t="shared" si="35"/>
        <v>43934</v>
      </c>
      <c r="O58" s="122">
        <f t="shared" ca="1" si="39"/>
        <v>0</v>
      </c>
      <c r="P58" s="122">
        <f t="shared" ca="1" si="39"/>
        <v>0</v>
      </c>
      <c r="Q58" s="122">
        <f t="shared" ca="1" si="39"/>
        <v>0</v>
      </c>
      <c r="R58" s="122">
        <f t="shared" ca="1" si="39"/>
        <v>1</v>
      </c>
      <c r="S58" s="122">
        <f t="shared" ca="1" si="39"/>
        <v>0</v>
      </c>
      <c r="T58" s="122">
        <f t="shared" ca="1" si="39"/>
        <v>0</v>
      </c>
      <c r="U58" s="122">
        <f t="shared" ca="1" si="39"/>
        <v>0</v>
      </c>
      <c r="V58" s="122">
        <f t="shared" ca="1" si="39"/>
        <v>0</v>
      </c>
      <c r="W58" s="122">
        <f t="shared" ca="1" si="39"/>
        <v>0</v>
      </c>
      <c r="X58" s="122">
        <f t="shared" ca="1" si="39"/>
        <v>0</v>
      </c>
      <c r="Y58" s="122">
        <f t="shared" ca="1" si="39"/>
        <v>0</v>
      </c>
      <c r="Z58" s="122">
        <f t="shared" ca="1" si="39"/>
        <v>0</v>
      </c>
      <c r="AA58" s="122"/>
      <c r="AB58" s="140">
        <f>INDEX('File 1'!Weekly_Adjusted,16,1)</f>
        <v>388.17143954725253</v>
      </c>
      <c r="AC58" s="140">
        <f>INDEX('File 1'!Weekly_Adjusted,16,2)</f>
        <v>0</v>
      </c>
      <c r="AD58" s="140">
        <f>INDEX('File 1'!Weekly_Adjusted,16,3)</f>
        <v>0</v>
      </c>
      <c r="AE58" s="141">
        <f>INDEX('File 2'!Weekly_Adjusted,16,1)</f>
        <v>0</v>
      </c>
      <c r="AF58" s="141">
        <f>INDEX('File 2'!Weekly_Adjusted,16,2)</f>
        <v>0</v>
      </c>
      <c r="AG58" s="141">
        <f>INDEX('File 2'!Weekly_Adjusted,16,3)</f>
        <v>0</v>
      </c>
      <c r="AH58" s="140">
        <f>INDEX('File 3'!Weekly_Adjusted,16,1)</f>
        <v>0</v>
      </c>
      <c r="AI58" s="140">
        <f>INDEX('File 3'!Weekly_Adjusted,16,2)</f>
        <v>0</v>
      </c>
      <c r="AJ58" s="140">
        <f>INDEX('File 3'!Weekly_Adjusted,16,3)</f>
        <v>0</v>
      </c>
      <c r="AK58" s="141">
        <f>INDEX('File 4'!Weekly_Adjusted,16,1)</f>
        <v>0</v>
      </c>
      <c r="AL58" s="141">
        <f>INDEX('File 4'!Weekly_Adjusted,16,2)</f>
        <v>0</v>
      </c>
      <c r="AM58" s="141">
        <f>INDEX('File 4'!Weekly_Adjusted,16,3)</f>
        <v>0</v>
      </c>
      <c r="AN58" s="140">
        <f>INDEX('File 5'!Weekly_Adjusted,16,1)</f>
        <v>0</v>
      </c>
      <c r="AO58" s="140">
        <f>INDEX('File 5'!Weekly_Adjusted,16,2)</f>
        <v>0</v>
      </c>
      <c r="AP58" s="140">
        <f>INDEX('File 5'!Weekly_Adjusted,16,3)</f>
        <v>0</v>
      </c>
      <c r="AQ58" s="141">
        <f>INDEX('File 6'!Weekly_Adjusted,16,1)</f>
        <v>0</v>
      </c>
      <c r="AR58" s="141">
        <f>INDEX('File 6'!Weekly_Adjusted,16,2)</f>
        <v>0</v>
      </c>
      <c r="AS58" s="141">
        <f>INDEX('File 6'!Weekly_Adjusted,16,3)</f>
        <v>0</v>
      </c>
      <c r="AT58" s="140">
        <f>INDEX('File 7'!Weekly_Adjusted,16,1)</f>
        <v>0</v>
      </c>
      <c r="AU58" s="140">
        <f>INDEX('File 7'!Weekly_Adjusted,16,2)</f>
        <v>0</v>
      </c>
      <c r="AV58" s="140">
        <f>INDEX('File 7'!Weekly_Adjusted,16,3)</f>
        <v>0</v>
      </c>
      <c r="AW58" s="141">
        <f>INDEX('File 8'!Weekly_Adjusted,16,1)</f>
        <v>0</v>
      </c>
      <c r="AX58" s="141">
        <f>INDEX('File 8'!Weekly_Adjusted,16,2)</f>
        <v>0</v>
      </c>
      <c r="AY58" s="141">
        <f>INDEX('File 8'!Weekly_Adjusted,16,3)</f>
        <v>0</v>
      </c>
      <c r="AZ58" s="140">
        <f>INDEX('File 9'!Weekly_Adjusted,16,1)</f>
        <v>0</v>
      </c>
      <c r="BA58" s="140">
        <f>INDEX('File 9'!Weekly_Adjusted,16,2)</f>
        <v>0</v>
      </c>
      <c r="BB58" s="140">
        <f>INDEX('File 9'!Weekly_Adjusted,16,3)</f>
        <v>0</v>
      </c>
      <c r="BC58" s="141">
        <f>INDEX('File 10'!Weekly_Adjusted,16,1)</f>
        <v>0</v>
      </c>
      <c r="BD58" s="141">
        <f>INDEX('File 10'!Weekly_Adjusted,16,2)</f>
        <v>0</v>
      </c>
      <c r="BE58" s="141">
        <f>INDEX('File 10'!Weekly_Adjusted,16,3)</f>
        <v>0</v>
      </c>
      <c r="BF58" s="140">
        <f>INDEX('File 11'!Weekly_Adjusted,16,1)</f>
        <v>0</v>
      </c>
      <c r="BG58" s="140">
        <f>INDEX('File 11'!Weekly_Adjusted,16,2)</f>
        <v>0</v>
      </c>
      <c r="BH58" s="140">
        <f>INDEX('File 11'!Weekly_Adjusted,16,3)</f>
        <v>0</v>
      </c>
      <c r="BI58" s="141">
        <f>INDEX('File 12'!Weekly_Adjusted,16,1)</f>
        <v>0</v>
      </c>
      <c r="BJ58" s="141">
        <f>INDEX('File 12'!Weekly_Adjusted,16,2)</f>
        <v>0</v>
      </c>
      <c r="BK58" s="141">
        <f>INDEX('File 12'!Weekly_Adjusted,16,3)</f>
        <v>0</v>
      </c>
      <c r="BL58" s="140">
        <f>INDEX('File 13'!Weekly_Adjusted,16,1)</f>
        <v>0</v>
      </c>
      <c r="BM58" s="140">
        <f>INDEX('File 13'!Weekly_Adjusted,16,2)</f>
        <v>0</v>
      </c>
      <c r="BN58" s="140">
        <f>INDEX('File 13'!Weekly_Adjusted,16,3)</f>
        <v>0</v>
      </c>
      <c r="BO58" s="141">
        <f>INDEX('File 14'!Weekly_Adjusted,16,1)</f>
        <v>0</v>
      </c>
      <c r="BP58" s="141">
        <f>INDEX('File 14'!Weekly_Adjusted,16,2)</f>
        <v>0</v>
      </c>
      <c r="BQ58" s="141">
        <f>INDEX('File 14'!Weekly_Adjusted,16,3)</f>
        <v>0</v>
      </c>
      <c r="BR58" s="140">
        <f>INDEX('File 15'!Weekly_Adjusted,16,1)</f>
        <v>0</v>
      </c>
      <c r="BS58" s="140">
        <f>INDEX('File 15'!Weekly_Adjusted,16,2)</f>
        <v>0</v>
      </c>
      <c r="BT58" s="140">
        <f>INDEX('File 15'!Weekly_Adjusted,16,3)</f>
        <v>0</v>
      </c>
      <c r="BU58" s="141">
        <f>INDEX('File 16'!Weekly_Adjusted,16,1)</f>
        <v>0</v>
      </c>
      <c r="BV58" s="141">
        <f>INDEX('File 16'!Weekly_Adjusted,16,2)</f>
        <v>0</v>
      </c>
      <c r="BW58" s="141">
        <f>INDEX('File 16'!Weekly_Adjusted,16,3)</f>
        <v>0</v>
      </c>
      <c r="BX58" s="140">
        <f>INDEX('File 17'!Weekly_Adjusted,16,1)</f>
        <v>0</v>
      </c>
      <c r="BY58" s="140">
        <f>INDEX('File 17'!Weekly_Adjusted,16,2)</f>
        <v>0</v>
      </c>
      <c r="BZ58" s="140">
        <f>INDEX('File 17'!Weekly_Adjusted,16,3)</f>
        <v>0</v>
      </c>
      <c r="CA58" s="141">
        <f>INDEX('File 18'!Weekly_Adjusted,16,1)</f>
        <v>0</v>
      </c>
      <c r="CB58" s="141">
        <f>INDEX('File 18'!Weekly_Adjusted,16,2)</f>
        <v>0</v>
      </c>
      <c r="CC58" s="141">
        <f>INDEX('File 18'!Weekly_Adjusted,16,3)</f>
        <v>0</v>
      </c>
      <c r="CD58" s="140">
        <f>INDEX('File 19'!Weekly_Adjusted,16,1)</f>
        <v>0</v>
      </c>
      <c r="CE58" s="140">
        <f>INDEX('File 19'!Weekly_Adjusted,16,2)</f>
        <v>0</v>
      </c>
      <c r="CF58" s="140">
        <f>INDEX('File 19'!Weekly_Adjusted,16,3)</f>
        <v>0</v>
      </c>
      <c r="CG58" s="141">
        <f>INDEX('File 20'!Weekly_Adjusted,16,1)</f>
        <v>0</v>
      </c>
      <c r="CH58" s="141">
        <f>INDEX('File 20'!Weekly_Adjusted,16,2)</f>
        <v>0</v>
      </c>
      <c r="CI58" s="141">
        <f>INDEX('File 20'!Weekly_Adjusted,16,3)</f>
        <v>0</v>
      </c>
      <c r="CJ58" s="6">
        <f ca="1">SUMIFS(INDEX(Demand_Activity_Weekly,ROW(A16),0),Demand_Activity_Weekly_Header,CJ$42)</f>
        <v>388.17143954725253</v>
      </c>
      <c r="CK58" s="6">
        <f ca="1">SUMIFS(INDEX(Demand_Activity_Weekly,ROW(B16),0),Demand_Activity_Weekly_Header,CK$42)</f>
        <v>0</v>
      </c>
      <c r="CL58" s="6">
        <f ca="1">SUMIFS(INDEX(Demand_Activity_Weekly,ROW(C16),0),Demand_Activity_Weekly_Header,CL$42)</f>
        <v>0</v>
      </c>
      <c r="CM58" s="6">
        <f ca="1">SUMIFS(INDEX(Demand_Activity_Weekly,ROW(D16),0),Demand_Activity_Weekly_Header,CM$42)</f>
        <v>0</v>
      </c>
      <c r="CN58" s="6">
        <f ca="1">SUMIFS(INDEX(Demand_Activity_Weekly,ROW(E16),0),Demand_Activity_Weekly_Header,CN$42)</f>
        <v>0</v>
      </c>
      <c r="CP58" s="142">
        <f ca="1">INDEX('File 1'!Weekly_Adjusted,16,10)</f>
        <v>19.935827322284016</v>
      </c>
      <c r="CQ58" s="142">
        <f>INDEX('File 1'!Weekly_Adjusted,16,11)</f>
        <v>0</v>
      </c>
      <c r="CR58" s="142">
        <f>INDEX('File 1'!Weekly_Adjusted,16,12)</f>
        <v>0</v>
      </c>
      <c r="CS58" s="143">
        <f>INDEX('File 2'!Weekly_Adjusted,16,10)</f>
        <v>0</v>
      </c>
      <c r="CT58" s="143">
        <f>INDEX('File 2'!Weekly_Adjusted,16,11)</f>
        <v>0</v>
      </c>
      <c r="CU58" s="143">
        <f>INDEX('File 2'!Weekly_Adjusted,16,12)</f>
        <v>0</v>
      </c>
      <c r="CV58" s="142">
        <f>INDEX('File 3'!Weekly_Adjusted,16,10)</f>
        <v>0</v>
      </c>
      <c r="CW58" s="142">
        <f>INDEX('File 3'!Weekly_Adjusted,16,11)</f>
        <v>0</v>
      </c>
      <c r="CX58" s="142">
        <f>INDEX('File 3'!Weekly_Adjusted,16,12)</f>
        <v>0</v>
      </c>
      <c r="CY58" s="143">
        <f>INDEX('File 4'!Weekly_Adjusted,16,10)</f>
        <v>0</v>
      </c>
      <c r="CZ58" s="143">
        <f>INDEX('File 4'!Weekly_Adjusted,16,11)</f>
        <v>0</v>
      </c>
      <c r="DA58" s="143">
        <f>INDEX('File 4'!Weekly_Adjusted,16,12)</f>
        <v>0</v>
      </c>
      <c r="DB58" s="142">
        <f>INDEX('File 5'!Weekly_Adjusted,16,10)</f>
        <v>0</v>
      </c>
      <c r="DC58" s="142">
        <f>INDEX('File 5'!Weekly_Adjusted,16,11)</f>
        <v>0</v>
      </c>
      <c r="DD58" s="142">
        <f>INDEX('File 5'!Weekly_Adjusted,16,12)</f>
        <v>0</v>
      </c>
      <c r="DE58" s="143">
        <f>INDEX('File 6'!Weekly_Adjusted,16,10)</f>
        <v>0</v>
      </c>
      <c r="DF58" s="143">
        <f>INDEX('File 6'!Weekly_Adjusted,16,11)</f>
        <v>0</v>
      </c>
      <c r="DG58" s="143">
        <f>INDEX('File 6'!Weekly_Adjusted,16,12)</f>
        <v>0</v>
      </c>
      <c r="DH58" s="142">
        <f>INDEX('File 7'!Weekly_Adjusted,16,10)</f>
        <v>0</v>
      </c>
      <c r="DI58" s="142">
        <f>INDEX('File 7'!Weekly_Adjusted,16,11)</f>
        <v>0</v>
      </c>
      <c r="DJ58" s="142">
        <f>INDEX('File 7'!Weekly_Adjusted,16,12)</f>
        <v>0</v>
      </c>
      <c r="DK58" s="143">
        <f>INDEX('File 8'!Weekly_Adjusted,16,10)</f>
        <v>0</v>
      </c>
      <c r="DL58" s="143">
        <f>INDEX('File 8'!Weekly_Adjusted,16,11)</f>
        <v>0</v>
      </c>
      <c r="DM58" s="143">
        <f>INDEX('File 8'!Weekly_Adjusted,16,12)</f>
        <v>0</v>
      </c>
      <c r="DN58" s="142">
        <f>INDEX('File 9'!Weekly_Adjusted,16,10)</f>
        <v>0</v>
      </c>
      <c r="DO58" s="142">
        <f>INDEX('File 9'!Weekly_Adjusted,16,11)</f>
        <v>0</v>
      </c>
      <c r="DP58" s="142">
        <f>INDEX('File 9'!Weekly_Adjusted,16,12)</f>
        <v>0</v>
      </c>
      <c r="DQ58" s="143">
        <f>INDEX('File 10'!Weekly_Adjusted,16,10)</f>
        <v>0</v>
      </c>
      <c r="DR58" s="143">
        <f>INDEX('File 10'!Weekly_Adjusted,16,11)</f>
        <v>0</v>
      </c>
      <c r="DS58" s="143">
        <f>INDEX('File 10'!Weekly_Adjusted,16,12)</f>
        <v>0</v>
      </c>
      <c r="DT58" s="142">
        <f>INDEX('File 11'!Weekly_Adjusted,16,10)</f>
        <v>0</v>
      </c>
      <c r="DU58" s="142">
        <f>INDEX('File 11'!Weekly_Adjusted,16,11)</f>
        <v>0</v>
      </c>
      <c r="DV58" s="142">
        <f>INDEX('File 11'!Weekly_Adjusted,16,12)</f>
        <v>0</v>
      </c>
      <c r="DW58" s="143">
        <f>INDEX('File 12'!Weekly_Adjusted,16,10)</f>
        <v>0</v>
      </c>
      <c r="DX58" s="143">
        <f>INDEX('File 12'!Weekly_Adjusted,16,11)</f>
        <v>0</v>
      </c>
      <c r="DY58" s="143">
        <f>INDEX('File 12'!Weekly_Adjusted,16,12)</f>
        <v>0</v>
      </c>
      <c r="DZ58" s="142">
        <f>INDEX('File 13'!Weekly_Adjusted,16,10)</f>
        <v>0</v>
      </c>
      <c r="EA58" s="142">
        <f>INDEX('File 13'!Weekly_Adjusted,16,11)</f>
        <v>0</v>
      </c>
      <c r="EB58" s="142">
        <f>INDEX('File 13'!Weekly_Adjusted,16,12)</f>
        <v>0</v>
      </c>
      <c r="EC58" s="143">
        <f>INDEX('File 14'!Weekly_Adjusted,16,10)</f>
        <v>0</v>
      </c>
      <c r="ED58" s="143">
        <f>INDEX('File 14'!Weekly_Adjusted,16,11)</f>
        <v>0</v>
      </c>
      <c r="EE58" s="143">
        <f>INDEX('File 14'!Weekly_Adjusted,16,12)</f>
        <v>0</v>
      </c>
      <c r="EF58" s="142">
        <f>INDEX('File 15'!Weekly_Adjusted,16,10)</f>
        <v>0</v>
      </c>
      <c r="EG58" s="142">
        <f>INDEX('File 15'!Weekly_Adjusted,16,11)</f>
        <v>0</v>
      </c>
      <c r="EH58" s="142">
        <f>INDEX('File 15'!Weekly_Adjusted,16,12)</f>
        <v>0</v>
      </c>
      <c r="EI58" s="143">
        <f>INDEX('File 16'!Weekly_Adjusted,16,10)</f>
        <v>0</v>
      </c>
      <c r="EJ58" s="143">
        <f>INDEX('File 16'!Weekly_Adjusted,16,11)</f>
        <v>0</v>
      </c>
      <c r="EK58" s="143">
        <f>INDEX('File 16'!Weekly_Adjusted,16,12)</f>
        <v>0</v>
      </c>
      <c r="EL58" s="142">
        <f>INDEX('File 17'!Weekly_Adjusted,16,10)</f>
        <v>0</v>
      </c>
      <c r="EM58" s="142">
        <f>INDEX('File 17'!Weekly_Adjusted,16,11)</f>
        <v>0</v>
      </c>
      <c r="EN58" s="142">
        <f>INDEX('File 17'!Weekly_Adjusted,16,12)</f>
        <v>0</v>
      </c>
      <c r="EO58" s="143">
        <f>INDEX('File 18'!Weekly_Adjusted,16,10)</f>
        <v>0</v>
      </c>
      <c r="EP58" s="143">
        <f>INDEX('File 18'!Weekly_Adjusted,16,11)</f>
        <v>0</v>
      </c>
      <c r="EQ58" s="143">
        <f>INDEX('File 18'!Weekly_Adjusted,16,12)</f>
        <v>0</v>
      </c>
      <c r="ER58" s="142">
        <f>INDEX('File 19'!Weekly_Adjusted,16,10)</f>
        <v>0</v>
      </c>
      <c r="ES58" s="142">
        <f>INDEX('File 19'!Weekly_Adjusted,16,11)</f>
        <v>0</v>
      </c>
      <c r="ET58" s="142">
        <f>INDEX('File 19'!Weekly_Adjusted,16,12)</f>
        <v>0</v>
      </c>
      <c r="EU58" s="143">
        <f>INDEX('File 20'!Weekly_Adjusted,16,10)</f>
        <v>0</v>
      </c>
      <c r="EV58" s="143">
        <f>INDEX('File 20'!Weekly_Adjusted,16,11)</f>
        <v>0</v>
      </c>
      <c r="EW58" s="143">
        <f>INDEX('File 20'!Weekly_Adjusted,16,12)</f>
        <v>0</v>
      </c>
      <c r="EX58" s="6">
        <f ca="1">SUMIFS(INDEX(Capacity_Activity_Weekly,ROW(A16),0),Demand_Activity_Weekly_Header,CJ$42)</f>
        <v>19.935827322284016</v>
      </c>
      <c r="EY58" s="6">
        <f ca="1">SUMIFS(INDEX(Capacity_Activity_Weekly,ROW(B16),0),Demand_Activity_Weekly_Header,CK$42)</f>
        <v>0</v>
      </c>
      <c r="EZ58" s="6">
        <f ca="1">SUMIFS(INDEX(Capacity_Activity_Weekly,ROW(C16),0),Demand_Activity_Weekly_Header,CL$42)</f>
        <v>0</v>
      </c>
      <c r="FA58" s="6">
        <f ca="1">SUMIFS(INDEX(Capacity_Activity_Weekly,ROW(D16),0),Demand_Activity_Weekly_Header,CM$42)</f>
        <v>0</v>
      </c>
      <c r="FB58" s="6">
        <f ca="1">SUMIFS(INDEX(Capacity_Activity_Weekly,ROW(E16),0),Demand_Activity_Weekly_Header,CN$42)</f>
        <v>0</v>
      </c>
      <c r="FD58" s="7">
        <f>'File 1'!$Q$54*'Time based aggregation (hide)'!$Q20</f>
        <v>0</v>
      </c>
      <c r="FE58" s="7">
        <f>'File 1'!$R$54*'Time based aggregation (hide)'!$R20</f>
        <v>0</v>
      </c>
      <c r="FF58" s="7">
        <f>'File 1'!$S$54*'Time based aggregation (hide)'!$S20</f>
        <v>0</v>
      </c>
      <c r="FG58" s="7">
        <f>'File 2'!$Q$54*'Time based aggregation (hide)'!$T20</f>
        <v>0</v>
      </c>
      <c r="FH58" s="7">
        <f>'File 2'!$R$54*'Time based aggregation (hide)'!$U20</f>
        <v>0</v>
      </c>
      <c r="FI58" s="7">
        <f>'File 2'!$S$54*'Time based aggregation (hide)'!$V20</f>
        <v>0</v>
      </c>
      <c r="FJ58" s="7">
        <f>'File 3'!$Q$54*'Time based aggregation (hide)'!$W20</f>
        <v>0</v>
      </c>
      <c r="FK58" s="7">
        <f>'File 3'!$R$54*'Time based aggregation (hide)'!$X20</f>
        <v>0</v>
      </c>
      <c r="FL58" s="7">
        <f>'File 3'!$S$54*'Time based aggregation (hide)'!$Y20</f>
        <v>0</v>
      </c>
      <c r="FM58" s="7">
        <f>'File 4'!$Q$54*'Time based aggregation (hide)'!$Z20</f>
        <v>0</v>
      </c>
      <c r="FN58" s="7">
        <f>'File 4'!$R$54*'Time based aggregation (hide)'!$AA20</f>
        <v>0</v>
      </c>
      <c r="FO58" s="7">
        <f>'File 4'!$S$54*'Time based aggregation (hide)'!$AB20</f>
        <v>0</v>
      </c>
      <c r="FP58" s="7">
        <f>'File 5'!$Q$54*'Time based aggregation (hide)'!$AC20</f>
        <v>0</v>
      </c>
      <c r="FQ58" s="7">
        <f>'File 5'!$R$54*'Time based aggregation (hide)'!$AD20</f>
        <v>0</v>
      </c>
      <c r="FR58" s="7">
        <f>'File 5'!$S$54*'Time based aggregation (hide)'!$AE20</f>
        <v>0</v>
      </c>
      <c r="FS58" s="7">
        <f>'File 6'!$Q$54*'Time based aggregation (hide)'!$AF20</f>
        <v>0</v>
      </c>
      <c r="FT58" s="7">
        <f>'File 6'!$R$54*'Time based aggregation (hide)'!$AG20</f>
        <v>0</v>
      </c>
      <c r="FU58" s="7">
        <f>'File 6'!$S$54*'Time based aggregation (hide)'!$AH20</f>
        <v>0</v>
      </c>
      <c r="FV58" s="7">
        <f>'File 7'!$Q$54*'Time based aggregation (hide)'!$AI20</f>
        <v>0</v>
      </c>
      <c r="FW58" s="7">
        <f>'File 7'!$R$54*'Time based aggregation (hide)'!$AJ20</f>
        <v>0</v>
      </c>
      <c r="FX58" s="7">
        <f>'File 7'!$S$54*'Time based aggregation (hide)'!$AK20</f>
        <v>0</v>
      </c>
      <c r="FY58" s="7">
        <f>'File 8'!$Q$54*'Time based aggregation (hide)'!$AL20</f>
        <v>0</v>
      </c>
      <c r="FZ58" s="7">
        <f>'File 8'!$R$54*'Time based aggregation (hide)'!$AM20</f>
        <v>0</v>
      </c>
      <c r="GA58" s="7">
        <f>'File 8'!$S$54*'Time based aggregation (hide)'!$AN20</f>
        <v>0</v>
      </c>
      <c r="GB58" s="7">
        <f>'File 9'!$Q$54*'Time based aggregation (hide)'!$AO20</f>
        <v>0</v>
      </c>
      <c r="GC58" s="7">
        <f>'File 9'!$R$54*'Time based aggregation (hide)'!$AP20</f>
        <v>0</v>
      </c>
      <c r="GD58" s="7">
        <f>'File 9'!$S$54*'Time based aggregation (hide)'!$AQ20</f>
        <v>0</v>
      </c>
      <c r="GE58" s="7">
        <f>'File 10'!$Q$54*'Time based aggregation (hide)'!$AR20</f>
        <v>0</v>
      </c>
      <c r="GF58" s="7">
        <f>'File 10'!$R$54*'Time based aggregation (hide)'!$AS20</f>
        <v>0</v>
      </c>
      <c r="GG58" s="7">
        <f>'File 10'!$S$54*'Time based aggregation (hide)'!$AT20</f>
        <v>0</v>
      </c>
      <c r="GH58" s="7">
        <f>'File 11'!$Q$54*'Time based aggregation (hide)'!$AU20</f>
        <v>0</v>
      </c>
      <c r="GI58" s="7">
        <f>'File 11'!$R$54*'Time based aggregation (hide)'!$AV20</f>
        <v>0</v>
      </c>
      <c r="GJ58" s="7">
        <f>'File 11'!$S$54*'Time based aggregation (hide)'!$AW20</f>
        <v>0</v>
      </c>
      <c r="GK58" s="7">
        <f>'File 12'!$Q$54*'Time based aggregation (hide)'!$AX20</f>
        <v>0</v>
      </c>
      <c r="GL58" s="7">
        <f>'File 12'!$R$54*'Time based aggregation (hide)'!$AY20</f>
        <v>0</v>
      </c>
      <c r="GM58" s="7">
        <f>'File 12'!$S$54*'Time based aggregation (hide)'!$AZ20</f>
        <v>0</v>
      </c>
      <c r="GN58" s="7">
        <f>'File 13'!$Q$54*'Time based aggregation (hide)'!$BA20</f>
        <v>0</v>
      </c>
      <c r="GO58" s="7">
        <f>'File 13'!$R$54*'Time based aggregation (hide)'!$BB20</f>
        <v>0</v>
      </c>
      <c r="GP58" s="7">
        <f>'File 13'!$S$54*'Time based aggregation (hide)'!$BC20</f>
        <v>0</v>
      </c>
      <c r="GQ58" s="7">
        <f>'File 14'!$Q$54*'Time based aggregation (hide)'!$BD20</f>
        <v>0</v>
      </c>
      <c r="GR58" s="7">
        <f>'File 14'!$R$54*'Time based aggregation (hide)'!$BE20</f>
        <v>0</v>
      </c>
      <c r="GS58" s="7">
        <f>'File 14'!$S$54*'Time based aggregation (hide)'!$BF20</f>
        <v>0</v>
      </c>
      <c r="GT58" s="7">
        <f>'File 15'!$Q$54*'Time based aggregation (hide)'!$BG20</f>
        <v>0</v>
      </c>
      <c r="GU58" s="7">
        <f>'File 15'!$R$54*'Time based aggregation (hide)'!$BH20</f>
        <v>0</v>
      </c>
      <c r="GV58" s="7">
        <f>'File 15'!$S$54*'Time based aggregation (hide)'!$BI20</f>
        <v>0</v>
      </c>
      <c r="GW58" s="7">
        <f>'File 16'!$Q$54*'Time based aggregation (hide)'!$BJ20</f>
        <v>0</v>
      </c>
      <c r="GX58" s="7">
        <f>'File 16'!$R$54*'Time based aggregation (hide)'!$BK20</f>
        <v>0</v>
      </c>
      <c r="GY58" s="7">
        <f>'File 16'!$S$54*'Time based aggregation (hide)'!$BL20</f>
        <v>0</v>
      </c>
      <c r="GZ58" s="7">
        <f>'File 17'!$Q$54*'Time based aggregation (hide)'!$BM20</f>
        <v>0</v>
      </c>
      <c r="HA58" s="7">
        <f>'File 17'!$R$54*'Time based aggregation (hide)'!$BN20</f>
        <v>0</v>
      </c>
      <c r="HB58" s="7">
        <f>'File 17'!$S$54*'Time based aggregation (hide)'!$BO20</f>
        <v>0</v>
      </c>
      <c r="HC58" s="7">
        <f>'File 18'!$Q$54*'Time based aggregation (hide)'!$BP20</f>
        <v>0</v>
      </c>
      <c r="HD58" s="7">
        <f>'File 18'!$R$54*'Time based aggregation (hide)'!$BQ20</f>
        <v>0</v>
      </c>
      <c r="HE58" s="7">
        <f>'File 18'!$S$54*'Time based aggregation (hide)'!$BR20</f>
        <v>0</v>
      </c>
      <c r="HF58" s="7">
        <f>'File 19'!$Q$54*'Time based aggregation (hide)'!$BS20</f>
        <v>0</v>
      </c>
      <c r="HG58" s="7">
        <f>'File 19'!$R$54*'Time based aggregation (hide)'!$BT20</f>
        <v>0</v>
      </c>
      <c r="HH58" s="7">
        <f>'File 19'!$S$54*'Time based aggregation (hide)'!$BU20</f>
        <v>0</v>
      </c>
      <c r="HI58" s="7">
        <f>'File 20'!$Q$54*'Time based aggregation (hide)'!$BV20</f>
        <v>0</v>
      </c>
      <c r="HJ58" s="7">
        <f>'File 20'!$R$54*'Time based aggregation (hide)'!$BW20</f>
        <v>0</v>
      </c>
      <c r="HK58" s="7">
        <f>'File 20'!$S$54*'Time based aggregation (hide)'!$BX20</f>
        <v>0</v>
      </c>
      <c r="HL58" s="7">
        <f t="shared" ca="1" si="40"/>
        <v>0</v>
      </c>
      <c r="HM58" s="7">
        <f t="shared" ca="1" si="40"/>
        <v>0</v>
      </c>
      <c r="HN58" s="7">
        <f t="shared" ca="1" si="40"/>
        <v>0</v>
      </c>
      <c r="HO58" s="7">
        <f t="shared" ca="1" si="40"/>
        <v>0</v>
      </c>
      <c r="HP58" s="7">
        <f t="shared" ca="1" si="40"/>
        <v>0</v>
      </c>
      <c r="HR58" s="142">
        <f ca="1">INDEX('File 1'!Weekly_Adjusted,16,16)</f>
        <v>17.142271901327018</v>
      </c>
      <c r="HS58" s="142">
        <f>INDEX('File 1'!Weekly_Adjusted,16,17)</f>
        <v>0</v>
      </c>
      <c r="HT58" s="142">
        <f>INDEX('File 1'!Weekly_Adjusted,16,18)</f>
        <v>0</v>
      </c>
      <c r="HU58" s="143">
        <f>INDEX('File 2'!Weekly_Adjusted,16,16)</f>
        <v>0</v>
      </c>
      <c r="HV58" s="143">
        <f>INDEX('File 2'!Weekly_Adjusted,16,17)</f>
        <v>0</v>
      </c>
      <c r="HW58" s="143">
        <f>INDEX('File 2'!Weekly_Adjusted,16,18)</f>
        <v>0</v>
      </c>
      <c r="HX58" s="142">
        <f>INDEX('File 3'!Weekly_Adjusted,16,16)</f>
        <v>0</v>
      </c>
      <c r="HY58" s="142">
        <f>INDEX('File 3'!Weekly_Adjusted,16,17)</f>
        <v>0</v>
      </c>
      <c r="HZ58" s="142">
        <f>INDEX('File 3'!Weekly_Adjusted,16,18)</f>
        <v>0</v>
      </c>
      <c r="IA58" s="143">
        <f>INDEX('File 4'!Weekly_Adjusted,16,16)</f>
        <v>0</v>
      </c>
      <c r="IB58" s="143">
        <f>INDEX('File 4'!Weekly_Adjusted,16,17)</f>
        <v>0</v>
      </c>
      <c r="IC58" s="143">
        <f>INDEX('File 4'!Weekly_Adjusted,16,18)</f>
        <v>0</v>
      </c>
      <c r="ID58" s="142">
        <f>INDEX('File 5'!Weekly_Adjusted,16,16)</f>
        <v>0</v>
      </c>
      <c r="IE58" s="142">
        <f>INDEX('File 5'!Weekly_Adjusted,16,17)</f>
        <v>0</v>
      </c>
      <c r="IF58" s="142">
        <f>INDEX('File 5'!Weekly_Adjusted,16,18)</f>
        <v>0</v>
      </c>
      <c r="IG58" s="143">
        <f>INDEX('File 6'!Weekly_Adjusted,16,16)</f>
        <v>0</v>
      </c>
      <c r="IH58" s="143">
        <f>INDEX('File 6'!Weekly_Adjusted,16,17)</f>
        <v>0</v>
      </c>
      <c r="II58" s="143">
        <f>INDEX('File 6'!Weekly_Adjusted,16,18)</f>
        <v>0</v>
      </c>
      <c r="IJ58" s="142">
        <f>INDEX('File 7'!Weekly_Adjusted,16,16)</f>
        <v>0</v>
      </c>
      <c r="IK58" s="142">
        <f>INDEX('File 7'!Weekly_Adjusted,16,17)</f>
        <v>0</v>
      </c>
      <c r="IL58" s="142">
        <f>INDEX('File 7'!Weekly_Adjusted,16,18)</f>
        <v>0</v>
      </c>
      <c r="IM58" s="143">
        <f>INDEX('File 8'!Weekly_Adjusted,16,16)</f>
        <v>0</v>
      </c>
      <c r="IN58" s="143">
        <f>INDEX('File 8'!Weekly_Adjusted,16,17)</f>
        <v>0</v>
      </c>
      <c r="IO58" s="143">
        <f>INDEX('File 8'!Weekly_Adjusted,16,18)</f>
        <v>0</v>
      </c>
      <c r="IP58" s="142">
        <f>INDEX('File 9'!Weekly_Adjusted,16,16)</f>
        <v>0</v>
      </c>
      <c r="IQ58" s="142">
        <f>INDEX('File 9'!Weekly_Adjusted,16,17)</f>
        <v>0</v>
      </c>
      <c r="IR58" s="142">
        <f>INDEX('File 9'!Weekly_Adjusted,16,18)</f>
        <v>0</v>
      </c>
      <c r="IS58" s="143">
        <f>INDEX('File 10'!Weekly_Adjusted,16,16)</f>
        <v>0</v>
      </c>
      <c r="IT58" s="143">
        <f>INDEX('File 10'!Weekly_Adjusted,16,17)</f>
        <v>0</v>
      </c>
      <c r="IU58" s="143">
        <f>INDEX('File 10'!Weekly_Adjusted,16,18)</f>
        <v>0</v>
      </c>
      <c r="IV58" s="142">
        <f>INDEX('File 11'!Weekly_Adjusted,16,16)</f>
        <v>0</v>
      </c>
      <c r="IW58" s="142">
        <f>INDEX('File 11'!Weekly_Adjusted,16,17)</f>
        <v>0</v>
      </c>
      <c r="IX58" s="142">
        <f>INDEX('File 11'!Weekly_Adjusted,16,18)</f>
        <v>0</v>
      </c>
      <c r="IY58" s="143">
        <f>INDEX('File 12'!Weekly_Adjusted,16,16)</f>
        <v>0</v>
      </c>
      <c r="IZ58" s="143">
        <f>INDEX('File 12'!Weekly_Adjusted,16,17)</f>
        <v>0</v>
      </c>
      <c r="JA58" s="143">
        <f>INDEX('File 12'!Weekly_Adjusted,16,18)</f>
        <v>0</v>
      </c>
      <c r="JB58" s="142">
        <f>INDEX('File 13'!Weekly_Adjusted,16,16)</f>
        <v>0</v>
      </c>
      <c r="JC58" s="142">
        <f>INDEX('File 13'!Weekly_Adjusted,16,17)</f>
        <v>0</v>
      </c>
      <c r="JD58" s="142">
        <f>INDEX('File 13'!Weekly_Adjusted,16,18)</f>
        <v>0</v>
      </c>
      <c r="JE58" s="143">
        <f>INDEX('File 14'!Weekly_Adjusted,16,16)</f>
        <v>0</v>
      </c>
      <c r="JF58" s="143">
        <f>INDEX('File 14'!Weekly_Adjusted,16,17)</f>
        <v>0</v>
      </c>
      <c r="JG58" s="143">
        <f>INDEX('File 14'!Weekly_Adjusted,16,18)</f>
        <v>0</v>
      </c>
      <c r="JH58" s="142">
        <f>INDEX('File 15'!Weekly_Adjusted,16,16)</f>
        <v>0</v>
      </c>
      <c r="JI58" s="142">
        <f>INDEX('File 15'!Weekly_Adjusted,16,17)</f>
        <v>0</v>
      </c>
      <c r="JJ58" s="142">
        <f>INDEX('File 15'!Weekly_Adjusted,16,18)</f>
        <v>0</v>
      </c>
      <c r="JK58" s="143">
        <f>INDEX('File 16'!Weekly_Adjusted,16,16)</f>
        <v>0</v>
      </c>
      <c r="JL58" s="143">
        <f>INDEX('File 16'!Weekly_Adjusted,16,17)</f>
        <v>0</v>
      </c>
      <c r="JM58" s="143">
        <f>INDEX('File 16'!Weekly_Adjusted,16,18)</f>
        <v>0</v>
      </c>
      <c r="JN58" s="142">
        <f>INDEX('File 17'!Weekly_Adjusted,16,16)</f>
        <v>0</v>
      </c>
      <c r="JO58" s="142">
        <f>INDEX('File 17'!Weekly_Adjusted,16,17)</f>
        <v>0</v>
      </c>
      <c r="JP58" s="142">
        <f>INDEX('File 17'!Weekly_Adjusted,16,18)</f>
        <v>0</v>
      </c>
      <c r="JQ58" s="143">
        <f>INDEX('File 18'!Weekly_Adjusted,16,16)</f>
        <v>0</v>
      </c>
      <c r="JR58" s="143">
        <f>INDEX('File 18'!Weekly_Adjusted,16,17)</f>
        <v>0</v>
      </c>
      <c r="JS58" s="143">
        <f>INDEX('File 18'!Weekly_Adjusted,16,18)</f>
        <v>0</v>
      </c>
      <c r="JT58" s="142">
        <f>INDEX('File 19'!Weekly_Adjusted,16,16)</f>
        <v>0</v>
      </c>
      <c r="JU58" s="142">
        <f>INDEX('File 19'!Weekly_Adjusted,16,17)</f>
        <v>0</v>
      </c>
      <c r="JV58" s="142">
        <f>INDEX('File 19'!Weekly_Adjusted,16,18)</f>
        <v>0</v>
      </c>
      <c r="JW58" s="143">
        <f>INDEX('File 20'!Weekly_Adjusted,16,16)</f>
        <v>0</v>
      </c>
      <c r="JX58" s="143">
        <f>INDEX('File 20'!Weekly_Adjusted,16,17)</f>
        <v>0</v>
      </c>
      <c r="JY58" s="143">
        <f>INDEX('File 20'!Weekly_Adjusted,16,18)</f>
        <v>0</v>
      </c>
      <c r="JZ58" s="6">
        <f ca="1">SUMIFS(INDEX(CapacityCore_Activity_Weekly,ROW(EC16),0),Demand_Activity_Weekly_Header,HL$42)</f>
        <v>17.142271901327018</v>
      </c>
      <c r="KA58" s="6">
        <f ca="1">SUMIFS(INDEX(CapacityCore_Activity_Weekly,ROW(ED16),0),Demand_Activity_Weekly_Header,HM$42)</f>
        <v>0</v>
      </c>
      <c r="KB58" s="6">
        <f ca="1">SUMIFS(INDEX(CapacityCore_Activity_Weekly,ROW(EE16),0),Demand_Activity_Weekly_Header,HN$42)</f>
        <v>0</v>
      </c>
      <c r="KC58" s="6">
        <f ca="1">SUMIFS(INDEX(CapacityCore_Activity_Weekly,ROW(EF16),0),Demand_Activity_Weekly_Header,HO$42)</f>
        <v>0</v>
      </c>
      <c r="KD58" s="6">
        <f ca="1">SUMIFS(INDEX(CapacityCore_Activity_Weekly,ROW(EG16),0),Demand_Activity_Weekly_Header,HP$42)</f>
        <v>0</v>
      </c>
      <c r="KF58" s="6">
        <f>SUMIFS('Time based aggregation (hide)'!$J:$J,'Time based aggregation (hide)'!$E:$E,1,'Time based aggregation (hide)'!$F:$F,1,'Time based aggregation (hide)'!$A:$A,ROW(A16))</f>
        <v>0</v>
      </c>
      <c r="KG58" s="6">
        <f>SUMIFS('Time based aggregation (hide)'!$J:$J,'Time based aggregation (hide)'!$E:$E,1,'Time based aggregation (hide)'!$F:$F,2,'Time based aggregation (hide)'!$A:$A,ROW(A16))</f>
        <v>0</v>
      </c>
      <c r="KH58" s="6">
        <f>SUMIFS('Time based aggregation (hide)'!$J:$J,'Time based aggregation (hide)'!$E:$E,1,'Time based aggregation (hide)'!$F:$F,3,'Time based aggregation (hide)'!$A:$A,ROW(A16))</f>
        <v>0</v>
      </c>
      <c r="KI58" s="6">
        <f>SUMIFS('Time based aggregation (hide)'!$J:$J,'Time based aggregation (hide)'!$E:$E,2,'Time based aggregation (hide)'!$F:$F,1,'Time based aggregation (hide)'!$A:$A,ROW(A16))</f>
        <v>0</v>
      </c>
      <c r="KJ58" s="6">
        <f>SUMIFS('Time based aggregation (hide)'!$J:$J,'Time based aggregation (hide)'!$E:$E,2,'Time based aggregation (hide)'!$F:$F,2,'Time based aggregation (hide)'!$A:$A,ROW(A16))</f>
        <v>0</v>
      </c>
      <c r="KK58" s="6">
        <f>SUMIFS('Time based aggregation (hide)'!$J:$J,'Time based aggregation (hide)'!$E:$E,2,'Time based aggregation (hide)'!$F:$F,3,'Time based aggregation (hide)'!$A:$A,ROW(A16))</f>
        <v>0</v>
      </c>
      <c r="KL58" s="6">
        <f>SUMIFS('Time based aggregation (hide)'!$J:$J,'Time based aggregation (hide)'!$E:$E,3,'Time based aggregation (hide)'!$F:$F,1,'Time based aggregation (hide)'!$A:$A,ROW(A16))</f>
        <v>0</v>
      </c>
      <c r="KM58" s="6">
        <f>SUMIFS('Time based aggregation (hide)'!$J:$J,'Time based aggregation (hide)'!$E:$E,3,'Time based aggregation (hide)'!$F:$F,2,'Time based aggregation (hide)'!$A:$A,ROW(A16))</f>
        <v>0</v>
      </c>
      <c r="KN58" s="6">
        <f>SUMIFS('Time based aggregation (hide)'!$J:$J,'Time based aggregation (hide)'!$E:$E,3,'Time based aggregation (hide)'!$F:$F,3,'Time based aggregation (hide)'!$A:$A,ROW(A16))</f>
        <v>0</v>
      </c>
      <c r="KO58" s="6">
        <f>SUMIFS('Time based aggregation (hide)'!$J:$J,'Time based aggregation (hide)'!$E:$E,4,'Time based aggregation (hide)'!$F:$F,1,'Time based aggregation (hide)'!$A:$A,ROW(A16))</f>
        <v>0</v>
      </c>
      <c r="KP58" s="6">
        <f>SUMIFS('Time based aggregation (hide)'!$J:$J,'Time based aggregation (hide)'!$E:$E,4,'Time based aggregation (hide)'!$F:$F,2,'Time based aggregation (hide)'!$A:$A,ROW(A16))</f>
        <v>0</v>
      </c>
      <c r="KQ58" s="6">
        <f>SUMIFS('Time based aggregation (hide)'!$J:$J,'Time based aggregation (hide)'!$E:$E,4,'Time based aggregation (hide)'!$F:$F,3,'Time based aggregation (hide)'!$A:$A,ROW(A16))</f>
        <v>0</v>
      </c>
      <c r="KR58" s="6">
        <f>SUMIFS('Time based aggregation (hide)'!$J:$J,'Time based aggregation (hide)'!$E:$E,5,'Time based aggregation (hide)'!$F:$F,1,'Time based aggregation (hide)'!$A:$A,ROW(A16))</f>
        <v>0</v>
      </c>
      <c r="KS58" s="6">
        <f>SUMIFS('Time based aggregation (hide)'!$J:$J,'Time based aggregation (hide)'!$E:$E,5,'Time based aggregation (hide)'!$F:$F,2,'Time based aggregation (hide)'!$A:$A,ROW(A16))</f>
        <v>0</v>
      </c>
      <c r="KT58" s="6">
        <f>SUMIFS('Time based aggregation (hide)'!$J:$J,'Time based aggregation (hide)'!$E:$E,5,'Time based aggregation (hide)'!$F:$F,3,'Time based aggregation (hide)'!$A:$A,ROW(A16))</f>
        <v>0</v>
      </c>
      <c r="KU58" s="6">
        <f>SUMIFS('Time based aggregation (hide)'!$J:$J,'Time based aggregation (hide)'!$E:$E,6,'Time based aggregation (hide)'!$F:$F,1,'Time based aggregation (hide)'!$A:$A,ROW(A16))</f>
        <v>0</v>
      </c>
      <c r="KV58" s="6">
        <f>SUMIFS('Time based aggregation (hide)'!$J:$J,'Time based aggregation (hide)'!$E:$E,6,'Time based aggregation (hide)'!$F:$F,2,'Time based aggregation (hide)'!$A:$A,ROW(A16))</f>
        <v>0</v>
      </c>
      <c r="KW58" s="6">
        <f>SUMIFS('Time based aggregation (hide)'!$J:$J,'Time based aggregation (hide)'!$E:$E,6,'Time based aggregation (hide)'!$F:$F,3,'Time based aggregation (hide)'!$A:$A,ROW(A16))</f>
        <v>0</v>
      </c>
      <c r="KX58" s="6">
        <f>SUMIFS('Time based aggregation (hide)'!$J:$J,'Time based aggregation (hide)'!$E:$E,7,'Time based aggregation (hide)'!$F:$F,1,'Time based aggregation (hide)'!$A:$A,ROW(A16))</f>
        <v>0</v>
      </c>
      <c r="KY58" s="6">
        <f>SUMIFS('Time based aggregation (hide)'!$J:$J,'Time based aggregation (hide)'!$E:$E,7,'Time based aggregation (hide)'!$F:$F,2,'Time based aggregation (hide)'!$A:$A,ROW(A16))</f>
        <v>0</v>
      </c>
      <c r="KZ58" s="6">
        <f>SUMIFS('Time based aggregation (hide)'!$J:$J,'Time based aggregation (hide)'!$E:$E,7,'Time based aggregation (hide)'!$F:$F,3,'Time based aggregation (hide)'!$A:$A,ROW(A16))</f>
        <v>0</v>
      </c>
      <c r="LA58" s="6">
        <f>SUMIFS('Time based aggregation (hide)'!$J:$J,'Time based aggregation (hide)'!$E:$E,8,'Time based aggregation (hide)'!$F:$F,1,'Time based aggregation (hide)'!$A:$A,ROW(A16))</f>
        <v>0</v>
      </c>
      <c r="LB58" s="6">
        <f>SUMIFS('Time based aggregation (hide)'!$J:$J,'Time based aggregation (hide)'!$E:$E,8,'Time based aggregation (hide)'!$F:$F,2,'Time based aggregation (hide)'!$A:$A,ROW(A16))</f>
        <v>0</v>
      </c>
      <c r="LC58" s="6">
        <f>SUMIFS('Time based aggregation (hide)'!$J:$J,'Time based aggregation (hide)'!$E:$E,8,'Time based aggregation (hide)'!$F:$F,3,'Time based aggregation (hide)'!$A:$A,ROW(A16))</f>
        <v>0</v>
      </c>
      <c r="LD58" s="6">
        <f>SUMIFS('Time based aggregation (hide)'!$J:$J,'Time based aggregation (hide)'!$E:$E,9,'Time based aggregation (hide)'!$F:$F,1,'Time based aggregation (hide)'!$A:$A,ROW(A16))</f>
        <v>0</v>
      </c>
      <c r="LE58" s="6">
        <f>SUMIFS('Time based aggregation (hide)'!$J:$J,'Time based aggregation (hide)'!$E:$E,9,'Time based aggregation (hide)'!$F:$F,2,'Time based aggregation (hide)'!$A:$A,ROW(A16))</f>
        <v>0</v>
      </c>
      <c r="LF58" s="6">
        <f>SUMIFS('Time based aggregation (hide)'!$J:$J,'Time based aggregation (hide)'!$E:$E,9,'Time based aggregation (hide)'!$F:$F,3,'Time based aggregation (hide)'!$A:$A,ROW(A16))</f>
        <v>0</v>
      </c>
      <c r="LG58" s="6">
        <f>SUMIFS('Time based aggregation (hide)'!$J:$J,'Time based aggregation (hide)'!$E:$E,10,'Time based aggregation (hide)'!$F:$F,1,'Time based aggregation (hide)'!$A:$A,ROW(A16))</f>
        <v>0</v>
      </c>
      <c r="LH58" s="6">
        <f>SUMIFS('Time based aggregation (hide)'!$J:$J,'Time based aggregation (hide)'!$E:$E,10,'Time based aggregation (hide)'!$F:$F,2,'Time based aggregation (hide)'!$A:$A,ROW(A16))</f>
        <v>0</v>
      </c>
      <c r="LI58" s="6">
        <f>SUMIFS('Time based aggregation (hide)'!$J:$J,'Time based aggregation (hide)'!$E:$E,10,'Time based aggregation (hide)'!$F:$F,3,'Time based aggregation (hide)'!$A:$A,ROW(A16))</f>
        <v>0</v>
      </c>
      <c r="LJ58" s="6">
        <f>SUMIFS('Time based aggregation (hide)'!$J:$J,'Time based aggregation (hide)'!$E:$E,11,'Time based aggregation (hide)'!$F:$F,1,'Time based aggregation (hide)'!$A:$A,ROW(A16))</f>
        <v>0</v>
      </c>
      <c r="LK58" s="6">
        <f>SUMIFS('Time based aggregation (hide)'!$J:$J,'Time based aggregation (hide)'!$E:$E,11,'Time based aggregation (hide)'!$F:$F,2,'Time based aggregation (hide)'!$A:$A,ROW(A16))</f>
        <v>0</v>
      </c>
      <c r="LL58" s="6">
        <f>SUMIFS('Time based aggregation (hide)'!$J:$J,'Time based aggregation (hide)'!$E:$E,11,'Time based aggregation (hide)'!$F:$F,3,'Time based aggregation (hide)'!$A:$A,ROW(A16))</f>
        <v>0</v>
      </c>
      <c r="LM58" s="6">
        <f>SUMIFS('Time based aggregation (hide)'!$J:$J,'Time based aggregation (hide)'!$E:$E,12,'Time based aggregation (hide)'!$F:$F,1,'Time based aggregation (hide)'!$A:$A,ROW(A16))</f>
        <v>0</v>
      </c>
      <c r="LN58" s="6">
        <f>SUMIFS('Time based aggregation (hide)'!$J:$J,'Time based aggregation (hide)'!$E:$E,12,'Time based aggregation (hide)'!$F:$F,2,'Time based aggregation (hide)'!$A:$A,ROW(A16))</f>
        <v>0</v>
      </c>
      <c r="LO58" s="6">
        <f>SUMIFS('Time based aggregation (hide)'!$J:$J,'Time based aggregation (hide)'!$E:$E,12,'Time based aggregation (hide)'!$F:$F,3,'Time based aggregation (hide)'!$A:$A,ROW(A16))</f>
        <v>0</v>
      </c>
      <c r="LP58" s="6">
        <f>SUMIFS('Time based aggregation (hide)'!$J:$J,'Time based aggregation (hide)'!$E:$E,13,'Time based aggregation (hide)'!$F:$F,1,'Time based aggregation (hide)'!$A:$A,ROW(A16))</f>
        <v>0</v>
      </c>
      <c r="LQ58" s="6">
        <f>SUMIFS('Time based aggregation (hide)'!$J:$J,'Time based aggregation (hide)'!$E:$E,13,'Time based aggregation (hide)'!$F:$F,2,'Time based aggregation (hide)'!$A:$A,ROW(A16))</f>
        <v>0</v>
      </c>
      <c r="LR58" s="6">
        <f>SUMIFS('Time based aggregation (hide)'!$J:$J,'Time based aggregation (hide)'!$E:$E,13,'Time based aggregation (hide)'!$F:$F,3,'Time based aggregation (hide)'!$A:$A,ROW(A16))</f>
        <v>0</v>
      </c>
      <c r="LS58" s="6">
        <f>SUMIFS('Time based aggregation (hide)'!$J:$J,'Time based aggregation (hide)'!$E:$E,14,'Time based aggregation (hide)'!$F:$F,1,'Time based aggregation (hide)'!$A:$A,ROW(A16))</f>
        <v>0</v>
      </c>
      <c r="LT58" s="6">
        <f>SUMIFS('Time based aggregation (hide)'!$J:$J,'Time based aggregation (hide)'!$E:$E,14,'Time based aggregation (hide)'!$F:$F,2,'Time based aggregation (hide)'!$A:$A,ROW(A16))</f>
        <v>0</v>
      </c>
      <c r="LU58" s="6">
        <f>SUMIFS('Time based aggregation (hide)'!$J:$J,'Time based aggregation (hide)'!$E:$E,14,'Time based aggregation (hide)'!$F:$F,3,'Time based aggregation (hide)'!$A:$A,ROW(A16))</f>
        <v>0</v>
      </c>
      <c r="LV58" s="6">
        <f>SUMIFS('Time based aggregation (hide)'!$J:$J,'Time based aggregation (hide)'!$E:$E,15,'Time based aggregation (hide)'!$F:$F,1,'Time based aggregation (hide)'!$A:$A,ROW(A16))</f>
        <v>0</v>
      </c>
      <c r="LW58" s="6">
        <f>SUMIFS('Time based aggregation (hide)'!$J:$J,'Time based aggregation (hide)'!$E:$E,15,'Time based aggregation (hide)'!$F:$F,2,'Time based aggregation (hide)'!$A:$A,ROW(A16))</f>
        <v>0</v>
      </c>
      <c r="LX58" s="6">
        <f>SUMIFS('Time based aggregation (hide)'!$J:$J,'Time based aggregation (hide)'!$E:$E,15,'Time based aggregation (hide)'!$F:$F,3,'Time based aggregation (hide)'!$A:$A,ROW(A16))</f>
        <v>0</v>
      </c>
      <c r="LY58" s="6">
        <f>SUMIFS('Time based aggregation (hide)'!$J:$J,'Time based aggregation (hide)'!$E:$E,16,'Time based aggregation (hide)'!$F:$F,1,'Time based aggregation (hide)'!$A:$A,ROW(A16))</f>
        <v>0</v>
      </c>
      <c r="LZ58" s="6">
        <f>SUMIFS('Time based aggregation (hide)'!$J:$J,'Time based aggregation (hide)'!$E:$E,16,'Time based aggregation (hide)'!$F:$F,2,'Time based aggregation (hide)'!$A:$A,ROW(A16))</f>
        <v>0</v>
      </c>
      <c r="MA58" s="6">
        <f>SUMIFS('Time based aggregation (hide)'!$J:$J,'Time based aggregation (hide)'!$E:$E,16,'Time based aggregation (hide)'!$F:$F,3,'Time based aggregation (hide)'!$A:$A,ROW(A16))</f>
        <v>0</v>
      </c>
      <c r="MB58" s="6">
        <f>SUMIFS('Time based aggregation (hide)'!$J:$J,'Time based aggregation (hide)'!$E:$E,17,'Time based aggregation (hide)'!$F:$F,1,'Time based aggregation (hide)'!$A:$A,ROW(A16))</f>
        <v>0</v>
      </c>
      <c r="MC58" s="6">
        <f>SUMIFS('Time based aggregation (hide)'!$J:$J,'Time based aggregation (hide)'!$E:$E,17,'Time based aggregation (hide)'!$F:$F,2,'Time based aggregation (hide)'!$A:$A,ROW(A16))</f>
        <v>0</v>
      </c>
      <c r="MD58" s="6">
        <f>SUMIFS('Time based aggregation (hide)'!$J:$J,'Time based aggregation (hide)'!$E:$E,17,'Time based aggregation (hide)'!$F:$F,3,'Time based aggregation (hide)'!$A:$A,ROW(A16))</f>
        <v>0</v>
      </c>
      <c r="ME58" s="6">
        <f>SUMIFS('Time based aggregation (hide)'!$J:$J,'Time based aggregation (hide)'!$E:$E,18,'Time based aggregation (hide)'!$F:$F,1,'Time based aggregation (hide)'!$A:$A,ROW(A16))</f>
        <v>0</v>
      </c>
      <c r="MF58" s="6">
        <f>SUMIFS('Time based aggregation (hide)'!$J:$J,'Time based aggregation (hide)'!$E:$E,18,'Time based aggregation (hide)'!$F:$F,2,'Time based aggregation (hide)'!$A:$A,ROW(A16))</f>
        <v>0</v>
      </c>
      <c r="MG58" s="6">
        <f>SUMIFS('Time based aggregation (hide)'!$J:$J,'Time based aggregation (hide)'!$E:$E,18,'Time based aggregation (hide)'!$F:$F,3,'Time based aggregation (hide)'!$A:$A,ROW(A16))</f>
        <v>0</v>
      </c>
      <c r="MH58" s="6">
        <f>SUMIFS('Time based aggregation (hide)'!$J:$J,'Time based aggregation (hide)'!$E:$E,19,'Time based aggregation (hide)'!$F:$F,1,'Time based aggregation (hide)'!$A:$A,ROW(A16))</f>
        <v>0</v>
      </c>
      <c r="MI58" s="6">
        <f>SUMIFS('Time based aggregation (hide)'!$J:$J,'Time based aggregation (hide)'!$E:$E,19,'Time based aggregation (hide)'!$F:$F,2,'Time based aggregation (hide)'!$A:$A,ROW(A16))</f>
        <v>0</v>
      </c>
      <c r="MJ58" s="6">
        <f>SUMIFS('Time based aggregation (hide)'!$J:$J,'Time based aggregation (hide)'!$E:$E,19,'Time based aggregation (hide)'!$F:$F,3,'Time based aggregation (hide)'!$A:$A,ROW(A16))</f>
        <v>0</v>
      </c>
      <c r="MK58" s="6">
        <f>SUMIFS('Time based aggregation (hide)'!$J:$J,'Time based aggregation (hide)'!$E:$E,20,'Time based aggregation (hide)'!$F:$F,1,'Time based aggregation (hide)'!$A:$A,ROW(A16))</f>
        <v>0</v>
      </c>
      <c r="ML58" s="6">
        <f>SUMIFS('Time based aggregation (hide)'!$J:$J,'Time based aggregation (hide)'!$E:$E,20,'Time based aggregation (hide)'!$F:$F,2,'Time based aggregation (hide)'!$A:$A,ROW(A16))</f>
        <v>0</v>
      </c>
      <c r="MM58" s="6">
        <f>SUMIFS('Time based aggregation (hide)'!$J:$J,'Time based aggregation (hide)'!$E:$E,20,'Time based aggregation (hide)'!$F:$F,3,'Time based aggregation (hide)'!$A:$A,ROW(A16))</f>
        <v>0</v>
      </c>
      <c r="MN58" s="7">
        <f t="shared" ca="1" si="36"/>
        <v>0</v>
      </c>
      <c r="MO58" s="7">
        <f t="shared" ca="1" si="32"/>
        <v>0</v>
      </c>
      <c r="MP58" s="7">
        <f t="shared" ca="1" si="32"/>
        <v>0</v>
      </c>
      <c r="MQ58" s="7">
        <f t="shared" ca="1" si="32"/>
        <v>0</v>
      </c>
      <c r="MR58" s="7">
        <f t="shared" ca="1" si="32"/>
        <v>0</v>
      </c>
    </row>
    <row r="59" spans="1:356" x14ac:dyDescent="0.25">
      <c r="A59">
        <f>1</f>
        <v>1</v>
      </c>
      <c r="B59" s="85">
        <f t="shared" si="37"/>
        <v>43847</v>
      </c>
      <c r="C59" s="85">
        <f t="shared" si="25"/>
        <v>43843</v>
      </c>
      <c r="D59">
        <f t="shared" ca="1" si="26"/>
        <v>1</v>
      </c>
      <c r="E59" s="85">
        <f t="shared" si="27"/>
        <v>43831</v>
      </c>
      <c r="F59">
        <f t="shared" si="33"/>
        <v>3</v>
      </c>
      <c r="H59">
        <f t="shared" si="34"/>
        <v>17</v>
      </c>
      <c r="I59" s="85">
        <f t="shared" si="38"/>
        <v>43941</v>
      </c>
      <c r="J59">
        <f t="shared" ca="1" si="28"/>
        <v>5</v>
      </c>
      <c r="K59">
        <f t="shared" ca="1" si="29"/>
        <v>1.968503937007874E-2</v>
      </c>
      <c r="L59" s="114"/>
      <c r="M59" s="85"/>
      <c r="N59" s="85">
        <f t="shared" si="35"/>
        <v>43941</v>
      </c>
      <c r="O59" s="122">
        <f t="shared" ca="1" si="39"/>
        <v>0</v>
      </c>
      <c r="P59" s="122">
        <f t="shared" ca="1" si="39"/>
        <v>0</v>
      </c>
      <c r="Q59" s="122">
        <f t="shared" ca="1" si="39"/>
        <v>0</v>
      </c>
      <c r="R59" s="122">
        <f t="shared" ca="1" si="39"/>
        <v>1</v>
      </c>
      <c r="S59" s="122">
        <f t="shared" ca="1" si="39"/>
        <v>0</v>
      </c>
      <c r="T59" s="122">
        <f t="shared" ca="1" si="39"/>
        <v>0</v>
      </c>
      <c r="U59" s="122">
        <f t="shared" ca="1" si="39"/>
        <v>0</v>
      </c>
      <c r="V59" s="122">
        <f t="shared" ca="1" si="39"/>
        <v>0</v>
      </c>
      <c r="W59" s="122">
        <f t="shared" ca="1" si="39"/>
        <v>0</v>
      </c>
      <c r="X59" s="122">
        <f t="shared" ca="1" si="39"/>
        <v>0</v>
      </c>
      <c r="Y59" s="122">
        <f t="shared" ca="1" si="39"/>
        <v>0</v>
      </c>
      <c r="Z59" s="122">
        <f t="shared" ca="1" si="39"/>
        <v>0</v>
      </c>
      <c r="AA59" s="122"/>
      <c r="AB59" s="140">
        <f>INDEX('File 1'!Weekly_Adjusted,17,1)</f>
        <v>388.17143954725253</v>
      </c>
      <c r="AC59" s="140">
        <f>INDEX('File 1'!Weekly_Adjusted,17,2)</f>
        <v>0</v>
      </c>
      <c r="AD59" s="140">
        <f>INDEX('File 1'!Weekly_Adjusted,17,3)</f>
        <v>0</v>
      </c>
      <c r="AE59" s="141">
        <f>INDEX('File 2'!Weekly_Adjusted,17,1)</f>
        <v>0</v>
      </c>
      <c r="AF59" s="141">
        <f>INDEX('File 2'!Weekly_Adjusted,17,2)</f>
        <v>0</v>
      </c>
      <c r="AG59" s="141">
        <f>INDEX('File 2'!Weekly_Adjusted,17,3)</f>
        <v>0</v>
      </c>
      <c r="AH59" s="140">
        <f>INDEX('File 3'!Weekly_Adjusted,17,1)</f>
        <v>0</v>
      </c>
      <c r="AI59" s="140">
        <f>INDEX('File 3'!Weekly_Adjusted,17,2)</f>
        <v>0</v>
      </c>
      <c r="AJ59" s="140">
        <f>INDEX('File 3'!Weekly_Adjusted,17,3)</f>
        <v>0</v>
      </c>
      <c r="AK59" s="141">
        <f>INDEX('File 4'!Weekly_Adjusted,17,1)</f>
        <v>0</v>
      </c>
      <c r="AL59" s="141">
        <f>INDEX('File 4'!Weekly_Adjusted,17,2)</f>
        <v>0</v>
      </c>
      <c r="AM59" s="141">
        <f>INDEX('File 4'!Weekly_Adjusted,17,3)</f>
        <v>0</v>
      </c>
      <c r="AN59" s="140">
        <f>INDEX('File 5'!Weekly_Adjusted,17,1)</f>
        <v>0</v>
      </c>
      <c r="AO59" s="140">
        <f>INDEX('File 5'!Weekly_Adjusted,17,2)</f>
        <v>0</v>
      </c>
      <c r="AP59" s="140">
        <f>INDEX('File 5'!Weekly_Adjusted,17,3)</f>
        <v>0</v>
      </c>
      <c r="AQ59" s="141">
        <f>INDEX('File 6'!Weekly_Adjusted,17,1)</f>
        <v>0</v>
      </c>
      <c r="AR59" s="141">
        <f>INDEX('File 6'!Weekly_Adjusted,17,2)</f>
        <v>0</v>
      </c>
      <c r="AS59" s="141">
        <f>INDEX('File 6'!Weekly_Adjusted,17,3)</f>
        <v>0</v>
      </c>
      <c r="AT59" s="140">
        <f>INDEX('File 7'!Weekly_Adjusted,17,1)</f>
        <v>0</v>
      </c>
      <c r="AU59" s="140">
        <f>INDEX('File 7'!Weekly_Adjusted,17,2)</f>
        <v>0</v>
      </c>
      <c r="AV59" s="140">
        <f>INDEX('File 7'!Weekly_Adjusted,17,3)</f>
        <v>0</v>
      </c>
      <c r="AW59" s="141">
        <f>INDEX('File 8'!Weekly_Adjusted,17,1)</f>
        <v>0</v>
      </c>
      <c r="AX59" s="141">
        <f>INDEX('File 8'!Weekly_Adjusted,17,2)</f>
        <v>0</v>
      </c>
      <c r="AY59" s="141">
        <f>INDEX('File 8'!Weekly_Adjusted,17,3)</f>
        <v>0</v>
      </c>
      <c r="AZ59" s="140">
        <f>INDEX('File 9'!Weekly_Adjusted,17,1)</f>
        <v>0</v>
      </c>
      <c r="BA59" s="140">
        <f>INDEX('File 9'!Weekly_Adjusted,17,2)</f>
        <v>0</v>
      </c>
      <c r="BB59" s="140">
        <f>INDEX('File 9'!Weekly_Adjusted,17,3)</f>
        <v>0</v>
      </c>
      <c r="BC59" s="141">
        <f>INDEX('File 10'!Weekly_Adjusted,17,1)</f>
        <v>0</v>
      </c>
      <c r="BD59" s="141">
        <f>INDEX('File 10'!Weekly_Adjusted,17,2)</f>
        <v>0</v>
      </c>
      <c r="BE59" s="141">
        <f>INDEX('File 10'!Weekly_Adjusted,17,3)</f>
        <v>0</v>
      </c>
      <c r="BF59" s="140">
        <f>INDEX('File 11'!Weekly_Adjusted,17,1)</f>
        <v>0</v>
      </c>
      <c r="BG59" s="140">
        <f>INDEX('File 11'!Weekly_Adjusted,17,2)</f>
        <v>0</v>
      </c>
      <c r="BH59" s="140">
        <f>INDEX('File 11'!Weekly_Adjusted,17,3)</f>
        <v>0</v>
      </c>
      <c r="BI59" s="141">
        <f>INDEX('File 12'!Weekly_Adjusted,17,1)</f>
        <v>0</v>
      </c>
      <c r="BJ59" s="141">
        <f>INDEX('File 12'!Weekly_Adjusted,17,2)</f>
        <v>0</v>
      </c>
      <c r="BK59" s="141">
        <f>INDEX('File 12'!Weekly_Adjusted,17,3)</f>
        <v>0</v>
      </c>
      <c r="BL59" s="140">
        <f>INDEX('File 13'!Weekly_Adjusted,17,1)</f>
        <v>0</v>
      </c>
      <c r="BM59" s="140">
        <f>INDEX('File 13'!Weekly_Adjusted,17,2)</f>
        <v>0</v>
      </c>
      <c r="BN59" s="140">
        <f>INDEX('File 13'!Weekly_Adjusted,17,3)</f>
        <v>0</v>
      </c>
      <c r="BO59" s="141">
        <f>INDEX('File 14'!Weekly_Adjusted,17,1)</f>
        <v>0</v>
      </c>
      <c r="BP59" s="141">
        <f>INDEX('File 14'!Weekly_Adjusted,17,2)</f>
        <v>0</v>
      </c>
      <c r="BQ59" s="141">
        <f>INDEX('File 14'!Weekly_Adjusted,17,3)</f>
        <v>0</v>
      </c>
      <c r="BR59" s="140">
        <f>INDEX('File 15'!Weekly_Adjusted,17,1)</f>
        <v>0</v>
      </c>
      <c r="BS59" s="140">
        <f>INDEX('File 15'!Weekly_Adjusted,17,2)</f>
        <v>0</v>
      </c>
      <c r="BT59" s="140">
        <f>INDEX('File 15'!Weekly_Adjusted,17,3)</f>
        <v>0</v>
      </c>
      <c r="BU59" s="141">
        <f>INDEX('File 16'!Weekly_Adjusted,17,1)</f>
        <v>0</v>
      </c>
      <c r="BV59" s="141">
        <f>INDEX('File 16'!Weekly_Adjusted,17,2)</f>
        <v>0</v>
      </c>
      <c r="BW59" s="141">
        <f>INDEX('File 16'!Weekly_Adjusted,17,3)</f>
        <v>0</v>
      </c>
      <c r="BX59" s="140">
        <f>INDEX('File 17'!Weekly_Adjusted,17,1)</f>
        <v>0</v>
      </c>
      <c r="BY59" s="140">
        <f>INDEX('File 17'!Weekly_Adjusted,17,2)</f>
        <v>0</v>
      </c>
      <c r="BZ59" s="140">
        <f>INDEX('File 17'!Weekly_Adjusted,17,3)</f>
        <v>0</v>
      </c>
      <c r="CA59" s="141">
        <f>INDEX('File 18'!Weekly_Adjusted,17,1)</f>
        <v>0</v>
      </c>
      <c r="CB59" s="141">
        <f>INDEX('File 18'!Weekly_Adjusted,17,2)</f>
        <v>0</v>
      </c>
      <c r="CC59" s="141">
        <f>INDEX('File 18'!Weekly_Adjusted,17,3)</f>
        <v>0</v>
      </c>
      <c r="CD59" s="140">
        <f>INDEX('File 19'!Weekly_Adjusted,17,1)</f>
        <v>0</v>
      </c>
      <c r="CE59" s="140">
        <f>INDEX('File 19'!Weekly_Adjusted,17,2)</f>
        <v>0</v>
      </c>
      <c r="CF59" s="140">
        <f>INDEX('File 19'!Weekly_Adjusted,17,3)</f>
        <v>0</v>
      </c>
      <c r="CG59" s="141">
        <f>INDEX('File 20'!Weekly_Adjusted,17,1)</f>
        <v>0</v>
      </c>
      <c r="CH59" s="141">
        <f>INDEX('File 20'!Weekly_Adjusted,17,2)</f>
        <v>0</v>
      </c>
      <c r="CI59" s="141">
        <f>INDEX('File 20'!Weekly_Adjusted,17,3)</f>
        <v>0</v>
      </c>
      <c r="CJ59" s="6">
        <f ca="1">SUMIFS(INDEX(Demand_Activity_Weekly,ROW(A17),0),Demand_Activity_Weekly_Header,CJ$42)</f>
        <v>388.17143954725253</v>
      </c>
      <c r="CK59" s="6">
        <f ca="1">SUMIFS(INDEX(Demand_Activity_Weekly,ROW(B17),0),Demand_Activity_Weekly_Header,CK$42)</f>
        <v>0</v>
      </c>
      <c r="CL59" s="6">
        <f ca="1">SUMIFS(INDEX(Demand_Activity_Weekly,ROW(C17),0),Demand_Activity_Weekly_Header,CL$42)</f>
        <v>0</v>
      </c>
      <c r="CM59" s="6">
        <f ca="1">SUMIFS(INDEX(Demand_Activity_Weekly,ROW(D17),0),Demand_Activity_Weekly_Header,CM$42)</f>
        <v>0</v>
      </c>
      <c r="CN59" s="6">
        <f ca="1">SUMIFS(INDEX(Demand_Activity_Weekly,ROW(E17),0),Demand_Activity_Weekly_Header,CN$42)</f>
        <v>0</v>
      </c>
      <c r="CP59" s="142">
        <f ca="1">INDEX('File 1'!Weekly_Adjusted,17,10)</f>
        <v>24.919784152855019</v>
      </c>
      <c r="CQ59" s="142">
        <f>INDEX('File 1'!Weekly_Adjusted,17,11)</f>
        <v>0</v>
      </c>
      <c r="CR59" s="142">
        <f>INDEX('File 1'!Weekly_Adjusted,17,12)</f>
        <v>0</v>
      </c>
      <c r="CS59" s="143">
        <f>INDEX('File 2'!Weekly_Adjusted,17,10)</f>
        <v>0</v>
      </c>
      <c r="CT59" s="143">
        <f>INDEX('File 2'!Weekly_Adjusted,17,11)</f>
        <v>0</v>
      </c>
      <c r="CU59" s="143">
        <f>INDEX('File 2'!Weekly_Adjusted,17,12)</f>
        <v>0</v>
      </c>
      <c r="CV59" s="142">
        <f>INDEX('File 3'!Weekly_Adjusted,17,10)</f>
        <v>0</v>
      </c>
      <c r="CW59" s="142">
        <f>INDEX('File 3'!Weekly_Adjusted,17,11)</f>
        <v>0</v>
      </c>
      <c r="CX59" s="142">
        <f>INDEX('File 3'!Weekly_Adjusted,17,12)</f>
        <v>0</v>
      </c>
      <c r="CY59" s="143">
        <f>INDEX('File 4'!Weekly_Adjusted,17,10)</f>
        <v>0</v>
      </c>
      <c r="CZ59" s="143">
        <f>INDEX('File 4'!Weekly_Adjusted,17,11)</f>
        <v>0</v>
      </c>
      <c r="DA59" s="143">
        <f>INDEX('File 4'!Weekly_Adjusted,17,12)</f>
        <v>0</v>
      </c>
      <c r="DB59" s="142">
        <f>INDEX('File 5'!Weekly_Adjusted,17,10)</f>
        <v>0</v>
      </c>
      <c r="DC59" s="142">
        <f>INDEX('File 5'!Weekly_Adjusted,17,11)</f>
        <v>0</v>
      </c>
      <c r="DD59" s="142">
        <f>INDEX('File 5'!Weekly_Adjusted,17,12)</f>
        <v>0</v>
      </c>
      <c r="DE59" s="143">
        <f>INDEX('File 6'!Weekly_Adjusted,17,10)</f>
        <v>0</v>
      </c>
      <c r="DF59" s="143">
        <f>INDEX('File 6'!Weekly_Adjusted,17,11)</f>
        <v>0</v>
      </c>
      <c r="DG59" s="143">
        <f>INDEX('File 6'!Weekly_Adjusted,17,12)</f>
        <v>0</v>
      </c>
      <c r="DH59" s="142">
        <f>INDEX('File 7'!Weekly_Adjusted,17,10)</f>
        <v>0</v>
      </c>
      <c r="DI59" s="142">
        <f>INDEX('File 7'!Weekly_Adjusted,17,11)</f>
        <v>0</v>
      </c>
      <c r="DJ59" s="142">
        <f>INDEX('File 7'!Weekly_Adjusted,17,12)</f>
        <v>0</v>
      </c>
      <c r="DK59" s="143">
        <f>INDEX('File 8'!Weekly_Adjusted,17,10)</f>
        <v>0</v>
      </c>
      <c r="DL59" s="143">
        <f>INDEX('File 8'!Weekly_Adjusted,17,11)</f>
        <v>0</v>
      </c>
      <c r="DM59" s="143">
        <f>INDEX('File 8'!Weekly_Adjusted,17,12)</f>
        <v>0</v>
      </c>
      <c r="DN59" s="142">
        <f>INDEX('File 9'!Weekly_Adjusted,17,10)</f>
        <v>0</v>
      </c>
      <c r="DO59" s="142">
        <f>INDEX('File 9'!Weekly_Adjusted,17,11)</f>
        <v>0</v>
      </c>
      <c r="DP59" s="142">
        <f>INDEX('File 9'!Weekly_Adjusted,17,12)</f>
        <v>0</v>
      </c>
      <c r="DQ59" s="143">
        <f>INDEX('File 10'!Weekly_Adjusted,17,10)</f>
        <v>0</v>
      </c>
      <c r="DR59" s="143">
        <f>INDEX('File 10'!Weekly_Adjusted,17,11)</f>
        <v>0</v>
      </c>
      <c r="DS59" s="143">
        <f>INDEX('File 10'!Weekly_Adjusted,17,12)</f>
        <v>0</v>
      </c>
      <c r="DT59" s="142">
        <f>INDEX('File 11'!Weekly_Adjusted,17,10)</f>
        <v>0</v>
      </c>
      <c r="DU59" s="142">
        <f>INDEX('File 11'!Weekly_Adjusted,17,11)</f>
        <v>0</v>
      </c>
      <c r="DV59" s="142">
        <f>INDEX('File 11'!Weekly_Adjusted,17,12)</f>
        <v>0</v>
      </c>
      <c r="DW59" s="143">
        <f>INDEX('File 12'!Weekly_Adjusted,17,10)</f>
        <v>0</v>
      </c>
      <c r="DX59" s="143">
        <f>INDEX('File 12'!Weekly_Adjusted,17,11)</f>
        <v>0</v>
      </c>
      <c r="DY59" s="143">
        <f>INDEX('File 12'!Weekly_Adjusted,17,12)</f>
        <v>0</v>
      </c>
      <c r="DZ59" s="142">
        <f>INDEX('File 13'!Weekly_Adjusted,17,10)</f>
        <v>0</v>
      </c>
      <c r="EA59" s="142">
        <f>INDEX('File 13'!Weekly_Adjusted,17,11)</f>
        <v>0</v>
      </c>
      <c r="EB59" s="142">
        <f>INDEX('File 13'!Weekly_Adjusted,17,12)</f>
        <v>0</v>
      </c>
      <c r="EC59" s="143">
        <f>INDEX('File 14'!Weekly_Adjusted,17,10)</f>
        <v>0</v>
      </c>
      <c r="ED59" s="143">
        <f>INDEX('File 14'!Weekly_Adjusted,17,11)</f>
        <v>0</v>
      </c>
      <c r="EE59" s="143">
        <f>INDEX('File 14'!Weekly_Adjusted,17,12)</f>
        <v>0</v>
      </c>
      <c r="EF59" s="142">
        <f>INDEX('File 15'!Weekly_Adjusted,17,10)</f>
        <v>0</v>
      </c>
      <c r="EG59" s="142">
        <f>INDEX('File 15'!Weekly_Adjusted,17,11)</f>
        <v>0</v>
      </c>
      <c r="EH59" s="142">
        <f>INDEX('File 15'!Weekly_Adjusted,17,12)</f>
        <v>0</v>
      </c>
      <c r="EI59" s="143">
        <f>INDEX('File 16'!Weekly_Adjusted,17,10)</f>
        <v>0</v>
      </c>
      <c r="EJ59" s="143">
        <f>INDEX('File 16'!Weekly_Adjusted,17,11)</f>
        <v>0</v>
      </c>
      <c r="EK59" s="143">
        <f>INDEX('File 16'!Weekly_Adjusted,17,12)</f>
        <v>0</v>
      </c>
      <c r="EL59" s="142">
        <f>INDEX('File 17'!Weekly_Adjusted,17,10)</f>
        <v>0</v>
      </c>
      <c r="EM59" s="142">
        <f>INDEX('File 17'!Weekly_Adjusted,17,11)</f>
        <v>0</v>
      </c>
      <c r="EN59" s="142">
        <f>INDEX('File 17'!Weekly_Adjusted,17,12)</f>
        <v>0</v>
      </c>
      <c r="EO59" s="143">
        <f>INDEX('File 18'!Weekly_Adjusted,17,10)</f>
        <v>0</v>
      </c>
      <c r="EP59" s="143">
        <f>INDEX('File 18'!Weekly_Adjusted,17,11)</f>
        <v>0</v>
      </c>
      <c r="EQ59" s="143">
        <f>INDEX('File 18'!Weekly_Adjusted,17,12)</f>
        <v>0</v>
      </c>
      <c r="ER59" s="142">
        <f>INDEX('File 19'!Weekly_Adjusted,17,10)</f>
        <v>0</v>
      </c>
      <c r="ES59" s="142">
        <f>INDEX('File 19'!Weekly_Adjusted,17,11)</f>
        <v>0</v>
      </c>
      <c r="ET59" s="142">
        <f>INDEX('File 19'!Weekly_Adjusted,17,12)</f>
        <v>0</v>
      </c>
      <c r="EU59" s="143">
        <f>INDEX('File 20'!Weekly_Adjusted,17,10)</f>
        <v>0</v>
      </c>
      <c r="EV59" s="143">
        <f>INDEX('File 20'!Weekly_Adjusted,17,11)</f>
        <v>0</v>
      </c>
      <c r="EW59" s="143">
        <f>INDEX('File 20'!Weekly_Adjusted,17,12)</f>
        <v>0</v>
      </c>
      <c r="EX59" s="6">
        <f ca="1">SUMIFS(INDEX(Capacity_Activity_Weekly,ROW(A17),0),Demand_Activity_Weekly_Header,CJ$42)</f>
        <v>24.919784152855019</v>
      </c>
      <c r="EY59" s="6">
        <f ca="1">SUMIFS(INDEX(Capacity_Activity_Weekly,ROW(B17),0),Demand_Activity_Weekly_Header,CK$42)</f>
        <v>0</v>
      </c>
      <c r="EZ59" s="6">
        <f ca="1">SUMIFS(INDEX(Capacity_Activity_Weekly,ROW(C17),0),Demand_Activity_Weekly_Header,CL$42)</f>
        <v>0</v>
      </c>
      <c r="FA59" s="6">
        <f ca="1">SUMIFS(INDEX(Capacity_Activity_Weekly,ROW(D17),0),Demand_Activity_Weekly_Header,CM$42)</f>
        <v>0</v>
      </c>
      <c r="FB59" s="6">
        <f ca="1">SUMIFS(INDEX(Capacity_Activity_Weekly,ROW(E17),0),Demand_Activity_Weekly_Header,CN$42)</f>
        <v>0</v>
      </c>
      <c r="FD59" s="7">
        <f>'File 1'!$Q$54*'Time based aggregation (hide)'!$Q21</f>
        <v>0</v>
      </c>
      <c r="FE59" s="7">
        <f>'File 1'!$R$54*'Time based aggregation (hide)'!$R21</f>
        <v>0</v>
      </c>
      <c r="FF59" s="7">
        <f>'File 1'!$S$54*'Time based aggregation (hide)'!$S21</f>
        <v>0</v>
      </c>
      <c r="FG59" s="7">
        <f>'File 2'!$Q$54*'Time based aggregation (hide)'!$T21</f>
        <v>0</v>
      </c>
      <c r="FH59" s="7">
        <f>'File 2'!$R$54*'Time based aggregation (hide)'!$U21</f>
        <v>0</v>
      </c>
      <c r="FI59" s="7">
        <f>'File 2'!$S$54*'Time based aggregation (hide)'!$V21</f>
        <v>0</v>
      </c>
      <c r="FJ59" s="7">
        <f>'File 3'!$Q$54*'Time based aggregation (hide)'!$W21</f>
        <v>0</v>
      </c>
      <c r="FK59" s="7">
        <f>'File 3'!$R$54*'Time based aggregation (hide)'!$X21</f>
        <v>0</v>
      </c>
      <c r="FL59" s="7">
        <f>'File 3'!$S$54*'Time based aggregation (hide)'!$Y21</f>
        <v>0</v>
      </c>
      <c r="FM59" s="7">
        <f>'File 4'!$Q$54*'Time based aggregation (hide)'!$Z21</f>
        <v>0</v>
      </c>
      <c r="FN59" s="7">
        <f>'File 4'!$R$54*'Time based aggregation (hide)'!$AA21</f>
        <v>0</v>
      </c>
      <c r="FO59" s="7">
        <f>'File 4'!$S$54*'Time based aggregation (hide)'!$AB21</f>
        <v>0</v>
      </c>
      <c r="FP59" s="7">
        <f>'File 5'!$Q$54*'Time based aggregation (hide)'!$AC21</f>
        <v>0</v>
      </c>
      <c r="FQ59" s="7">
        <f>'File 5'!$R$54*'Time based aggregation (hide)'!$AD21</f>
        <v>0</v>
      </c>
      <c r="FR59" s="7">
        <f>'File 5'!$S$54*'Time based aggregation (hide)'!$AE21</f>
        <v>0</v>
      </c>
      <c r="FS59" s="7">
        <f>'File 6'!$Q$54*'Time based aggregation (hide)'!$AF21</f>
        <v>0</v>
      </c>
      <c r="FT59" s="7">
        <f>'File 6'!$R$54*'Time based aggregation (hide)'!$AG21</f>
        <v>0</v>
      </c>
      <c r="FU59" s="7">
        <f>'File 6'!$S$54*'Time based aggregation (hide)'!$AH21</f>
        <v>0</v>
      </c>
      <c r="FV59" s="7">
        <f>'File 7'!$Q$54*'Time based aggregation (hide)'!$AI21</f>
        <v>0</v>
      </c>
      <c r="FW59" s="7">
        <f>'File 7'!$R$54*'Time based aggregation (hide)'!$AJ21</f>
        <v>0</v>
      </c>
      <c r="FX59" s="7">
        <f>'File 7'!$S$54*'Time based aggregation (hide)'!$AK21</f>
        <v>0</v>
      </c>
      <c r="FY59" s="7">
        <f>'File 8'!$Q$54*'Time based aggregation (hide)'!$AL21</f>
        <v>0</v>
      </c>
      <c r="FZ59" s="7">
        <f>'File 8'!$R$54*'Time based aggregation (hide)'!$AM21</f>
        <v>0</v>
      </c>
      <c r="GA59" s="7">
        <f>'File 8'!$S$54*'Time based aggregation (hide)'!$AN21</f>
        <v>0</v>
      </c>
      <c r="GB59" s="7">
        <f>'File 9'!$Q$54*'Time based aggregation (hide)'!$AO21</f>
        <v>0</v>
      </c>
      <c r="GC59" s="7">
        <f>'File 9'!$R$54*'Time based aggregation (hide)'!$AP21</f>
        <v>0</v>
      </c>
      <c r="GD59" s="7">
        <f>'File 9'!$S$54*'Time based aggregation (hide)'!$AQ21</f>
        <v>0</v>
      </c>
      <c r="GE59" s="7">
        <f>'File 10'!$Q$54*'Time based aggregation (hide)'!$AR21</f>
        <v>0</v>
      </c>
      <c r="GF59" s="7">
        <f>'File 10'!$R$54*'Time based aggregation (hide)'!$AS21</f>
        <v>0</v>
      </c>
      <c r="GG59" s="7">
        <f>'File 10'!$S$54*'Time based aggregation (hide)'!$AT21</f>
        <v>0</v>
      </c>
      <c r="GH59" s="7">
        <f>'File 11'!$Q$54*'Time based aggregation (hide)'!$AU21</f>
        <v>0</v>
      </c>
      <c r="GI59" s="7">
        <f>'File 11'!$R$54*'Time based aggregation (hide)'!$AV21</f>
        <v>0</v>
      </c>
      <c r="GJ59" s="7">
        <f>'File 11'!$S$54*'Time based aggregation (hide)'!$AW21</f>
        <v>0</v>
      </c>
      <c r="GK59" s="7">
        <f>'File 12'!$Q$54*'Time based aggregation (hide)'!$AX21</f>
        <v>0</v>
      </c>
      <c r="GL59" s="7">
        <f>'File 12'!$R$54*'Time based aggregation (hide)'!$AY21</f>
        <v>0</v>
      </c>
      <c r="GM59" s="7">
        <f>'File 12'!$S$54*'Time based aggregation (hide)'!$AZ21</f>
        <v>0</v>
      </c>
      <c r="GN59" s="7">
        <f>'File 13'!$Q$54*'Time based aggregation (hide)'!$BA21</f>
        <v>0</v>
      </c>
      <c r="GO59" s="7">
        <f>'File 13'!$R$54*'Time based aggregation (hide)'!$BB21</f>
        <v>0</v>
      </c>
      <c r="GP59" s="7">
        <f>'File 13'!$S$54*'Time based aggregation (hide)'!$BC21</f>
        <v>0</v>
      </c>
      <c r="GQ59" s="7">
        <f>'File 14'!$Q$54*'Time based aggregation (hide)'!$BD21</f>
        <v>0</v>
      </c>
      <c r="GR59" s="7">
        <f>'File 14'!$R$54*'Time based aggregation (hide)'!$BE21</f>
        <v>0</v>
      </c>
      <c r="GS59" s="7">
        <f>'File 14'!$S$54*'Time based aggregation (hide)'!$BF21</f>
        <v>0</v>
      </c>
      <c r="GT59" s="7">
        <f>'File 15'!$Q$54*'Time based aggregation (hide)'!$BG21</f>
        <v>0</v>
      </c>
      <c r="GU59" s="7">
        <f>'File 15'!$R$54*'Time based aggregation (hide)'!$BH21</f>
        <v>0</v>
      </c>
      <c r="GV59" s="7">
        <f>'File 15'!$S$54*'Time based aggregation (hide)'!$BI21</f>
        <v>0</v>
      </c>
      <c r="GW59" s="7">
        <f>'File 16'!$Q$54*'Time based aggregation (hide)'!$BJ21</f>
        <v>0</v>
      </c>
      <c r="GX59" s="7">
        <f>'File 16'!$R$54*'Time based aggregation (hide)'!$BK21</f>
        <v>0</v>
      </c>
      <c r="GY59" s="7">
        <f>'File 16'!$S$54*'Time based aggregation (hide)'!$BL21</f>
        <v>0</v>
      </c>
      <c r="GZ59" s="7">
        <f>'File 17'!$Q$54*'Time based aggregation (hide)'!$BM21</f>
        <v>0</v>
      </c>
      <c r="HA59" s="7">
        <f>'File 17'!$R$54*'Time based aggregation (hide)'!$BN21</f>
        <v>0</v>
      </c>
      <c r="HB59" s="7">
        <f>'File 17'!$S$54*'Time based aggregation (hide)'!$BO21</f>
        <v>0</v>
      </c>
      <c r="HC59" s="7">
        <f>'File 18'!$Q$54*'Time based aggregation (hide)'!$BP21</f>
        <v>0</v>
      </c>
      <c r="HD59" s="7">
        <f>'File 18'!$R$54*'Time based aggregation (hide)'!$BQ21</f>
        <v>0</v>
      </c>
      <c r="HE59" s="7">
        <f>'File 18'!$S$54*'Time based aggregation (hide)'!$BR21</f>
        <v>0</v>
      </c>
      <c r="HF59" s="7">
        <f>'File 19'!$Q$54*'Time based aggregation (hide)'!$BS21</f>
        <v>0</v>
      </c>
      <c r="HG59" s="7">
        <f>'File 19'!$R$54*'Time based aggregation (hide)'!$BT21</f>
        <v>0</v>
      </c>
      <c r="HH59" s="7">
        <f>'File 19'!$S$54*'Time based aggregation (hide)'!$BU21</f>
        <v>0</v>
      </c>
      <c r="HI59" s="7">
        <f>'File 20'!$Q$54*'Time based aggregation (hide)'!$BV21</f>
        <v>0</v>
      </c>
      <c r="HJ59" s="7">
        <f>'File 20'!$R$54*'Time based aggregation (hide)'!$BW21</f>
        <v>0</v>
      </c>
      <c r="HK59" s="7">
        <f>'File 20'!$S$54*'Time based aggregation (hide)'!$BX21</f>
        <v>0</v>
      </c>
      <c r="HL59" s="7">
        <f t="shared" ca="1" si="40"/>
        <v>0</v>
      </c>
      <c r="HM59" s="7">
        <f t="shared" ca="1" si="40"/>
        <v>0</v>
      </c>
      <c r="HN59" s="7">
        <f t="shared" ca="1" si="40"/>
        <v>0</v>
      </c>
      <c r="HO59" s="7">
        <f t="shared" ca="1" si="40"/>
        <v>0</v>
      </c>
      <c r="HP59" s="7">
        <f t="shared" ca="1" si="40"/>
        <v>0</v>
      </c>
      <c r="HR59" s="142">
        <f ca="1">INDEX('File 1'!Weekly_Adjusted,17,16)</f>
        <v>21.427839876658773</v>
      </c>
      <c r="HS59" s="142">
        <f>INDEX('File 1'!Weekly_Adjusted,17,17)</f>
        <v>0</v>
      </c>
      <c r="HT59" s="142">
        <f>INDEX('File 1'!Weekly_Adjusted,17,18)</f>
        <v>0</v>
      </c>
      <c r="HU59" s="143">
        <f>INDEX('File 2'!Weekly_Adjusted,17,16)</f>
        <v>0</v>
      </c>
      <c r="HV59" s="143">
        <f>INDEX('File 2'!Weekly_Adjusted,17,17)</f>
        <v>0</v>
      </c>
      <c r="HW59" s="143">
        <f>INDEX('File 2'!Weekly_Adjusted,17,18)</f>
        <v>0</v>
      </c>
      <c r="HX59" s="142">
        <f>INDEX('File 3'!Weekly_Adjusted,17,16)</f>
        <v>0</v>
      </c>
      <c r="HY59" s="142">
        <f>INDEX('File 3'!Weekly_Adjusted,17,17)</f>
        <v>0</v>
      </c>
      <c r="HZ59" s="142">
        <f>INDEX('File 3'!Weekly_Adjusted,17,18)</f>
        <v>0</v>
      </c>
      <c r="IA59" s="143">
        <f>INDEX('File 4'!Weekly_Adjusted,17,16)</f>
        <v>0</v>
      </c>
      <c r="IB59" s="143">
        <f>INDEX('File 4'!Weekly_Adjusted,17,17)</f>
        <v>0</v>
      </c>
      <c r="IC59" s="143">
        <f>INDEX('File 4'!Weekly_Adjusted,17,18)</f>
        <v>0</v>
      </c>
      <c r="ID59" s="142">
        <f>INDEX('File 5'!Weekly_Adjusted,17,16)</f>
        <v>0</v>
      </c>
      <c r="IE59" s="142">
        <f>INDEX('File 5'!Weekly_Adjusted,17,17)</f>
        <v>0</v>
      </c>
      <c r="IF59" s="142">
        <f>INDEX('File 5'!Weekly_Adjusted,17,18)</f>
        <v>0</v>
      </c>
      <c r="IG59" s="143">
        <f>INDEX('File 6'!Weekly_Adjusted,17,16)</f>
        <v>0</v>
      </c>
      <c r="IH59" s="143">
        <f>INDEX('File 6'!Weekly_Adjusted,17,17)</f>
        <v>0</v>
      </c>
      <c r="II59" s="143">
        <f>INDEX('File 6'!Weekly_Adjusted,17,18)</f>
        <v>0</v>
      </c>
      <c r="IJ59" s="142">
        <f>INDEX('File 7'!Weekly_Adjusted,17,16)</f>
        <v>0</v>
      </c>
      <c r="IK59" s="142">
        <f>INDEX('File 7'!Weekly_Adjusted,17,17)</f>
        <v>0</v>
      </c>
      <c r="IL59" s="142">
        <f>INDEX('File 7'!Weekly_Adjusted,17,18)</f>
        <v>0</v>
      </c>
      <c r="IM59" s="143">
        <f>INDEX('File 8'!Weekly_Adjusted,17,16)</f>
        <v>0</v>
      </c>
      <c r="IN59" s="143">
        <f>INDEX('File 8'!Weekly_Adjusted,17,17)</f>
        <v>0</v>
      </c>
      <c r="IO59" s="143">
        <f>INDEX('File 8'!Weekly_Adjusted,17,18)</f>
        <v>0</v>
      </c>
      <c r="IP59" s="142">
        <f>INDEX('File 9'!Weekly_Adjusted,17,16)</f>
        <v>0</v>
      </c>
      <c r="IQ59" s="142">
        <f>INDEX('File 9'!Weekly_Adjusted,17,17)</f>
        <v>0</v>
      </c>
      <c r="IR59" s="142">
        <f>INDEX('File 9'!Weekly_Adjusted,17,18)</f>
        <v>0</v>
      </c>
      <c r="IS59" s="143">
        <f>INDEX('File 10'!Weekly_Adjusted,17,16)</f>
        <v>0</v>
      </c>
      <c r="IT59" s="143">
        <f>INDEX('File 10'!Weekly_Adjusted,17,17)</f>
        <v>0</v>
      </c>
      <c r="IU59" s="143">
        <f>INDEX('File 10'!Weekly_Adjusted,17,18)</f>
        <v>0</v>
      </c>
      <c r="IV59" s="142">
        <f>INDEX('File 11'!Weekly_Adjusted,17,16)</f>
        <v>0</v>
      </c>
      <c r="IW59" s="142">
        <f>INDEX('File 11'!Weekly_Adjusted,17,17)</f>
        <v>0</v>
      </c>
      <c r="IX59" s="142">
        <f>INDEX('File 11'!Weekly_Adjusted,17,18)</f>
        <v>0</v>
      </c>
      <c r="IY59" s="143">
        <f>INDEX('File 12'!Weekly_Adjusted,17,16)</f>
        <v>0</v>
      </c>
      <c r="IZ59" s="143">
        <f>INDEX('File 12'!Weekly_Adjusted,17,17)</f>
        <v>0</v>
      </c>
      <c r="JA59" s="143">
        <f>INDEX('File 12'!Weekly_Adjusted,17,18)</f>
        <v>0</v>
      </c>
      <c r="JB59" s="142">
        <f>INDEX('File 13'!Weekly_Adjusted,17,16)</f>
        <v>0</v>
      </c>
      <c r="JC59" s="142">
        <f>INDEX('File 13'!Weekly_Adjusted,17,17)</f>
        <v>0</v>
      </c>
      <c r="JD59" s="142">
        <f>INDEX('File 13'!Weekly_Adjusted,17,18)</f>
        <v>0</v>
      </c>
      <c r="JE59" s="143">
        <f>INDEX('File 14'!Weekly_Adjusted,17,16)</f>
        <v>0</v>
      </c>
      <c r="JF59" s="143">
        <f>INDEX('File 14'!Weekly_Adjusted,17,17)</f>
        <v>0</v>
      </c>
      <c r="JG59" s="143">
        <f>INDEX('File 14'!Weekly_Adjusted,17,18)</f>
        <v>0</v>
      </c>
      <c r="JH59" s="142">
        <f>INDEX('File 15'!Weekly_Adjusted,17,16)</f>
        <v>0</v>
      </c>
      <c r="JI59" s="142">
        <f>INDEX('File 15'!Weekly_Adjusted,17,17)</f>
        <v>0</v>
      </c>
      <c r="JJ59" s="142">
        <f>INDEX('File 15'!Weekly_Adjusted,17,18)</f>
        <v>0</v>
      </c>
      <c r="JK59" s="143">
        <f>INDEX('File 16'!Weekly_Adjusted,17,16)</f>
        <v>0</v>
      </c>
      <c r="JL59" s="143">
        <f>INDEX('File 16'!Weekly_Adjusted,17,17)</f>
        <v>0</v>
      </c>
      <c r="JM59" s="143">
        <f>INDEX('File 16'!Weekly_Adjusted,17,18)</f>
        <v>0</v>
      </c>
      <c r="JN59" s="142">
        <f>INDEX('File 17'!Weekly_Adjusted,17,16)</f>
        <v>0</v>
      </c>
      <c r="JO59" s="142">
        <f>INDEX('File 17'!Weekly_Adjusted,17,17)</f>
        <v>0</v>
      </c>
      <c r="JP59" s="142">
        <f>INDEX('File 17'!Weekly_Adjusted,17,18)</f>
        <v>0</v>
      </c>
      <c r="JQ59" s="143">
        <f>INDEX('File 18'!Weekly_Adjusted,17,16)</f>
        <v>0</v>
      </c>
      <c r="JR59" s="143">
        <f>INDEX('File 18'!Weekly_Adjusted,17,17)</f>
        <v>0</v>
      </c>
      <c r="JS59" s="143">
        <f>INDEX('File 18'!Weekly_Adjusted,17,18)</f>
        <v>0</v>
      </c>
      <c r="JT59" s="142">
        <f>INDEX('File 19'!Weekly_Adjusted,17,16)</f>
        <v>0</v>
      </c>
      <c r="JU59" s="142">
        <f>INDEX('File 19'!Weekly_Adjusted,17,17)</f>
        <v>0</v>
      </c>
      <c r="JV59" s="142">
        <f>INDEX('File 19'!Weekly_Adjusted,17,18)</f>
        <v>0</v>
      </c>
      <c r="JW59" s="143">
        <f>INDEX('File 20'!Weekly_Adjusted,17,16)</f>
        <v>0</v>
      </c>
      <c r="JX59" s="143">
        <f>INDEX('File 20'!Weekly_Adjusted,17,17)</f>
        <v>0</v>
      </c>
      <c r="JY59" s="143">
        <f>INDEX('File 20'!Weekly_Adjusted,17,18)</f>
        <v>0</v>
      </c>
      <c r="JZ59" s="6">
        <f ca="1">SUMIFS(INDEX(CapacityCore_Activity_Weekly,ROW(EC17),0),Demand_Activity_Weekly_Header,HL$42)</f>
        <v>21.427839876658773</v>
      </c>
      <c r="KA59" s="6">
        <f ca="1">SUMIFS(INDEX(CapacityCore_Activity_Weekly,ROW(ED17),0),Demand_Activity_Weekly_Header,HM$42)</f>
        <v>0</v>
      </c>
      <c r="KB59" s="6">
        <f ca="1">SUMIFS(INDEX(CapacityCore_Activity_Weekly,ROW(EE17),0),Demand_Activity_Weekly_Header,HN$42)</f>
        <v>0</v>
      </c>
      <c r="KC59" s="6">
        <f ca="1">SUMIFS(INDEX(CapacityCore_Activity_Weekly,ROW(EF17),0),Demand_Activity_Weekly_Header,HO$42)</f>
        <v>0</v>
      </c>
      <c r="KD59" s="6">
        <f ca="1">SUMIFS(INDEX(CapacityCore_Activity_Weekly,ROW(EG17),0),Demand_Activity_Weekly_Header,HP$42)</f>
        <v>0</v>
      </c>
      <c r="KF59" s="6">
        <f>SUMIFS('Time based aggregation (hide)'!$J:$J,'Time based aggregation (hide)'!$E:$E,1,'Time based aggregation (hide)'!$F:$F,1,'Time based aggregation (hide)'!$A:$A,ROW(A17))</f>
        <v>0</v>
      </c>
      <c r="KG59" s="6">
        <f>SUMIFS('Time based aggregation (hide)'!$J:$J,'Time based aggregation (hide)'!$E:$E,1,'Time based aggregation (hide)'!$F:$F,2,'Time based aggregation (hide)'!$A:$A,ROW(A17))</f>
        <v>0</v>
      </c>
      <c r="KH59" s="6">
        <f>SUMIFS('Time based aggregation (hide)'!$J:$J,'Time based aggregation (hide)'!$E:$E,1,'Time based aggregation (hide)'!$F:$F,3,'Time based aggregation (hide)'!$A:$A,ROW(A17))</f>
        <v>0</v>
      </c>
      <c r="KI59" s="6">
        <f>SUMIFS('Time based aggregation (hide)'!$J:$J,'Time based aggregation (hide)'!$E:$E,2,'Time based aggregation (hide)'!$F:$F,1,'Time based aggregation (hide)'!$A:$A,ROW(A17))</f>
        <v>0</v>
      </c>
      <c r="KJ59" s="6">
        <f>SUMIFS('Time based aggregation (hide)'!$J:$J,'Time based aggregation (hide)'!$E:$E,2,'Time based aggregation (hide)'!$F:$F,2,'Time based aggregation (hide)'!$A:$A,ROW(A17))</f>
        <v>0</v>
      </c>
      <c r="KK59" s="6">
        <f>SUMIFS('Time based aggregation (hide)'!$J:$J,'Time based aggregation (hide)'!$E:$E,2,'Time based aggregation (hide)'!$F:$F,3,'Time based aggregation (hide)'!$A:$A,ROW(A17))</f>
        <v>0</v>
      </c>
      <c r="KL59" s="6">
        <f>SUMIFS('Time based aggregation (hide)'!$J:$J,'Time based aggregation (hide)'!$E:$E,3,'Time based aggregation (hide)'!$F:$F,1,'Time based aggregation (hide)'!$A:$A,ROW(A17))</f>
        <v>0</v>
      </c>
      <c r="KM59" s="6">
        <f>SUMIFS('Time based aggregation (hide)'!$J:$J,'Time based aggregation (hide)'!$E:$E,3,'Time based aggregation (hide)'!$F:$F,2,'Time based aggregation (hide)'!$A:$A,ROW(A17))</f>
        <v>0</v>
      </c>
      <c r="KN59" s="6">
        <f>SUMIFS('Time based aggregation (hide)'!$J:$J,'Time based aggregation (hide)'!$E:$E,3,'Time based aggregation (hide)'!$F:$F,3,'Time based aggregation (hide)'!$A:$A,ROW(A17))</f>
        <v>0</v>
      </c>
      <c r="KO59" s="6">
        <f>SUMIFS('Time based aggregation (hide)'!$J:$J,'Time based aggregation (hide)'!$E:$E,4,'Time based aggregation (hide)'!$F:$F,1,'Time based aggregation (hide)'!$A:$A,ROW(A17))</f>
        <v>0</v>
      </c>
      <c r="KP59" s="6">
        <f>SUMIFS('Time based aggregation (hide)'!$J:$J,'Time based aggregation (hide)'!$E:$E,4,'Time based aggregation (hide)'!$F:$F,2,'Time based aggregation (hide)'!$A:$A,ROW(A17))</f>
        <v>0</v>
      </c>
      <c r="KQ59" s="6">
        <f>SUMIFS('Time based aggregation (hide)'!$J:$J,'Time based aggregation (hide)'!$E:$E,4,'Time based aggregation (hide)'!$F:$F,3,'Time based aggregation (hide)'!$A:$A,ROW(A17))</f>
        <v>0</v>
      </c>
      <c r="KR59" s="6">
        <f>SUMIFS('Time based aggregation (hide)'!$J:$J,'Time based aggregation (hide)'!$E:$E,5,'Time based aggregation (hide)'!$F:$F,1,'Time based aggregation (hide)'!$A:$A,ROW(A17))</f>
        <v>0</v>
      </c>
      <c r="KS59" s="6">
        <f>SUMIFS('Time based aggregation (hide)'!$J:$J,'Time based aggregation (hide)'!$E:$E,5,'Time based aggregation (hide)'!$F:$F,2,'Time based aggregation (hide)'!$A:$A,ROW(A17))</f>
        <v>0</v>
      </c>
      <c r="KT59" s="6">
        <f>SUMIFS('Time based aggregation (hide)'!$J:$J,'Time based aggregation (hide)'!$E:$E,5,'Time based aggregation (hide)'!$F:$F,3,'Time based aggregation (hide)'!$A:$A,ROW(A17))</f>
        <v>0</v>
      </c>
      <c r="KU59" s="6">
        <f>SUMIFS('Time based aggregation (hide)'!$J:$J,'Time based aggregation (hide)'!$E:$E,6,'Time based aggregation (hide)'!$F:$F,1,'Time based aggregation (hide)'!$A:$A,ROW(A17))</f>
        <v>0</v>
      </c>
      <c r="KV59" s="6">
        <f>SUMIFS('Time based aggregation (hide)'!$J:$J,'Time based aggregation (hide)'!$E:$E,6,'Time based aggregation (hide)'!$F:$F,2,'Time based aggregation (hide)'!$A:$A,ROW(A17))</f>
        <v>0</v>
      </c>
      <c r="KW59" s="6">
        <f>SUMIFS('Time based aggregation (hide)'!$J:$J,'Time based aggregation (hide)'!$E:$E,6,'Time based aggregation (hide)'!$F:$F,3,'Time based aggregation (hide)'!$A:$A,ROW(A17))</f>
        <v>0</v>
      </c>
      <c r="KX59" s="6">
        <f>SUMIFS('Time based aggregation (hide)'!$J:$J,'Time based aggregation (hide)'!$E:$E,7,'Time based aggregation (hide)'!$F:$F,1,'Time based aggregation (hide)'!$A:$A,ROW(A17))</f>
        <v>0</v>
      </c>
      <c r="KY59" s="6">
        <f>SUMIFS('Time based aggregation (hide)'!$J:$J,'Time based aggregation (hide)'!$E:$E,7,'Time based aggregation (hide)'!$F:$F,2,'Time based aggregation (hide)'!$A:$A,ROW(A17))</f>
        <v>0</v>
      </c>
      <c r="KZ59" s="6">
        <f>SUMIFS('Time based aggregation (hide)'!$J:$J,'Time based aggregation (hide)'!$E:$E,7,'Time based aggregation (hide)'!$F:$F,3,'Time based aggregation (hide)'!$A:$A,ROW(A17))</f>
        <v>0</v>
      </c>
      <c r="LA59" s="6">
        <f>SUMIFS('Time based aggregation (hide)'!$J:$J,'Time based aggregation (hide)'!$E:$E,8,'Time based aggregation (hide)'!$F:$F,1,'Time based aggregation (hide)'!$A:$A,ROW(A17))</f>
        <v>0</v>
      </c>
      <c r="LB59" s="6">
        <f>SUMIFS('Time based aggregation (hide)'!$J:$J,'Time based aggregation (hide)'!$E:$E,8,'Time based aggregation (hide)'!$F:$F,2,'Time based aggregation (hide)'!$A:$A,ROW(A17))</f>
        <v>0</v>
      </c>
      <c r="LC59" s="6">
        <f>SUMIFS('Time based aggregation (hide)'!$J:$J,'Time based aggregation (hide)'!$E:$E,8,'Time based aggregation (hide)'!$F:$F,3,'Time based aggregation (hide)'!$A:$A,ROW(A17))</f>
        <v>0</v>
      </c>
      <c r="LD59" s="6">
        <f>SUMIFS('Time based aggregation (hide)'!$J:$J,'Time based aggregation (hide)'!$E:$E,9,'Time based aggregation (hide)'!$F:$F,1,'Time based aggregation (hide)'!$A:$A,ROW(A17))</f>
        <v>0</v>
      </c>
      <c r="LE59" s="6">
        <f>SUMIFS('Time based aggregation (hide)'!$J:$J,'Time based aggregation (hide)'!$E:$E,9,'Time based aggregation (hide)'!$F:$F,2,'Time based aggregation (hide)'!$A:$A,ROW(A17))</f>
        <v>0</v>
      </c>
      <c r="LF59" s="6">
        <f>SUMIFS('Time based aggregation (hide)'!$J:$J,'Time based aggregation (hide)'!$E:$E,9,'Time based aggregation (hide)'!$F:$F,3,'Time based aggregation (hide)'!$A:$A,ROW(A17))</f>
        <v>0</v>
      </c>
      <c r="LG59" s="6">
        <f>SUMIFS('Time based aggregation (hide)'!$J:$J,'Time based aggregation (hide)'!$E:$E,10,'Time based aggregation (hide)'!$F:$F,1,'Time based aggregation (hide)'!$A:$A,ROW(A17))</f>
        <v>0</v>
      </c>
      <c r="LH59" s="6">
        <f>SUMIFS('Time based aggregation (hide)'!$J:$J,'Time based aggregation (hide)'!$E:$E,10,'Time based aggregation (hide)'!$F:$F,2,'Time based aggregation (hide)'!$A:$A,ROW(A17))</f>
        <v>0</v>
      </c>
      <c r="LI59" s="6">
        <f>SUMIFS('Time based aggregation (hide)'!$J:$J,'Time based aggregation (hide)'!$E:$E,10,'Time based aggregation (hide)'!$F:$F,3,'Time based aggregation (hide)'!$A:$A,ROW(A17))</f>
        <v>0</v>
      </c>
      <c r="LJ59" s="6">
        <f>SUMIFS('Time based aggregation (hide)'!$J:$J,'Time based aggregation (hide)'!$E:$E,11,'Time based aggregation (hide)'!$F:$F,1,'Time based aggregation (hide)'!$A:$A,ROW(A17))</f>
        <v>0</v>
      </c>
      <c r="LK59" s="6">
        <f>SUMIFS('Time based aggregation (hide)'!$J:$J,'Time based aggregation (hide)'!$E:$E,11,'Time based aggregation (hide)'!$F:$F,2,'Time based aggregation (hide)'!$A:$A,ROW(A17))</f>
        <v>0</v>
      </c>
      <c r="LL59" s="6">
        <f>SUMIFS('Time based aggregation (hide)'!$J:$J,'Time based aggregation (hide)'!$E:$E,11,'Time based aggregation (hide)'!$F:$F,3,'Time based aggregation (hide)'!$A:$A,ROW(A17))</f>
        <v>0</v>
      </c>
      <c r="LM59" s="6">
        <f>SUMIFS('Time based aggregation (hide)'!$J:$J,'Time based aggregation (hide)'!$E:$E,12,'Time based aggregation (hide)'!$F:$F,1,'Time based aggregation (hide)'!$A:$A,ROW(A17))</f>
        <v>0</v>
      </c>
      <c r="LN59" s="6">
        <f>SUMIFS('Time based aggregation (hide)'!$J:$J,'Time based aggregation (hide)'!$E:$E,12,'Time based aggregation (hide)'!$F:$F,2,'Time based aggregation (hide)'!$A:$A,ROW(A17))</f>
        <v>0</v>
      </c>
      <c r="LO59" s="6">
        <f>SUMIFS('Time based aggregation (hide)'!$J:$J,'Time based aggregation (hide)'!$E:$E,12,'Time based aggregation (hide)'!$F:$F,3,'Time based aggregation (hide)'!$A:$A,ROW(A17))</f>
        <v>0</v>
      </c>
      <c r="LP59" s="6">
        <f>SUMIFS('Time based aggregation (hide)'!$J:$J,'Time based aggregation (hide)'!$E:$E,13,'Time based aggregation (hide)'!$F:$F,1,'Time based aggregation (hide)'!$A:$A,ROW(A17))</f>
        <v>0</v>
      </c>
      <c r="LQ59" s="6">
        <f>SUMIFS('Time based aggregation (hide)'!$J:$J,'Time based aggregation (hide)'!$E:$E,13,'Time based aggregation (hide)'!$F:$F,2,'Time based aggregation (hide)'!$A:$A,ROW(A17))</f>
        <v>0</v>
      </c>
      <c r="LR59" s="6">
        <f>SUMIFS('Time based aggregation (hide)'!$J:$J,'Time based aggregation (hide)'!$E:$E,13,'Time based aggregation (hide)'!$F:$F,3,'Time based aggregation (hide)'!$A:$A,ROW(A17))</f>
        <v>0</v>
      </c>
      <c r="LS59" s="6">
        <f>SUMIFS('Time based aggregation (hide)'!$J:$J,'Time based aggregation (hide)'!$E:$E,14,'Time based aggregation (hide)'!$F:$F,1,'Time based aggregation (hide)'!$A:$A,ROW(A17))</f>
        <v>0</v>
      </c>
      <c r="LT59" s="6">
        <f>SUMIFS('Time based aggregation (hide)'!$J:$J,'Time based aggregation (hide)'!$E:$E,14,'Time based aggregation (hide)'!$F:$F,2,'Time based aggregation (hide)'!$A:$A,ROW(A17))</f>
        <v>0</v>
      </c>
      <c r="LU59" s="6">
        <f>SUMIFS('Time based aggregation (hide)'!$J:$J,'Time based aggregation (hide)'!$E:$E,14,'Time based aggregation (hide)'!$F:$F,3,'Time based aggregation (hide)'!$A:$A,ROW(A17))</f>
        <v>0</v>
      </c>
      <c r="LV59" s="6">
        <f>SUMIFS('Time based aggregation (hide)'!$J:$J,'Time based aggregation (hide)'!$E:$E,15,'Time based aggregation (hide)'!$F:$F,1,'Time based aggregation (hide)'!$A:$A,ROW(A17))</f>
        <v>0</v>
      </c>
      <c r="LW59" s="6">
        <f>SUMIFS('Time based aggregation (hide)'!$J:$J,'Time based aggregation (hide)'!$E:$E,15,'Time based aggregation (hide)'!$F:$F,2,'Time based aggregation (hide)'!$A:$A,ROW(A17))</f>
        <v>0</v>
      </c>
      <c r="LX59" s="6">
        <f>SUMIFS('Time based aggregation (hide)'!$J:$J,'Time based aggregation (hide)'!$E:$E,15,'Time based aggregation (hide)'!$F:$F,3,'Time based aggregation (hide)'!$A:$A,ROW(A17))</f>
        <v>0</v>
      </c>
      <c r="LY59" s="6">
        <f>SUMIFS('Time based aggregation (hide)'!$J:$J,'Time based aggregation (hide)'!$E:$E,16,'Time based aggregation (hide)'!$F:$F,1,'Time based aggregation (hide)'!$A:$A,ROW(A17))</f>
        <v>0</v>
      </c>
      <c r="LZ59" s="6">
        <f>SUMIFS('Time based aggregation (hide)'!$J:$J,'Time based aggregation (hide)'!$E:$E,16,'Time based aggregation (hide)'!$F:$F,2,'Time based aggregation (hide)'!$A:$A,ROW(A17))</f>
        <v>0</v>
      </c>
      <c r="MA59" s="6">
        <f>SUMIFS('Time based aggregation (hide)'!$J:$J,'Time based aggregation (hide)'!$E:$E,16,'Time based aggregation (hide)'!$F:$F,3,'Time based aggregation (hide)'!$A:$A,ROW(A17))</f>
        <v>0</v>
      </c>
      <c r="MB59" s="6">
        <f>SUMIFS('Time based aggregation (hide)'!$J:$J,'Time based aggregation (hide)'!$E:$E,17,'Time based aggregation (hide)'!$F:$F,1,'Time based aggregation (hide)'!$A:$A,ROW(A17))</f>
        <v>0</v>
      </c>
      <c r="MC59" s="6">
        <f>SUMIFS('Time based aggregation (hide)'!$J:$J,'Time based aggregation (hide)'!$E:$E,17,'Time based aggregation (hide)'!$F:$F,2,'Time based aggregation (hide)'!$A:$A,ROW(A17))</f>
        <v>0</v>
      </c>
      <c r="MD59" s="6">
        <f>SUMIFS('Time based aggregation (hide)'!$J:$J,'Time based aggregation (hide)'!$E:$E,17,'Time based aggregation (hide)'!$F:$F,3,'Time based aggregation (hide)'!$A:$A,ROW(A17))</f>
        <v>0</v>
      </c>
      <c r="ME59" s="6">
        <f>SUMIFS('Time based aggregation (hide)'!$J:$J,'Time based aggregation (hide)'!$E:$E,18,'Time based aggregation (hide)'!$F:$F,1,'Time based aggregation (hide)'!$A:$A,ROW(A17))</f>
        <v>0</v>
      </c>
      <c r="MF59" s="6">
        <f>SUMIFS('Time based aggregation (hide)'!$J:$J,'Time based aggregation (hide)'!$E:$E,18,'Time based aggregation (hide)'!$F:$F,2,'Time based aggregation (hide)'!$A:$A,ROW(A17))</f>
        <v>0</v>
      </c>
      <c r="MG59" s="6">
        <f>SUMIFS('Time based aggregation (hide)'!$J:$J,'Time based aggregation (hide)'!$E:$E,18,'Time based aggregation (hide)'!$F:$F,3,'Time based aggregation (hide)'!$A:$A,ROW(A17))</f>
        <v>0</v>
      </c>
      <c r="MH59" s="6">
        <f>SUMIFS('Time based aggregation (hide)'!$J:$J,'Time based aggregation (hide)'!$E:$E,19,'Time based aggregation (hide)'!$F:$F,1,'Time based aggregation (hide)'!$A:$A,ROW(A17))</f>
        <v>0</v>
      </c>
      <c r="MI59" s="6">
        <f>SUMIFS('Time based aggregation (hide)'!$J:$J,'Time based aggregation (hide)'!$E:$E,19,'Time based aggregation (hide)'!$F:$F,2,'Time based aggregation (hide)'!$A:$A,ROW(A17))</f>
        <v>0</v>
      </c>
      <c r="MJ59" s="6">
        <f>SUMIFS('Time based aggregation (hide)'!$J:$J,'Time based aggregation (hide)'!$E:$E,19,'Time based aggregation (hide)'!$F:$F,3,'Time based aggregation (hide)'!$A:$A,ROW(A17))</f>
        <v>0</v>
      </c>
      <c r="MK59" s="6">
        <f>SUMIFS('Time based aggregation (hide)'!$J:$J,'Time based aggregation (hide)'!$E:$E,20,'Time based aggregation (hide)'!$F:$F,1,'Time based aggregation (hide)'!$A:$A,ROW(A17))</f>
        <v>0</v>
      </c>
      <c r="ML59" s="6">
        <f>SUMIFS('Time based aggregation (hide)'!$J:$J,'Time based aggregation (hide)'!$E:$E,20,'Time based aggregation (hide)'!$F:$F,2,'Time based aggregation (hide)'!$A:$A,ROW(A17))</f>
        <v>0</v>
      </c>
      <c r="MM59" s="6">
        <f>SUMIFS('Time based aggregation (hide)'!$J:$J,'Time based aggregation (hide)'!$E:$E,20,'Time based aggregation (hide)'!$F:$F,3,'Time based aggregation (hide)'!$A:$A,ROW(A17))</f>
        <v>0</v>
      </c>
      <c r="MN59" s="7">
        <f t="shared" ca="1" si="36"/>
        <v>0</v>
      </c>
      <c r="MO59" s="7">
        <f t="shared" ca="1" si="32"/>
        <v>0</v>
      </c>
      <c r="MP59" s="7">
        <f t="shared" ca="1" si="32"/>
        <v>0</v>
      </c>
      <c r="MQ59" s="7">
        <f t="shared" ca="1" si="32"/>
        <v>0</v>
      </c>
      <c r="MR59" s="7">
        <f t="shared" ca="1" si="32"/>
        <v>0</v>
      </c>
    </row>
    <row r="60" spans="1:356" x14ac:dyDescent="0.25">
      <c r="A60">
        <f>1</f>
        <v>1</v>
      </c>
      <c r="B60" s="85">
        <f t="shared" si="37"/>
        <v>43848</v>
      </c>
      <c r="C60" s="85">
        <f t="shared" si="25"/>
        <v>43843</v>
      </c>
      <c r="D60">
        <f t="shared" ca="1" si="26"/>
        <v>0</v>
      </c>
      <c r="E60" s="85">
        <f t="shared" si="27"/>
        <v>43831</v>
      </c>
      <c r="F60">
        <f t="shared" si="33"/>
        <v>3</v>
      </c>
      <c r="H60">
        <f t="shared" si="34"/>
        <v>18</v>
      </c>
      <c r="I60" s="85">
        <f t="shared" si="38"/>
        <v>43948</v>
      </c>
      <c r="J60">
        <f t="shared" ca="1" si="28"/>
        <v>5</v>
      </c>
      <c r="K60">
        <f t="shared" ca="1" si="29"/>
        <v>1.968503937007874E-2</v>
      </c>
      <c r="L60" s="114"/>
      <c r="M60" s="85"/>
      <c r="N60" s="85">
        <f t="shared" si="35"/>
        <v>43948</v>
      </c>
      <c r="O60" s="122">
        <f t="shared" ca="1" si="39"/>
        <v>0</v>
      </c>
      <c r="P60" s="122">
        <f t="shared" ca="1" si="39"/>
        <v>0</v>
      </c>
      <c r="Q60" s="122">
        <f t="shared" ca="1" si="39"/>
        <v>0</v>
      </c>
      <c r="R60" s="122">
        <f t="shared" ca="1" si="39"/>
        <v>0.8</v>
      </c>
      <c r="S60" s="122">
        <f t="shared" ca="1" si="39"/>
        <v>0.2</v>
      </c>
      <c r="T60" s="122">
        <f t="shared" ca="1" si="39"/>
        <v>0</v>
      </c>
      <c r="U60" s="122">
        <f t="shared" ca="1" si="39"/>
        <v>0</v>
      </c>
      <c r="V60" s="122">
        <f t="shared" ca="1" si="39"/>
        <v>0</v>
      </c>
      <c r="W60" s="122">
        <f t="shared" ca="1" si="39"/>
        <v>0</v>
      </c>
      <c r="X60" s="122">
        <f t="shared" ca="1" si="39"/>
        <v>0</v>
      </c>
      <c r="Y60" s="122">
        <f t="shared" ca="1" si="39"/>
        <v>0</v>
      </c>
      <c r="Z60" s="122">
        <f t="shared" ca="1" si="39"/>
        <v>0</v>
      </c>
      <c r="AA60" s="122"/>
      <c r="AB60" s="140">
        <f>INDEX('File 1'!Weekly_Adjusted,18,1)</f>
        <v>388.17143954725253</v>
      </c>
      <c r="AC60" s="140">
        <f>INDEX('File 1'!Weekly_Adjusted,18,2)</f>
        <v>0</v>
      </c>
      <c r="AD60" s="140">
        <f>INDEX('File 1'!Weekly_Adjusted,18,3)</f>
        <v>0</v>
      </c>
      <c r="AE60" s="141">
        <f>INDEX('File 2'!Weekly_Adjusted,18,1)</f>
        <v>0</v>
      </c>
      <c r="AF60" s="141">
        <f>INDEX('File 2'!Weekly_Adjusted,18,2)</f>
        <v>0</v>
      </c>
      <c r="AG60" s="141">
        <f>INDEX('File 2'!Weekly_Adjusted,18,3)</f>
        <v>0</v>
      </c>
      <c r="AH60" s="140">
        <f>INDEX('File 3'!Weekly_Adjusted,18,1)</f>
        <v>0</v>
      </c>
      <c r="AI60" s="140">
        <f>INDEX('File 3'!Weekly_Adjusted,18,2)</f>
        <v>0</v>
      </c>
      <c r="AJ60" s="140">
        <f>INDEX('File 3'!Weekly_Adjusted,18,3)</f>
        <v>0</v>
      </c>
      <c r="AK60" s="141">
        <f>INDEX('File 4'!Weekly_Adjusted,18,1)</f>
        <v>0</v>
      </c>
      <c r="AL60" s="141">
        <f>INDEX('File 4'!Weekly_Adjusted,18,2)</f>
        <v>0</v>
      </c>
      <c r="AM60" s="141">
        <f>INDEX('File 4'!Weekly_Adjusted,18,3)</f>
        <v>0</v>
      </c>
      <c r="AN60" s="140">
        <f>INDEX('File 5'!Weekly_Adjusted,18,1)</f>
        <v>0</v>
      </c>
      <c r="AO60" s="140">
        <f>INDEX('File 5'!Weekly_Adjusted,18,2)</f>
        <v>0</v>
      </c>
      <c r="AP60" s="140">
        <f>INDEX('File 5'!Weekly_Adjusted,18,3)</f>
        <v>0</v>
      </c>
      <c r="AQ60" s="141">
        <f>INDEX('File 6'!Weekly_Adjusted,18,1)</f>
        <v>0</v>
      </c>
      <c r="AR60" s="141">
        <f>INDEX('File 6'!Weekly_Adjusted,18,2)</f>
        <v>0</v>
      </c>
      <c r="AS60" s="141">
        <f>INDEX('File 6'!Weekly_Adjusted,18,3)</f>
        <v>0</v>
      </c>
      <c r="AT60" s="140">
        <f>INDEX('File 7'!Weekly_Adjusted,18,1)</f>
        <v>0</v>
      </c>
      <c r="AU60" s="140">
        <f>INDEX('File 7'!Weekly_Adjusted,18,2)</f>
        <v>0</v>
      </c>
      <c r="AV60" s="140">
        <f>INDEX('File 7'!Weekly_Adjusted,18,3)</f>
        <v>0</v>
      </c>
      <c r="AW60" s="141">
        <f>INDEX('File 8'!Weekly_Adjusted,18,1)</f>
        <v>0</v>
      </c>
      <c r="AX60" s="141">
        <f>INDEX('File 8'!Weekly_Adjusted,18,2)</f>
        <v>0</v>
      </c>
      <c r="AY60" s="141">
        <f>INDEX('File 8'!Weekly_Adjusted,18,3)</f>
        <v>0</v>
      </c>
      <c r="AZ60" s="140">
        <f>INDEX('File 9'!Weekly_Adjusted,18,1)</f>
        <v>0</v>
      </c>
      <c r="BA60" s="140">
        <f>INDEX('File 9'!Weekly_Adjusted,18,2)</f>
        <v>0</v>
      </c>
      <c r="BB60" s="140">
        <f>INDEX('File 9'!Weekly_Adjusted,18,3)</f>
        <v>0</v>
      </c>
      <c r="BC60" s="141">
        <f>INDEX('File 10'!Weekly_Adjusted,18,1)</f>
        <v>0</v>
      </c>
      <c r="BD60" s="141">
        <f>INDEX('File 10'!Weekly_Adjusted,18,2)</f>
        <v>0</v>
      </c>
      <c r="BE60" s="141">
        <f>INDEX('File 10'!Weekly_Adjusted,18,3)</f>
        <v>0</v>
      </c>
      <c r="BF60" s="140">
        <f>INDEX('File 11'!Weekly_Adjusted,18,1)</f>
        <v>0</v>
      </c>
      <c r="BG60" s="140">
        <f>INDEX('File 11'!Weekly_Adjusted,18,2)</f>
        <v>0</v>
      </c>
      <c r="BH60" s="140">
        <f>INDEX('File 11'!Weekly_Adjusted,18,3)</f>
        <v>0</v>
      </c>
      <c r="BI60" s="141">
        <f>INDEX('File 12'!Weekly_Adjusted,18,1)</f>
        <v>0</v>
      </c>
      <c r="BJ60" s="141">
        <f>INDEX('File 12'!Weekly_Adjusted,18,2)</f>
        <v>0</v>
      </c>
      <c r="BK60" s="141">
        <f>INDEX('File 12'!Weekly_Adjusted,18,3)</f>
        <v>0</v>
      </c>
      <c r="BL60" s="140">
        <f>INDEX('File 13'!Weekly_Adjusted,18,1)</f>
        <v>0</v>
      </c>
      <c r="BM60" s="140">
        <f>INDEX('File 13'!Weekly_Adjusted,18,2)</f>
        <v>0</v>
      </c>
      <c r="BN60" s="140">
        <f>INDEX('File 13'!Weekly_Adjusted,18,3)</f>
        <v>0</v>
      </c>
      <c r="BO60" s="141">
        <f>INDEX('File 14'!Weekly_Adjusted,18,1)</f>
        <v>0</v>
      </c>
      <c r="BP60" s="141">
        <f>INDEX('File 14'!Weekly_Adjusted,18,2)</f>
        <v>0</v>
      </c>
      <c r="BQ60" s="141">
        <f>INDEX('File 14'!Weekly_Adjusted,18,3)</f>
        <v>0</v>
      </c>
      <c r="BR60" s="140">
        <f>INDEX('File 15'!Weekly_Adjusted,18,1)</f>
        <v>0</v>
      </c>
      <c r="BS60" s="140">
        <f>INDEX('File 15'!Weekly_Adjusted,18,2)</f>
        <v>0</v>
      </c>
      <c r="BT60" s="140">
        <f>INDEX('File 15'!Weekly_Adjusted,18,3)</f>
        <v>0</v>
      </c>
      <c r="BU60" s="141">
        <f>INDEX('File 16'!Weekly_Adjusted,18,1)</f>
        <v>0</v>
      </c>
      <c r="BV60" s="141">
        <f>INDEX('File 16'!Weekly_Adjusted,18,2)</f>
        <v>0</v>
      </c>
      <c r="BW60" s="141">
        <f>INDEX('File 16'!Weekly_Adjusted,18,3)</f>
        <v>0</v>
      </c>
      <c r="BX60" s="140">
        <f>INDEX('File 17'!Weekly_Adjusted,18,1)</f>
        <v>0</v>
      </c>
      <c r="BY60" s="140">
        <f>INDEX('File 17'!Weekly_Adjusted,18,2)</f>
        <v>0</v>
      </c>
      <c r="BZ60" s="140">
        <f>INDEX('File 17'!Weekly_Adjusted,18,3)</f>
        <v>0</v>
      </c>
      <c r="CA60" s="141">
        <f>INDEX('File 18'!Weekly_Adjusted,18,1)</f>
        <v>0</v>
      </c>
      <c r="CB60" s="141">
        <f>INDEX('File 18'!Weekly_Adjusted,18,2)</f>
        <v>0</v>
      </c>
      <c r="CC60" s="141">
        <f>INDEX('File 18'!Weekly_Adjusted,18,3)</f>
        <v>0</v>
      </c>
      <c r="CD60" s="140">
        <f>INDEX('File 19'!Weekly_Adjusted,18,1)</f>
        <v>0</v>
      </c>
      <c r="CE60" s="140">
        <f>INDEX('File 19'!Weekly_Adjusted,18,2)</f>
        <v>0</v>
      </c>
      <c r="CF60" s="140">
        <f>INDEX('File 19'!Weekly_Adjusted,18,3)</f>
        <v>0</v>
      </c>
      <c r="CG60" s="141">
        <f>INDEX('File 20'!Weekly_Adjusted,18,1)</f>
        <v>0</v>
      </c>
      <c r="CH60" s="141">
        <f>INDEX('File 20'!Weekly_Adjusted,18,2)</f>
        <v>0</v>
      </c>
      <c r="CI60" s="141">
        <f>INDEX('File 20'!Weekly_Adjusted,18,3)</f>
        <v>0</v>
      </c>
      <c r="CJ60" s="6">
        <f ca="1">SUMIFS(INDEX(Demand_Activity_Weekly,ROW(A18),0),Demand_Activity_Weekly_Header,CJ$42)</f>
        <v>388.17143954725253</v>
      </c>
      <c r="CK60" s="6">
        <f ca="1">SUMIFS(INDEX(Demand_Activity_Weekly,ROW(B18),0),Demand_Activity_Weekly_Header,CK$42)</f>
        <v>0</v>
      </c>
      <c r="CL60" s="6">
        <f ca="1">SUMIFS(INDEX(Demand_Activity_Weekly,ROW(C18),0),Demand_Activity_Weekly_Header,CL$42)</f>
        <v>0</v>
      </c>
      <c r="CM60" s="6">
        <f ca="1">SUMIFS(INDEX(Demand_Activity_Weekly,ROW(D18),0),Demand_Activity_Weekly_Header,CM$42)</f>
        <v>0</v>
      </c>
      <c r="CN60" s="6">
        <f ca="1">SUMIFS(INDEX(Demand_Activity_Weekly,ROW(E18),0),Demand_Activity_Weekly_Header,CN$42)</f>
        <v>0</v>
      </c>
      <c r="CP60" s="142">
        <f ca="1">INDEX('File 1'!Weekly_Adjusted,18,10)</f>
        <v>24.919784152855019</v>
      </c>
      <c r="CQ60" s="142">
        <f>INDEX('File 1'!Weekly_Adjusted,18,11)</f>
        <v>0</v>
      </c>
      <c r="CR60" s="142">
        <f>INDEX('File 1'!Weekly_Adjusted,18,12)</f>
        <v>0</v>
      </c>
      <c r="CS60" s="143">
        <f>INDEX('File 2'!Weekly_Adjusted,18,10)</f>
        <v>0</v>
      </c>
      <c r="CT60" s="143">
        <f>INDEX('File 2'!Weekly_Adjusted,18,11)</f>
        <v>0</v>
      </c>
      <c r="CU60" s="143">
        <f>INDEX('File 2'!Weekly_Adjusted,18,12)</f>
        <v>0</v>
      </c>
      <c r="CV60" s="142">
        <f>INDEX('File 3'!Weekly_Adjusted,18,10)</f>
        <v>0</v>
      </c>
      <c r="CW60" s="142">
        <f>INDEX('File 3'!Weekly_Adjusted,18,11)</f>
        <v>0</v>
      </c>
      <c r="CX60" s="142">
        <f>INDEX('File 3'!Weekly_Adjusted,18,12)</f>
        <v>0</v>
      </c>
      <c r="CY60" s="143">
        <f>INDEX('File 4'!Weekly_Adjusted,18,10)</f>
        <v>0</v>
      </c>
      <c r="CZ60" s="143">
        <f>INDEX('File 4'!Weekly_Adjusted,18,11)</f>
        <v>0</v>
      </c>
      <c r="DA60" s="143">
        <f>INDEX('File 4'!Weekly_Adjusted,18,12)</f>
        <v>0</v>
      </c>
      <c r="DB60" s="142">
        <f>INDEX('File 5'!Weekly_Adjusted,18,10)</f>
        <v>0</v>
      </c>
      <c r="DC60" s="142">
        <f>INDEX('File 5'!Weekly_Adjusted,18,11)</f>
        <v>0</v>
      </c>
      <c r="DD60" s="142">
        <f>INDEX('File 5'!Weekly_Adjusted,18,12)</f>
        <v>0</v>
      </c>
      <c r="DE60" s="143">
        <f>INDEX('File 6'!Weekly_Adjusted,18,10)</f>
        <v>0</v>
      </c>
      <c r="DF60" s="143">
        <f>INDEX('File 6'!Weekly_Adjusted,18,11)</f>
        <v>0</v>
      </c>
      <c r="DG60" s="143">
        <f>INDEX('File 6'!Weekly_Adjusted,18,12)</f>
        <v>0</v>
      </c>
      <c r="DH60" s="142">
        <f>INDEX('File 7'!Weekly_Adjusted,18,10)</f>
        <v>0</v>
      </c>
      <c r="DI60" s="142">
        <f>INDEX('File 7'!Weekly_Adjusted,18,11)</f>
        <v>0</v>
      </c>
      <c r="DJ60" s="142">
        <f>INDEX('File 7'!Weekly_Adjusted,18,12)</f>
        <v>0</v>
      </c>
      <c r="DK60" s="143">
        <f>INDEX('File 8'!Weekly_Adjusted,18,10)</f>
        <v>0</v>
      </c>
      <c r="DL60" s="143">
        <f>INDEX('File 8'!Weekly_Adjusted,18,11)</f>
        <v>0</v>
      </c>
      <c r="DM60" s="143">
        <f>INDEX('File 8'!Weekly_Adjusted,18,12)</f>
        <v>0</v>
      </c>
      <c r="DN60" s="142">
        <f>INDEX('File 9'!Weekly_Adjusted,18,10)</f>
        <v>0</v>
      </c>
      <c r="DO60" s="142">
        <f>INDEX('File 9'!Weekly_Adjusted,18,11)</f>
        <v>0</v>
      </c>
      <c r="DP60" s="142">
        <f>INDEX('File 9'!Weekly_Adjusted,18,12)</f>
        <v>0</v>
      </c>
      <c r="DQ60" s="143">
        <f>INDEX('File 10'!Weekly_Adjusted,18,10)</f>
        <v>0</v>
      </c>
      <c r="DR60" s="143">
        <f>INDEX('File 10'!Weekly_Adjusted,18,11)</f>
        <v>0</v>
      </c>
      <c r="DS60" s="143">
        <f>INDEX('File 10'!Weekly_Adjusted,18,12)</f>
        <v>0</v>
      </c>
      <c r="DT60" s="142">
        <f>INDEX('File 11'!Weekly_Adjusted,18,10)</f>
        <v>0</v>
      </c>
      <c r="DU60" s="142">
        <f>INDEX('File 11'!Weekly_Adjusted,18,11)</f>
        <v>0</v>
      </c>
      <c r="DV60" s="142">
        <f>INDEX('File 11'!Weekly_Adjusted,18,12)</f>
        <v>0</v>
      </c>
      <c r="DW60" s="143">
        <f>INDEX('File 12'!Weekly_Adjusted,18,10)</f>
        <v>0</v>
      </c>
      <c r="DX60" s="143">
        <f>INDEX('File 12'!Weekly_Adjusted,18,11)</f>
        <v>0</v>
      </c>
      <c r="DY60" s="143">
        <f>INDEX('File 12'!Weekly_Adjusted,18,12)</f>
        <v>0</v>
      </c>
      <c r="DZ60" s="142">
        <f>INDEX('File 13'!Weekly_Adjusted,18,10)</f>
        <v>0</v>
      </c>
      <c r="EA60" s="142">
        <f>INDEX('File 13'!Weekly_Adjusted,18,11)</f>
        <v>0</v>
      </c>
      <c r="EB60" s="142">
        <f>INDEX('File 13'!Weekly_Adjusted,18,12)</f>
        <v>0</v>
      </c>
      <c r="EC60" s="143">
        <f>INDEX('File 14'!Weekly_Adjusted,18,10)</f>
        <v>0</v>
      </c>
      <c r="ED60" s="143">
        <f>INDEX('File 14'!Weekly_Adjusted,18,11)</f>
        <v>0</v>
      </c>
      <c r="EE60" s="143">
        <f>INDEX('File 14'!Weekly_Adjusted,18,12)</f>
        <v>0</v>
      </c>
      <c r="EF60" s="142">
        <f>INDEX('File 15'!Weekly_Adjusted,18,10)</f>
        <v>0</v>
      </c>
      <c r="EG60" s="142">
        <f>INDEX('File 15'!Weekly_Adjusted,18,11)</f>
        <v>0</v>
      </c>
      <c r="EH60" s="142">
        <f>INDEX('File 15'!Weekly_Adjusted,18,12)</f>
        <v>0</v>
      </c>
      <c r="EI60" s="143">
        <f>INDEX('File 16'!Weekly_Adjusted,18,10)</f>
        <v>0</v>
      </c>
      <c r="EJ60" s="143">
        <f>INDEX('File 16'!Weekly_Adjusted,18,11)</f>
        <v>0</v>
      </c>
      <c r="EK60" s="143">
        <f>INDEX('File 16'!Weekly_Adjusted,18,12)</f>
        <v>0</v>
      </c>
      <c r="EL60" s="142">
        <f>INDEX('File 17'!Weekly_Adjusted,18,10)</f>
        <v>0</v>
      </c>
      <c r="EM60" s="142">
        <f>INDEX('File 17'!Weekly_Adjusted,18,11)</f>
        <v>0</v>
      </c>
      <c r="EN60" s="142">
        <f>INDEX('File 17'!Weekly_Adjusted,18,12)</f>
        <v>0</v>
      </c>
      <c r="EO60" s="143">
        <f>INDEX('File 18'!Weekly_Adjusted,18,10)</f>
        <v>0</v>
      </c>
      <c r="EP60" s="143">
        <f>INDEX('File 18'!Weekly_Adjusted,18,11)</f>
        <v>0</v>
      </c>
      <c r="EQ60" s="143">
        <f>INDEX('File 18'!Weekly_Adjusted,18,12)</f>
        <v>0</v>
      </c>
      <c r="ER60" s="142">
        <f>INDEX('File 19'!Weekly_Adjusted,18,10)</f>
        <v>0</v>
      </c>
      <c r="ES60" s="142">
        <f>INDEX('File 19'!Weekly_Adjusted,18,11)</f>
        <v>0</v>
      </c>
      <c r="ET60" s="142">
        <f>INDEX('File 19'!Weekly_Adjusted,18,12)</f>
        <v>0</v>
      </c>
      <c r="EU60" s="143">
        <f>INDEX('File 20'!Weekly_Adjusted,18,10)</f>
        <v>0</v>
      </c>
      <c r="EV60" s="143">
        <f>INDEX('File 20'!Weekly_Adjusted,18,11)</f>
        <v>0</v>
      </c>
      <c r="EW60" s="143">
        <f>INDEX('File 20'!Weekly_Adjusted,18,12)</f>
        <v>0</v>
      </c>
      <c r="EX60" s="6">
        <f ca="1">SUMIFS(INDEX(Capacity_Activity_Weekly,ROW(A18),0),Demand_Activity_Weekly_Header,CJ$42)</f>
        <v>24.919784152855019</v>
      </c>
      <c r="EY60" s="6">
        <f ca="1">SUMIFS(INDEX(Capacity_Activity_Weekly,ROW(B18),0),Demand_Activity_Weekly_Header,CK$42)</f>
        <v>0</v>
      </c>
      <c r="EZ60" s="6">
        <f ca="1">SUMIFS(INDEX(Capacity_Activity_Weekly,ROW(C18),0),Demand_Activity_Weekly_Header,CL$42)</f>
        <v>0</v>
      </c>
      <c r="FA60" s="6">
        <f ca="1">SUMIFS(INDEX(Capacity_Activity_Weekly,ROW(D18),0),Demand_Activity_Weekly_Header,CM$42)</f>
        <v>0</v>
      </c>
      <c r="FB60" s="6">
        <f ca="1">SUMIFS(INDEX(Capacity_Activity_Weekly,ROW(E18),0),Demand_Activity_Weekly_Header,CN$42)</f>
        <v>0</v>
      </c>
      <c r="FD60" s="7">
        <f>'File 1'!$Q$54*'Time based aggregation (hide)'!$Q22</f>
        <v>0</v>
      </c>
      <c r="FE60" s="7">
        <f>'File 1'!$R$54*'Time based aggregation (hide)'!$R22</f>
        <v>0</v>
      </c>
      <c r="FF60" s="7">
        <f>'File 1'!$S$54*'Time based aggregation (hide)'!$S22</f>
        <v>0</v>
      </c>
      <c r="FG60" s="7">
        <f>'File 2'!$Q$54*'Time based aggregation (hide)'!$T22</f>
        <v>0</v>
      </c>
      <c r="FH60" s="7">
        <f>'File 2'!$R$54*'Time based aggregation (hide)'!$U22</f>
        <v>0</v>
      </c>
      <c r="FI60" s="7">
        <f>'File 2'!$S$54*'Time based aggregation (hide)'!$V22</f>
        <v>0</v>
      </c>
      <c r="FJ60" s="7">
        <f>'File 3'!$Q$54*'Time based aggregation (hide)'!$W22</f>
        <v>0</v>
      </c>
      <c r="FK60" s="7">
        <f>'File 3'!$R$54*'Time based aggregation (hide)'!$X22</f>
        <v>0</v>
      </c>
      <c r="FL60" s="7">
        <f>'File 3'!$S$54*'Time based aggregation (hide)'!$Y22</f>
        <v>0</v>
      </c>
      <c r="FM60" s="7">
        <f>'File 4'!$Q$54*'Time based aggregation (hide)'!$Z22</f>
        <v>0</v>
      </c>
      <c r="FN60" s="7">
        <f>'File 4'!$R$54*'Time based aggregation (hide)'!$AA22</f>
        <v>0</v>
      </c>
      <c r="FO60" s="7">
        <f>'File 4'!$S$54*'Time based aggregation (hide)'!$AB22</f>
        <v>0</v>
      </c>
      <c r="FP60" s="7">
        <f>'File 5'!$Q$54*'Time based aggregation (hide)'!$AC22</f>
        <v>0</v>
      </c>
      <c r="FQ60" s="7">
        <f>'File 5'!$R$54*'Time based aggregation (hide)'!$AD22</f>
        <v>0</v>
      </c>
      <c r="FR60" s="7">
        <f>'File 5'!$S$54*'Time based aggregation (hide)'!$AE22</f>
        <v>0</v>
      </c>
      <c r="FS60" s="7">
        <f>'File 6'!$Q$54*'Time based aggregation (hide)'!$AF22</f>
        <v>0</v>
      </c>
      <c r="FT60" s="7">
        <f>'File 6'!$R$54*'Time based aggregation (hide)'!$AG22</f>
        <v>0</v>
      </c>
      <c r="FU60" s="7">
        <f>'File 6'!$S$54*'Time based aggregation (hide)'!$AH22</f>
        <v>0</v>
      </c>
      <c r="FV60" s="7">
        <f>'File 7'!$Q$54*'Time based aggregation (hide)'!$AI22</f>
        <v>0</v>
      </c>
      <c r="FW60" s="7">
        <f>'File 7'!$R$54*'Time based aggregation (hide)'!$AJ22</f>
        <v>0</v>
      </c>
      <c r="FX60" s="7">
        <f>'File 7'!$S$54*'Time based aggregation (hide)'!$AK22</f>
        <v>0</v>
      </c>
      <c r="FY60" s="7">
        <f>'File 8'!$Q$54*'Time based aggregation (hide)'!$AL22</f>
        <v>0</v>
      </c>
      <c r="FZ60" s="7">
        <f>'File 8'!$R$54*'Time based aggregation (hide)'!$AM22</f>
        <v>0</v>
      </c>
      <c r="GA60" s="7">
        <f>'File 8'!$S$54*'Time based aggregation (hide)'!$AN22</f>
        <v>0</v>
      </c>
      <c r="GB60" s="7">
        <f>'File 9'!$Q$54*'Time based aggregation (hide)'!$AO22</f>
        <v>0</v>
      </c>
      <c r="GC60" s="7">
        <f>'File 9'!$R$54*'Time based aggregation (hide)'!$AP22</f>
        <v>0</v>
      </c>
      <c r="GD60" s="7">
        <f>'File 9'!$S$54*'Time based aggregation (hide)'!$AQ22</f>
        <v>0</v>
      </c>
      <c r="GE60" s="7">
        <f>'File 10'!$Q$54*'Time based aggregation (hide)'!$AR22</f>
        <v>0</v>
      </c>
      <c r="GF60" s="7">
        <f>'File 10'!$R$54*'Time based aggregation (hide)'!$AS22</f>
        <v>0</v>
      </c>
      <c r="GG60" s="7">
        <f>'File 10'!$S$54*'Time based aggregation (hide)'!$AT22</f>
        <v>0</v>
      </c>
      <c r="GH60" s="7">
        <f>'File 11'!$Q$54*'Time based aggregation (hide)'!$AU22</f>
        <v>0</v>
      </c>
      <c r="GI60" s="7">
        <f>'File 11'!$R$54*'Time based aggregation (hide)'!$AV22</f>
        <v>0</v>
      </c>
      <c r="GJ60" s="7">
        <f>'File 11'!$S$54*'Time based aggregation (hide)'!$AW22</f>
        <v>0</v>
      </c>
      <c r="GK60" s="7">
        <f>'File 12'!$Q$54*'Time based aggregation (hide)'!$AX22</f>
        <v>0</v>
      </c>
      <c r="GL60" s="7">
        <f>'File 12'!$R$54*'Time based aggregation (hide)'!$AY22</f>
        <v>0</v>
      </c>
      <c r="GM60" s="7">
        <f>'File 12'!$S$54*'Time based aggregation (hide)'!$AZ22</f>
        <v>0</v>
      </c>
      <c r="GN60" s="7">
        <f>'File 13'!$Q$54*'Time based aggregation (hide)'!$BA22</f>
        <v>0</v>
      </c>
      <c r="GO60" s="7">
        <f>'File 13'!$R$54*'Time based aggregation (hide)'!$BB22</f>
        <v>0</v>
      </c>
      <c r="GP60" s="7">
        <f>'File 13'!$S$54*'Time based aggregation (hide)'!$BC22</f>
        <v>0</v>
      </c>
      <c r="GQ60" s="7">
        <f>'File 14'!$Q$54*'Time based aggregation (hide)'!$BD22</f>
        <v>0</v>
      </c>
      <c r="GR60" s="7">
        <f>'File 14'!$R$54*'Time based aggregation (hide)'!$BE22</f>
        <v>0</v>
      </c>
      <c r="GS60" s="7">
        <f>'File 14'!$S$54*'Time based aggregation (hide)'!$BF22</f>
        <v>0</v>
      </c>
      <c r="GT60" s="7">
        <f>'File 15'!$Q$54*'Time based aggregation (hide)'!$BG22</f>
        <v>0</v>
      </c>
      <c r="GU60" s="7">
        <f>'File 15'!$R$54*'Time based aggregation (hide)'!$BH22</f>
        <v>0</v>
      </c>
      <c r="GV60" s="7">
        <f>'File 15'!$S$54*'Time based aggregation (hide)'!$BI22</f>
        <v>0</v>
      </c>
      <c r="GW60" s="7">
        <f>'File 16'!$Q$54*'Time based aggregation (hide)'!$BJ22</f>
        <v>0</v>
      </c>
      <c r="GX60" s="7">
        <f>'File 16'!$R$54*'Time based aggregation (hide)'!$BK22</f>
        <v>0</v>
      </c>
      <c r="GY60" s="7">
        <f>'File 16'!$S$54*'Time based aggregation (hide)'!$BL22</f>
        <v>0</v>
      </c>
      <c r="GZ60" s="7">
        <f>'File 17'!$Q$54*'Time based aggregation (hide)'!$BM22</f>
        <v>0</v>
      </c>
      <c r="HA60" s="7">
        <f>'File 17'!$R$54*'Time based aggregation (hide)'!$BN22</f>
        <v>0</v>
      </c>
      <c r="HB60" s="7">
        <f>'File 17'!$S$54*'Time based aggregation (hide)'!$BO22</f>
        <v>0</v>
      </c>
      <c r="HC60" s="7">
        <f>'File 18'!$Q$54*'Time based aggregation (hide)'!$BP22</f>
        <v>0</v>
      </c>
      <c r="HD60" s="7">
        <f>'File 18'!$R$54*'Time based aggregation (hide)'!$BQ22</f>
        <v>0</v>
      </c>
      <c r="HE60" s="7">
        <f>'File 18'!$S$54*'Time based aggregation (hide)'!$BR22</f>
        <v>0</v>
      </c>
      <c r="HF60" s="7">
        <f>'File 19'!$Q$54*'Time based aggregation (hide)'!$BS22</f>
        <v>0</v>
      </c>
      <c r="HG60" s="7">
        <f>'File 19'!$R$54*'Time based aggregation (hide)'!$BT22</f>
        <v>0</v>
      </c>
      <c r="HH60" s="7">
        <f>'File 19'!$S$54*'Time based aggregation (hide)'!$BU22</f>
        <v>0</v>
      </c>
      <c r="HI60" s="7">
        <f>'File 20'!$Q$54*'Time based aggregation (hide)'!$BV22</f>
        <v>0</v>
      </c>
      <c r="HJ60" s="7">
        <f>'File 20'!$R$54*'Time based aggregation (hide)'!$BW22</f>
        <v>0</v>
      </c>
      <c r="HK60" s="7">
        <f>'File 20'!$S$54*'Time based aggregation (hide)'!$BX22</f>
        <v>0</v>
      </c>
      <c r="HL60" s="7">
        <f t="shared" ca="1" si="40"/>
        <v>0</v>
      </c>
      <c r="HM60" s="7">
        <f t="shared" ca="1" si="40"/>
        <v>0</v>
      </c>
      <c r="HN60" s="7">
        <f t="shared" ca="1" si="40"/>
        <v>0</v>
      </c>
      <c r="HO60" s="7">
        <f t="shared" ca="1" si="40"/>
        <v>0</v>
      </c>
      <c r="HP60" s="7">
        <f t="shared" ca="1" si="40"/>
        <v>0</v>
      </c>
      <c r="HR60" s="142">
        <f ca="1">INDEX('File 1'!Weekly_Adjusted,18,16)</f>
        <v>21.427839876658773</v>
      </c>
      <c r="HS60" s="142">
        <f>INDEX('File 1'!Weekly_Adjusted,18,17)</f>
        <v>0</v>
      </c>
      <c r="HT60" s="142">
        <f>INDEX('File 1'!Weekly_Adjusted,18,18)</f>
        <v>0</v>
      </c>
      <c r="HU60" s="143">
        <f>INDEX('File 2'!Weekly_Adjusted,18,16)</f>
        <v>0</v>
      </c>
      <c r="HV60" s="143">
        <f>INDEX('File 2'!Weekly_Adjusted,18,17)</f>
        <v>0</v>
      </c>
      <c r="HW60" s="143">
        <f>INDEX('File 2'!Weekly_Adjusted,18,18)</f>
        <v>0</v>
      </c>
      <c r="HX60" s="142">
        <f>INDEX('File 3'!Weekly_Adjusted,18,16)</f>
        <v>0</v>
      </c>
      <c r="HY60" s="142">
        <f>INDEX('File 3'!Weekly_Adjusted,18,17)</f>
        <v>0</v>
      </c>
      <c r="HZ60" s="142">
        <f>INDEX('File 3'!Weekly_Adjusted,18,18)</f>
        <v>0</v>
      </c>
      <c r="IA60" s="143">
        <f>INDEX('File 4'!Weekly_Adjusted,18,16)</f>
        <v>0</v>
      </c>
      <c r="IB60" s="143">
        <f>INDEX('File 4'!Weekly_Adjusted,18,17)</f>
        <v>0</v>
      </c>
      <c r="IC60" s="143">
        <f>INDEX('File 4'!Weekly_Adjusted,18,18)</f>
        <v>0</v>
      </c>
      <c r="ID60" s="142">
        <f>INDEX('File 5'!Weekly_Adjusted,18,16)</f>
        <v>0</v>
      </c>
      <c r="IE60" s="142">
        <f>INDEX('File 5'!Weekly_Adjusted,18,17)</f>
        <v>0</v>
      </c>
      <c r="IF60" s="142">
        <f>INDEX('File 5'!Weekly_Adjusted,18,18)</f>
        <v>0</v>
      </c>
      <c r="IG60" s="143">
        <f>INDEX('File 6'!Weekly_Adjusted,18,16)</f>
        <v>0</v>
      </c>
      <c r="IH60" s="143">
        <f>INDEX('File 6'!Weekly_Adjusted,18,17)</f>
        <v>0</v>
      </c>
      <c r="II60" s="143">
        <f>INDEX('File 6'!Weekly_Adjusted,18,18)</f>
        <v>0</v>
      </c>
      <c r="IJ60" s="142">
        <f>INDEX('File 7'!Weekly_Adjusted,18,16)</f>
        <v>0</v>
      </c>
      <c r="IK60" s="142">
        <f>INDEX('File 7'!Weekly_Adjusted,18,17)</f>
        <v>0</v>
      </c>
      <c r="IL60" s="142">
        <f>INDEX('File 7'!Weekly_Adjusted,18,18)</f>
        <v>0</v>
      </c>
      <c r="IM60" s="143">
        <f>INDEX('File 8'!Weekly_Adjusted,18,16)</f>
        <v>0</v>
      </c>
      <c r="IN60" s="143">
        <f>INDEX('File 8'!Weekly_Adjusted,18,17)</f>
        <v>0</v>
      </c>
      <c r="IO60" s="143">
        <f>INDEX('File 8'!Weekly_Adjusted,18,18)</f>
        <v>0</v>
      </c>
      <c r="IP60" s="142">
        <f>INDEX('File 9'!Weekly_Adjusted,18,16)</f>
        <v>0</v>
      </c>
      <c r="IQ60" s="142">
        <f>INDEX('File 9'!Weekly_Adjusted,18,17)</f>
        <v>0</v>
      </c>
      <c r="IR60" s="142">
        <f>INDEX('File 9'!Weekly_Adjusted,18,18)</f>
        <v>0</v>
      </c>
      <c r="IS60" s="143">
        <f>INDEX('File 10'!Weekly_Adjusted,18,16)</f>
        <v>0</v>
      </c>
      <c r="IT60" s="143">
        <f>INDEX('File 10'!Weekly_Adjusted,18,17)</f>
        <v>0</v>
      </c>
      <c r="IU60" s="143">
        <f>INDEX('File 10'!Weekly_Adjusted,18,18)</f>
        <v>0</v>
      </c>
      <c r="IV60" s="142">
        <f>INDEX('File 11'!Weekly_Adjusted,18,16)</f>
        <v>0</v>
      </c>
      <c r="IW60" s="142">
        <f>INDEX('File 11'!Weekly_Adjusted,18,17)</f>
        <v>0</v>
      </c>
      <c r="IX60" s="142">
        <f>INDEX('File 11'!Weekly_Adjusted,18,18)</f>
        <v>0</v>
      </c>
      <c r="IY60" s="143">
        <f>INDEX('File 12'!Weekly_Adjusted,18,16)</f>
        <v>0</v>
      </c>
      <c r="IZ60" s="143">
        <f>INDEX('File 12'!Weekly_Adjusted,18,17)</f>
        <v>0</v>
      </c>
      <c r="JA60" s="143">
        <f>INDEX('File 12'!Weekly_Adjusted,18,18)</f>
        <v>0</v>
      </c>
      <c r="JB60" s="142">
        <f>INDEX('File 13'!Weekly_Adjusted,18,16)</f>
        <v>0</v>
      </c>
      <c r="JC60" s="142">
        <f>INDEX('File 13'!Weekly_Adjusted,18,17)</f>
        <v>0</v>
      </c>
      <c r="JD60" s="142">
        <f>INDEX('File 13'!Weekly_Adjusted,18,18)</f>
        <v>0</v>
      </c>
      <c r="JE60" s="143">
        <f>INDEX('File 14'!Weekly_Adjusted,18,16)</f>
        <v>0</v>
      </c>
      <c r="JF60" s="143">
        <f>INDEX('File 14'!Weekly_Adjusted,18,17)</f>
        <v>0</v>
      </c>
      <c r="JG60" s="143">
        <f>INDEX('File 14'!Weekly_Adjusted,18,18)</f>
        <v>0</v>
      </c>
      <c r="JH60" s="142">
        <f>INDEX('File 15'!Weekly_Adjusted,18,16)</f>
        <v>0</v>
      </c>
      <c r="JI60" s="142">
        <f>INDEX('File 15'!Weekly_Adjusted,18,17)</f>
        <v>0</v>
      </c>
      <c r="JJ60" s="142">
        <f>INDEX('File 15'!Weekly_Adjusted,18,18)</f>
        <v>0</v>
      </c>
      <c r="JK60" s="143">
        <f>INDEX('File 16'!Weekly_Adjusted,18,16)</f>
        <v>0</v>
      </c>
      <c r="JL60" s="143">
        <f>INDEX('File 16'!Weekly_Adjusted,18,17)</f>
        <v>0</v>
      </c>
      <c r="JM60" s="143">
        <f>INDEX('File 16'!Weekly_Adjusted,18,18)</f>
        <v>0</v>
      </c>
      <c r="JN60" s="142">
        <f>INDEX('File 17'!Weekly_Adjusted,18,16)</f>
        <v>0</v>
      </c>
      <c r="JO60" s="142">
        <f>INDEX('File 17'!Weekly_Adjusted,18,17)</f>
        <v>0</v>
      </c>
      <c r="JP60" s="142">
        <f>INDEX('File 17'!Weekly_Adjusted,18,18)</f>
        <v>0</v>
      </c>
      <c r="JQ60" s="143">
        <f>INDEX('File 18'!Weekly_Adjusted,18,16)</f>
        <v>0</v>
      </c>
      <c r="JR60" s="143">
        <f>INDEX('File 18'!Weekly_Adjusted,18,17)</f>
        <v>0</v>
      </c>
      <c r="JS60" s="143">
        <f>INDEX('File 18'!Weekly_Adjusted,18,18)</f>
        <v>0</v>
      </c>
      <c r="JT60" s="142">
        <f>INDEX('File 19'!Weekly_Adjusted,18,16)</f>
        <v>0</v>
      </c>
      <c r="JU60" s="142">
        <f>INDEX('File 19'!Weekly_Adjusted,18,17)</f>
        <v>0</v>
      </c>
      <c r="JV60" s="142">
        <f>INDEX('File 19'!Weekly_Adjusted,18,18)</f>
        <v>0</v>
      </c>
      <c r="JW60" s="143">
        <f>INDEX('File 20'!Weekly_Adjusted,18,16)</f>
        <v>0</v>
      </c>
      <c r="JX60" s="143">
        <f>INDEX('File 20'!Weekly_Adjusted,18,17)</f>
        <v>0</v>
      </c>
      <c r="JY60" s="143">
        <f>INDEX('File 20'!Weekly_Adjusted,18,18)</f>
        <v>0</v>
      </c>
      <c r="JZ60" s="6">
        <f ca="1">SUMIFS(INDEX(CapacityCore_Activity_Weekly,ROW(EC18),0),Demand_Activity_Weekly_Header,HL$42)</f>
        <v>21.427839876658773</v>
      </c>
      <c r="KA60" s="6">
        <f ca="1">SUMIFS(INDEX(CapacityCore_Activity_Weekly,ROW(ED18),0),Demand_Activity_Weekly_Header,HM$42)</f>
        <v>0</v>
      </c>
      <c r="KB60" s="6">
        <f ca="1">SUMIFS(INDEX(CapacityCore_Activity_Weekly,ROW(EE18),0),Demand_Activity_Weekly_Header,HN$42)</f>
        <v>0</v>
      </c>
      <c r="KC60" s="6">
        <f ca="1">SUMIFS(INDEX(CapacityCore_Activity_Weekly,ROW(EF18),0),Demand_Activity_Weekly_Header,HO$42)</f>
        <v>0</v>
      </c>
      <c r="KD60" s="6">
        <f ca="1">SUMIFS(INDEX(CapacityCore_Activity_Weekly,ROW(EG18),0),Demand_Activity_Weekly_Header,HP$42)</f>
        <v>0</v>
      </c>
      <c r="KF60" s="6">
        <f>SUMIFS('Time based aggregation (hide)'!$J:$J,'Time based aggregation (hide)'!$E:$E,1,'Time based aggregation (hide)'!$F:$F,1,'Time based aggregation (hide)'!$A:$A,ROW(A18))</f>
        <v>0</v>
      </c>
      <c r="KG60" s="6">
        <f>SUMIFS('Time based aggregation (hide)'!$J:$J,'Time based aggregation (hide)'!$E:$E,1,'Time based aggregation (hide)'!$F:$F,2,'Time based aggregation (hide)'!$A:$A,ROW(A18))</f>
        <v>0</v>
      </c>
      <c r="KH60" s="6">
        <f>SUMIFS('Time based aggregation (hide)'!$J:$J,'Time based aggregation (hide)'!$E:$E,1,'Time based aggregation (hide)'!$F:$F,3,'Time based aggregation (hide)'!$A:$A,ROW(A18))</f>
        <v>0</v>
      </c>
      <c r="KI60" s="6">
        <f>SUMIFS('Time based aggregation (hide)'!$J:$J,'Time based aggregation (hide)'!$E:$E,2,'Time based aggregation (hide)'!$F:$F,1,'Time based aggregation (hide)'!$A:$A,ROW(A18))</f>
        <v>0</v>
      </c>
      <c r="KJ60" s="6">
        <f>SUMIFS('Time based aggregation (hide)'!$J:$J,'Time based aggregation (hide)'!$E:$E,2,'Time based aggregation (hide)'!$F:$F,2,'Time based aggregation (hide)'!$A:$A,ROW(A18))</f>
        <v>0</v>
      </c>
      <c r="KK60" s="6">
        <f>SUMIFS('Time based aggregation (hide)'!$J:$J,'Time based aggregation (hide)'!$E:$E,2,'Time based aggregation (hide)'!$F:$F,3,'Time based aggregation (hide)'!$A:$A,ROW(A18))</f>
        <v>0</v>
      </c>
      <c r="KL60" s="6">
        <f>SUMIFS('Time based aggregation (hide)'!$J:$J,'Time based aggregation (hide)'!$E:$E,3,'Time based aggregation (hide)'!$F:$F,1,'Time based aggregation (hide)'!$A:$A,ROW(A18))</f>
        <v>0</v>
      </c>
      <c r="KM60" s="6">
        <f>SUMIFS('Time based aggregation (hide)'!$J:$J,'Time based aggregation (hide)'!$E:$E,3,'Time based aggregation (hide)'!$F:$F,2,'Time based aggregation (hide)'!$A:$A,ROW(A18))</f>
        <v>0</v>
      </c>
      <c r="KN60" s="6">
        <f>SUMIFS('Time based aggregation (hide)'!$J:$J,'Time based aggregation (hide)'!$E:$E,3,'Time based aggregation (hide)'!$F:$F,3,'Time based aggregation (hide)'!$A:$A,ROW(A18))</f>
        <v>0</v>
      </c>
      <c r="KO60" s="6">
        <f>SUMIFS('Time based aggregation (hide)'!$J:$J,'Time based aggregation (hide)'!$E:$E,4,'Time based aggregation (hide)'!$F:$F,1,'Time based aggregation (hide)'!$A:$A,ROW(A18))</f>
        <v>0</v>
      </c>
      <c r="KP60" s="6">
        <f>SUMIFS('Time based aggregation (hide)'!$J:$J,'Time based aggregation (hide)'!$E:$E,4,'Time based aggregation (hide)'!$F:$F,2,'Time based aggregation (hide)'!$A:$A,ROW(A18))</f>
        <v>0</v>
      </c>
      <c r="KQ60" s="6">
        <f>SUMIFS('Time based aggregation (hide)'!$J:$J,'Time based aggregation (hide)'!$E:$E,4,'Time based aggregation (hide)'!$F:$F,3,'Time based aggregation (hide)'!$A:$A,ROW(A18))</f>
        <v>0</v>
      </c>
      <c r="KR60" s="6">
        <f>SUMIFS('Time based aggregation (hide)'!$J:$J,'Time based aggregation (hide)'!$E:$E,5,'Time based aggregation (hide)'!$F:$F,1,'Time based aggregation (hide)'!$A:$A,ROW(A18))</f>
        <v>0</v>
      </c>
      <c r="KS60" s="6">
        <f>SUMIFS('Time based aggregation (hide)'!$J:$J,'Time based aggregation (hide)'!$E:$E,5,'Time based aggregation (hide)'!$F:$F,2,'Time based aggregation (hide)'!$A:$A,ROW(A18))</f>
        <v>0</v>
      </c>
      <c r="KT60" s="6">
        <f>SUMIFS('Time based aggregation (hide)'!$J:$J,'Time based aggregation (hide)'!$E:$E,5,'Time based aggregation (hide)'!$F:$F,3,'Time based aggregation (hide)'!$A:$A,ROW(A18))</f>
        <v>0</v>
      </c>
      <c r="KU60" s="6">
        <f>SUMIFS('Time based aggregation (hide)'!$J:$J,'Time based aggregation (hide)'!$E:$E,6,'Time based aggregation (hide)'!$F:$F,1,'Time based aggregation (hide)'!$A:$A,ROW(A18))</f>
        <v>0</v>
      </c>
      <c r="KV60" s="6">
        <f>SUMIFS('Time based aggregation (hide)'!$J:$J,'Time based aggregation (hide)'!$E:$E,6,'Time based aggregation (hide)'!$F:$F,2,'Time based aggregation (hide)'!$A:$A,ROW(A18))</f>
        <v>0</v>
      </c>
      <c r="KW60" s="6">
        <f>SUMIFS('Time based aggregation (hide)'!$J:$J,'Time based aggregation (hide)'!$E:$E,6,'Time based aggregation (hide)'!$F:$F,3,'Time based aggregation (hide)'!$A:$A,ROW(A18))</f>
        <v>0</v>
      </c>
      <c r="KX60" s="6">
        <f>SUMIFS('Time based aggregation (hide)'!$J:$J,'Time based aggregation (hide)'!$E:$E,7,'Time based aggregation (hide)'!$F:$F,1,'Time based aggregation (hide)'!$A:$A,ROW(A18))</f>
        <v>0</v>
      </c>
      <c r="KY60" s="6">
        <f>SUMIFS('Time based aggregation (hide)'!$J:$J,'Time based aggregation (hide)'!$E:$E,7,'Time based aggregation (hide)'!$F:$F,2,'Time based aggregation (hide)'!$A:$A,ROW(A18))</f>
        <v>0</v>
      </c>
      <c r="KZ60" s="6">
        <f>SUMIFS('Time based aggregation (hide)'!$J:$J,'Time based aggregation (hide)'!$E:$E,7,'Time based aggregation (hide)'!$F:$F,3,'Time based aggregation (hide)'!$A:$A,ROW(A18))</f>
        <v>0</v>
      </c>
      <c r="LA60" s="6">
        <f>SUMIFS('Time based aggregation (hide)'!$J:$J,'Time based aggregation (hide)'!$E:$E,8,'Time based aggregation (hide)'!$F:$F,1,'Time based aggregation (hide)'!$A:$A,ROW(A18))</f>
        <v>0</v>
      </c>
      <c r="LB60" s="6">
        <f>SUMIFS('Time based aggregation (hide)'!$J:$J,'Time based aggregation (hide)'!$E:$E,8,'Time based aggregation (hide)'!$F:$F,2,'Time based aggregation (hide)'!$A:$A,ROW(A18))</f>
        <v>0</v>
      </c>
      <c r="LC60" s="6">
        <f>SUMIFS('Time based aggregation (hide)'!$J:$J,'Time based aggregation (hide)'!$E:$E,8,'Time based aggregation (hide)'!$F:$F,3,'Time based aggregation (hide)'!$A:$A,ROW(A18))</f>
        <v>0</v>
      </c>
      <c r="LD60" s="6">
        <f>SUMIFS('Time based aggregation (hide)'!$J:$J,'Time based aggregation (hide)'!$E:$E,9,'Time based aggregation (hide)'!$F:$F,1,'Time based aggregation (hide)'!$A:$A,ROW(A18))</f>
        <v>0</v>
      </c>
      <c r="LE60" s="6">
        <f>SUMIFS('Time based aggregation (hide)'!$J:$J,'Time based aggregation (hide)'!$E:$E,9,'Time based aggregation (hide)'!$F:$F,2,'Time based aggregation (hide)'!$A:$A,ROW(A18))</f>
        <v>0</v>
      </c>
      <c r="LF60" s="6">
        <f>SUMIFS('Time based aggregation (hide)'!$J:$J,'Time based aggregation (hide)'!$E:$E,9,'Time based aggregation (hide)'!$F:$F,3,'Time based aggregation (hide)'!$A:$A,ROW(A18))</f>
        <v>0</v>
      </c>
      <c r="LG60" s="6">
        <f>SUMIFS('Time based aggregation (hide)'!$J:$J,'Time based aggregation (hide)'!$E:$E,10,'Time based aggregation (hide)'!$F:$F,1,'Time based aggregation (hide)'!$A:$A,ROW(A18))</f>
        <v>0</v>
      </c>
      <c r="LH60" s="6">
        <f>SUMIFS('Time based aggregation (hide)'!$J:$J,'Time based aggregation (hide)'!$E:$E,10,'Time based aggregation (hide)'!$F:$F,2,'Time based aggregation (hide)'!$A:$A,ROW(A18))</f>
        <v>0</v>
      </c>
      <c r="LI60" s="6">
        <f>SUMIFS('Time based aggregation (hide)'!$J:$J,'Time based aggregation (hide)'!$E:$E,10,'Time based aggregation (hide)'!$F:$F,3,'Time based aggregation (hide)'!$A:$A,ROW(A18))</f>
        <v>0</v>
      </c>
      <c r="LJ60" s="6">
        <f>SUMIFS('Time based aggregation (hide)'!$J:$J,'Time based aggregation (hide)'!$E:$E,11,'Time based aggregation (hide)'!$F:$F,1,'Time based aggregation (hide)'!$A:$A,ROW(A18))</f>
        <v>0</v>
      </c>
      <c r="LK60" s="6">
        <f>SUMIFS('Time based aggregation (hide)'!$J:$J,'Time based aggregation (hide)'!$E:$E,11,'Time based aggregation (hide)'!$F:$F,2,'Time based aggregation (hide)'!$A:$A,ROW(A18))</f>
        <v>0</v>
      </c>
      <c r="LL60" s="6">
        <f>SUMIFS('Time based aggregation (hide)'!$J:$J,'Time based aggregation (hide)'!$E:$E,11,'Time based aggregation (hide)'!$F:$F,3,'Time based aggregation (hide)'!$A:$A,ROW(A18))</f>
        <v>0</v>
      </c>
      <c r="LM60" s="6">
        <f>SUMIFS('Time based aggregation (hide)'!$J:$J,'Time based aggregation (hide)'!$E:$E,12,'Time based aggregation (hide)'!$F:$F,1,'Time based aggregation (hide)'!$A:$A,ROW(A18))</f>
        <v>0</v>
      </c>
      <c r="LN60" s="6">
        <f>SUMIFS('Time based aggregation (hide)'!$J:$J,'Time based aggregation (hide)'!$E:$E,12,'Time based aggregation (hide)'!$F:$F,2,'Time based aggregation (hide)'!$A:$A,ROW(A18))</f>
        <v>0</v>
      </c>
      <c r="LO60" s="6">
        <f>SUMIFS('Time based aggregation (hide)'!$J:$J,'Time based aggregation (hide)'!$E:$E,12,'Time based aggregation (hide)'!$F:$F,3,'Time based aggregation (hide)'!$A:$A,ROW(A18))</f>
        <v>0</v>
      </c>
      <c r="LP60" s="6">
        <f>SUMIFS('Time based aggregation (hide)'!$J:$J,'Time based aggregation (hide)'!$E:$E,13,'Time based aggregation (hide)'!$F:$F,1,'Time based aggregation (hide)'!$A:$A,ROW(A18))</f>
        <v>0</v>
      </c>
      <c r="LQ60" s="6">
        <f>SUMIFS('Time based aggregation (hide)'!$J:$J,'Time based aggregation (hide)'!$E:$E,13,'Time based aggregation (hide)'!$F:$F,2,'Time based aggregation (hide)'!$A:$A,ROW(A18))</f>
        <v>0</v>
      </c>
      <c r="LR60" s="6">
        <f>SUMIFS('Time based aggregation (hide)'!$J:$J,'Time based aggregation (hide)'!$E:$E,13,'Time based aggregation (hide)'!$F:$F,3,'Time based aggregation (hide)'!$A:$A,ROW(A18))</f>
        <v>0</v>
      </c>
      <c r="LS60" s="6">
        <f>SUMIFS('Time based aggregation (hide)'!$J:$J,'Time based aggregation (hide)'!$E:$E,14,'Time based aggregation (hide)'!$F:$F,1,'Time based aggregation (hide)'!$A:$A,ROW(A18))</f>
        <v>0</v>
      </c>
      <c r="LT60" s="6">
        <f>SUMIFS('Time based aggregation (hide)'!$J:$J,'Time based aggregation (hide)'!$E:$E,14,'Time based aggregation (hide)'!$F:$F,2,'Time based aggregation (hide)'!$A:$A,ROW(A18))</f>
        <v>0</v>
      </c>
      <c r="LU60" s="6">
        <f>SUMIFS('Time based aggregation (hide)'!$J:$J,'Time based aggregation (hide)'!$E:$E,14,'Time based aggregation (hide)'!$F:$F,3,'Time based aggregation (hide)'!$A:$A,ROW(A18))</f>
        <v>0</v>
      </c>
      <c r="LV60" s="6">
        <f>SUMIFS('Time based aggregation (hide)'!$J:$J,'Time based aggregation (hide)'!$E:$E,15,'Time based aggregation (hide)'!$F:$F,1,'Time based aggregation (hide)'!$A:$A,ROW(A18))</f>
        <v>0</v>
      </c>
      <c r="LW60" s="6">
        <f>SUMIFS('Time based aggregation (hide)'!$J:$J,'Time based aggregation (hide)'!$E:$E,15,'Time based aggregation (hide)'!$F:$F,2,'Time based aggregation (hide)'!$A:$A,ROW(A18))</f>
        <v>0</v>
      </c>
      <c r="LX60" s="6">
        <f>SUMIFS('Time based aggregation (hide)'!$J:$J,'Time based aggregation (hide)'!$E:$E,15,'Time based aggregation (hide)'!$F:$F,3,'Time based aggregation (hide)'!$A:$A,ROW(A18))</f>
        <v>0</v>
      </c>
      <c r="LY60" s="6">
        <f>SUMIFS('Time based aggregation (hide)'!$J:$J,'Time based aggregation (hide)'!$E:$E,16,'Time based aggregation (hide)'!$F:$F,1,'Time based aggregation (hide)'!$A:$A,ROW(A18))</f>
        <v>0</v>
      </c>
      <c r="LZ60" s="6">
        <f>SUMIFS('Time based aggregation (hide)'!$J:$J,'Time based aggregation (hide)'!$E:$E,16,'Time based aggregation (hide)'!$F:$F,2,'Time based aggregation (hide)'!$A:$A,ROW(A18))</f>
        <v>0</v>
      </c>
      <c r="MA60" s="6">
        <f>SUMIFS('Time based aggregation (hide)'!$J:$J,'Time based aggregation (hide)'!$E:$E,16,'Time based aggregation (hide)'!$F:$F,3,'Time based aggregation (hide)'!$A:$A,ROW(A18))</f>
        <v>0</v>
      </c>
      <c r="MB60" s="6">
        <f>SUMIFS('Time based aggregation (hide)'!$J:$J,'Time based aggregation (hide)'!$E:$E,17,'Time based aggregation (hide)'!$F:$F,1,'Time based aggregation (hide)'!$A:$A,ROW(A18))</f>
        <v>0</v>
      </c>
      <c r="MC60" s="6">
        <f>SUMIFS('Time based aggregation (hide)'!$J:$J,'Time based aggregation (hide)'!$E:$E,17,'Time based aggregation (hide)'!$F:$F,2,'Time based aggregation (hide)'!$A:$A,ROW(A18))</f>
        <v>0</v>
      </c>
      <c r="MD60" s="6">
        <f>SUMIFS('Time based aggregation (hide)'!$J:$J,'Time based aggregation (hide)'!$E:$E,17,'Time based aggregation (hide)'!$F:$F,3,'Time based aggregation (hide)'!$A:$A,ROW(A18))</f>
        <v>0</v>
      </c>
      <c r="ME60" s="6">
        <f>SUMIFS('Time based aggregation (hide)'!$J:$J,'Time based aggregation (hide)'!$E:$E,18,'Time based aggregation (hide)'!$F:$F,1,'Time based aggregation (hide)'!$A:$A,ROW(A18))</f>
        <v>0</v>
      </c>
      <c r="MF60" s="6">
        <f>SUMIFS('Time based aggregation (hide)'!$J:$J,'Time based aggregation (hide)'!$E:$E,18,'Time based aggregation (hide)'!$F:$F,2,'Time based aggregation (hide)'!$A:$A,ROW(A18))</f>
        <v>0</v>
      </c>
      <c r="MG60" s="6">
        <f>SUMIFS('Time based aggregation (hide)'!$J:$J,'Time based aggregation (hide)'!$E:$E,18,'Time based aggregation (hide)'!$F:$F,3,'Time based aggregation (hide)'!$A:$A,ROW(A18))</f>
        <v>0</v>
      </c>
      <c r="MH60" s="6">
        <f>SUMIFS('Time based aggregation (hide)'!$J:$J,'Time based aggregation (hide)'!$E:$E,19,'Time based aggregation (hide)'!$F:$F,1,'Time based aggregation (hide)'!$A:$A,ROW(A18))</f>
        <v>0</v>
      </c>
      <c r="MI60" s="6">
        <f>SUMIFS('Time based aggregation (hide)'!$J:$J,'Time based aggregation (hide)'!$E:$E,19,'Time based aggregation (hide)'!$F:$F,2,'Time based aggregation (hide)'!$A:$A,ROW(A18))</f>
        <v>0</v>
      </c>
      <c r="MJ60" s="6">
        <f>SUMIFS('Time based aggregation (hide)'!$J:$J,'Time based aggregation (hide)'!$E:$E,19,'Time based aggregation (hide)'!$F:$F,3,'Time based aggregation (hide)'!$A:$A,ROW(A18))</f>
        <v>0</v>
      </c>
      <c r="MK60" s="6">
        <f>SUMIFS('Time based aggregation (hide)'!$J:$J,'Time based aggregation (hide)'!$E:$E,20,'Time based aggregation (hide)'!$F:$F,1,'Time based aggregation (hide)'!$A:$A,ROW(A18))</f>
        <v>0</v>
      </c>
      <c r="ML60" s="6">
        <f>SUMIFS('Time based aggregation (hide)'!$J:$J,'Time based aggregation (hide)'!$E:$E,20,'Time based aggregation (hide)'!$F:$F,2,'Time based aggregation (hide)'!$A:$A,ROW(A18))</f>
        <v>0</v>
      </c>
      <c r="MM60" s="6">
        <f>SUMIFS('Time based aggregation (hide)'!$J:$J,'Time based aggregation (hide)'!$E:$E,20,'Time based aggregation (hide)'!$F:$F,3,'Time based aggregation (hide)'!$A:$A,ROW(A18))</f>
        <v>0</v>
      </c>
      <c r="MN60" s="7">
        <f t="shared" ref="MN60:MR75" ca="1" si="41">IF(OR($J$102=0,AND($J$102=0,$J$103=0)),SUMIFS($KF60:$MM60,$AB$42:$CI$42,MN$42),SUMIFS(OFFSET($KF60,0,($J$102-1)*3,1,3),OFFSET($KF$42,0,($J$102-1)*3,1,3),MN$42))</f>
        <v>0</v>
      </c>
      <c r="MO60" s="7">
        <f t="shared" ca="1" si="32"/>
        <v>0</v>
      </c>
      <c r="MP60" s="7">
        <f t="shared" ca="1" si="32"/>
        <v>0</v>
      </c>
      <c r="MQ60" s="7">
        <f t="shared" ca="1" si="32"/>
        <v>0</v>
      </c>
      <c r="MR60" s="7">
        <f t="shared" ca="1" si="32"/>
        <v>0</v>
      </c>
    </row>
    <row r="61" spans="1:356" x14ac:dyDescent="0.25">
      <c r="A61">
        <f>1</f>
        <v>1</v>
      </c>
      <c r="B61" s="85">
        <f t="shared" si="37"/>
        <v>43849</v>
      </c>
      <c r="C61" s="85">
        <f t="shared" si="25"/>
        <v>43843</v>
      </c>
      <c r="D61">
        <f t="shared" ca="1" si="26"/>
        <v>0</v>
      </c>
      <c r="E61" s="85">
        <f t="shared" si="27"/>
        <v>43831</v>
      </c>
      <c r="F61">
        <f t="shared" si="33"/>
        <v>3</v>
      </c>
      <c r="H61">
        <f t="shared" si="34"/>
        <v>19</v>
      </c>
      <c r="I61" s="85">
        <f t="shared" si="38"/>
        <v>43955</v>
      </c>
      <c r="J61">
        <f t="shared" ca="1" si="28"/>
        <v>4</v>
      </c>
      <c r="K61">
        <f t="shared" ca="1" si="29"/>
        <v>1.5748031496062992E-2</v>
      </c>
      <c r="L61" s="114"/>
      <c r="M61" s="85"/>
      <c r="N61" s="85">
        <f t="shared" si="35"/>
        <v>43955</v>
      </c>
      <c r="O61" s="122">
        <f t="shared" ca="1" si="39"/>
        <v>0</v>
      </c>
      <c r="P61" s="122">
        <f t="shared" ca="1" si="39"/>
        <v>0</v>
      </c>
      <c r="Q61" s="122">
        <f t="shared" ca="1" si="39"/>
        <v>0</v>
      </c>
      <c r="R61" s="122">
        <f t="shared" ca="1" si="39"/>
        <v>0</v>
      </c>
      <c r="S61" s="122">
        <f t="shared" ca="1" si="39"/>
        <v>1</v>
      </c>
      <c r="T61" s="122">
        <f t="shared" ca="1" si="39"/>
        <v>0</v>
      </c>
      <c r="U61" s="122">
        <f t="shared" ca="1" si="39"/>
        <v>0</v>
      </c>
      <c r="V61" s="122">
        <f t="shared" ca="1" si="39"/>
        <v>0</v>
      </c>
      <c r="W61" s="122">
        <f t="shared" ca="1" si="39"/>
        <v>0</v>
      </c>
      <c r="X61" s="122">
        <f t="shared" ca="1" si="39"/>
        <v>0</v>
      </c>
      <c r="Y61" s="122">
        <f t="shared" ca="1" si="39"/>
        <v>0</v>
      </c>
      <c r="Z61" s="122">
        <f t="shared" ca="1" si="39"/>
        <v>0</v>
      </c>
      <c r="AA61" s="122"/>
      <c r="AB61" s="140">
        <f>INDEX('File 1'!Weekly_Adjusted,19,1)</f>
        <v>388.17143954725253</v>
      </c>
      <c r="AC61" s="140">
        <f>INDEX('File 1'!Weekly_Adjusted,19,2)</f>
        <v>0</v>
      </c>
      <c r="AD61" s="140">
        <f>INDEX('File 1'!Weekly_Adjusted,19,3)</f>
        <v>0</v>
      </c>
      <c r="AE61" s="141">
        <f>INDEX('File 2'!Weekly_Adjusted,19,1)</f>
        <v>0</v>
      </c>
      <c r="AF61" s="141">
        <f>INDEX('File 2'!Weekly_Adjusted,19,2)</f>
        <v>0</v>
      </c>
      <c r="AG61" s="141">
        <f>INDEX('File 2'!Weekly_Adjusted,19,3)</f>
        <v>0</v>
      </c>
      <c r="AH61" s="140">
        <f>INDEX('File 3'!Weekly_Adjusted,19,1)</f>
        <v>0</v>
      </c>
      <c r="AI61" s="140">
        <f>INDEX('File 3'!Weekly_Adjusted,19,2)</f>
        <v>0</v>
      </c>
      <c r="AJ61" s="140">
        <f>INDEX('File 3'!Weekly_Adjusted,19,3)</f>
        <v>0</v>
      </c>
      <c r="AK61" s="141">
        <f>INDEX('File 4'!Weekly_Adjusted,19,1)</f>
        <v>0</v>
      </c>
      <c r="AL61" s="141">
        <f>INDEX('File 4'!Weekly_Adjusted,19,2)</f>
        <v>0</v>
      </c>
      <c r="AM61" s="141">
        <f>INDEX('File 4'!Weekly_Adjusted,19,3)</f>
        <v>0</v>
      </c>
      <c r="AN61" s="140">
        <f>INDEX('File 5'!Weekly_Adjusted,19,1)</f>
        <v>0</v>
      </c>
      <c r="AO61" s="140">
        <f>INDEX('File 5'!Weekly_Adjusted,19,2)</f>
        <v>0</v>
      </c>
      <c r="AP61" s="140">
        <f>INDEX('File 5'!Weekly_Adjusted,19,3)</f>
        <v>0</v>
      </c>
      <c r="AQ61" s="141">
        <f>INDEX('File 6'!Weekly_Adjusted,19,1)</f>
        <v>0</v>
      </c>
      <c r="AR61" s="141">
        <f>INDEX('File 6'!Weekly_Adjusted,19,2)</f>
        <v>0</v>
      </c>
      <c r="AS61" s="141">
        <f>INDEX('File 6'!Weekly_Adjusted,19,3)</f>
        <v>0</v>
      </c>
      <c r="AT61" s="140">
        <f>INDEX('File 7'!Weekly_Adjusted,19,1)</f>
        <v>0</v>
      </c>
      <c r="AU61" s="140">
        <f>INDEX('File 7'!Weekly_Adjusted,19,2)</f>
        <v>0</v>
      </c>
      <c r="AV61" s="140">
        <f>INDEX('File 7'!Weekly_Adjusted,19,3)</f>
        <v>0</v>
      </c>
      <c r="AW61" s="141">
        <f>INDEX('File 8'!Weekly_Adjusted,19,1)</f>
        <v>0</v>
      </c>
      <c r="AX61" s="141">
        <f>INDEX('File 8'!Weekly_Adjusted,19,2)</f>
        <v>0</v>
      </c>
      <c r="AY61" s="141">
        <f>INDEX('File 8'!Weekly_Adjusted,19,3)</f>
        <v>0</v>
      </c>
      <c r="AZ61" s="140">
        <f>INDEX('File 9'!Weekly_Adjusted,19,1)</f>
        <v>0</v>
      </c>
      <c r="BA61" s="140">
        <f>INDEX('File 9'!Weekly_Adjusted,19,2)</f>
        <v>0</v>
      </c>
      <c r="BB61" s="140">
        <f>INDEX('File 9'!Weekly_Adjusted,19,3)</f>
        <v>0</v>
      </c>
      <c r="BC61" s="141">
        <f>INDEX('File 10'!Weekly_Adjusted,19,1)</f>
        <v>0</v>
      </c>
      <c r="BD61" s="141">
        <f>INDEX('File 10'!Weekly_Adjusted,19,2)</f>
        <v>0</v>
      </c>
      <c r="BE61" s="141">
        <f>INDEX('File 10'!Weekly_Adjusted,19,3)</f>
        <v>0</v>
      </c>
      <c r="BF61" s="140">
        <f>INDEX('File 11'!Weekly_Adjusted,19,1)</f>
        <v>0</v>
      </c>
      <c r="BG61" s="140">
        <f>INDEX('File 11'!Weekly_Adjusted,19,2)</f>
        <v>0</v>
      </c>
      <c r="BH61" s="140">
        <f>INDEX('File 11'!Weekly_Adjusted,19,3)</f>
        <v>0</v>
      </c>
      <c r="BI61" s="141">
        <f>INDEX('File 12'!Weekly_Adjusted,19,1)</f>
        <v>0</v>
      </c>
      <c r="BJ61" s="141">
        <f>INDEX('File 12'!Weekly_Adjusted,19,2)</f>
        <v>0</v>
      </c>
      <c r="BK61" s="141">
        <f>INDEX('File 12'!Weekly_Adjusted,19,3)</f>
        <v>0</v>
      </c>
      <c r="BL61" s="140">
        <f>INDEX('File 13'!Weekly_Adjusted,19,1)</f>
        <v>0</v>
      </c>
      <c r="BM61" s="140">
        <f>INDEX('File 13'!Weekly_Adjusted,19,2)</f>
        <v>0</v>
      </c>
      <c r="BN61" s="140">
        <f>INDEX('File 13'!Weekly_Adjusted,19,3)</f>
        <v>0</v>
      </c>
      <c r="BO61" s="141">
        <f>INDEX('File 14'!Weekly_Adjusted,19,1)</f>
        <v>0</v>
      </c>
      <c r="BP61" s="141">
        <f>INDEX('File 14'!Weekly_Adjusted,19,2)</f>
        <v>0</v>
      </c>
      <c r="BQ61" s="141">
        <f>INDEX('File 14'!Weekly_Adjusted,19,3)</f>
        <v>0</v>
      </c>
      <c r="BR61" s="140">
        <f>INDEX('File 15'!Weekly_Adjusted,19,1)</f>
        <v>0</v>
      </c>
      <c r="BS61" s="140">
        <f>INDEX('File 15'!Weekly_Adjusted,19,2)</f>
        <v>0</v>
      </c>
      <c r="BT61" s="140">
        <f>INDEX('File 15'!Weekly_Adjusted,19,3)</f>
        <v>0</v>
      </c>
      <c r="BU61" s="141">
        <f>INDEX('File 16'!Weekly_Adjusted,19,1)</f>
        <v>0</v>
      </c>
      <c r="BV61" s="141">
        <f>INDEX('File 16'!Weekly_Adjusted,19,2)</f>
        <v>0</v>
      </c>
      <c r="BW61" s="141">
        <f>INDEX('File 16'!Weekly_Adjusted,19,3)</f>
        <v>0</v>
      </c>
      <c r="BX61" s="140">
        <f>INDEX('File 17'!Weekly_Adjusted,19,1)</f>
        <v>0</v>
      </c>
      <c r="BY61" s="140">
        <f>INDEX('File 17'!Weekly_Adjusted,19,2)</f>
        <v>0</v>
      </c>
      <c r="BZ61" s="140">
        <f>INDEX('File 17'!Weekly_Adjusted,19,3)</f>
        <v>0</v>
      </c>
      <c r="CA61" s="141">
        <f>INDEX('File 18'!Weekly_Adjusted,19,1)</f>
        <v>0</v>
      </c>
      <c r="CB61" s="141">
        <f>INDEX('File 18'!Weekly_Adjusted,19,2)</f>
        <v>0</v>
      </c>
      <c r="CC61" s="141">
        <f>INDEX('File 18'!Weekly_Adjusted,19,3)</f>
        <v>0</v>
      </c>
      <c r="CD61" s="140">
        <f>INDEX('File 19'!Weekly_Adjusted,19,1)</f>
        <v>0</v>
      </c>
      <c r="CE61" s="140">
        <f>INDEX('File 19'!Weekly_Adjusted,19,2)</f>
        <v>0</v>
      </c>
      <c r="CF61" s="140">
        <f>INDEX('File 19'!Weekly_Adjusted,19,3)</f>
        <v>0</v>
      </c>
      <c r="CG61" s="141">
        <f>INDEX('File 20'!Weekly_Adjusted,19,1)</f>
        <v>0</v>
      </c>
      <c r="CH61" s="141">
        <f>INDEX('File 20'!Weekly_Adjusted,19,2)</f>
        <v>0</v>
      </c>
      <c r="CI61" s="141">
        <f>INDEX('File 20'!Weekly_Adjusted,19,3)</f>
        <v>0</v>
      </c>
      <c r="CJ61" s="6">
        <f ca="1">SUMIFS(INDEX(Demand_Activity_Weekly,ROW(A19),0),Demand_Activity_Weekly_Header,CJ$42)</f>
        <v>388.17143954725253</v>
      </c>
      <c r="CK61" s="6">
        <f ca="1">SUMIFS(INDEX(Demand_Activity_Weekly,ROW(B19),0),Demand_Activity_Weekly_Header,CK$42)</f>
        <v>0</v>
      </c>
      <c r="CL61" s="6">
        <f ca="1">SUMIFS(INDEX(Demand_Activity_Weekly,ROW(C19),0),Demand_Activity_Weekly_Header,CL$42)</f>
        <v>0</v>
      </c>
      <c r="CM61" s="6">
        <f ca="1">SUMIFS(INDEX(Demand_Activity_Weekly,ROW(D19),0),Demand_Activity_Weekly_Header,CM$42)</f>
        <v>0</v>
      </c>
      <c r="CN61" s="6">
        <f ca="1">SUMIFS(INDEX(Demand_Activity_Weekly,ROW(E19),0),Demand_Activity_Weekly_Header,CN$42)</f>
        <v>0</v>
      </c>
      <c r="CP61" s="142">
        <f ca="1">INDEX('File 1'!Weekly_Adjusted,19,10)</f>
        <v>19.935827322284016</v>
      </c>
      <c r="CQ61" s="142">
        <f>INDEX('File 1'!Weekly_Adjusted,19,11)</f>
        <v>0</v>
      </c>
      <c r="CR61" s="142">
        <f>INDEX('File 1'!Weekly_Adjusted,19,12)</f>
        <v>0</v>
      </c>
      <c r="CS61" s="143">
        <f>INDEX('File 2'!Weekly_Adjusted,19,10)</f>
        <v>0</v>
      </c>
      <c r="CT61" s="143">
        <f>INDEX('File 2'!Weekly_Adjusted,19,11)</f>
        <v>0</v>
      </c>
      <c r="CU61" s="143">
        <f>INDEX('File 2'!Weekly_Adjusted,19,12)</f>
        <v>0</v>
      </c>
      <c r="CV61" s="142">
        <f>INDEX('File 3'!Weekly_Adjusted,19,10)</f>
        <v>0</v>
      </c>
      <c r="CW61" s="142">
        <f>INDEX('File 3'!Weekly_Adjusted,19,11)</f>
        <v>0</v>
      </c>
      <c r="CX61" s="142">
        <f>INDEX('File 3'!Weekly_Adjusted,19,12)</f>
        <v>0</v>
      </c>
      <c r="CY61" s="143">
        <f>INDEX('File 4'!Weekly_Adjusted,19,10)</f>
        <v>0</v>
      </c>
      <c r="CZ61" s="143">
        <f>INDEX('File 4'!Weekly_Adjusted,19,11)</f>
        <v>0</v>
      </c>
      <c r="DA61" s="143">
        <f>INDEX('File 4'!Weekly_Adjusted,19,12)</f>
        <v>0</v>
      </c>
      <c r="DB61" s="142">
        <f>INDEX('File 5'!Weekly_Adjusted,19,10)</f>
        <v>0</v>
      </c>
      <c r="DC61" s="142">
        <f>INDEX('File 5'!Weekly_Adjusted,19,11)</f>
        <v>0</v>
      </c>
      <c r="DD61" s="142">
        <f>INDEX('File 5'!Weekly_Adjusted,19,12)</f>
        <v>0</v>
      </c>
      <c r="DE61" s="143">
        <f>INDEX('File 6'!Weekly_Adjusted,19,10)</f>
        <v>0</v>
      </c>
      <c r="DF61" s="143">
        <f>INDEX('File 6'!Weekly_Adjusted,19,11)</f>
        <v>0</v>
      </c>
      <c r="DG61" s="143">
        <f>INDEX('File 6'!Weekly_Adjusted,19,12)</f>
        <v>0</v>
      </c>
      <c r="DH61" s="142">
        <f>INDEX('File 7'!Weekly_Adjusted,19,10)</f>
        <v>0</v>
      </c>
      <c r="DI61" s="142">
        <f>INDEX('File 7'!Weekly_Adjusted,19,11)</f>
        <v>0</v>
      </c>
      <c r="DJ61" s="142">
        <f>INDEX('File 7'!Weekly_Adjusted,19,12)</f>
        <v>0</v>
      </c>
      <c r="DK61" s="143">
        <f>INDEX('File 8'!Weekly_Adjusted,19,10)</f>
        <v>0</v>
      </c>
      <c r="DL61" s="143">
        <f>INDEX('File 8'!Weekly_Adjusted,19,11)</f>
        <v>0</v>
      </c>
      <c r="DM61" s="143">
        <f>INDEX('File 8'!Weekly_Adjusted,19,12)</f>
        <v>0</v>
      </c>
      <c r="DN61" s="142">
        <f>INDEX('File 9'!Weekly_Adjusted,19,10)</f>
        <v>0</v>
      </c>
      <c r="DO61" s="142">
        <f>INDEX('File 9'!Weekly_Adjusted,19,11)</f>
        <v>0</v>
      </c>
      <c r="DP61" s="142">
        <f>INDEX('File 9'!Weekly_Adjusted,19,12)</f>
        <v>0</v>
      </c>
      <c r="DQ61" s="143">
        <f>INDEX('File 10'!Weekly_Adjusted,19,10)</f>
        <v>0</v>
      </c>
      <c r="DR61" s="143">
        <f>INDEX('File 10'!Weekly_Adjusted,19,11)</f>
        <v>0</v>
      </c>
      <c r="DS61" s="143">
        <f>INDEX('File 10'!Weekly_Adjusted,19,12)</f>
        <v>0</v>
      </c>
      <c r="DT61" s="142">
        <f>INDEX('File 11'!Weekly_Adjusted,19,10)</f>
        <v>0</v>
      </c>
      <c r="DU61" s="142">
        <f>INDEX('File 11'!Weekly_Adjusted,19,11)</f>
        <v>0</v>
      </c>
      <c r="DV61" s="142">
        <f>INDEX('File 11'!Weekly_Adjusted,19,12)</f>
        <v>0</v>
      </c>
      <c r="DW61" s="143">
        <f>INDEX('File 12'!Weekly_Adjusted,19,10)</f>
        <v>0</v>
      </c>
      <c r="DX61" s="143">
        <f>INDEX('File 12'!Weekly_Adjusted,19,11)</f>
        <v>0</v>
      </c>
      <c r="DY61" s="143">
        <f>INDEX('File 12'!Weekly_Adjusted,19,12)</f>
        <v>0</v>
      </c>
      <c r="DZ61" s="142">
        <f>INDEX('File 13'!Weekly_Adjusted,19,10)</f>
        <v>0</v>
      </c>
      <c r="EA61" s="142">
        <f>INDEX('File 13'!Weekly_Adjusted,19,11)</f>
        <v>0</v>
      </c>
      <c r="EB61" s="142">
        <f>INDEX('File 13'!Weekly_Adjusted,19,12)</f>
        <v>0</v>
      </c>
      <c r="EC61" s="143">
        <f>INDEX('File 14'!Weekly_Adjusted,19,10)</f>
        <v>0</v>
      </c>
      <c r="ED61" s="143">
        <f>INDEX('File 14'!Weekly_Adjusted,19,11)</f>
        <v>0</v>
      </c>
      <c r="EE61" s="143">
        <f>INDEX('File 14'!Weekly_Adjusted,19,12)</f>
        <v>0</v>
      </c>
      <c r="EF61" s="142">
        <f>INDEX('File 15'!Weekly_Adjusted,19,10)</f>
        <v>0</v>
      </c>
      <c r="EG61" s="142">
        <f>INDEX('File 15'!Weekly_Adjusted,19,11)</f>
        <v>0</v>
      </c>
      <c r="EH61" s="142">
        <f>INDEX('File 15'!Weekly_Adjusted,19,12)</f>
        <v>0</v>
      </c>
      <c r="EI61" s="143">
        <f>INDEX('File 16'!Weekly_Adjusted,19,10)</f>
        <v>0</v>
      </c>
      <c r="EJ61" s="143">
        <f>INDEX('File 16'!Weekly_Adjusted,19,11)</f>
        <v>0</v>
      </c>
      <c r="EK61" s="143">
        <f>INDEX('File 16'!Weekly_Adjusted,19,12)</f>
        <v>0</v>
      </c>
      <c r="EL61" s="142">
        <f>INDEX('File 17'!Weekly_Adjusted,19,10)</f>
        <v>0</v>
      </c>
      <c r="EM61" s="142">
        <f>INDEX('File 17'!Weekly_Adjusted,19,11)</f>
        <v>0</v>
      </c>
      <c r="EN61" s="142">
        <f>INDEX('File 17'!Weekly_Adjusted,19,12)</f>
        <v>0</v>
      </c>
      <c r="EO61" s="143">
        <f>INDEX('File 18'!Weekly_Adjusted,19,10)</f>
        <v>0</v>
      </c>
      <c r="EP61" s="143">
        <f>INDEX('File 18'!Weekly_Adjusted,19,11)</f>
        <v>0</v>
      </c>
      <c r="EQ61" s="143">
        <f>INDEX('File 18'!Weekly_Adjusted,19,12)</f>
        <v>0</v>
      </c>
      <c r="ER61" s="142">
        <f>INDEX('File 19'!Weekly_Adjusted,19,10)</f>
        <v>0</v>
      </c>
      <c r="ES61" s="142">
        <f>INDEX('File 19'!Weekly_Adjusted,19,11)</f>
        <v>0</v>
      </c>
      <c r="ET61" s="142">
        <f>INDEX('File 19'!Weekly_Adjusted,19,12)</f>
        <v>0</v>
      </c>
      <c r="EU61" s="143">
        <f>INDEX('File 20'!Weekly_Adjusted,19,10)</f>
        <v>0</v>
      </c>
      <c r="EV61" s="143">
        <f>INDEX('File 20'!Weekly_Adjusted,19,11)</f>
        <v>0</v>
      </c>
      <c r="EW61" s="143">
        <f>INDEX('File 20'!Weekly_Adjusted,19,12)</f>
        <v>0</v>
      </c>
      <c r="EX61" s="6">
        <f ca="1">SUMIFS(INDEX(Capacity_Activity_Weekly,ROW(A19),0),Demand_Activity_Weekly_Header,CJ$42)</f>
        <v>19.935827322284016</v>
      </c>
      <c r="EY61" s="6">
        <f ca="1">SUMIFS(INDEX(Capacity_Activity_Weekly,ROW(B19),0),Demand_Activity_Weekly_Header,CK$42)</f>
        <v>0</v>
      </c>
      <c r="EZ61" s="6">
        <f ca="1">SUMIFS(INDEX(Capacity_Activity_Weekly,ROW(C19),0),Demand_Activity_Weekly_Header,CL$42)</f>
        <v>0</v>
      </c>
      <c r="FA61" s="6">
        <f ca="1">SUMIFS(INDEX(Capacity_Activity_Weekly,ROW(D19),0),Demand_Activity_Weekly_Header,CM$42)</f>
        <v>0</v>
      </c>
      <c r="FB61" s="6">
        <f ca="1">SUMIFS(INDEX(Capacity_Activity_Weekly,ROW(E19),0),Demand_Activity_Weekly_Header,CN$42)</f>
        <v>0</v>
      </c>
      <c r="FD61" s="7">
        <f>'File 1'!$Q$54*'Time based aggregation (hide)'!$Q23</f>
        <v>0</v>
      </c>
      <c r="FE61" s="7">
        <f>'File 1'!$R$54*'Time based aggregation (hide)'!$R23</f>
        <v>0</v>
      </c>
      <c r="FF61" s="7">
        <f>'File 1'!$S$54*'Time based aggregation (hide)'!$S23</f>
        <v>0</v>
      </c>
      <c r="FG61" s="7">
        <f>'File 2'!$Q$54*'Time based aggregation (hide)'!$T23</f>
        <v>0</v>
      </c>
      <c r="FH61" s="7">
        <f>'File 2'!$R$54*'Time based aggregation (hide)'!$U23</f>
        <v>0</v>
      </c>
      <c r="FI61" s="7">
        <f>'File 2'!$S$54*'Time based aggregation (hide)'!$V23</f>
        <v>0</v>
      </c>
      <c r="FJ61" s="7">
        <f>'File 3'!$Q$54*'Time based aggregation (hide)'!$W23</f>
        <v>0</v>
      </c>
      <c r="FK61" s="7">
        <f>'File 3'!$R$54*'Time based aggregation (hide)'!$X23</f>
        <v>0</v>
      </c>
      <c r="FL61" s="7">
        <f>'File 3'!$S$54*'Time based aggregation (hide)'!$Y23</f>
        <v>0</v>
      </c>
      <c r="FM61" s="7">
        <f>'File 4'!$Q$54*'Time based aggregation (hide)'!$Z23</f>
        <v>0</v>
      </c>
      <c r="FN61" s="7">
        <f>'File 4'!$R$54*'Time based aggregation (hide)'!$AA23</f>
        <v>0</v>
      </c>
      <c r="FO61" s="7">
        <f>'File 4'!$S$54*'Time based aggregation (hide)'!$AB23</f>
        <v>0</v>
      </c>
      <c r="FP61" s="7">
        <f>'File 5'!$Q$54*'Time based aggregation (hide)'!$AC23</f>
        <v>0</v>
      </c>
      <c r="FQ61" s="7">
        <f>'File 5'!$R$54*'Time based aggregation (hide)'!$AD23</f>
        <v>0</v>
      </c>
      <c r="FR61" s="7">
        <f>'File 5'!$S$54*'Time based aggregation (hide)'!$AE23</f>
        <v>0</v>
      </c>
      <c r="FS61" s="7">
        <f>'File 6'!$Q$54*'Time based aggregation (hide)'!$AF23</f>
        <v>0</v>
      </c>
      <c r="FT61" s="7">
        <f>'File 6'!$R$54*'Time based aggregation (hide)'!$AG23</f>
        <v>0</v>
      </c>
      <c r="FU61" s="7">
        <f>'File 6'!$S$54*'Time based aggregation (hide)'!$AH23</f>
        <v>0</v>
      </c>
      <c r="FV61" s="7">
        <f>'File 7'!$Q$54*'Time based aggregation (hide)'!$AI23</f>
        <v>0</v>
      </c>
      <c r="FW61" s="7">
        <f>'File 7'!$R$54*'Time based aggregation (hide)'!$AJ23</f>
        <v>0</v>
      </c>
      <c r="FX61" s="7">
        <f>'File 7'!$S$54*'Time based aggregation (hide)'!$AK23</f>
        <v>0</v>
      </c>
      <c r="FY61" s="7">
        <f>'File 8'!$Q$54*'Time based aggregation (hide)'!$AL23</f>
        <v>0</v>
      </c>
      <c r="FZ61" s="7">
        <f>'File 8'!$R$54*'Time based aggregation (hide)'!$AM23</f>
        <v>0</v>
      </c>
      <c r="GA61" s="7">
        <f>'File 8'!$S$54*'Time based aggregation (hide)'!$AN23</f>
        <v>0</v>
      </c>
      <c r="GB61" s="7">
        <f>'File 9'!$Q$54*'Time based aggregation (hide)'!$AO23</f>
        <v>0</v>
      </c>
      <c r="GC61" s="7">
        <f>'File 9'!$R$54*'Time based aggregation (hide)'!$AP23</f>
        <v>0</v>
      </c>
      <c r="GD61" s="7">
        <f>'File 9'!$S$54*'Time based aggregation (hide)'!$AQ23</f>
        <v>0</v>
      </c>
      <c r="GE61" s="7">
        <f>'File 10'!$Q$54*'Time based aggregation (hide)'!$AR23</f>
        <v>0</v>
      </c>
      <c r="GF61" s="7">
        <f>'File 10'!$R$54*'Time based aggregation (hide)'!$AS23</f>
        <v>0</v>
      </c>
      <c r="GG61" s="7">
        <f>'File 10'!$S$54*'Time based aggregation (hide)'!$AT23</f>
        <v>0</v>
      </c>
      <c r="GH61" s="7">
        <f>'File 11'!$Q$54*'Time based aggregation (hide)'!$AU23</f>
        <v>0</v>
      </c>
      <c r="GI61" s="7">
        <f>'File 11'!$R$54*'Time based aggregation (hide)'!$AV23</f>
        <v>0</v>
      </c>
      <c r="GJ61" s="7">
        <f>'File 11'!$S$54*'Time based aggregation (hide)'!$AW23</f>
        <v>0</v>
      </c>
      <c r="GK61" s="7">
        <f>'File 12'!$Q$54*'Time based aggregation (hide)'!$AX23</f>
        <v>0</v>
      </c>
      <c r="GL61" s="7">
        <f>'File 12'!$R$54*'Time based aggregation (hide)'!$AY23</f>
        <v>0</v>
      </c>
      <c r="GM61" s="7">
        <f>'File 12'!$S$54*'Time based aggregation (hide)'!$AZ23</f>
        <v>0</v>
      </c>
      <c r="GN61" s="7">
        <f>'File 13'!$Q$54*'Time based aggregation (hide)'!$BA23</f>
        <v>0</v>
      </c>
      <c r="GO61" s="7">
        <f>'File 13'!$R$54*'Time based aggregation (hide)'!$BB23</f>
        <v>0</v>
      </c>
      <c r="GP61" s="7">
        <f>'File 13'!$S$54*'Time based aggregation (hide)'!$BC23</f>
        <v>0</v>
      </c>
      <c r="GQ61" s="7">
        <f>'File 14'!$Q$54*'Time based aggregation (hide)'!$BD23</f>
        <v>0</v>
      </c>
      <c r="GR61" s="7">
        <f>'File 14'!$R$54*'Time based aggregation (hide)'!$BE23</f>
        <v>0</v>
      </c>
      <c r="GS61" s="7">
        <f>'File 14'!$S$54*'Time based aggregation (hide)'!$BF23</f>
        <v>0</v>
      </c>
      <c r="GT61" s="7">
        <f>'File 15'!$Q$54*'Time based aggregation (hide)'!$BG23</f>
        <v>0</v>
      </c>
      <c r="GU61" s="7">
        <f>'File 15'!$R$54*'Time based aggregation (hide)'!$BH23</f>
        <v>0</v>
      </c>
      <c r="GV61" s="7">
        <f>'File 15'!$S$54*'Time based aggregation (hide)'!$BI23</f>
        <v>0</v>
      </c>
      <c r="GW61" s="7">
        <f>'File 16'!$Q$54*'Time based aggregation (hide)'!$BJ23</f>
        <v>0</v>
      </c>
      <c r="GX61" s="7">
        <f>'File 16'!$R$54*'Time based aggregation (hide)'!$BK23</f>
        <v>0</v>
      </c>
      <c r="GY61" s="7">
        <f>'File 16'!$S$54*'Time based aggregation (hide)'!$BL23</f>
        <v>0</v>
      </c>
      <c r="GZ61" s="7">
        <f>'File 17'!$Q$54*'Time based aggregation (hide)'!$BM23</f>
        <v>0</v>
      </c>
      <c r="HA61" s="7">
        <f>'File 17'!$R$54*'Time based aggregation (hide)'!$BN23</f>
        <v>0</v>
      </c>
      <c r="HB61" s="7">
        <f>'File 17'!$S$54*'Time based aggregation (hide)'!$BO23</f>
        <v>0</v>
      </c>
      <c r="HC61" s="7">
        <f>'File 18'!$Q$54*'Time based aggregation (hide)'!$BP23</f>
        <v>0</v>
      </c>
      <c r="HD61" s="7">
        <f>'File 18'!$R$54*'Time based aggregation (hide)'!$BQ23</f>
        <v>0</v>
      </c>
      <c r="HE61" s="7">
        <f>'File 18'!$S$54*'Time based aggregation (hide)'!$BR23</f>
        <v>0</v>
      </c>
      <c r="HF61" s="7">
        <f>'File 19'!$Q$54*'Time based aggregation (hide)'!$BS23</f>
        <v>0</v>
      </c>
      <c r="HG61" s="7">
        <f>'File 19'!$R$54*'Time based aggregation (hide)'!$BT23</f>
        <v>0</v>
      </c>
      <c r="HH61" s="7">
        <f>'File 19'!$S$54*'Time based aggregation (hide)'!$BU23</f>
        <v>0</v>
      </c>
      <c r="HI61" s="7">
        <f>'File 20'!$Q$54*'Time based aggregation (hide)'!$BV23</f>
        <v>0</v>
      </c>
      <c r="HJ61" s="7">
        <f>'File 20'!$R$54*'Time based aggregation (hide)'!$BW23</f>
        <v>0</v>
      </c>
      <c r="HK61" s="7">
        <f>'File 20'!$S$54*'Time based aggregation (hide)'!$BX23</f>
        <v>0</v>
      </c>
      <c r="HL61" s="7">
        <f t="shared" ca="1" si="40"/>
        <v>0</v>
      </c>
      <c r="HM61" s="7">
        <f t="shared" ca="1" si="40"/>
        <v>0</v>
      </c>
      <c r="HN61" s="7">
        <f t="shared" ca="1" si="40"/>
        <v>0</v>
      </c>
      <c r="HO61" s="7">
        <f t="shared" ca="1" si="40"/>
        <v>0</v>
      </c>
      <c r="HP61" s="7">
        <f t="shared" ca="1" si="40"/>
        <v>0</v>
      </c>
      <c r="HR61" s="142">
        <f ca="1">INDEX('File 1'!Weekly_Adjusted,19,16)</f>
        <v>17.142271901327018</v>
      </c>
      <c r="HS61" s="142">
        <f>INDEX('File 1'!Weekly_Adjusted,19,17)</f>
        <v>0</v>
      </c>
      <c r="HT61" s="142">
        <f>INDEX('File 1'!Weekly_Adjusted,19,18)</f>
        <v>0</v>
      </c>
      <c r="HU61" s="143">
        <f>INDEX('File 2'!Weekly_Adjusted,19,16)</f>
        <v>0</v>
      </c>
      <c r="HV61" s="143">
        <f>INDEX('File 2'!Weekly_Adjusted,19,17)</f>
        <v>0</v>
      </c>
      <c r="HW61" s="143">
        <f>INDEX('File 2'!Weekly_Adjusted,19,18)</f>
        <v>0</v>
      </c>
      <c r="HX61" s="142">
        <f>INDEX('File 3'!Weekly_Adjusted,19,16)</f>
        <v>0</v>
      </c>
      <c r="HY61" s="142">
        <f>INDEX('File 3'!Weekly_Adjusted,19,17)</f>
        <v>0</v>
      </c>
      <c r="HZ61" s="142">
        <f>INDEX('File 3'!Weekly_Adjusted,19,18)</f>
        <v>0</v>
      </c>
      <c r="IA61" s="143">
        <f>INDEX('File 4'!Weekly_Adjusted,19,16)</f>
        <v>0</v>
      </c>
      <c r="IB61" s="143">
        <f>INDEX('File 4'!Weekly_Adjusted,19,17)</f>
        <v>0</v>
      </c>
      <c r="IC61" s="143">
        <f>INDEX('File 4'!Weekly_Adjusted,19,18)</f>
        <v>0</v>
      </c>
      <c r="ID61" s="142">
        <f>INDEX('File 5'!Weekly_Adjusted,19,16)</f>
        <v>0</v>
      </c>
      <c r="IE61" s="142">
        <f>INDEX('File 5'!Weekly_Adjusted,19,17)</f>
        <v>0</v>
      </c>
      <c r="IF61" s="142">
        <f>INDEX('File 5'!Weekly_Adjusted,19,18)</f>
        <v>0</v>
      </c>
      <c r="IG61" s="143">
        <f>INDEX('File 6'!Weekly_Adjusted,19,16)</f>
        <v>0</v>
      </c>
      <c r="IH61" s="143">
        <f>INDEX('File 6'!Weekly_Adjusted,19,17)</f>
        <v>0</v>
      </c>
      <c r="II61" s="143">
        <f>INDEX('File 6'!Weekly_Adjusted,19,18)</f>
        <v>0</v>
      </c>
      <c r="IJ61" s="142">
        <f>INDEX('File 7'!Weekly_Adjusted,19,16)</f>
        <v>0</v>
      </c>
      <c r="IK61" s="142">
        <f>INDEX('File 7'!Weekly_Adjusted,19,17)</f>
        <v>0</v>
      </c>
      <c r="IL61" s="142">
        <f>INDEX('File 7'!Weekly_Adjusted,19,18)</f>
        <v>0</v>
      </c>
      <c r="IM61" s="143">
        <f>INDEX('File 8'!Weekly_Adjusted,19,16)</f>
        <v>0</v>
      </c>
      <c r="IN61" s="143">
        <f>INDEX('File 8'!Weekly_Adjusted,19,17)</f>
        <v>0</v>
      </c>
      <c r="IO61" s="143">
        <f>INDEX('File 8'!Weekly_Adjusted,19,18)</f>
        <v>0</v>
      </c>
      <c r="IP61" s="142">
        <f>INDEX('File 9'!Weekly_Adjusted,19,16)</f>
        <v>0</v>
      </c>
      <c r="IQ61" s="142">
        <f>INDEX('File 9'!Weekly_Adjusted,19,17)</f>
        <v>0</v>
      </c>
      <c r="IR61" s="142">
        <f>INDEX('File 9'!Weekly_Adjusted,19,18)</f>
        <v>0</v>
      </c>
      <c r="IS61" s="143">
        <f>INDEX('File 10'!Weekly_Adjusted,19,16)</f>
        <v>0</v>
      </c>
      <c r="IT61" s="143">
        <f>INDEX('File 10'!Weekly_Adjusted,19,17)</f>
        <v>0</v>
      </c>
      <c r="IU61" s="143">
        <f>INDEX('File 10'!Weekly_Adjusted,19,18)</f>
        <v>0</v>
      </c>
      <c r="IV61" s="142">
        <f>INDEX('File 11'!Weekly_Adjusted,19,16)</f>
        <v>0</v>
      </c>
      <c r="IW61" s="142">
        <f>INDEX('File 11'!Weekly_Adjusted,19,17)</f>
        <v>0</v>
      </c>
      <c r="IX61" s="142">
        <f>INDEX('File 11'!Weekly_Adjusted,19,18)</f>
        <v>0</v>
      </c>
      <c r="IY61" s="143">
        <f>INDEX('File 12'!Weekly_Adjusted,19,16)</f>
        <v>0</v>
      </c>
      <c r="IZ61" s="143">
        <f>INDEX('File 12'!Weekly_Adjusted,19,17)</f>
        <v>0</v>
      </c>
      <c r="JA61" s="143">
        <f>INDEX('File 12'!Weekly_Adjusted,19,18)</f>
        <v>0</v>
      </c>
      <c r="JB61" s="142">
        <f>INDEX('File 13'!Weekly_Adjusted,19,16)</f>
        <v>0</v>
      </c>
      <c r="JC61" s="142">
        <f>INDEX('File 13'!Weekly_Adjusted,19,17)</f>
        <v>0</v>
      </c>
      <c r="JD61" s="142">
        <f>INDEX('File 13'!Weekly_Adjusted,19,18)</f>
        <v>0</v>
      </c>
      <c r="JE61" s="143">
        <f>INDEX('File 14'!Weekly_Adjusted,19,16)</f>
        <v>0</v>
      </c>
      <c r="JF61" s="143">
        <f>INDEX('File 14'!Weekly_Adjusted,19,17)</f>
        <v>0</v>
      </c>
      <c r="JG61" s="143">
        <f>INDEX('File 14'!Weekly_Adjusted,19,18)</f>
        <v>0</v>
      </c>
      <c r="JH61" s="142">
        <f>INDEX('File 15'!Weekly_Adjusted,19,16)</f>
        <v>0</v>
      </c>
      <c r="JI61" s="142">
        <f>INDEX('File 15'!Weekly_Adjusted,19,17)</f>
        <v>0</v>
      </c>
      <c r="JJ61" s="142">
        <f>INDEX('File 15'!Weekly_Adjusted,19,18)</f>
        <v>0</v>
      </c>
      <c r="JK61" s="143">
        <f>INDEX('File 16'!Weekly_Adjusted,19,16)</f>
        <v>0</v>
      </c>
      <c r="JL61" s="143">
        <f>INDEX('File 16'!Weekly_Adjusted,19,17)</f>
        <v>0</v>
      </c>
      <c r="JM61" s="143">
        <f>INDEX('File 16'!Weekly_Adjusted,19,18)</f>
        <v>0</v>
      </c>
      <c r="JN61" s="142">
        <f>INDEX('File 17'!Weekly_Adjusted,19,16)</f>
        <v>0</v>
      </c>
      <c r="JO61" s="142">
        <f>INDEX('File 17'!Weekly_Adjusted,19,17)</f>
        <v>0</v>
      </c>
      <c r="JP61" s="142">
        <f>INDEX('File 17'!Weekly_Adjusted,19,18)</f>
        <v>0</v>
      </c>
      <c r="JQ61" s="143">
        <f>INDEX('File 18'!Weekly_Adjusted,19,16)</f>
        <v>0</v>
      </c>
      <c r="JR61" s="143">
        <f>INDEX('File 18'!Weekly_Adjusted,19,17)</f>
        <v>0</v>
      </c>
      <c r="JS61" s="143">
        <f>INDEX('File 18'!Weekly_Adjusted,19,18)</f>
        <v>0</v>
      </c>
      <c r="JT61" s="142">
        <f>INDEX('File 19'!Weekly_Adjusted,19,16)</f>
        <v>0</v>
      </c>
      <c r="JU61" s="142">
        <f>INDEX('File 19'!Weekly_Adjusted,19,17)</f>
        <v>0</v>
      </c>
      <c r="JV61" s="142">
        <f>INDEX('File 19'!Weekly_Adjusted,19,18)</f>
        <v>0</v>
      </c>
      <c r="JW61" s="143">
        <f>INDEX('File 20'!Weekly_Adjusted,19,16)</f>
        <v>0</v>
      </c>
      <c r="JX61" s="143">
        <f>INDEX('File 20'!Weekly_Adjusted,19,17)</f>
        <v>0</v>
      </c>
      <c r="JY61" s="143">
        <f>INDEX('File 20'!Weekly_Adjusted,19,18)</f>
        <v>0</v>
      </c>
      <c r="JZ61" s="6">
        <f ca="1">SUMIFS(INDEX(CapacityCore_Activity_Weekly,ROW(EC19),0),Demand_Activity_Weekly_Header,HL$42)</f>
        <v>17.142271901327018</v>
      </c>
      <c r="KA61" s="6">
        <f ca="1">SUMIFS(INDEX(CapacityCore_Activity_Weekly,ROW(ED19),0),Demand_Activity_Weekly_Header,HM$42)</f>
        <v>0</v>
      </c>
      <c r="KB61" s="6">
        <f ca="1">SUMIFS(INDEX(CapacityCore_Activity_Weekly,ROW(EE19),0),Demand_Activity_Weekly_Header,HN$42)</f>
        <v>0</v>
      </c>
      <c r="KC61" s="6">
        <f ca="1">SUMIFS(INDEX(CapacityCore_Activity_Weekly,ROW(EF19),0),Demand_Activity_Weekly_Header,HO$42)</f>
        <v>0</v>
      </c>
      <c r="KD61" s="6">
        <f ca="1">SUMIFS(INDEX(CapacityCore_Activity_Weekly,ROW(EG19),0),Demand_Activity_Weekly_Header,HP$42)</f>
        <v>0</v>
      </c>
      <c r="KF61" s="6">
        <f>SUMIFS('Time based aggregation (hide)'!$J:$J,'Time based aggregation (hide)'!$E:$E,1,'Time based aggregation (hide)'!$F:$F,1,'Time based aggregation (hide)'!$A:$A,ROW(A19))</f>
        <v>0</v>
      </c>
      <c r="KG61" s="6">
        <f>SUMIFS('Time based aggregation (hide)'!$J:$J,'Time based aggregation (hide)'!$E:$E,1,'Time based aggregation (hide)'!$F:$F,2,'Time based aggregation (hide)'!$A:$A,ROW(A19))</f>
        <v>0</v>
      </c>
      <c r="KH61" s="6">
        <f>SUMIFS('Time based aggregation (hide)'!$J:$J,'Time based aggregation (hide)'!$E:$E,1,'Time based aggregation (hide)'!$F:$F,3,'Time based aggregation (hide)'!$A:$A,ROW(A19))</f>
        <v>0</v>
      </c>
      <c r="KI61" s="6">
        <f>SUMIFS('Time based aggregation (hide)'!$J:$J,'Time based aggregation (hide)'!$E:$E,2,'Time based aggregation (hide)'!$F:$F,1,'Time based aggregation (hide)'!$A:$A,ROW(A19))</f>
        <v>0</v>
      </c>
      <c r="KJ61" s="6">
        <f>SUMIFS('Time based aggregation (hide)'!$J:$J,'Time based aggregation (hide)'!$E:$E,2,'Time based aggregation (hide)'!$F:$F,2,'Time based aggregation (hide)'!$A:$A,ROW(A19))</f>
        <v>0</v>
      </c>
      <c r="KK61" s="6">
        <f>SUMIFS('Time based aggregation (hide)'!$J:$J,'Time based aggregation (hide)'!$E:$E,2,'Time based aggregation (hide)'!$F:$F,3,'Time based aggregation (hide)'!$A:$A,ROW(A19))</f>
        <v>0</v>
      </c>
      <c r="KL61" s="6">
        <f>SUMIFS('Time based aggregation (hide)'!$J:$J,'Time based aggregation (hide)'!$E:$E,3,'Time based aggregation (hide)'!$F:$F,1,'Time based aggregation (hide)'!$A:$A,ROW(A19))</f>
        <v>0</v>
      </c>
      <c r="KM61" s="6">
        <f>SUMIFS('Time based aggregation (hide)'!$J:$J,'Time based aggregation (hide)'!$E:$E,3,'Time based aggregation (hide)'!$F:$F,2,'Time based aggregation (hide)'!$A:$A,ROW(A19))</f>
        <v>0</v>
      </c>
      <c r="KN61" s="6">
        <f>SUMIFS('Time based aggregation (hide)'!$J:$J,'Time based aggregation (hide)'!$E:$E,3,'Time based aggregation (hide)'!$F:$F,3,'Time based aggregation (hide)'!$A:$A,ROW(A19))</f>
        <v>0</v>
      </c>
      <c r="KO61" s="6">
        <f>SUMIFS('Time based aggregation (hide)'!$J:$J,'Time based aggregation (hide)'!$E:$E,4,'Time based aggregation (hide)'!$F:$F,1,'Time based aggregation (hide)'!$A:$A,ROW(A19))</f>
        <v>0</v>
      </c>
      <c r="KP61" s="6">
        <f>SUMIFS('Time based aggregation (hide)'!$J:$J,'Time based aggregation (hide)'!$E:$E,4,'Time based aggregation (hide)'!$F:$F,2,'Time based aggregation (hide)'!$A:$A,ROW(A19))</f>
        <v>0</v>
      </c>
      <c r="KQ61" s="6">
        <f>SUMIFS('Time based aggregation (hide)'!$J:$J,'Time based aggregation (hide)'!$E:$E,4,'Time based aggregation (hide)'!$F:$F,3,'Time based aggregation (hide)'!$A:$A,ROW(A19))</f>
        <v>0</v>
      </c>
      <c r="KR61" s="6">
        <f>SUMIFS('Time based aggregation (hide)'!$J:$J,'Time based aggregation (hide)'!$E:$E,5,'Time based aggregation (hide)'!$F:$F,1,'Time based aggregation (hide)'!$A:$A,ROW(A19))</f>
        <v>0</v>
      </c>
      <c r="KS61" s="6">
        <f>SUMIFS('Time based aggregation (hide)'!$J:$J,'Time based aggregation (hide)'!$E:$E,5,'Time based aggregation (hide)'!$F:$F,2,'Time based aggregation (hide)'!$A:$A,ROW(A19))</f>
        <v>0</v>
      </c>
      <c r="KT61" s="6">
        <f>SUMIFS('Time based aggregation (hide)'!$J:$J,'Time based aggregation (hide)'!$E:$E,5,'Time based aggregation (hide)'!$F:$F,3,'Time based aggregation (hide)'!$A:$A,ROW(A19))</f>
        <v>0</v>
      </c>
      <c r="KU61" s="6">
        <f>SUMIFS('Time based aggregation (hide)'!$J:$J,'Time based aggregation (hide)'!$E:$E,6,'Time based aggregation (hide)'!$F:$F,1,'Time based aggregation (hide)'!$A:$A,ROW(A19))</f>
        <v>0</v>
      </c>
      <c r="KV61" s="6">
        <f>SUMIFS('Time based aggregation (hide)'!$J:$J,'Time based aggregation (hide)'!$E:$E,6,'Time based aggregation (hide)'!$F:$F,2,'Time based aggregation (hide)'!$A:$A,ROW(A19))</f>
        <v>0</v>
      </c>
      <c r="KW61" s="6">
        <f>SUMIFS('Time based aggregation (hide)'!$J:$J,'Time based aggregation (hide)'!$E:$E,6,'Time based aggregation (hide)'!$F:$F,3,'Time based aggregation (hide)'!$A:$A,ROW(A19))</f>
        <v>0</v>
      </c>
      <c r="KX61" s="6">
        <f>SUMIFS('Time based aggregation (hide)'!$J:$J,'Time based aggregation (hide)'!$E:$E,7,'Time based aggregation (hide)'!$F:$F,1,'Time based aggregation (hide)'!$A:$A,ROW(A19))</f>
        <v>0</v>
      </c>
      <c r="KY61" s="6">
        <f>SUMIFS('Time based aggregation (hide)'!$J:$J,'Time based aggregation (hide)'!$E:$E,7,'Time based aggregation (hide)'!$F:$F,2,'Time based aggregation (hide)'!$A:$A,ROW(A19))</f>
        <v>0</v>
      </c>
      <c r="KZ61" s="6">
        <f>SUMIFS('Time based aggregation (hide)'!$J:$J,'Time based aggregation (hide)'!$E:$E,7,'Time based aggregation (hide)'!$F:$F,3,'Time based aggregation (hide)'!$A:$A,ROW(A19))</f>
        <v>0</v>
      </c>
      <c r="LA61" s="6">
        <f>SUMIFS('Time based aggregation (hide)'!$J:$J,'Time based aggregation (hide)'!$E:$E,8,'Time based aggregation (hide)'!$F:$F,1,'Time based aggregation (hide)'!$A:$A,ROW(A19))</f>
        <v>0</v>
      </c>
      <c r="LB61" s="6">
        <f>SUMIFS('Time based aggregation (hide)'!$J:$J,'Time based aggregation (hide)'!$E:$E,8,'Time based aggregation (hide)'!$F:$F,2,'Time based aggregation (hide)'!$A:$A,ROW(A19))</f>
        <v>0</v>
      </c>
      <c r="LC61" s="6">
        <f>SUMIFS('Time based aggregation (hide)'!$J:$J,'Time based aggregation (hide)'!$E:$E,8,'Time based aggregation (hide)'!$F:$F,3,'Time based aggregation (hide)'!$A:$A,ROW(A19))</f>
        <v>0</v>
      </c>
      <c r="LD61" s="6">
        <f>SUMIFS('Time based aggregation (hide)'!$J:$J,'Time based aggregation (hide)'!$E:$E,9,'Time based aggregation (hide)'!$F:$F,1,'Time based aggregation (hide)'!$A:$A,ROW(A19))</f>
        <v>0</v>
      </c>
      <c r="LE61" s="6">
        <f>SUMIFS('Time based aggregation (hide)'!$J:$J,'Time based aggregation (hide)'!$E:$E,9,'Time based aggregation (hide)'!$F:$F,2,'Time based aggregation (hide)'!$A:$A,ROW(A19))</f>
        <v>0</v>
      </c>
      <c r="LF61" s="6">
        <f>SUMIFS('Time based aggregation (hide)'!$J:$J,'Time based aggregation (hide)'!$E:$E,9,'Time based aggregation (hide)'!$F:$F,3,'Time based aggregation (hide)'!$A:$A,ROW(A19))</f>
        <v>0</v>
      </c>
      <c r="LG61" s="6">
        <f>SUMIFS('Time based aggregation (hide)'!$J:$J,'Time based aggregation (hide)'!$E:$E,10,'Time based aggregation (hide)'!$F:$F,1,'Time based aggregation (hide)'!$A:$A,ROW(A19))</f>
        <v>0</v>
      </c>
      <c r="LH61" s="6">
        <f>SUMIFS('Time based aggregation (hide)'!$J:$J,'Time based aggregation (hide)'!$E:$E,10,'Time based aggregation (hide)'!$F:$F,2,'Time based aggregation (hide)'!$A:$A,ROW(A19))</f>
        <v>0</v>
      </c>
      <c r="LI61" s="6">
        <f>SUMIFS('Time based aggregation (hide)'!$J:$J,'Time based aggregation (hide)'!$E:$E,10,'Time based aggregation (hide)'!$F:$F,3,'Time based aggregation (hide)'!$A:$A,ROW(A19))</f>
        <v>0</v>
      </c>
      <c r="LJ61" s="6">
        <f>SUMIFS('Time based aggregation (hide)'!$J:$J,'Time based aggregation (hide)'!$E:$E,11,'Time based aggregation (hide)'!$F:$F,1,'Time based aggregation (hide)'!$A:$A,ROW(A19))</f>
        <v>0</v>
      </c>
      <c r="LK61" s="6">
        <f>SUMIFS('Time based aggregation (hide)'!$J:$J,'Time based aggregation (hide)'!$E:$E,11,'Time based aggregation (hide)'!$F:$F,2,'Time based aggregation (hide)'!$A:$A,ROW(A19))</f>
        <v>0</v>
      </c>
      <c r="LL61" s="6">
        <f>SUMIFS('Time based aggregation (hide)'!$J:$J,'Time based aggregation (hide)'!$E:$E,11,'Time based aggregation (hide)'!$F:$F,3,'Time based aggregation (hide)'!$A:$A,ROW(A19))</f>
        <v>0</v>
      </c>
      <c r="LM61" s="6">
        <f>SUMIFS('Time based aggregation (hide)'!$J:$J,'Time based aggregation (hide)'!$E:$E,12,'Time based aggregation (hide)'!$F:$F,1,'Time based aggregation (hide)'!$A:$A,ROW(A19))</f>
        <v>0</v>
      </c>
      <c r="LN61" s="6">
        <f>SUMIFS('Time based aggregation (hide)'!$J:$J,'Time based aggregation (hide)'!$E:$E,12,'Time based aggregation (hide)'!$F:$F,2,'Time based aggregation (hide)'!$A:$A,ROW(A19))</f>
        <v>0</v>
      </c>
      <c r="LO61" s="6">
        <f>SUMIFS('Time based aggregation (hide)'!$J:$J,'Time based aggregation (hide)'!$E:$E,12,'Time based aggregation (hide)'!$F:$F,3,'Time based aggregation (hide)'!$A:$A,ROW(A19))</f>
        <v>0</v>
      </c>
      <c r="LP61" s="6">
        <f>SUMIFS('Time based aggregation (hide)'!$J:$J,'Time based aggregation (hide)'!$E:$E,13,'Time based aggregation (hide)'!$F:$F,1,'Time based aggregation (hide)'!$A:$A,ROW(A19))</f>
        <v>0</v>
      </c>
      <c r="LQ61" s="6">
        <f>SUMIFS('Time based aggregation (hide)'!$J:$J,'Time based aggregation (hide)'!$E:$E,13,'Time based aggregation (hide)'!$F:$F,2,'Time based aggregation (hide)'!$A:$A,ROW(A19))</f>
        <v>0</v>
      </c>
      <c r="LR61" s="6">
        <f>SUMIFS('Time based aggregation (hide)'!$J:$J,'Time based aggregation (hide)'!$E:$E,13,'Time based aggregation (hide)'!$F:$F,3,'Time based aggregation (hide)'!$A:$A,ROW(A19))</f>
        <v>0</v>
      </c>
      <c r="LS61" s="6">
        <f>SUMIFS('Time based aggregation (hide)'!$J:$J,'Time based aggregation (hide)'!$E:$E,14,'Time based aggregation (hide)'!$F:$F,1,'Time based aggregation (hide)'!$A:$A,ROW(A19))</f>
        <v>0</v>
      </c>
      <c r="LT61" s="6">
        <f>SUMIFS('Time based aggregation (hide)'!$J:$J,'Time based aggregation (hide)'!$E:$E,14,'Time based aggregation (hide)'!$F:$F,2,'Time based aggregation (hide)'!$A:$A,ROW(A19))</f>
        <v>0</v>
      </c>
      <c r="LU61" s="6">
        <f>SUMIFS('Time based aggregation (hide)'!$J:$J,'Time based aggregation (hide)'!$E:$E,14,'Time based aggregation (hide)'!$F:$F,3,'Time based aggregation (hide)'!$A:$A,ROW(A19))</f>
        <v>0</v>
      </c>
      <c r="LV61" s="6">
        <f>SUMIFS('Time based aggregation (hide)'!$J:$J,'Time based aggregation (hide)'!$E:$E,15,'Time based aggregation (hide)'!$F:$F,1,'Time based aggregation (hide)'!$A:$A,ROW(A19))</f>
        <v>0</v>
      </c>
      <c r="LW61" s="6">
        <f>SUMIFS('Time based aggregation (hide)'!$J:$J,'Time based aggregation (hide)'!$E:$E,15,'Time based aggregation (hide)'!$F:$F,2,'Time based aggregation (hide)'!$A:$A,ROW(A19))</f>
        <v>0</v>
      </c>
      <c r="LX61" s="6">
        <f>SUMIFS('Time based aggregation (hide)'!$J:$J,'Time based aggregation (hide)'!$E:$E,15,'Time based aggregation (hide)'!$F:$F,3,'Time based aggregation (hide)'!$A:$A,ROW(A19))</f>
        <v>0</v>
      </c>
      <c r="LY61" s="6">
        <f>SUMIFS('Time based aggregation (hide)'!$J:$J,'Time based aggregation (hide)'!$E:$E,16,'Time based aggregation (hide)'!$F:$F,1,'Time based aggregation (hide)'!$A:$A,ROW(A19))</f>
        <v>0</v>
      </c>
      <c r="LZ61" s="6">
        <f>SUMIFS('Time based aggregation (hide)'!$J:$J,'Time based aggregation (hide)'!$E:$E,16,'Time based aggregation (hide)'!$F:$F,2,'Time based aggregation (hide)'!$A:$A,ROW(A19))</f>
        <v>0</v>
      </c>
      <c r="MA61" s="6">
        <f>SUMIFS('Time based aggregation (hide)'!$J:$J,'Time based aggregation (hide)'!$E:$E,16,'Time based aggregation (hide)'!$F:$F,3,'Time based aggregation (hide)'!$A:$A,ROW(A19))</f>
        <v>0</v>
      </c>
      <c r="MB61" s="6">
        <f>SUMIFS('Time based aggregation (hide)'!$J:$J,'Time based aggregation (hide)'!$E:$E,17,'Time based aggregation (hide)'!$F:$F,1,'Time based aggregation (hide)'!$A:$A,ROW(A19))</f>
        <v>0</v>
      </c>
      <c r="MC61" s="6">
        <f>SUMIFS('Time based aggregation (hide)'!$J:$J,'Time based aggregation (hide)'!$E:$E,17,'Time based aggregation (hide)'!$F:$F,2,'Time based aggregation (hide)'!$A:$A,ROW(A19))</f>
        <v>0</v>
      </c>
      <c r="MD61" s="6">
        <f>SUMIFS('Time based aggregation (hide)'!$J:$J,'Time based aggregation (hide)'!$E:$E,17,'Time based aggregation (hide)'!$F:$F,3,'Time based aggregation (hide)'!$A:$A,ROW(A19))</f>
        <v>0</v>
      </c>
      <c r="ME61" s="6">
        <f>SUMIFS('Time based aggregation (hide)'!$J:$J,'Time based aggregation (hide)'!$E:$E,18,'Time based aggregation (hide)'!$F:$F,1,'Time based aggregation (hide)'!$A:$A,ROW(A19))</f>
        <v>0</v>
      </c>
      <c r="MF61" s="6">
        <f>SUMIFS('Time based aggregation (hide)'!$J:$J,'Time based aggregation (hide)'!$E:$E,18,'Time based aggregation (hide)'!$F:$F,2,'Time based aggregation (hide)'!$A:$A,ROW(A19))</f>
        <v>0</v>
      </c>
      <c r="MG61" s="6">
        <f>SUMIFS('Time based aggregation (hide)'!$J:$J,'Time based aggregation (hide)'!$E:$E,18,'Time based aggregation (hide)'!$F:$F,3,'Time based aggregation (hide)'!$A:$A,ROW(A19))</f>
        <v>0</v>
      </c>
      <c r="MH61" s="6">
        <f>SUMIFS('Time based aggregation (hide)'!$J:$J,'Time based aggregation (hide)'!$E:$E,19,'Time based aggregation (hide)'!$F:$F,1,'Time based aggregation (hide)'!$A:$A,ROW(A19))</f>
        <v>0</v>
      </c>
      <c r="MI61" s="6">
        <f>SUMIFS('Time based aggregation (hide)'!$J:$J,'Time based aggregation (hide)'!$E:$E,19,'Time based aggregation (hide)'!$F:$F,2,'Time based aggregation (hide)'!$A:$A,ROW(A19))</f>
        <v>0</v>
      </c>
      <c r="MJ61" s="6">
        <f>SUMIFS('Time based aggregation (hide)'!$J:$J,'Time based aggregation (hide)'!$E:$E,19,'Time based aggregation (hide)'!$F:$F,3,'Time based aggregation (hide)'!$A:$A,ROW(A19))</f>
        <v>0</v>
      </c>
      <c r="MK61" s="6">
        <f>SUMIFS('Time based aggregation (hide)'!$J:$J,'Time based aggregation (hide)'!$E:$E,20,'Time based aggregation (hide)'!$F:$F,1,'Time based aggregation (hide)'!$A:$A,ROW(A19))</f>
        <v>0</v>
      </c>
      <c r="ML61" s="6">
        <f>SUMIFS('Time based aggregation (hide)'!$J:$J,'Time based aggregation (hide)'!$E:$E,20,'Time based aggregation (hide)'!$F:$F,2,'Time based aggregation (hide)'!$A:$A,ROW(A19))</f>
        <v>0</v>
      </c>
      <c r="MM61" s="6">
        <f>SUMIFS('Time based aggregation (hide)'!$J:$J,'Time based aggregation (hide)'!$E:$E,20,'Time based aggregation (hide)'!$F:$F,3,'Time based aggregation (hide)'!$A:$A,ROW(A19))</f>
        <v>0</v>
      </c>
      <c r="MN61" s="7">
        <f t="shared" ca="1" si="41"/>
        <v>0</v>
      </c>
      <c r="MO61" s="7">
        <f t="shared" ca="1" si="32"/>
        <v>0</v>
      </c>
      <c r="MP61" s="7">
        <f t="shared" ca="1" si="32"/>
        <v>0</v>
      </c>
      <c r="MQ61" s="7">
        <f t="shared" ca="1" si="32"/>
        <v>0</v>
      </c>
      <c r="MR61" s="7">
        <f t="shared" ca="1" si="32"/>
        <v>0</v>
      </c>
    </row>
    <row r="62" spans="1:356" x14ac:dyDescent="0.25">
      <c r="A62">
        <f>1</f>
        <v>1</v>
      </c>
      <c r="B62" s="85">
        <f t="shared" si="37"/>
        <v>43850</v>
      </c>
      <c r="C62" s="85">
        <f t="shared" si="25"/>
        <v>43850</v>
      </c>
      <c r="D62">
        <f t="shared" ca="1" si="26"/>
        <v>1</v>
      </c>
      <c r="E62" s="85">
        <f t="shared" si="27"/>
        <v>43831</v>
      </c>
      <c r="F62">
        <f t="shared" si="33"/>
        <v>4</v>
      </c>
      <c r="H62">
        <f t="shared" si="34"/>
        <v>20</v>
      </c>
      <c r="I62" s="85">
        <f t="shared" si="38"/>
        <v>43962</v>
      </c>
      <c r="J62">
        <f t="shared" ca="1" si="28"/>
        <v>5</v>
      </c>
      <c r="K62">
        <f t="shared" ca="1" si="29"/>
        <v>1.968503937007874E-2</v>
      </c>
      <c r="L62" s="114"/>
      <c r="M62" s="85"/>
      <c r="N62" s="85">
        <f t="shared" si="35"/>
        <v>43962</v>
      </c>
      <c r="O62" s="122">
        <f t="shared" ca="1" si="39"/>
        <v>0</v>
      </c>
      <c r="P62" s="122">
        <f t="shared" ca="1" si="39"/>
        <v>0</v>
      </c>
      <c r="Q62" s="122">
        <f t="shared" ca="1" si="39"/>
        <v>0</v>
      </c>
      <c r="R62" s="122">
        <f t="shared" ca="1" si="39"/>
        <v>0</v>
      </c>
      <c r="S62" s="122">
        <f t="shared" ca="1" si="39"/>
        <v>1</v>
      </c>
      <c r="T62" s="122">
        <f t="shared" ca="1" si="39"/>
        <v>0</v>
      </c>
      <c r="U62" s="122">
        <f t="shared" ca="1" si="39"/>
        <v>0</v>
      </c>
      <c r="V62" s="122">
        <f t="shared" ca="1" si="39"/>
        <v>0</v>
      </c>
      <c r="W62" s="122">
        <f t="shared" ca="1" si="39"/>
        <v>0</v>
      </c>
      <c r="X62" s="122">
        <f t="shared" ca="1" si="39"/>
        <v>0</v>
      </c>
      <c r="Y62" s="122">
        <f t="shared" ca="1" si="39"/>
        <v>0</v>
      </c>
      <c r="Z62" s="122">
        <f t="shared" ca="1" si="39"/>
        <v>0</v>
      </c>
      <c r="AA62" s="122"/>
      <c r="AB62" s="140">
        <f>INDEX('File 1'!Weekly_Adjusted,20,1)</f>
        <v>388.17143954725253</v>
      </c>
      <c r="AC62" s="140">
        <f>INDEX('File 1'!Weekly_Adjusted,20,2)</f>
        <v>0</v>
      </c>
      <c r="AD62" s="140">
        <f>INDEX('File 1'!Weekly_Adjusted,20,3)</f>
        <v>0</v>
      </c>
      <c r="AE62" s="141">
        <f>INDEX('File 2'!Weekly_Adjusted,20,1)</f>
        <v>0</v>
      </c>
      <c r="AF62" s="141">
        <f>INDEX('File 2'!Weekly_Adjusted,20,2)</f>
        <v>0</v>
      </c>
      <c r="AG62" s="141">
        <f>INDEX('File 2'!Weekly_Adjusted,20,3)</f>
        <v>0</v>
      </c>
      <c r="AH62" s="140">
        <f>INDEX('File 3'!Weekly_Adjusted,20,1)</f>
        <v>0</v>
      </c>
      <c r="AI62" s="140">
        <f>INDEX('File 3'!Weekly_Adjusted,20,2)</f>
        <v>0</v>
      </c>
      <c r="AJ62" s="140">
        <f>INDEX('File 3'!Weekly_Adjusted,20,3)</f>
        <v>0</v>
      </c>
      <c r="AK62" s="141">
        <f>INDEX('File 4'!Weekly_Adjusted,20,1)</f>
        <v>0</v>
      </c>
      <c r="AL62" s="141">
        <f>INDEX('File 4'!Weekly_Adjusted,20,2)</f>
        <v>0</v>
      </c>
      <c r="AM62" s="141">
        <f>INDEX('File 4'!Weekly_Adjusted,20,3)</f>
        <v>0</v>
      </c>
      <c r="AN62" s="140">
        <f>INDEX('File 5'!Weekly_Adjusted,20,1)</f>
        <v>0</v>
      </c>
      <c r="AO62" s="140">
        <f>INDEX('File 5'!Weekly_Adjusted,20,2)</f>
        <v>0</v>
      </c>
      <c r="AP62" s="140">
        <f>INDEX('File 5'!Weekly_Adjusted,20,3)</f>
        <v>0</v>
      </c>
      <c r="AQ62" s="141">
        <f>INDEX('File 6'!Weekly_Adjusted,20,1)</f>
        <v>0</v>
      </c>
      <c r="AR62" s="141">
        <f>INDEX('File 6'!Weekly_Adjusted,20,2)</f>
        <v>0</v>
      </c>
      <c r="AS62" s="141">
        <f>INDEX('File 6'!Weekly_Adjusted,20,3)</f>
        <v>0</v>
      </c>
      <c r="AT62" s="140">
        <f>INDEX('File 7'!Weekly_Adjusted,20,1)</f>
        <v>0</v>
      </c>
      <c r="AU62" s="140">
        <f>INDEX('File 7'!Weekly_Adjusted,20,2)</f>
        <v>0</v>
      </c>
      <c r="AV62" s="140">
        <f>INDEX('File 7'!Weekly_Adjusted,20,3)</f>
        <v>0</v>
      </c>
      <c r="AW62" s="141">
        <f>INDEX('File 8'!Weekly_Adjusted,20,1)</f>
        <v>0</v>
      </c>
      <c r="AX62" s="141">
        <f>INDEX('File 8'!Weekly_Adjusted,20,2)</f>
        <v>0</v>
      </c>
      <c r="AY62" s="141">
        <f>INDEX('File 8'!Weekly_Adjusted,20,3)</f>
        <v>0</v>
      </c>
      <c r="AZ62" s="140">
        <f>INDEX('File 9'!Weekly_Adjusted,20,1)</f>
        <v>0</v>
      </c>
      <c r="BA62" s="140">
        <f>INDEX('File 9'!Weekly_Adjusted,20,2)</f>
        <v>0</v>
      </c>
      <c r="BB62" s="140">
        <f>INDEX('File 9'!Weekly_Adjusted,20,3)</f>
        <v>0</v>
      </c>
      <c r="BC62" s="141">
        <f>INDEX('File 10'!Weekly_Adjusted,20,1)</f>
        <v>0</v>
      </c>
      <c r="BD62" s="141">
        <f>INDEX('File 10'!Weekly_Adjusted,20,2)</f>
        <v>0</v>
      </c>
      <c r="BE62" s="141">
        <f>INDEX('File 10'!Weekly_Adjusted,20,3)</f>
        <v>0</v>
      </c>
      <c r="BF62" s="140">
        <f>INDEX('File 11'!Weekly_Adjusted,20,1)</f>
        <v>0</v>
      </c>
      <c r="BG62" s="140">
        <f>INDEX('File 11'!Weekly_Adjusted,20,2)</f>
        <v>0</v>
      </c>
      <c r="BH62" s="140">
        <f>INDEX('File 11'!Weekly_Adjusted,20,3)</f>
        <v>0</v>
      </c>
      <c r="BI62" s="141">
        <f>INDEX('File 12'!Weekly_Adjusted,20,1)</f>
        <v>0</v>
      </c>
      <c r="BJ62" s="141">
        <f>INDEX('File 12'!Weekly_Adjusted,20,2)</f>
        <v>0</v>
      </c>
      <c r="BK62" s="141">
        <f>INDEX('File 12'!Weekly_Adjusted,20,3)</f>
        <v>0</v>
      </c>
      <c r="BL62" s="140">
        <f>INDEX('File 13'!Weekly_Adjusted,20,1)</f>
        <v>0</v>
      </c>
      <c r="BM62" s="140">
        <f>INDEX('File 13'!Weekly_Adjusted,20,2)</f>
        <v>0</v>
      </c>
      <c r="BN62" s="140">
        <f>INDEX('File 13'!Weekly_Adjusted,20,3)</f>
        <v>0</v>
      </c>
      <c r="BO62" s="141">
        <f>INDEX('File 14'!Weekly_Adjusted,20,1)</f>
        <v>0</v>
      </c>
      <c r="BP62" s="141">
        <f>INDEX('File 14'!Weekly_Adjusted,20,2)</f>
        <v>0</v>
      </c>
      <c r="BQ62" s="141">
        <f>INDEX('File 14'!Weekly_Adjusted,20,3)</f>
        <v>0</v>
      </c>
      <c r="BR62" s="140">
        <f>INDEX('File 15'!Weekly_Adjusted,20,1)</f>
        <v>0</v>
      </c>
      <c r="BS62" s="140">
        <f>INDEX('File 15'!Weekly_Adjusted,20,2)</f>
        <v>0</v>
      </c>
      <c r="BT62" s="140">
        <f>INDEX('File 15'!Weekly_Adjusted,20,3)</f>
        <v>0</v>
      </c>
      <c r="BU62" s="141">
        <f>INDEX('File 16'!Weekly_Adjusted,20,1)</f>
        <v>0</v>
      </c>
      <c r="BV62" s="141">
        <f>INDEX('File 16'!Weekly_Adjusted,20,2)</f>
        <v>0</v>
      </c>
      <c r="BW62" s="141">
        <f>INDEX('File 16'!Weekly_Adjusted,20,3)</f>
        <v>0</v>
      </c>
      <c r="BX62" s="140">
        <f>INDEX('File 17'!Weekly_Adjusted,20,1)</f>
        <v>0</v>
      </c>
      <c r="BY62" s="140">
        <f>INDEX('File 17'!Weekly_Adjusted,20,2)</f>
        <v>0</v>
      </c>
      <c r="BZ62" s="140">
        <f>INDEX('File 17'!Weekly_Adjusted,20,3)</f>
        <v>0</v>
      </c>
      <c r="CA62" s="141">
        <f>INDEX('File 18'!Weekly_Adjusted,20,1)</f>
        <v>0</v>
      </c>
      <c r="CB62" s="141">
        <f>INDEX('File 18'!Weekly_Adjusted,20,2)</f>
        <v>0</v>
      </c>
      <c r="CC62" s="141">
        <f>INDEX('File 18'!Weekly_Adjusted,20,3)</f>
        <v>0</v>
      </c>
      <c r="CD62" s="140">
        <f>INDEX('File 19'!Weekly_Adjusted,20,1)</f>
        <v>0</v>
      </c>
      <c r="CE62" s="140">
        <f>INDEX('File 19'!Weekly_Adjusted,20,2)</f>
        <v>0</v>
      </c>
      <c r="CF62" s="140">
        <f>INDEX('File 19'!Weekly_Adjusted,20,3)</f>
        <v>0</v>
      </c>
      <c r="CG62" s="141">
        <f>INDEX('File 20'!Weekly_Adjusted,20,1)</f>
        <v>0</v>
      </c>
      <c r="CH62" s="141">
        <f>INDEX('File 20'!Weekly_Adjusted,20,2)</f>
        <v>0</v>
      </c>
      <c r="CI62" s="141">
        <f>INDEX('File 20'!Weekly_Adjusted,20,3)</f>
        <v>0</v>
      </c>
      <c r="CJ62" s="6">
        <f ca="1">SUMIFS(INDEX(Demand_Activity_Weekly,ROW(A20),0),Demand_Activity_Weekly_Header,CJ$42)</f>
        <v>388.17143954725253</v>
      </c>
      <c r="CK62" s="6">
        <f ca="1">SUMIFS(INDEX(Demand_Activity_Weekly,ROW(B20),0),Demand_Activity_Weekly_Header,CK$42)</f>
        <v>0</v>
      </c>
      <c r="CL62" s="6">
        <f ca="1">SUMIFS(INDEX(Demand_Activity_Weekly,ROW(C20),0),Demand_Activity_Weekly_Header,CL$42)</f>
        <v>0</v>
      </c>
      <c r="CM62" s="6">
        <f ca="1">SUMIFS(INDEX(Demand_Activity_Weekly,ROW(D20),0),Demand_Activity_Weekly_Header,CM$42)</f>
        <v>0</v>
      </c>
      <c r="CN62" s="6">
        <f ca="1">SUMIFS(INDEX(Demand_Activity_Weekly,ROW(E20),0),Demand_Activity_Weekly_Header,CN$42)</f>
        <v>0</v>
      </c>
      <c r="CP62" s="142">
        <f ca="1">INDEX('File 1'!Weekly_Adjusted,20,10)</f>
        <v>24.919784152855019</v>
      </c>
      <c r="CQ62" s="142">
        <f>INDEX('File 1'!Weekly_Adjusted,20,11)</f>
        <v>0</v>
      </c>
      <c r="CR62" s="142">
        <f>INDEX('File 1'!Weekly_Adjusted,20,12)</f>
        <v>0</v>
      </c>
      <c r="CS62" s="143">
        <f>INDEX('File 2'!Weekly_Adjusted,20,10)</f>
        <v>0</v>
      </c>
      <c r="CT62" s="143">
        <f>INDEX('File 2'!Weekly_Adjusted,20,11)</f>
        <v>0</v>
      </c>
      <c r="CU62" s="143">
        <f>INDEX('File 2'!Weekly_Adjusted,20,12)</f>
        <v>0</v>
      </c>
      <c r="CV62" s="142">
        <f>INDEX('File 3'!Weekly_Adjusted,20,10)</f>
        <v>0</v>
      </c>
      <c r="CW62" s="142">
        <f>INDEX('File 3'!Weekly_Adjusted,20,11)</f>
        <v>0</v>
      </c>
      <c r="CX62" s="142">
        <f>INDEX('File 3'!Weekly_Adjusted,20,12)</f>
        <v>0</v>
      </c>
      <c r="CY62" s="143">
        <f>INDEX('File 4'!Weekly_Adjusted,20,10)</f>
        <v>0</v>
      </c>
      <c r="CZ62" s="143">
        <f>INDEX('File 4'!Weekly_Adjusted,20,11)</f>
        <v>0</v>
      </c>
      <c r="DA62" s="143">
        <f>INDEX('File 4'!Weekly_Adjusted,20,12)</f>
        <v>0</v>
      </c>
      <c r="DB62" s="142">
        <f>INDEX('File 5'!Weekly_Adjusted,20,10)</f>
        <v>0</v>
      </c>
      <c r="DC62" s="142">
        <f>INDEX('File 5'!Weekly_Adjusted,20,11)</f>
        <v>0</v>
      </c>
      <c r="DD62" s="142">
        <f>INDEX('File 5'!Weekly_Adjusted,20,12)</f>
        <v>0</v>
      </c>
      <c r="DE62" s="143">
        <f>INDEX('File 6'!Weekly_Adjusted,20,10)</f>
        <v>0</v>
      </c>
      <c r="DF62" s="143">
        <f>INDEX('File 6'!Weekly_Adjusted,20,11)</f>
        <v>0</v>
      </c>
      <c r="DG62" s="143">
        <f>INDEX('File 6'!Weekly_Adjusted,20,12)</f>
        <v>0</v>
      </c>
      <c r="DH62" s="142">
        <f>INDEX('File 7'!Weekly_Adjusted,20,10)</f>
        <v>0</v>
      </c>
      <c r="DI62" s="142">
        <f>INDEX('File 7'!Weekly_Adjusted,20,11)</f>
        <v>0</v>
      </c>
      <c r="DJ62" s="142">
        <f>INDEX('File 7'!Weekly_Adjusted,20,12)</f>
        <v>0</v>
      </c>
      <c r="DK62" s="143">
        <f>INDEX('File 8'!Weekly_Adjusted,20,10)</f>
        <v>0</v>
      </c>
      <c r="DL62" s="143">
        <f>INDEX('File 8'!Weekly_Adjusted,20,11)</f>
        <v>0</v>
      </c>
      <c r="DM62" s="143">
        <f>INDEX('File 8'!Weekly_Adjusted,20,12)</f>
        <v>0</v>
      </c>
      <c r="DN62" s="142">
        <f>INDEX('File 9'!Weekly_Adjusted,20,10)</f>
        <v>0</v>
      </c>
      <c r="DO62" s="142">
        <f>INDEX('File 9'!Weekly_Adjusted,20,11)</f>
        <v>0</v>
      </c>
      <c r="DP62" s="142">
        <f>INDEX('File 9'!Weekly_Adjusted,20,12)</f>
        <v>0</v>
      </c>
      <c r="DQ62" s="143">
        <f>INDEX('File 10'!Weekly_Adjusted,20,10)</f>
        <v>0</v>
      </c>
      <c r="DR62" s="143">
        <f>INDEX('File 10'!Weekly_Adjusted,20,11)</f>
        <v>0</v>
      </c>
      <c r="DS62" s="143">
        <f>INDEX('File 10'!Weekly_Adjusted,20,12)</f>
        <v>0</v>
      </c>
      <c r="DT62" s="142">
        <f>INDEX('File 11'!Weekly_Adjusted,20,10)</f>
        <v>0</v>
      </c>
      <c r="DU62" s="142">
        <f>INDEX('File 11'!Weekly_Adjusted,20,11)</f>
        <v>0</v>
      </c>
      <c r="DV62" s="142">
        <f>INDEX('File 11'!Weekly_Adjusted,20,12)</f>
        <v>0</v>
      </c>
      <c r="DW62" s="143">
        <f>INDEX('File 12'!Weekly_Adjusted,20,10)</f>
        <v>0</v>
      </c>
      <c r="DX62" s="143">
        <f>INDEX('File 12'!Weekly_Adjusted,20,11)</f>
        <v>0</v>
      </c>
      <c r="DY62" s="143">
        <f>INDEX('File 12'!Weekly_Adjusted,20,12)</f>
        <v>0</v>
      </c>
      <c r="DZ62" s="142">
        <f>INDEX('File 13'!Weekly_Adjusted,20,10)</f>
        <v>0</v>
      </c>
      <c r="EA62" s="142">
        <f>INDEX('File 13'!Weekly_Adjusted,20,11)</f>
        <v>0</v>
      </c>
      <c r="EB62" s="142">
        <f>INDEX('File 13'!Weekly_Adjusted,20,12)</f>
        <v>0</v>
      </c>
      <c r="EC62" s="143">
        <f>INDEX('File 14'!Weekly_Adjusted,20,10)</f>
        <v>0</v>
      </c>
      <c r="ED62" s="143">
        <f>INDEX('File 14'!Weekly_Adjusted,20,11)</f>
        <v>0</v>
      </c>
      <c r="EE62" s="143">
        <f>INDEX('File 14'!Weekly_Adjusted,20,12)</f>
        <v>0</v>
      </c>
      <c r="EF62" s="142">
        <f>INDEX('File 15'!Weekly_Adjusted,20,10)</f>
        <v>0</v>
      </c>
      <c r="EG62" s="142">
        <f>INDEX('File 15'!Weekly_Adjusted,20,11)</f>
        <v>0</v>
      </c>
      <c r="EH62" s="142">
        <f>INDEX('File 15'!Weekly_Adjusted,20,12)</f>
        <v>0</v>
      </c>
      <c r="EI62" s="143">
        <f>INDEX('File 16'!Weekly_Adjusted,20,10)</f>
        <v>0</v>
      </c>
      <c r="EJ62" s="143">
        <f>INDEX('File 16'!Weekly_Adjusted,20,11)</f>
        <v>0</v>
      </c>
      <c r="EK62" s="143">
        <f>INDEX('File 16'!Weekly_Adjusted,20,12)</f>
        <v>0</v>
      </c>
      <c r="EL62" s="142">
        <f>INDEX('File 17'!Weekly_Adjusted,20,10)</f>
        <v>0</v>
      </c>
      <c r="EM62" s="142">
        <f>INDEX('File 17'!Weekly_Adjusted,20,11)</f>
        <v>0</v>
      </c>
      <c r="EN62" s="142">
        <f>INDEX('File 17'!Weekly_Adjusted,20,12)</f>
        <v>0</v>
      </c>
      <c r="EO62" s="143">
        <f>INDEX('File 18'!Weekly_Adjusted,20,10)</f>
        <v>0</v>
      </c>
      <c r="EP62" s="143">
        <f>INDEX('File 18'!Weekly_Adjusted,20,11)</f>
        <v>0</v>
      </c>
      <c r="EQ62" s="143">
        <f>INDEX('File 18'!Weekly_Adjusted,20,12)</f>
        <v>0</v>
      </c>
      <c r="ER62" s="142">
        <f>INDEX('File 19'!Weekly_Adjusted,20,10)</f>
        <v>0</v>
      </c>
      <c r="ES62" s="142">
        <f>INDEX('File 19'!Weekly_Adjusted,20,11)</f>
        <v>0</v>
      </c>
      <c r="ET62" s="142">
        <f>INDEX('File 19'!Weekly_Adjusted,20,12)</f>
        <v>0</v>
      </c>
      <c r="EU62" s="143">
        <f>INDEX('File 20'!Weekly_Adjusted,20,10)</f>
        <v>0</v>
      </c>
      <c r="EV62" s="143">
        <f>INDEX('File 20'!Weekly_Adjusted,20,11)</f>
        <v>0</v>
      </c>
      <c r="EW62" s="143">
        <f>INDEX('File 20'!Weekly_Adjusted,20,12)</f>
        <v>0</v>
      </c>
      <c r="EX62" s="6">
        <f ca="1">SUMIFS(INDEX(Capacity_Activity_Weekly,ROW(A20),0),Demand_Activity_Weekly_Header,CJ$42)</f>
        <v>24.919784152855019</v>
      </c>
      <c r="EY62" s="6">
        <f ca="1">SUMIFS(INDEX(Capacity_Activity_Weekly,ROW(B20),0),Demand_Activity_Weekly_Header,CK$42)</f>
        <v>0</v>
      </c>
      <c r="EZ62" s="6">
        <f ca="1">SUMIFS(INDEX(Capacity_Activity_Weekly,ROW(C20),0),Demand_Activity_Weekly_Header,CL$42)</f>
        <v>0</v>
      </c>
      <c r="FA62" s="6">
        <f ca="1">SUMIFS(INDEX(Capacity_Activity_Weekly,ROW(D20),0),Demand_Activity_Weekly_Header,CM$42)</f>
        <v>0</v>
      </c>
      <c r="FB62" s="6">
        <f ca="1">SUMIFS(INDEX(Capacity_Activity_Weekly,ROW(E20),0),Demand_Activity_Weekly_Header,CN$42)</f>
        <v>0</v>
      </c>
      <c r="FD62" s="7">
        <f>'File 1'!$Q$54*'Time based aggregation (hide)'!$Q24</f>
        <v>0</v>
      </c>
      <c r="FE62" s="7">
        <f>'File 1'!$R$54*'Time based aggregation (hide)'!$R24</f>
        <v>0</v>
      </c>
      <c r="FF62" s="7">
        <f>'File 1'!$S$54*'Time based aggregation (hide)'!$S24</f>
        <v>0</v>
      </c>
      <c r="FG62" s="7">
        <f>'File 2'!$Q$54*'Time based aggregation (hide)'!$T24</f>
        <v>0</v>
      </c>
      <c r="FH62" s="7">
        <f>'File 2'!$R$54*'Time based aggregation (hide)'!$U24</f>
        <v>0</v>
      </c>
      <c r="FI62" s="7">
        <f>'File 2'!$S$54*'Time based aggregation (hide)'!$V24</f>
        <v>0</v>
      </c>
      <c r="FJ62" s="7">
        <f>'File 3'!$Q$54*'Time based aggregation (hide)'!$W24</f>
        <v>0</v>
      </c>
      <c r="FK62" s="7">
        <f>'File 3'!$R$54*'Time based aggregation (hide)'!$X24</f>
        <v>0</v>
      </c>
      <c r="FL62" s="7">
        <f>'File 3'!$S$54*'Time based aggregation (hide)'!$Y24</f>
        <v>0</v>
      </c>
      <c r="FM62" s="7">
        <f>'File 4'!$Q$54*'Time based aggregation (hide)'!$Z24</f>
        <v>0</v>
      </c>
      <c r="FN62" s="7">
        <f>'File 4'!$R$54*'Time based aggregation (hide)'!$AA24</f>
        <v>0</v>
      </c>
      <c r="FO62" s="7">
        <f>'File 4'!$S$54*'Time based aggregation (hide)'!$AB24</f>
        <v>0</v>
      </c>
      <c r="FP62" s="7">
        <f>'File 5'!$Q$54*'Time based aggregation (hide)'!$AC24</f>
        <v>0</v>
      </c>
      <c r="FQ62" s="7">
        <f>'File 5'!$R$54*'Time based aggregation (hide)'!$AD24</f>
        <v>0</v>
      </c>
      <c r="FR62" s="7">
        <f>'File 5'!$S$54*'Time based aggregation (hide)'!$AE24</f>
        <v>0</v>
      </c>
      <c r="FS62" s="7">
        <f>'File 6'!$Q$54*'Time based aggregation (hide)'!$AF24</f>
        <v>0</v>
      </c>
      <c r="FT62" s="7">
        <f>'File 6'!$R$54*'Time based aggregation (hide)'!$AG24</f>
        <v>0</v>
      </c>
      <c r="FU62" s="7">
        <f>'File 6'!$S$54*'Time based aggregation (hide)'!$AH24</f>
        <v>0</v>
      </c>
      <c r="FV62" s="7">
        <f>'File 7'!$Q$54*'Time based aggregation (hide)'!$AI24</f>
        <v>0</v>
      </c>
      <c r="FW62" s="7">
        <f>'File 7'!$R$54*'Time based aggregation (hide)'!$AJ24</f>
        <v>0</v>
      </c>
      <c r="FX62" s="7">
        <f>'File 7'!$S$54*'Time based aggregation (hide)'!$AK24</f>
        <v>0</v>
      </c>
      <c r="FY62" s="7">
        <f>'File 8'!$Q$54*'Time based aggregation (hide)'!$AL24</f>
        <v>0</v>
      </c>
      <c r="FZ62" s="7">
        <f>'File 8'!$R$54*'Time based aggregation (hide)'!$AM24</f>
        <v>0</v>
      </c>
      <c r="GA62" s="7">
        <f>'File 8'!$S$54*'Time based aggregation (hide)'!$AN24</f>
        <v>0</v>
      </c>
      <c r="GB62" s="7">
        <f>'File 9'!$Q$54*'Time based aggregation (hide)'!$AO24</f>
        <v>0</v>
      </c>
      <c r="GC62" s="7">
        <f>'File 9'!$R$54*'Time based aggregation (hide)'!$AP24</f>
        <v>0</v>
      </c>
      <c r="GD62" s="7">
        <f>'File 9'!$S$54*'Time based aggregation (hide)'!$AQ24</f>
        <v>0</v>
      </c>
      <c r="GE62" s="7">
        <f>'File 10'!$Q$54*'Time based aggregation (hide)'!$AR24</f>
        <v>0</v>
      </c>
      <c r="GF62" s="7">
        <f>'File 10'!$R$54*'Time based aggregation (hide)'!$AS24</f>
        <v>0</v>
      </c>
      <c r="GG62" s="7">
        <f>'File 10'!$S$54*'Time based aggregation (hide)'!$AT24</f>
        <v>0</v>
      </c>
      <c r="GH62" s="7">
        <f>'File 11'!$Q$54*'Time based aggregation (hide)'!$AU24</f>
        <v>0</v>
      </c>
      <c r="GI62" s="7">
        <f>'File 11'!$R$54*'Time based aggregation (hide)'!$AV24</f>
        <v>0</v>
      </c>
      <c r="GJ62" s="7">
        <f>'File 11'!$S$54*'Time based aggregation (hide)'!$AW24</f>
        <v>0</v>
      </c>
      <c r="GK62" s="7">
        <f>'File 12'!$Q$54*'Time based aggregation (hide)'!$AX24</f>
        <v>0</v>
      </c>
      <c r="GL62" s="7">
        <f>'File 12'!$R$54*'Time based aggregation (hide)'!$AY24</f>
        <v>0</v>
      </c>
      <c r="GM62" s="7">
        <f>'File 12'!$S$54*'Time based aggregation (hide)'!$AZ24</f>
        <v>0</v>
      </c>
      <c r="GN62" s="7">
        <f>'File 13'!$Q$54*'Time based aggregation (hide)'!$BA24</f>
        <v>0</v>
      </c>
      <c r="GO62" s="7">
        <f>'File 13'!$R$54*'Time based aggregation (hide)'!$BB24</f>
        <v>0</v>
      </c>
      <c r="GP62" s="7">
        <f>'File 13'!$S$54*'Time based aggregation (hide)'!$BC24</f>
        <v>0</v>
      </c>
      <c r="GQ62" s="7">
        <f>'File 14'!$Q$54*'Time based aggregation (hide)'!$BD24</f>
        <v>0</v>
      </c>
      <c r="GR62" s="7">
        <f>'File 14'!$R$54*'Time based aggregation (hide)'!$BE24</f>
        <v>0</v>
      </c>
      <c r="GS62" s="7">
        <f>'File 14'!$S$54*'Time based aggregation (hide)'!$BF24</f>
        <v>0</v>
      </c>
      <c r="GT62" s="7">
        <f>'File 15'!$Q$54*'Time based aggregation (hide)'!$BG24</f>
        <v>0</v>
      </c>
      <c r="GU62" s="7">
        <f>'File 15'!$R$54*'Time based aggregation (hide)'!$BH24</f>
        <v>0</v>
      </c>
      <c r="GV62" s="7">
        <f>'File 15'!$S$54*'Time based aggregation (hide)'!$BI24</f>
        <v>0</v>
      </c>
      <c r="GW62" s="7">
        <f>'File 16'!$Q$54*'Time based aggregation (hide)'!$BJ24</f>
        <v>0</v>
      </c>
      <c r="GX62" s="7">
        <f>'File 16'!$R$54*'Time based aggregation (hide)'!$BK24</f>
        <v>0</v>
      </c>
      <c r="GY62" s="7">
        <f>'File 16'!$S$54*'Time based aggregation (hide)'!$BL24</f>
        <v>0</v>
      </c>
      <c r="GZ62" s="7">
        <f>'File 17'!$Q$54*'Time based aggregation (hide)'!$BM24</f>
        <v>0</v>
      </c>
      <c r="HA62" s="7">
        <f>'File 17'!$R$54*'Time based aggregation (hide)'!$BN24</f>
        <v>0</v>
      </c>
      <c r="HB62" s="7">
        <f>'File 17'!$S$54*'Time based aggregation (hide)'!$BO24</f>
        <v>0</v>
      </c>
      <c r="HC62" s="7">
        <f>'File 18'!$Q$54*'Time based aggregation (hide)'!$BP24</f>
        <v>0</v>
      </c>
      <c r="HD62" s="7">
        <f>'File 18'!$R$54*'Time based aggregation (hide)'!$BQ24</f>
        <v>0</v>
      </c>
      <c r="HE62" s="7">
        <f>'File 18'!$S$54*'Time based aggregation (hide)'!$BR24</f>
        <v>0</v>
      </c>
      <c r="HF62" s="7">
        <f>'File 19'!$Q$54*'Time based aggregation (hide)'!$BS24</f>
        <v>0</v>
      </c>
      <c r="HG62" s="7">
        <f>'File 19'!$R$54*'Time based aggregation (hide)'!$BT24</f>
        <v>0</v>
      </c>
      <c r="HH62" s="7">
        <f>'File 19'!$S$54*'Time based aggregation (hide)'!$BU24</f>
        <v>0</v>
      </c>
      <c r="HI62" s="7">
        <f>'File 20'!$Q$54*'Time based aggregation (hide)'!$BV24</f>
        <v>0</v>
      </c>
      <c r="HJ62" s="7">
        <f>'File 20'!$R$54*'Time based aggregation (hide)'!$BW24</f>
        <v>0</v>
      </c>
      <c r="HK62" s="7">
        <f>'File 20'!$S$54*'Time based aggregation (hide)'!$BX24</f>
        <v>0</v>
      </c>
      <c r="HL62" s="7">
        <f t="shared" ca="1" si="40"/>
        <v>0</v>
      </c>
      <c r="HM62" s="7">
        <f t="shared" ca="1" si="40"/>
        <v>0</v>
      </c>
      <c r="HN62" s="7">
        <f t="shared" ca="1" si="40"/>
        <v>0</v>
      </c>
      <c r="HO62" s="7">
        <f t="shared" ca="1" si="40"/>
        <v>0</v>
      </c>
      <c r="HP62" s="7">
        <f t="shared" ca="1" si="40"/>
        <v>0</v>
      </c>
      <c r="HR62" s="142">
        <f ca="1">INDEX('File 1'!Weekly_Adjusted,20,16)</f>
        <v>21.427839876658773</v>
      </c>
      <c r="HS62" s="142">
        <f>INDEX('File 1'!Weekly_Adjusted,20,17)</f>
        <v>0</v>
      </c>
      <c r="HT62" s="142">
        <f>INDEX('File 1'!Weekly_Adjusted,20,18)</f>
        <v>0</v>
      </c>
      <c r="HU62" s="143">
        <f>INDEX('File 2'!Weekly_Adjusted,20,16)</f>
        <v>0</v>
      </c>
      <c r="HV62" s="143">
        <f>INDEX('File 2'!Weekly_Adjusted,20,17)</f>
        <v>0</v>
      </c>
      <c r="HW62" s="143">
        <f>INDEX('File 2'!Weekly_Adjusted,20,18)</f>
        <v>0</v>
      </c>
      <c r="HX62" s="142">
        <f>INDEX('File 3'!Weekly_Adjusted,20,16)</f>
        <v>0</v>
      </c>
      <c r="HY62" s="142">
        <f>INDEX('File 3'!Weekly_Adjusted,20,17)</f>
        <v>0</v>
      </c>
      <c r="HZ62" s="142">
        <f>INDEX('File 3'!Weekly_Adjusted,20,18)</f>
        <v>0</v>
      </c>
      <c r="IA62" s="143">
        <f>INDEX('File 4'!Weekly_Adjusted,20,16)</f>
        <v>0</v>
      </c>
      <c r="IB62" s="143">
        <f>INDEX('File 4'!Weekly_Adjusted,20,17)</f>
        <v>0</v>
      </c>
      <c r="IC62" s="143">
        <f>INDEX('File 4'!Weekly_Adjusted,20,18)</f>
        <v>0</v>
      </c>
      <c r="ID62" s="142">
        <f>INDEX('File 5'!Weekly_Adjusted,20,16)</f>
        <v>0</v>
      </c>
      <c r="IE62" s="142">
        <f>INDEX('File 5'!Weekly_Adjusted,20,17)</f>
        <v>0</v>
      </c>
      <c r="IF62" s="142">
        <f>INDEX('File 5'!Weekly_Adjusted,20,18)</f>
        <v>0</v>
      </c>
      <c r="IG62" s="143">
        <f>INDEX('File 6'!Weekly_Adjusted,20,16)</f>
        <v>0</v>
      </c>
      <c r="IH62" s="143">
        <f>INDEX('File 6'!Weekly_Adjusted,20,17)</f>
        <v>0</v>
      </c>
      <c r="II62" s="143">
        <f>INDEX('File 6'!Weekly_Adjusted,20,18)</f>
        <v>0</v>
      </c>
      <c r="IJ62" s="142">
        <f>INDEX('File 7'!Weekly_Adjusted,20,16)</f>
        <v>0</v>
      </c>
      <c r="IK62" s="142">
        <f>INDEX('File 7'!Weekly_Adjusted,20,17)</f>
        <v>0</v>
      </c>
      <c r="IL62" s="142">
        <f>INDEX('File 7'!Weekly_Adjusted,20,18)</f>
        <v>0</v>
      </c>
      <c r="IM62" s="143">
        <f>INDEX('File 8'!Weekly_Adjusted,20,16)</f>
        <v>0</v>
      </c>
      <c r="IN62" s="143">
        <f>INDEX('File 8'!Weekly_Adjusted,20,17)</f>
        <v>0</v>
      </c>
      <c r="IO62" s="143">
        <f>INDEX('File 8'!Weekly_Adjusted,20,18)</f>
        <v>0</v>
      </c>
      <c r="IP62" s="142">
        <f>INDEX('File 9'!Weekly_Adjusted,20,16)</f>
        <v>0</v>
      </c>
      <c r="IQ62" s="142">
        <f>INDEX('File 9'!Weekly_Adjusted,20,17)</f>
        <v>0</v>
      </c>
      <c r="IR62" s="142">
        <f>INDEX('File 9'!Weekly_Adjusted,20,18)</f>
        <v>0</v>
      </c>
      <c r="IS62" s="143">
        <f>INDEX('File 10'!Weekly_Adjusted,20,16)</f>
        <v>0</v>
      </c>
      <c r="IT62" s="143">
        <f>INDEX('File 10'!Weekly_Adjusted,20,17)</f>
        <v>0</v>
      </c>
      <c r="IU62" s="143">
        <f>INDEX('File 10'!Weekly_Adjusted,20,18)</f>
        <v>0</v>
      </c>
      <c r="IV62" s="142">
        <f>INDEX('File 11'!Weekly_Adjusted,20,16)</f>
        <v>0</v>
      </c>
      <c r="IW62" s="142">
        <f>INDEX('File 11'!Weekly_Adjusted,20,17)</f>
        <v>0</v>
      </c>
      <c r="IX62" s="142">
        <f>INDEX('File 11'!Weekly_Adjusted,20,18)</f>
        <v>0</v>
      </c>
      <c r="IY62" s="143">
        <f>INDEX('File 12'!Weekly_Adjusted,20,16)</f>
        <v>0</v>
      </c>
      <c r="IZ62" s="143">
        <f>INDEX('File 12'!Weekly_Adjusted,20,17)</f>
        <v>0</v>
      </c>
      <c r="JA62" s="143">
        <f>INDEX('File 12'!Weekly_Adjusted,20,18)</f>
        <v>0</v>
      </c>
      <c r="JB62" s="142">
        <f>INDEX('File 13'!Weekly_Adjusted,20,16)</f>
        <v>0</v>
      </c>
      <c r="JC62" s="142">
        <f>INDEX('File 13'!Weekly_Adjusted,20,17)</f>
        <v>0</v>
      </c>
      <c r="JD62" s="142">
        <f>INDEX('File 13'!Weekly_Adjusted,20,18)</f>
        <v>0</v>
      </c>
      <c r="JE62" s="143">
        <f>INDEX('File 14'!Weekly_Adjusted,20,16)</f>
        <v>0</v>
      </c>
      <c r="JF62" s="143">
        <f>INDEX('File 14'!Weekly_Adjusted,20,17)</f>
        <v>0</v>
      </c>
      <c r="JG62" s="143">
        <f>INDEX('File 14'!Weekly_Adjusted,20,18)</f>
        <v>0</v>
      </c>
      <c r="JH62" s="142">
        <f>INDEX('File 15'!Weekly_Adjusted,20,16)</f>
        <v>0</v>
      </c>
      <c r="JI62" s="142">
        <f>INDEX('File 15'!Weekly_Adjusted,20,17)</f>
        <v>0</v>
      </c>
      <c r="JJ62" s="142">
        <f>INDEX('File 15'!Weekly_Adjusted,20,18)</f>
        <v>0</v>
      </c>
      <c r="JK62" s="143">
        <f>INDEX('File 16'!Weekly_Adjusted,20,16)</f>
        <v>0</v>
      </c>
      <c r="JL62" s="143">
        <f>INDEX('File 16'!Weekly_Adjusted,20,17)</f>
        <v>0</v>
      </c>
      <c r="JM62" s="143">
        <f>INDEX('File 16'!Weekly_Adjusted,20,18)</f>
        <v>0</v>
      </c>
      <c r="JN62" s="142">
        <f>INDEX('File 17'!Weekly_Adjusted,20,16)</f>
        <v>0</v>
      </c>
      <c r="JO62" s="142">
        <f>INDEX('File 17'!Weekly_Adjusted,20,17)</f>
        <v>0</v>
      </c>
      <c r="JP62" s="142">
        <f>INDEX('File 17'!Weekly_Adjusted,20,18)</f>
        <v>0</v>
      </c>
      <c r="JQ62" s="143">
        <f>INDEX('File 18'!Weekly_Adjusted,20,16)</f>
        <v>0</v>
      </c>
      <c r="JR62" s="143">
        <f>INDEX('File 18'!Weekly_Adjusted,20,17)</f>
        <v>0</v>
      </c>
      <c r="JS62" s="143">
        <f>INDEX('File 18'!Weekly_Adjusted,20,18)</f>
        <v>0</v>
      </c>
      <c r="JT62" s="142">
        <f>INDEX('File 19'!Weekly_Adjusted,20,16)</f>
        <v>0</v>
      </c>
      <c r="JU62" s="142">
        <f>INDEX('File 19'!Weekly_Adjusted,20,17)</f>
        <v>0</v>
      </c>
      <c r="JV62" s="142">
        <f>INDEX('File 19'!Weekly_Adjusted,20,18)</f>
        <v>0</v>
      </c>
      <c r="JW62" s="143">
        <f>INDEX('File 20'!Weekly_Adjusted,20,16)</f>
        <v>0</v>
      </c>
      <c r="JX62" s="143">
        <f>INDEX('File 20'!Weekly_Adjusted,20,17)</f>
        <v>0</v>
      </c>
      <c r="JY62" s="143">
        <f>INDEX('File 20'!Weekly_Adjusted,20,18)</f>
        <v>0</v>
      </c>
      <c r="JZ62" s="6">
        <f ca="1">SUMIFS(INDEX(CapacityCore_Activity_Weekly,ROW(EC20),0),Demand_Activity_Weekly_Header,HL$42)</f>
        <v>21.427839876658773</v>
      </c>
      <c r="KA62" s="6">
        <f ca="1">SUMIFS(INDEX(CapacityCore_Activity_Weekly,ROW(ED20),0),Demand_Activity_Weekly_Header,HM$42)</f>
        <v>0</v>
      </c>
      <c r="KB62" s="6">
        <f ca="1">SUMIFS(INDEX(CapacityCore_Activity_Weekly,ROW(EE20),0),Demand_Activity_Weekly_Header,HN$42)</f>
        <v>0</v>
      </c>
      <c r="KC62" s="6">
        <f ca="1">SUMIFS(INDEX(CapacityCore_Activity_Weekly,ROW(EF20),0),Demand_Activity_Weekly_Header,HO$42)</f>
        <v>0</v>
      </c>
      <c r="KD62" s="6">
        <f ca="1">SUMIFS(INDEX(CapacityCore_Activity_Weekly,ROW(EG20),0),Demand_Activity_Weekly_Header,HP$42)</f>
        <v>0</v>
      </c>
      <c r="KF62" s="6">
        <f>SUMIFS('Time based aggregation (hide)'!$J:$J,'Time based aggregation (hide)'!$E:$E,1,'Time based aggregation (hide)'!$F:$F,1,'Time based aggregation (hide)'!$A:$A,ROW(A20))</f>
        <v>0</v>
      </c>
      <c r="KG62" s="6">
        <f>SUMIFS('Time based aggregation (hide)'!$J:$J,'Time based aggregation (hide)'!$E:$E,1,'Time based aggregation (hide)'!$F:$F,2,'Time based aggregation (hide)'!$A:$A,ROW(A20))</f>
        <v>0</v>
      </c>
      <c r="KH62" s="6">
        <f>SUMIFS('Time based aggregation (hide)'!$J:$J,'Time based aggregation (hide)'!$E:$E,1,'Time based aggregation (hide)'!$F:$F,3,'Time based aggregation (hide)'!$A:$A,ROW(A20))</f>
        <v>0</v>
      </c>
      <c r="KI62" s="6">
        <f>SUMIFS('Time based aggregation (hide)'!$J:$J,'Time based aggregation (hide)'!$E:$E,2,'Time based aggregation (hide)'!$F:$F,1,'Time based aggregation (hide)'!$A:$A,ROW(A20))</f>
        <v>0</v>
      </c>
      <c r="KJ62" s="6">
        <f>SUMIFS('Time based aggregation (hide)'!$J:$J,'Time based aggregation (hide)'!$E:$E,2,'Time based aggregation (hide)'!$F:$F,2,'Time based aggregation (hide)'!$A:$A,ROW(A20))</f>
        <v>0</v>
      </c>
      <c r="KK62" s="6">
        <f>SUMIFS('Time based aggregation (hide)'!$J:$J,'Time based aggregation (hide)'!$E:$E,2,'Time based aggregation (hide)'!$F:$F,3,'Time based aggregation (hide)'!$A:$A,ROW(A20))</f>
        <v>0</v>
      </c>
      <c r="KL62" s="6">
        <f>SUMIFS('Time based aggregation (hide)'!$J:$J,'Time based aggregation (hide)'!$E:$E,3,'Time based aggregation (hide)'!$F:$F,1,'Time based aggregation (hide)'!$A:$A,ROW(A20))</f>
        <v>0</v>
      </c>
      <c r="KM62" s="6">
        <f>SUMIFS('Time based aggregation (hide)'!$J:$J,'Time based aggregation (hide)'!$E:$E,3,'Time based aggregation (hide)'!$F:$F,2,'Time based aggregation (hide)'!$A:$A,ROW(A20))</f>
        <v>0</v>
      </c>
      <c r="KN62" s="6">
        <f>SUMIFS('Time based aggregation (hide)'!$J:$J,'Time based aggregation (hide)'!$E:$E,3,'Time based aggregation (hide)'!$F:$F,3,'Time based aggregation (hide)'!$A:$A,ROW(A20))</f>
        <v>0</v>
      </c>
      <c r="KO62" s="6">
        <f>SUMIFS('Time based aggregation (hide)'!$J:$J,'Time based aggregation (hide)'!$E:$E,4,'Time based aggregation (hide)'!$F:$F,1,'Time based aggregation (hide)'!$A:$A,ROW(A20))</f>
        <v>0</v>
      </c>
      <c r="KP62" s="6">
        <f>SUMIFS('Time based aggregation (hide)'!$J:$J,'Time based aggregation (hide)'!$E:$E,4,'Time based aggregation (hide)'!$F:$F,2,'Time based aggregation (hide)'!$A:$A,ROW(A20))</f>
        <v>0</v>
      </c>
      <c r="KQ62" s="6">
        <f>SUMIFS('Time based aggregation (hide)'!$J:$J,'Time based aggregation (hide)'!$E:$E,4,'Time based aggregation (hide)'!$F:$F,3,'Time based aggregation (hide)'!$A:$A,ROW(A20))</f>
        <v>0</v>
      </c>
      <c r="KR62" s="6">
        <f>SUMIFS('Time based aggregation (hide)'!$J:$J,'Time based aggregation (hide)'!$E:$E,5,'Time based aggregation (hide)'!$F:$F,1,'Time based aggregation (hide)'!$A:$A,ROW(A20))</f>
        <v>0</v>
      </c>
      <c r="KS62" s="6">
        <f>SUMIFS('Time based aggregation (hide)'!$J:$J,'Time based aggregation (hide)'!$E:$E,5,'Time based aggregation (hide)'!$F:$F,2,'Time based aggregation (hide)'!$A:$A,ROW(A20))</f>
        <v>0</v>
      </c>
      <c r="KT62" s="6">
        <f>SUMIFS('Time based aggregation (hide)'!$J:$J,'Time based aggregation (hide)'!$E:$E,5,'Time based aggregation (hide)'!$F:$F,3,'Time based aggregation (hide)'!$A:$A,ROW(A20))</f>
        <v>0</v>
      </c>
      <c r="KU62" s="6">
        <f>SUMIFS('Time based aggregation (hide)'!$J:$J,'Time based aggregation (hide)'!$E:$E,6,'Time based aggregation (hide)'!$F:$F,1,'Time based aggregation (hide)'!$A:$A,ROW(A20))</f>
        <v>0</v>
      </c>
      <c r="KV62" s="6">
        <f>SUMIFS('Time based aggregation (hide)'!$J:$J,'Time based aggregation (hide)'!$E:$E,6,'Time based aggregation (hide)'!$F:$F,2,'Time based aggregation (hide)'!$A:$A,ROW(A20))</f>
        <v>0</v>
      </c>
      <c r="KW62" s="6">
        <f>SUMIFS('Time based aggregation (hide)'!$J:$J,'Time based aggregation (hide)'!$E:$E,6,'Time based aggregation (hide)'!$F:$F,3,'Time based aggregation (hide)'!$A:$A,ROW(A20))</f>
        <v>0</v>
      </c>
      <c r="KX62" s="6">
        <f>SUMIFS('Time based aggregation (hide)'!$J:$J,'Time based aggregation (hide)'!$E:$E,7,'Time based aggregation (hide)'!$F:$F,1,'Time based aggregation (hide)'!$A:$A,ROW(A20))</f>
        <v>0</v>
      </c>
      <c r="KY62" s="6">
        <f>SUMIFS('Time based aggregation (hide)'!$J:$J,'Time based aggregation (hide)'!$E:$E,7,'Time based aggregation (hide)'!$F:$F,2,'Time based aggregation (hide)'!$A:$A,ROW(A20))</f>
        <v>0</v>
      </c>
      <c r="KZ62" s="6">
        <f>SUMIFS('Time based aggregation (hide)'!$J:$J,'Time based aggregation (hide)'!$E:$E,7,'Time based aggregation (hide)'!$F:$F,3,'Time based aggregation (hide)'!$A:$A,ROW(A20))</f>
        <v>0</v>
      </c>
      <c r="LA62" s="6">
        <f>SUMIFS('Time based aggregation (hide)'!$J:$J,'Time based aggregation (hide)'!$E:$E,8,'Time based aggregation (hide)'!$F:$F,1,'Time based aggregation (hide)'!$A:$A,ROW(A20))</f>
        <v>0</v>
      </c>
      <c r="LB62" s="6">
        <f>SUMIFS('Time based aggregation (hide)'!$J:$J,'Time based aggregation (hide)'!$E:$E,8,'Time based aggregation (hide)'!$F:$F,2,'Time based aggregation (hide)'!$A:$A,ROW(A20))</f>
        <v>0</v>
      </c>
      <c r="LC62" s="6">
        <f>SUMIFS('Time based aggregation (hide)'!$J:$J,'Time based aggregation (hide)'!$E:$E,8,'Time based aggregation (hide)'!$F:$F,3,'Time based aggregation (hide)'!$A:$A,ROW(A20))</f>
        <v>0</v>
      </c>
      <c r="LD62" s="6">
        <f>SUMIFS('Time based aggregation (hide)'!$J:$J,'Time based aggregation (hide)'!$E:$E,9,'Time based aggregation (hide)'!$F:$F,1,'Time based aggregation (hide)'!$A:$A,ROW(A20))</f>
        <v>0</v>
      </c>
      <c r="LE62" s="6">
        <f>SUMIFS('Time based aggregation (hide)'!$J:$J,'Time based aggregation (hide)'!$E:$E,9,'Time based aggregation (hide)'!$F:$F,2,'Time based aggregation (hide)'!$A:$A,ROW(A20))</f>
        <v>0</v>
      </c>
      <c r="LF62" s="6">
        <f>SUMIFS('Time based aggregation (hide)'!$J:$J,'Time based aggregation (hide)'!$E:$E,9,'Time based aggregation (hide)'!$F:$F,3,'Time based aggregation (hide)'!$A:$A,ROW(A20))</f>
        <v>0</v>
      </c>
      <c r="LG62" s="6">
        <f>SUMIFS('Time based aggregation (hide)'!$J:$J,'Time based aggregation (hide)'!$E:$E,10,'Time based aggregation (hide)'!$F:$F,1,'Time based aggregation (hide)'!$A:$A,ROW(A20))</f>
        <v>0</v>
      </c>
      <c r="LH62" s="6">
        <f>SUMIFS('Time based aggregation (hide)'!$J:$J,'Time based aggregation (hide)'!$E:$E,10,'Time based aggregation (hide)'!$F:$F,2,'Time based aggregation (hide)'!$A:$A,ROW(A20))</f>
        <v>0</v>
      </c>
      <c r="LI62" s="6">
        <f>SUMIFS('Time based aggregation (hide)'!$J:$J,'Time based aggregation (hide)'!$E:$E,10,'Time based aggregation (hide)'!$F:$F,3,'Time based aggregation (hide)'!$A:$A,ROW(A20))</f>
        <v>0</v>
      </c>
      <c r="LJ62" s="6">
        <f>SUMIFS('Time based aggregation (hide)'!$J:$J,'Time based aggregation (hide)'!$E:$E,11,'Time based aggregation (hide)'!$F:$F,1,'Time based aggregation (hide)'!$A:$A,ROW(A20))</f>
        <v>0</v>
      </c>
      <c r="LK62" s="6">
        <f>SUMIFS('Time based aggregation (hide)'!$J:$J,'Time based aggregation (hide)'!$E:$E,11,'Time based aggregation (hide)'!$F:$F,2,'Time based aggregation (hide)'!$A:$A,ROW(A20))</f>
        <v>0</v>
      </c>
      <c r="LL62" s="6">
        <f>SUMIFS('Time based aggregation (hide)'!$J:$J,'Time based aggregation (hide)'!$E:$E,11,'Time based aggregation (hide)'!$F:$F,3,'Time based aggregation (hide)'!$A:$A,ROW(A20))</f>
        <v>0</v>
      </c>
      <c r="LM62" s="6">
        <f>SUMIFS('Time based aggregation (hide)'!$J:$J,'Time based aggregation (hide)'!$E:$E,12,'Time based aggregation (hide)'!$F:$F,1,'Time based aggregation (hide)'!$A:$A,ROW(A20))</f>
        <v>0</v>
      </c>
      <c r="LN62" s="6">
        <f>SUMIFS('Time based aggregation (hide)'!$J:$J,'Time based aggregation (hide)'!$E:$E,12,'Time based aggregation (hide)'!$F:$F,2,'Time based aggregation (hide)'!$A:$A,ROW(A20))</f>
        <v>0</v>
      </c>
      <c r="LO62" s="6">
        <f>SUMIFS('Time based aggregation (hide)'!$J:$J,'Time based aggregation (hide)'!$E:$E,12,'Time based aggregation (hide)'!$F:$F,3,'Time based aggregation (hide)'!$A:$A,ROW(A20))</f>
        <v>0</v>
      </c>
      <c r="LP62" s="6">
        <f>SUMIFS('Time based aggregation (hide)'!$J:$J,'Time based aggregation (hide)'!$E:$E,13,'Time based aggregation (hide)'!$F:$F,1,'Time based aggregation (hide)'!$A:$A,ROW(A20))</f>
        <v>0</v>
      </c>
      <c r="LQ62" s="6">
        <f>SUMIFS('Time based aggregation (hide)'!$J:$J,'Time based aggregation (hide)'!$E:$E,13,'Time based aggregation (hide)'!$F:$F,2,'Time based aggregation (hide)'!$A:$A,ROW(A20))</f>
        <v>0</v>
      </c>
      <c r="LR62" s="6">
        <f>SUMIFS('Time based aggregation (hide)'!$J:$J,'Time based aggregation (hide)'!$E:$E,13,'Time based aggregation (hide)'!$F:$F,3,'Time based aggregation (hide)'!$A:$A,ROW(A20))</f>
        <v>0</v>
      </c>
      <c r="LS62" s="6">
        <f>SUMIFS('Time based aggregation (hide)'!$J:$J,'Time based aggregation (hide)'!$E:$E,14,'Time based aggregation (hide)'!$F:$F,1,'Time based aggregation (hide)'!$A:$A,ROW(A20))</f>
        <v>0</v>
      </c>
      <c r="LT62" s="6">
        <f>SUMIFS('Time based aggregation (hide)'!$J:$J,'Time based aggregation (hide)'!$E:$E,14,'Time based aggregation (hide)'!$F:$F,2,'Time based aggregation (hide)'!$A:$A,ROW(A20))</f>
        <v>0</v>
      </c>
      <c r="LU62" s="6">
        <f>SUMIFS('Time based aggregation (hide)'!$J:$J,'Time based aggregation (hide)'!$E:$E,14,'Time based aggregation (hide)'!$F:$F,3,'Time based aggregation (hide)'!$A:$A,ROW(A20))</f>
        <v>0</v>
      </c>
      <c r="LV62" s="6">
        <f>SUMIFS('Time based aggregation (hide)'!$J:$J,'Time based aggregation (hide)'!$E:$E,15,'Time based aggregation (hide)'!$F:$F,1,'Time based aggregation (hide)'!$A:$A,ROW(A20))</f>
        <v>0</v>
      </c>
      <c r="LW62" s="6">
        <f>SUMIFS('Time based aggregation (hide)'!$J:$J,'Time based aggregation (hide)'!$E:$E,15,'Time based aggregation (hide)'!$F:$F,2,'Time based aggregation (hide)'!$A:$A,ROW(A20))</f>
        <v>0</v>
      </c>
      <c r="LX62" s="6">
        <f>SUMIFS('Time based aggregation (hide)'!$J:$J,'Time based aggregation (hide)'!$E:$E,15,'Time based aggregation (hide)'!$F:$F,3,'Time based aggregation (hide)'!$A:$A,ROW(A20))</f>
        <v>0</v>
      </c>
      <c r="LY62" s="6">
        <f>SUMIFS('Time based aggregation (hide)'!$J:$J,'Time based aggregation (hide)'!$E:$E,16,'Time based aggregation (hide)'!$F:$F,1,'Time based aggregation (hide)'!$A:$A,ROW(A20))</f>
        <v>0</v>
      </c>
      <c r="LZ62" s="6">
        <f>SUMIFS('Time based aggregation (hide)'!$J:$J,'Time based aggregation (hide)'!$E:$E,16,'Time based aggregation (hide)'!$F:$F,2,'Time based aggregation (hide)'!$A:$A,ROW(A20))</f>
        <v>0</v>
      </c>
      <c r="MA62" s="6">
        <f>SUMIFS('Time based aggregation (hide)'!$J:$J,'Time based aggregation (hide)'!$E:$E,16,'Time based aggregation (hide)'!$F:$F,3,'Time based aggregation (hide)'!$A:$A,ROW(A20))</f>
        <v>0</v>
      </c>
      <c r="MB62" s="6">
        <f>SUMIFS('Time based aggregation (hide)'!$J:$J,'Time based aggregation (hide)'!$E:$E,17,'Time based aggregation (hide)'!$F:$F,1,'Time based aggregation (hide)'!$A:$A,ROW(A20))</f>
        <v>0</v>
      </c>
      <c r="MC62" s="6">
        <f>SUMIFS('Time based aggregation (hide)'!$J:$J,'Time based aggregation (hide)'!$E:$E,17,'Time based aggregation (hide)'!$F:$F,2,'Time based aggregation (hide)'!$A:$A,ROW(A20))</f>
        <v>0</v>
      </c>
      <c r="MD62" s="6">
        <f>SUMIFS('Time based aggregation (hide)'!$J:$J,'Time based aggregation (hide)'!$E:$E,17,'Time based aggregation (hide)'!$F:$F,3,'Time based aggregation (hide)'!$A:$A,ROW(A20))</f>
        <v>0</v>
      </c>
      <c r="ME62" s="6">
        <f>SUMIFS('Time based aggregation (hide)'!$J:$J,'Time based aggregation (hide)'!$E:$E,18,'Time based aggregation (hide)'!$F:$F,1,'Time based aggregation (hide)'!$A:$A,ROW(A20))</f>
        <v>0</v>
      </c>
      <c r="MF62" s="6">
        <f>SUMIFS('Time based aggregation (hide)'!$J:$J,'Time based aggregation (hide)'!$E:$E,18,'Time based aggregation (hide)'!$F:$F,2,'Time based aggregation (hide)'!$A:$A,ROW(A20))</f>
        <v>0</v>
      </c>
      <c r="MG62" s="6">
        <f>SUMIFS('Time based aggregation (hide)'!$J:$J,'Time based aggregation (hide)'!$E:$E,18,'Time based aggregation (hide)'!$F:$F,3,'Time based aggregation (hide)'!$A:$A,ROW(A20))</f>
        <v>0</v>
      </c>
      <c r="MH62" s="6">
        <f>SUMIFS('Time based aggregation (hide)'!$J:$J,'Time based aggregation (hide)'!$E:$E,19,'Time based aggregation (hide)'!$F:$F,1,'Time based aggregation (hide)'!$A:$A,ROW(A20))</f>
        <v>0</v>
      </c>
      <c r="MI62" s="6">
        <f>SUMIFS('Time based aggregation (hide)'!$J:$J,'Time based aggregation (hide)'!$E:$E,19,'Time based aggregation (hide)'!$F:$F,2,'Time based aggregation (hide)'!$A:$A,ROW(A20))</f>
        <v>0</v>
      </c>
      <c r="MJ62" s="6">
        <f>SUMIFS('Time based aggregation (hide)'!$J:$J,'Time based aggregation (hide)'!$E:$E,19,'Time based aggregation (hide)'!$F:$F,3,'Time based aggregation (hide)'!$A:$A,ROW(A20))</f>
        <v>0</v>
      </c>
      <c r="MK62" s="6">
        <f>SUMIFS('Time based aggregation (hide)'!$J:$J,'Time based aggregation (hide)'!$E:$E,20,'Time based aggregation (hide)'!$F:$F,1,'Time based aggregation (hide)'!$A:$A,ROW(A20))</f>
        <v>0</v>
      </c>
      <c r="ML62" s="6">
        <f>SUMIFS('Time based aggregation (hide)'!$J:$J,'Time based aggregation (hide)'!$E:$E,20,'Time based aggregation (hide)'!$F:$F,2,'Time based aggregation (hide)'!$A:$A,ROW(A20))</f>
        <v>0</v>
      </c>
      <c r="MM62" s="6">
        <f>SUMIFS('Time based aggregation (hide)'!$J:$J,'Time based aggregation (hide)'!$E:$E,20,'Time based aggregation (hide)'!$F:$F,3,'Time based aggregation (hide)'!$A:$A,ROW(A20))</f>
        <v>0</v>
      </c>
      <c r="MN62" s="7">
        <f t="shared" ca="1" si="41"/>
        <v>0</v>
      </c>
      <c r="MO62" s="7">
        <f t="shared" ca="1" si="32"/>
        <v>0</v>
      </c>
      <c r="MP62" s="7">
        <f t="shared" ca="1" si="32"/>
        <v>0</v>
      </c>
      <c r="MQ62" s="7">
        <f t="shared" ca="1" si="32"/>
        <v>0</v>
      </c>
      <c r="MR62" s="7">
        <f t="shared" ca="1" si="32"/>
        <v>0</v>
      </c>
    </row>
    <row r="63" spans="1:356" x14ac:dyDescent="0.25">
      <c r="A63">
        <f>1</f>
        <v>1</v>
      </c>
      <c r="B63" s="85">
        <f t="shared" si="37"/>
        <v>43851</v>
      </c>
      <c r="C63" s="85">
        <f t="shared" si="25"/>
        <v>43850</v>
      </c>
      <c r="D63">
        <f t="shared" ca="1" si="26"/>
        <v>1</v>
      </c>
      <c r="E63" s="85">
        <f t="shared" si="27"/>
        <v>43831</v>
      </c>
      <c r="F63">
        <f t="shared" si="33"/>
        <v>4</v>
      </c>
      <c r="H63">
        <f t="shared" si="34"/>
        <v>21</v>
      </c>
      <c r="I63" s="85">
        <f t="shared" si="38"/>
        <v>43969</v>
      </c>
      <c r="J63">
        <f t="shared" ca="1" si="28"/>
        <v>5</v>
      </c>
      <c r="K63">
        <f t="shared" ca="1" si="29"/>
        <v>1.968503937007874E-2</v>
      </c>
      <c r="L63" s="114"/>
      <c r="M63" s="85"/>
      <c r="N63" s="85">
        <f t="shared" si="35"/>
        <v>43969</v>
      </c>
      <c r="O63" s="122">
        <f t="shared" ref="O63:Z72" ca="1" si="42">SUMIFS($D$43:$D$408,$C$43:$C$408,$N63,$E$43:$E$408,O$42)/$J63</f>
        <v>0</v>
      </c>
      <c r="P63" s="122">
        <f t="shared" ca="1" si="42"/>
        <v>0</v>
      </c>
      <c r="Q63" s="122">
        <f t="shared" ca="1" si="42"/>
        <v>0</v>
      </c>
      <c r="R63" s="122">
        <f t="shared" ca="1" si="42"/>
        <v>0</v>
      </c>
      <c r="S63" s="122">
        <f t="shared" ca="1" si="42"/>
        <v>1</v>
      </c>
      <c r="T63" s="122">
        <f t="shared" ca="1" si="42"/>
        <v>0</v>
      </c>
      <c r="U63" s="122">
        <f t="shared" ca="1" si="42"/>
        <v>0</v>
      </c>
      <c r="V63" s="122">
        <f t="shared" ca="1" si="42"/>
        <v>0</v>
      </c>
      <c r="W63" s="122">
        <f t="shared" ca="1" si="42"/>
        <v>0</v>
      </c>
      <c r="X63" s="122">
        <f t="shared" ca="1" si="42"/>
        <v>0</v>
      </c>
      <c r="Y63" s="122">
        <f t="shared" ca="1" si="42"/>
        <v>0</v>
      </c>
      <c r="Z63" s="122">
        <f t="shared" ca="1" si="42"/>
        <v>0</v>
      </c>
      <c r="AA63" s="122"/>
      <c r="AB63" s="140">
        <f>INDEX('File 1'!Weekly_Adjusted,21,1)</f>
        <v>388.17143954725253</v>
      </c>
      <c r="AC63" s="140">
        <f>INDEX('File 1'!Weekly_Adjusted,21,2)</f>
        <v>0</v>
      </c>
      <c r="AD63" s="140">
        <f>INDEX('File 1'!Weekly_Adjusted,21,3)</f>
        <v>0</v>
      </c>
      <c r="AE63" s="141">
        <f>INDEX('File 2'!Weekly_Adjusted,21,1)</f>
        <v>0</v>
      </c>
      <c r="AF63" s="141">
        <f>INDEX('File 2'!Weekly_Adjusted,21,2)</f>
        <v>0</v>
      </c>
      <c r="AG63" s="141">
        <f>INDEX('File 2'!Weekly_Adjusted,21,3)</f>
        <v>0</v>
      </c>
      <c r="AH63" s="140">
        <f>INDEX('File 3'!Weekly_Adjusted,21,1)</f>
        <v>0</v>
      </c>
      <c r="AI63" s="140">
        <f>INDEX('File 3'!Weekly_Adjusted,21,2)</f>
        <v>0</v>
      </c>
      <c r="AJ63" s="140">
        <f>INDEX('File 3'!Weekly_Adjusted,21,3)</f>
        <v>0</v>
      </c>
      <c r="AK63" s="141">
        <f>INDEX('File 4'!Weekly_Adjusted,21,1)</f>
        <v>0</v>
      </c>
      <c r="AL63" s="141">
        <f>INDEX('File 4'!Weekly_Adjusted,21,2)</f>
        <v>0</v>
      </c>
      <c r="AM63" s="141">
        <f>INDEX('File 4'!Weekly_Adjusted,21,3)</f>
        <v>0</v>
      </c>
      <c r="AN63" s="140">
        <f>INDEX('File 5'!Weekly_Adjusted,21,1)</f>
        <v>0</v>
      </c>
      <c r="AO63" s="140">
        <f>INDEX('File 5'!Weekly_Adjusted,21,2)</f>
        <v>0</v>
      </c>
      <c r="AP63" s="140">
        <f>INDEX('File 5'!Weekly_Adjusted,21,3)</f>
        <v>0</v>
      </c>
      <c r="AQ63" s="141">
        <f>INDEX('File 6'!Weekly_Adjusted,21,1)</f>
        <v>0</v>
      </c>
      <c r="AR63" s="141">
        <f>INDEX('File 6'!Weekly_Adjusted,21,2)</f>
        <v>0</v>
      </c>
      <c r="AS63" s="141">
        <f>INDEX('File 6'!Weekly_Adjusted,21,3)</f>
        <v>0</v>
      </c>
      <c r="AT63" s="140">
        <f>INDEX('File 7'!Weekly_Adjusted,21,1)</f>
        <v>0</v>
      </c>
      <c r="AU63" s="140">
        <f>INDEX('File 7'!Weekly_Adjusted,21,2)</f>
        <v>0</v>
      </c>
      <c r="AV63" s="140">
        <f>INDEX('File 7'!Weekly_Adjusted,21,3)</f>
        <v>0</v>
      </c>
      <c r="AW63" s="141">
        <f>INDEX('File 8'!Weekly_Adjusted,21,1)</f>
        <v>0</v>
      </c>
      <c r="AX63" s="141">
        <f>INDEX('File 8'!Weekly_Adjusted,21,2)</f>
        <v>0</v>
      </c>
      <c r="AY63" s="141">
        <f>INDEX('File 8'!Weekly_Adjusted,21,3)</f>
        <v>0</v>
      </c>
      <c r="AZ63" s="140">
        <f>INDEX('File 9'!Weekly_Adjusted,21,1)</f>
        <v>0</v>
      </c>
      <c r="BA63" s="140">
        <f>INDEX('File 9'!Weekly_Adjusted,21,2)</f>
        <v>0</v>
      </c>
      <c r="BB63" s="140">
        <f>INDEX('File 9'!Weekly_Adjusted,21,3)</f>
        <v>0</v>
      </c>
      <c r="BC63" s="141">
        <f>INDEX('File 10'!Weekly_Adjusted,21,1)</f>
        <v>0</v>
      </c>
      <c r="BD63" s="141">
        <f>INDEX('File 10'!Weekly_Adjusted,21,2)</f>
        <v>0</v>
      </c>
      <c r="BE63" s="141">
        <f>INDEX('File 10'!Weekly_Adjusted,21,3)</f>
        <v>0</v>
      </c>
      <c r="BF63" s="140">
        <f>INDEX('File 11'!Weekly_Adjusted,21,1)</f>
        <v>0</v>
      </c>
      <c r="BG63" s="140">
        <f>INDEX('File 11'!Weekly_Adjusted,21,2)</f>
        <v>0</v>
      </c>
      <c r="BH63" s="140">
        <f>INDEX('File 11'!Weekly_Adjusted,21,3)</f>
        <v>0</v>
      </c>
      <c r="BI63" s="141">
        <f>INDEX('File 12'!Weekly_Adjusted,21,1)</f>
        <v>0</v>
      </c>
      <c r="BJ63" s="141">
        <f>INDEX('File 12'!Weekly_Adjusted,21,2)</f>
        <v>0</v>
      </c>
      <c r="BK63" s="141">
        <f>INDEX('File 12'!Weekly_Adjusted,21,3)</f>
        <v>0</v>
      </c>
      <c r="BL63" s="140">
        <f>INDEX('File 13'!Weekly_Adjusted,21,1)</f>
        <v>0</v>
      </c>
      <c r="BM63" s="140">
        <f>INDEX('File 13'!Weekly_Adjusted,21,2)</f>
        <v>0</v>
      </c>
      <c r="BN63" s="140">
        <f>INDEX('File 13'!Weekly_Adjusted,21,3)</f>
        <v>0</v>
      </c>
      <c r="BO63" s="141">
        <f>INDEX('File 14'!Weekly_Adjusted,21,1)</f>
        <v>0</v>
      </c>
      <c r="BP63" s="141">
        <f>INDEX('File 14'!Weekly_Adjusted,21,2)</f>
        <v>0</v>
      </c>
      <c r="BQ63" s="141">
        <f>INDEX('File 14'!Weekly_Adjusted,21,3)</f>
        <v>0</v>
      </c>
      <c r="BR63" s="140">
        <f>INDEX('File 15'!Weekly_Adjusted,21,1)</f>
        <v>0</v>
      </c>
      <c r="BS63" s="140">
        <f>INDEX('File 15'!Weekly_Adjusted,21,2)</f>
        <v>0</v>
      </c>
      <c r="BT63" s="140">
        <f>INDEX('File 15'!Weekly_Adjusted,21,3)</f>
        <v>0</v>
      </c>
      <c r="BU63" s="141">
        <f>INDEX('File 16'!Weekly_Adjusted,21,1)</f>
        <v>0</v>
      </c>
      <c r="BV63" s="141">
        <f>INDEX('File 16'!Weekly_Adjusted,21,2)</f>
        <v>0</v>
      </c>
      <c r="BW63" s="141">
        <f>INDEX('File 16'!Weekly_Adjusted,21,3)</f>
        <v>0</v>
      </c>
      <c r="BX63" s="140">
        <f>INDEX('File 17'!Weekly_Adjusted,21,1)</f>
        <v>0</v>
      </c>
      <c r="BY63" s="140">
        <f>INDEX('File 17'!Weekly_Adjusted,21,2)</f>
        <v>0</v>
      </c>
      <c r="BZ63" s="140">
        <f>INDEX('File 17'!Weekly_Adjusted,21,3)</f>
        <v>0</v>
      </c>
      <c r="CA63" s="141">
        <f>INDEX('File 18'!Weekly_Adjusted,21,1)</f>
        <v>0</v>
      </c>
      <c r="CB63" s="141">
        <f>INDEX('File 18'!Weekly_Adjusted,21,2)</f>
        <v>0</v>
      </c>
      <c r="CC63" s="141">
        <f>INDEX('File 18'!Weekly_Adjusted,21,3)</f>
        <v>0</v>
      </c>
      <c r="CD63" s="140">
        <f>INDEX('File 19'!Weekly_Adjusted,21,1)</f>
        <v>0</v>
      </c>
      <c r="CE63" s="140">
        <f>INDEX('File 19'!Weekly_Adjusted,21,2)</f>
        <v>0</v>
      </c>
      <c r="CF63" s="140">
        <f>INDEX('File 19'!Weekly_Adjusted,21,3)</f>
        <v>0</v>
      </c>
      <c r="CG63" s="141">
        <f>INDEX('File 20'!Weekly_Adjusted,21,1)</f>
        <v>0</v>
      </c>
      <c r="CH63" s="141">
        <f>INDEX('File 20'!Weekly_Adjusted,21,2)</f>
        <v>0</v>
      </c>
      <c r="CI63" s="141">
        <f>INDEX('File 20'!Weekly_Adjusted,21,3)</f>
        <v>0</v>
      </c>
      <c r="CJ63" s="6">
        <f ca="1">SUMIFS(INDEX(Demand_Activity_Weekly,ROW(A21),0),Demand_Activity_Weekly_Header,CJ$42)</f>
        <v>388.17143954725253</v>
      </c>
      <c r="CK63" s="6">
        <f ca="1">SUMIFS(INDEX(Demand_Activity_Weekly,ROW(B21),0),Demand_Activity_Weekly_Header,CK$42)</f>
        <v>0</v>
      </c>
      <c r="CL63" s="6">
        <f ca="1">SUMIFS(INDEX(Demand_Activity_Weekly,ROW(C21),0),Demand_Activity_Weekly_Header,CL$42)</f>
        <v>0</v>
      </c>
      <c r="CM63" s="6">
        <f ca="1">SUMIFS(INDEX(Demand_Activity_Weekly,ROW(D21),0),Demand_Activity_Weekly_Header,CM$42)</f>
        <v>0</v>
      </c>
      <c r="CN63" s="6">
        <f ca="1">SUMIFS(INDEX(Demand_Activity_Weekly,ROW(E21),0),Demand_Activity_Weekly_Header,CN$42)</f>
        <v>0</v>
      </c>
      <c r="CP63" s="142">
        <f>INDEX('File 1'!Weekly_Adjusted,21,10)</f>
        <v>24.344712210866053</v>
      </c>
      <c r="CQ63" s="142">
        <f>INDEX('File 1'!Weekly_Adjusted,21,11)</f>
        <v>0</v>
      </c>
      <c r="CR63" s="142">
        <f>INDEX('File 1'!Weekly_Adjusted,21,12)</f>
        <v>0</v>
      </c>
      <c r="CS63" s="143">
        <f>INDEX('File 2'!Weekly_Adjusted,21,10)</f>
        <v>0</v>
      </c>
      <c r="CT63" s="143">
        <f>INDEX('File 2'!Weekly_Adjusted,21,11)</f>
        <v>0</v>
      </c>
      <c r="CU63" s="143">
        <f>INDEX('File 2'!Weekly_Adjusted,21,12)</f>
        <v>0</v>
      </c>
      <c r="CV63" s="142">
        <f>INDEX('File 3'!Weekly_Adjusted,21,10)</f>
        <v>0</v>
      </c>
      <c r="CW63" s="142">
        <f>INDEX('File 3'!Weekly_Adjusted,21,11)</f>
        <v>0</v>
      </c>
      <c r="CX63" s="142">
        <f>INDEX('File 3'!Weekly_Adjusted,21,12)</f>
        <v>0</v>
      </c>
      <c r="CY63" s="143">
        <f>INDEX('File 4'!Weekly_Adjusted,21,10)</f>
        <v>0</v>
      </c>
      <c r="CZ63" s="143">
        <f>INDEX('File 4'!Weekly_Adjusted,21,11)</f>
        <v>0</v>
      </c>
      <c r="DA63" s="143">
        <f>INDEX('File 4'!Weekly_Adjusted,21,12)</f>
        <v>0</v>
      </c>
      <c r="DB63" s="142">
        <f>INDEX('File 5'!Weekly_Adjusted,21,10)</f>
        <v>0</v>
      </c>
      <c r="DC63" s="142">
        <f>INDEX('File 5'!Weekly_Adjusted,21,11)</f>
        <v>0</v>
      </c>
      <c r="DD63" s="142">
        <f>INDEX('File 5'!Weekly_Adjusted,21,12)</f>
        <v>0</v>
      </c>
      <c r="DE63" s="143">
        <f>INDEX('File 6'!Weekly_Adjusted,21,10)</f>
        <v>0</v>
      </c>
      <c r="DF63" s="143">
        <f>INDEX('File 6'!Weekly_Adjusted,21,11)</f>
        <v>0</v>
      </c>
      <c r="DG63" s="143">
        <f>INDEX('File 6'!Weekly_Adjusted,21,12)</f>
        <v>0</v>
      </c>
      <c r="DH63" s="142">
        <f>INDEX('File 7'!Weekly_Adjusted,21,10)</f>
        <v>0</v>
      </c>
      <c r="DI63" s="142">
        <f>INDEX('File 7'!Weekly_Adjusted,21,11)</f>
        <v>0</v>
      </c>
      <c r="DJ63" s="142">
        <f>INDEX('File 7'!Weekly_Adjusted,21,12)</f>
        <v>0</v>
      </c>
      <c r="DK63" s="143">
        <f>INDEX('File 8'!Weekly_Adjusted,21,10)</f>
        <v>0</v>
      </c>
      <c r="DL63" s="143">
        <f>INDEX('File 8'!Weekly_Adjusted,21,11)</f>
        <v>0</v>
      </c>
      <c r="DM63" s="143">
        <f>INDEX('File 8'!Weekly_Adjusted,21,12)</f>
        <v>0</v>
      </c>
      <c r="DN63" s="142">
        <f>INDEX('File 9'!Weekly_Adjusted,21,10)</f>
        <v>0</v>
      </c>
      <c r="DO63" s="142">
        <f>INDEX('File 9'!Weekly_Adjusted,21,11)</f>
        <v>0</v>
      </c>
      <c r="DP63" s="142">
        <f>INDEX('File 9'!Weekly_Adjusted,21,12)</f>
        <v>0</v>
      </c>
      <c r="DQ63" s="143">
        <f>INDEX('File 10'!Weekly_Adjusted,21,10)</f>
        <v>0</v>
      </c>
      <c r="DR63" s="143">
        <f>INDEX('File 10'!Weekly_Adjusted,21,11)</f>
        <v>0</v>
      </c>
      <c r="DS63" s="143">
        <f>INDEX('File 10'!Weekly_Adjusted,21,12)</f>
        <v>0</v>
      </c>
      <c r="DT63" s="142">
        <f>INDEX('File 11'!Weekly_Adjusted,21,10)</f>
        <v>0</v>
      </c>
      <c r="DU63" s="142">
        <f>INDEX('File 11'!Weekly_Adjusted,21,11)</f>
        <v>0</v>
      </c>
      <c r="DV63" s="142">
        <f>INDEX('File 11'!Weekly_Adjusted,21,12)</f>
        <v>0</v>
      </c>
      <c r="DW63" s="143">
        <f>INDEX('File 12'!Weekly_Adjusted,21,10)</f>
        <v>0</v>
      </c>
      <c r="DX63" s="143">
        <f>INDEX('File 12'!Weekly_Adjusted,21,11)</f>
        <v>0</v>
      </c>
      <c r="DY63" s="143">
        <f>INDEX('File 12'!Weekly_Adjusted,21,12)</f>
        <v>0</v>
      </c>
      <c r="DZ63" s="142">
        <f>INDEX('File 13'!Weekly_Adjusted,21,10)</f>
        <v>0</v>
      </c>
      <c r="EA63" s="142">
        <f>INDEX('File 13'!Weekly_Adjusted,21,11)</f>
        <v>0</v>
      </c>
      <c r="EB63" s="142">
        <f>INDEX('File 13'!Weekly_Adjusted,21,12)</f>
        <v>0</v>
      </c>
      <c r="EC63" s="143">
        <f>INDEX('File 14'!Weekly_Adjusted,21,10)</f>
        <v>0</v>
      </c>
      <c r="ED63" s="143">
        <f>INDEX('File 14'!Weekly_Adjusted,21,11)</f>
        <v>0</v>
      </c>
      <c r="EE63" s="143">
        <f>INDEX('File 14'!Weekly_Adjusted,21,12)</f>
        <v>0</v>
      </c>
      <c r="EF63" s="142">
        <f>INDEX('File 15'!Weekly_Adjusted,21,10)</f>
        <v>0</v>
      </c>
      <c r="EG63" s="142">
        <f>INDEX('File 15'!Weekly_Adjusted,21,11)</f>
        <v>0</v>
      </c>
      <c r="EH63" s="142">
        <f>INDEX('File 15'!Weekly_Adjusted,21,12)</f>
        <v>0</v>
      </c>
      <c r="EI63" s="143">
        <f>INDEX('File 16'!Weekly_Adjusted,21,10)</f>
        <v>0</v>
      </c>
      <c r="EJ63" s="143">
        <f>INDEX('File 16'!Weekly_Adjusted,21,11)</f>
        <v>0</v>
      </c>
      <c r="EK63" s="143">
        <f>INDEX('File 16'!Weekly_Adjusted,21,12)</f>
        <v>0</v>
      </c>
      <c r="EL63" s="142">
        <f>INDEX('File 17'!Weekly_Adjusted,21,10)</f>
        <v>0</v>
      </c>
      <c r="EM63" s="142">
        <f>INDEX('File 17'!Weekly_Adjusted,21,11)</f>
        <v>0</v>
      </c>
      <c r="EN63" s="142">
        <f>INDEX('File 17'!Weekly_Adjusted,21,12)</f>
        <v>0</v>
      </c>
      <c r="EO63" s="143">
        <f>INDEX('File 18'!Weekly_Adjusted,21,10)</f>
        <v>0</v>
      </c>
      <c r="EP63" s="143">
        <f>INDEX('File 18'!Weekly_Adjusted,21,11)</f>
        <v>0</v>
      </c>
      <c r="EQ63" s="143">
        <f>INDEX('File 18'!Weekly_Adjusted,21,12)</f>
        <v>0</v>
      </c>
      <c r="ER63" s="142">
        <f>INDEX('File 19'!Weekly_Adjusted,21,10)</f>
        <v>0</v>
      </c>
      <c r="ES63" s="142">
        <f>INDEX('File 19'!Weekly_Adjusted,21,11)</f>
        <v>0</v>
      </c>
      <c r="ET63" s="142">
        <f>INDEX('File 19'!Weekly_Adjusted,21,12)</f>
        <v>0</v>
      </c>
      <c r="EU63" s="143">
        <f>INDEX('File 20'!Weekly_Adjusted,21,10)</f>
        <v>0</v>
      </c>
      <c r="EV63" s="143">
        <f>INDEX('File 20'!Weekly_Adjusted,21,11)</f>
        <v>0</v>
      </c>
      <c r="EW63" s="143">
        <f>INDEX('File 20'!Weekly_Adjusted,21,12)</f>
        <v>0</v>
      </c>
      <c r="EX63" s="6">
        <f ca="1">SUMIFS(INDEX(Capacity_Activity_Weekly,ROW(A21),0),Demand_Activity_Weekly_Header,CJ$42)</f>
        <v>24.344712210866053</v>
      </c>
      <c r="EY63" s="6">
        <f ca="1">SUMIFS(INDEX(Capacity_Activity_Weekly,ROW(B21),0),Demand_Activity_Weekly_Header,CK$42)</f>
        <v>0</v>
      </c>
      <c r="EZ63" s="6">
        <f ca="1">SUMIFS(INDEX(Capacity_Activity_Weekly,ROW(C21),0),Demand_Activity_Weekly_Header,CL$42)</f>
        <v>0</v>
      </c>
      <c r="FA63" s="6">
        <f ca="1">SUMIFS(INDEX(Capacity_Activity_Weekly,ROW(D21),0),Demand_Activity_Weekly_Header,CM$42)</f>
        <v>0</v>
      </c>
      <c r="FB63" s="6">
        <f ca="1">SUMIFS(INDEX(Capacity_Activity_Weekly,ROW(E21),0),Demand_Activity_Weekly_Header,CN$42)</f>
        <v>0</v>
      </c>
      <c r="FD63" s="7">
        <f>'File 1'!$Q$54*'Time based aggregation (hide)'!$Q25</f>
        <v>0</v>
      </c>
      <c r="FE63" s="7">
        <f>'File 1'!$R$54*'Time based aggregation (hide)'!$R25</f>
        <v>0</v>
      </c>
      <c r="FF63" s="7">
        <f>'File 1'!$S$54*'Time based aggregation (hide)'!$S25</f>
        <v>0</v>
      </c>
      <c r="FG63" s="7">
        <f>'File 2'!$Q$54*'Time based aggregation (hide)'!$T25</f>
        <v>0</v>
      </c>
      <c r="FH63" s="7">
        <f>'File 2'!$R$54*'Time based aggregation (hide)'!$U25</f>
        <v>0</v>
      </c>
      <c r="FI63" s="7">
        <f>'File 2'!$S$54*'Time based aggregation (hide)'!$V25</f>
        <v>0</v>
      </c>
      <c r="FJ63" s="7">
        <f>'File 3'!$Q$54*'Time based aggregation (hide)'!$W25</f>
        <v>0</v>
      </c>
      <c r="FK63" s="7">
        <f>'File 3'!$R$54*'Time based aggregation (hide)'!$X25</f>
        <v>0</v>
      </c>
      <c r="FL63" s="7">
        <f>'File 3'!$S$54*'Time based aggregation (hide)'!$Y25</f>
        <v>0</v>
      </c>
      <c r="FM63" s="7">
        <f>'File 4'!$Q$54*'Time based aggregation (hide)'!$Z25</f>
        <v>0</v>
      </c>
      <c r="FN63" s="7">
        <f>'File 4'!$R$54*'Time based aggregation (hide)'!$AA25</f>
        <v>0</v>
      </c>
      <c r="FO63" s="7">
        <f>'File 4'!$S$54*'Time based aggregation (hide)'!$AB25</f>
        <v>0</v>
      </c>
      <c r="FP63" s="7">
        <f>'File 5'!$Q$54*'Time based aggregation (hide)'!$AC25</f>
        <v>0</v>
      </c>
      <c r="FQ63" s="7">
        <f>'File 5'!$R$54*'Time based aggregation (hide)'!$AD25</f>
        <v>0</v>
      </c>
      <c r="FR63" s="7">
        <f>'File 5'!$S$54*'Time based aggregation (hide)'!$AE25</f>
        <v>0</v>
      </c>
      <c r="FS63" s="7">
        <f>'File 6'!$Q$54*'Time based aggregation (hide)'!$AF25</f>
        <v>0</v>
      </c>
      <c r="FT63" s="7">
        <f>'File 6'!$R$54*'Time based aggregation (hide)'!$AG25</f>
        <v>0</v>
      </c>
      <c r="FU63" s="7">
        <f>'File 6'!$S$54*'Time based aggregation (hide)'!$AH25</f>
        <v>0</v>
      </c>
      <c r="FV63" s="7">
        <f>'File 7'!$Q$54*'Time based aggregation (hide)'!$AI25</f>
        <v>0</v>
      </c>
      <c r="FW63" s="7">
        <f>'File 7'!$R$54*'Time based aggregation (hide)'!$AJ25</f>
        <v>0</v>
      </c>
      <c r="FX63" s="7">
        <f>'File 7'!$S$54*'Time based aggregation (hide)'!$AK25</f>
        <v>0</v>
      </c>
      <c r="FY63" s="7">
        <f>'File 8'!$Q$54*'Time based aggregation (hide)'!$AL25</f>
        <v>0</v>
      </c>
      <c r="FZ63" s="7">
        <f>'File 8'!$R$54*'Time based aggregation (hide)'!$AM25</f>
        <v>0</v>
      </c>
      <c r="GA63" s="7">
        <f>'File 8'!$S$54*'Time based aggregation (hide)'!$AN25</f>
        <v>0</v>
      </c>
      <c r="GB63" s="7">
        <f>'File 9'!$Q$54*'Time based aggregation (hide)'!$AO25</f>
        <v>0</v>
      </c>
      <c r="GC63" s="7">
        <f>'File 9'!$R$54*'Time based aggregation (hide)'!$AP25</f>
        <v>0</v>
      </c>
      <c r="GD63" s="7">
        <f>'File 9'!$S$54*'Time based aggregation (hide)'!$AQ25</f>
        <v>0</v>
      </c>
      <c r="GE63" s="7">
        <f>'File 10'!$Q$54*'Time based aggregation (hide)'!$AR25</f>
        <v>0</v>
      </c>
      <c r="GF63" s="7">
        <f>'File 10'!$R$54*'Time based aggregation (hide)'!$AS25</f>
        <v>0</v>
      </c>
      <c r="GG63" s="7">
        <f>'File 10'!$S$54*'Time based aggregation (hide)'!$AT25</f>
        <v>0</v>
      </c>
      <c r="GH63" s="7">
        <f>'File 11'!$Q$54*'Time based aggregation (hide)'!$AU25</f>
        <v>0</v>
      </c>
      <c r="GI63" s="7">
        <f>'File 11'!$R$54*'Time based aggregation (hide)'!$AV25</f>
        <v>0</v>
      </c>
      <c r="GJ63" s="7">
        <f>'File 11'!$S$54*'Time based aggregation (hide)'!$AW25</f>
        <v>0</v>
      </c>
      <c r="GK63" s="7">
        <f>'File 12'!$Q$54*'Time based aggregation (hide)'!$AX25</f>
        <v>0</v>
      </c>
      <c r="GL63" s="7">
        <f>'File 12'!$R$54*'Time based aggregation (hide)'!$AY25</f>
        <v>0</v>
      </c>
      <c r="GM63" s="7">
        <f>'File 12'!$S$54*'Time based aggregation (hide)'!$AZ25</f>
        <v>0</v>
      </c>
      <c r="GN63" s="7">
        <f>'File 13'!$Q$54*'Time based aggregation (hide)'!$BA25</f>
        <v>0</v>
      </c>
      <c r="GO63" s="7">
        <f>'File 13'!$R$54*'Time based aggregation (hide)'!$BB25</f>
        <v>0</v>
      </c>
      <c r="GP63" s="7">
        <f>'File 13'!$S$54*'Time based aggregation (hide)'!$BC25</f>
        <v>0</v>
      </c>
      <c r="GQ63" s="7">
        <f>'File 14'!$Q$54*'Time based aggregation (hide)'!$BD25</f>
        <v>0</v>
      </c>
      <c r="GR63" s="7">
        <f>'File 14'!$R$54*'Time based aggregation (hide)'!$BE25</f>
        <v>0</v>
      </c>
      <c r="GS63" s="7">
        <f>'File 14'!$S$54*'Time based aggregation (hide)'!$BF25</f>
        <v>0</v>
      </c>
      <c r="GT63" s="7">
        <f>'File 15'!$Q$54*'Time based aggregation (hide)'!$BG25</f>
        <v>0</v>
      </c>
      <c r="GU63" s="7">
        <f>'File 15'!$R$54*'Time based aggregation (hide)'!$BH25</f>
        <v>0</v>
      </c>
      <c r="GV63" s="7">
        <f>'File 15'!$S$54*'Time based aggregation (hide)'!$BI25</f>
        <v>0</v>
      </c>
      <c r="GW63" s="7">
        <f>'File 16'!$Q$54*'Time based aggregation (hide)'!$BJ25</f>
        <v>0</v>
      </c>
      <c r="GX63" s="7">
        <f>'File 16'!$R$54*'Time based aggregation (hide)'!$BK25</f>
        <v>0</v>
      </c>
      <c r="GY63" s="7">
        <f>'File 16'!$S$54*'Time based aggregation (hide)'!$BL25</f>
        <v>0</v>
      </c>
      <c r="GZ63" s="7">
        <f>'File 17'!$Q$54*'Time based aggregation (hide)'!$BM25</f>
        <v>0</v>
      </c>
      <c r="HA63" s="7">
        <f>'File 17'!$R$54*'Time based aggregation (hide)'!$BN25</f>
        <v>0</v>
      </c>
      <c r="HB63" s="7">
        <f>'File 17'!$S$54*'Time based aggregation (hide)'!$BO25</f>
        <v>0</v>
      </c>
      <c r="HC63" s="7">
        <f>'File 18'!$Q$54*'Time based aggregation (hide)'!$BP25</f>
        <v>0</v>
      </c>
      <c r="HD63" s="7">
        <f>'File 18'!$R$54*'Time based aggregation (hide)'!$BQ25</f>
        <v>0</v>
      </c>
      <c r="HE63" s="7">
        <f>'File 18'!$S$54*'Time based aggregation (hide)'!$BR25</f>
        <v>0</v>
      </c>
      <c r="HF63" s="7">
        <f>'File 19'!$Q$54*'Time based aggregation (hide)'!$BS25</f>
        <v>0</v>
      </c>
      <c r="HG63" s="7">
        <f>'File 19'!$R$54*'Time based aggregation (hide)'!$BT25</f>
        <v>0</v>
      </c>
      <c r="HH63" s="7">
        <f>'File 19'!$S$54*'Time based aggregation (hide)'!$BU25</f>
        <v>0</v>
      </c>
      <c r="HI63" s="7">
        <f>'File 20'!$Q$54*'Time based aggregation (hide)'!$BV25</f>
        <v>0</v>
      </c>
      <c r="HJ63" s="7">
        <f>'File 20'!$R$54*'Time based aggregation (hide)'!$BW25</f>
        <v>0</v>
      </c>
      <c r="HK63" s="7">
        <f>'File 20'!$S$54*'Time based aggregation (hide)'!$BX25</f>
        <v>0</v>
      </c>
      <c r="HL63" s="7">
        <f t="shared" ref="HL63:HP72" ca="1" si="43">IF(OR($J$102=0,AND($J$102=0,$J$103=0)),SUMIFS($FD63:$HK63,$AB$42:$CI$42,HL$42),SUMIFS(OFFSET($FD63,0,($J$102-1)*3,1,3),OFFSET($FD$42,0,($J$102-1)*3,1,3),HL$42))</f>
        <v>0</v>
      </c>
      <c r="HM63" s="7">
        <f t="shared" ca="1" si="43"/>
        <v>0</v>
      </c>
      <c r="HN63" s="7">
        <f t="shared" ca="1" si="43"/>
        <v>0</v>
      </c>
      <c r="HO63" s="7">
        <f t="shared" ca="1" si="43"/>
        <v>0</v>
      </c>
      <c r="HP63" s="7">
        <f t="shared" ca="1" si="43"/>
        <v>0</v>
      </c>
      <c r="HR63" s="142">
        <f>INDEX('File 1'!Weekly_Adjusted,21,16)</f>
        <v>20.933351264120493</v>
      </c>
      <c r="HS63" s="142">
        <f>INDEX('File 1'!Weekly_Adjusted,21,17)</f>
        <v>0</v>
      </c>
      <c r="HT63" s="142">
        <f>INDEX('File 1'!Weekly_Adjusted,21,18)</f>
        <v>0</v>
      </c>
      <c r="HU63" s="143">
        <f>INDEX('File 2'!Weekly_Adjusted,21,16)</f>
        <v>0</v>
      </c>
      <c r="HV63" s="143">
        <f>INDEX('File 2'!Weekly_Adjusted,21,17)</f>
        <v>0</v>
      </c>
      <c r="HW63" s="143">
        <f>INDEX('File 2'!Weekly_Adjusted,21,18)</f>
        <v>0</v>
      </c>
      <c r="HX63" s="142">
        <f>INDEX('File 3'!Weekly_Adjusted,21,16)</f>
        <v>0</v>
      </c>
      <c r="HY63" s="142">
        <f>INDEX('File 3'!Weekly_Adjusted,21,17)</f>
        <v>0</v>
      </c>
      <c r="HZ63" s="142">
        <f>INDEX('File 3'!Weekly_Adjusted,21,18)</f>
        <v>0</v>
      </c>
      <c r="IA63" s="143">
        <f>INDEX('File 4'!Weekly_Adjusted,21,16)</f>
        <v>0</v>
      </c>
      <c r="IB63" s="143">
        <f>INDEX('File 4'!Weekly_Adjusted,21,17)</f>
        <v>0</v>
      </c>
      <c r="IC63" s="143">
        <f>INDEX('File 4'!Weekly_Adjusted,21,18)</f>
        <v>0</v>
      </c>
      <c r="ID63" s="142">
        <f>INDEX('File 5'!Weekly_Adjusted,21,16)</f>
        <v>0</v>
      </c>
      <c r="IE63" s="142">
        <f>INDEX('File 5'!Weekly_Adjusted,21,17)</f>
        <v>0</v>
      </c>
      <c r="IF63" s="142">
        <f>INDEX('File 5'!Weekly_Adjusted,21,18)</f>
        <v>0</v>
      </c>
      <c r="IG63" s="143">
        <f>INDEX('File 6'!Weekly_Adjusted,21,16)</f>
        <v>0</v>
      </c>
      <c r="IH63" s="143">
        <f>INDEX('File 6'!Weekly_Adjusted,21,17)</f>
        <v>0</v>
      </c>
      <c r="II63" s="143">
        <f>INDEX('File 6'!Weekly_Adjusted,21,18)</f>
        <v>0</v>
      </c>
      <c r="IJ63" s="142">
        <f>INDEX('File 7'!Weekly_Adjusted,21,16)</f>
        <v>0</v>
      </c>
      <c r="IK63" s="142">
        <f>INDEX('File 7'!Weekly_Adjusted,21,17)</f>
        <v>0</v>
      </c>
      <c r="IL63" s="142">
        <f>INDEX('File 7'!Weekly_Adjusted,21,18)</f>
        <v>0</v>
      </c>
      <c r="IM63" s="143">
        <f>INDEX('File 8'!Weekly_Adjusted,21,16)</f>
        <v>0</v>
      </c>
      <c r="IN63" s="143">
        <f>INDEX('File 8'!Weekly_Adjusted,21,17)</f>
        <v>0</v>
      </c>
      <c r="IO63" s="143">
        <f>INDEX('File 8'!Weekly_Adjusted,21,18)</f>
        <v>0</v>
      </c>
      <c r="IP63" s="142">
        <f>INDEX('File 9'!Weekly_Adjusted,21,16)</f>
        <v>0</v>
      </c>
      <c r="IQ63" s="142">
        <f>INDEX('File 9'!Weekly_Adjusted,21,17)</f>
        <v>0</v>
      </c>
      <c r="IR63" s="142">
        <f>INDEX('File 9'!Weekly_Adjusted,21,18)</f>
        <v>0</v>
      </c>
      <c r="IS63" s="143">
        <f>INDEX('File 10'!Weekly_Adjusted,21,16)</f>
        <v>0</v>
      </c>
      <c r="IT63" s="143">
        <f>INDEX('File 10'!Weekly_Adjusted,21,17)</f>
        <v>0</v>
      </c>
      <c r="IU63" s="143">
        <f>INDEX('File 10'!Weekly_Adjusted,21,18)</f>
        <v>0</v>
      </c>
      <c r="IV63" s="142">
        <f>INDEX('File 11'!Weekly_Adjusted,21,16)</f>
        <v>0</v>
      </c>
      <c r="IW63" s="142">
        <f>INDEX('File 11'!Weekly_Adjusted,21,17)</f>
        <v>0</v>
      </c>
      <c r="IX63" s="142">
        <f>INDEX('File 11'!Weekly_Adjusted,21,18)</f>
        <v>0</v>
      </c>
      <c r="IY63" s="143">
        <f>INDEX('File 12'!Weekly_Adjusted,21,16)</f>
        <v>0</v>
      </c>
      <c r="IZ63" s="143">
        <f>INDEX('File 12'!Weekly_Adjusted,21,17)</f>
        <v>0</v>
      </c>
      <c r="JA63" s="143">
        <f>INDEX('File 12'!Weekly_Adjusted,21,18)</f>
        <v>0</v>
      </c>
      <c r="JB63" s="142">
        <f>INDEX('File 13'!Weekly_Adjusted,21,16)</f>
        <v>0</v>
      </c>
      <c r="JC63" s="142">
        <f>INDEX('File 13'!Weekly_Adjusted,21,17)</f>
        <v>0</v>
      </c>
      <c r="JD63" s="142">
        <f>INDEX('File 13'!Weekly_Adjusted,21,18)</f>
        <v>0</v>
      </c>
      <c r="JE63" s="143">
        <f>INDEX('File 14'!Weekly_Adjusted,21,16)</f>
        <v>0</v>
      </c>
      <c r="JF63" s="143">
        <f>INDEX('File 14'!Weekly_Adjusted,21,17)</f>
        <v>0</v>
      </c>
      <c r="JG63" s="143">
        <f>INDEX('File 14'!Weekly_Adjusted,21,18)</f>
        <v>0</v>
      </c>
      <c r="JH63" s="142">
        <f>INDEX('File 15'!Weekly_Adjusted,21,16)</f>
        <v>0</v>
      </c>
      <c r="JI63" s="142">
        <f>INDEX('File 15'!Weekly_Adjusted,21,17)</f>
        <v>0</v>
      </c>
      <c r="JJ63" s="142">
        <f>INDEX('File 15'!Weekly_Adjusted,21,18)</f>
        <v>0</v>
      </c>
      <c r="JK63" s="143">
        <f>INDEX('File 16'!Weekly_Adjusted,21,16)</f>
        <v>0</v>
      </c>
      <c r="JL63" s="143">
        <f>INDEX('File 16'!Weekly_Adjusted,21,17)</f>
        <v>0</v>
      </c>
      <c r="JM63" s="143">
        <f>INDEX('File 16'!Weekly_Adjusted,21,18)</f>
        <v>0</v>
      </c>
      <c r="JN63" s="142">
        <f>INDEX('File 17'!Weekly_Adjusted,21,16)</f>
        <v>0</v>
      </c>
      <c r="JO63" s="142">
        <f>INDEX('File 17'!Weekly_Adjusted,21,17)</f>
        <v>0</v>
      </c>
      <c r="JP63" s="142">
        <f>INDEX('File 17'!Weekly_Adjusted,21,18)</f>
        <v>0</v>
      </c>
      <c r="JQ63" s="143">
        <f>INDEX('File 18'!Weekly_Adjusted,21,16)</f>
        <v>0</v>
      </c>
      <c r="JR63" s="143">
        <f>INDEX('File 18'!Weekly_Adjusted,21,17)</f>
        <v>0</v>
      </c>
      <c r="JS63" s="143">
        <f>INDEX('File 18'!Weekly_Adjusted,21,18)</f>
        <v>0</v>
      </c>
      <c r="JT63" s="142">
        <f>INDEX('File 19'!Weekly_Adjusted,21,16)</f>
        <v>0</v>
      </c>
      <c r="JU63" s="142">
        <f>INDEX('File 19'!Weekly_Adjusted,21,17)</f>
        <v>0</v>
      </c>
      <c r="JV63" s="142">
        <f>INDEX('File 19'!Weekly_Adjusted,21,18)</f>
        <v>0</v>
      </c>
      <c r="JW63" s="143">
        <f>INDEX('File 20'!Weekly_Adjusted,21,16)</f>
        <v>0</v>
      </c>
      <c r="JX63" s="143">
        <f>INDEX('File 20'!Weekly_Adjusted,21,17)</f>
        <v>0</v>
      </c>
      <c r="JY63" s="143">
        <f>INDEX('File 20'!Weekly_Adjusted,21,18)</f>
        <v>0</v>
      </c>
      <c r="JZ63" s="6">
        <f ca="1">SUMIFS(INDEX(CapacityCore_Activity_Weekly,ROW(EC21),0),Demand_Activity_Weekly_Header,HL$42)</f>
        <v>20.933351264120493</v>
      </c>
      <c r="KA63" s="6">
        <f ca="1">SUMIFS(INDEX(CapacityCore_Activity_Weekly,ROW(ED21),0),Demand_Activity_Weekly_Header,HM$42)</f>
        <v>0</v>
      </c>
      <c r="KB63" s="6">
        <f ca="1">SUMIFS(INDEX(CapacityCore_Activity_Weekly,ROW(EE21),0),Demand_Activity_Weekly_Header,HN$42)</f>
        <v>0</v>
      </c>
      <c r="KC63" s="6">
        <f ca="1">SUMIFS(INDEX(CapacityCore_Activity_Weekly,ROW(EF21),0),Demand_Activity_Weekly_Header,HO$42)</f>
        <v>0</v>
      </c>
      <c r="KD63" s="6">
        <f ca="1">SUMIFS(INDEX(CapacityCore_Activity_Weekly,ROW(EG21),0),Demand_Activity_Weekly_Header,HP$42)</f>
        <v>0</v>
      </c>
      <c r="KF63" s="6">
        <f>SUMIFS('Time based aggregation (hide)'!$J:$J,'Time based aggregation (hide)'!$E:$E,1,'Time based aggregation (hide)'!$F:$F,1,'Time based aggregation (hide)'!$A:$A,ROW(A21))</f>
        <v>0</v>
      </c>
      <c r="KG63" s="6">
        <f>SUMIFS('Time based aggregation (hide)'!$J:$J,'Time based aggregation (hide)'!$E:$E,1,'Time based aggregation (hide)'!$F:$F,2,'Time based aggregation (hide)'!$A:$A,ROW(A21))</f>
        <v>0</v>
      </c>
      <c r="KH63" s="6">
        <f>SUMIFS('Time based aggregation (hide)'!$J:$J,'Time based aggregation (hide)'!$E:$E,1,'Time based aggregation (hide)'!$F:$F,3,'Time based aggregation (hide)'!$A:$A,ROW(A21))</f>
        <v>0</v>
      </c>
      <c r="KI63" s="6">
        <f>SUMIFS('Time based aggregation (hide)'!$J:$J,'Time based aggregation (hide)'!$E:$E,2,'Time based aggregation (hide)'!$F:$F,1,'Time based aggregation (hide)'!$A:$A,ROW(A21))</f>
        <v>0</v>
      </c>
      <c r="KJ63" s="6">
        <f>SUMIFS('Time based aggregation (hide)'!$J:$J,'Time based aggregation (hide)'!$E:$E,2,'Time based aggregation (hide)'!$F:$F,2,'Time based aggregation (hide)'!$A:$A,ROW(A21))</f>
        <v>0</v>
      </c>
      <c r="KK63" s="6">
        <f>SUMIFS('Time based aggregation (hide)'!$J:$J,'Time based aggregation (hide)'!$E:$E,2,'Time based aggregation (hide)'!$F:$F,3,'Time based aggregation (hide)'!$A:$A,ROW(A21))</f>
        <v>0</v>
      </c>
      <c r="KL63" s="6">
        <f>SUMIFS('Time based aggregation (hide)'!$J:$J,'Time based aggregation (hide)'!$E:$E,3,'Time based aggregation (hide)'!$F:$F,1,'Time based aggregation (hide)'!$A:$A,ROW(A21))</f>
        <v>0</v>
      </c>
      <c r="KM63" s="6">
        <f>SUMIFS('Time based aggregation (hide)'!$J:$J,'Time based aggregation (hide)'!$E:$E,3,'Time based aggregation (hide)'!$F:$F,2,'Time based aggregation (hide)'!$A:$A,ROW(A21))</f>
        <v>0</v>
      </c>
      <c r="KN63" s="6">
        <f>SUMIFS('Time based aggregation (hide)'!$J:$J,'Time based aggregation (hide)'!$E:$E,3,'Time based aggregation (hide)'!$F:$F,3,'Time based aggregation (hide)'!$A:$A,ROW(A21))</f>
        <v>0</v>
      </c>
      <c r="KO63" s="6">
        <f>SUMIFS('Time based aggregation (hide)'!$J:$J,'Time based aggregation (hide)'!$E:$E,4,'Time based aggregation (hide)'!$F:$F,1,'Time based aggregation (hide)'!$A:$A,ROW(A21))</f>
        <v>0</v>
      </c>
      <c r="KP63" s="6">
        <f>SUMIFS('Time based aggregation (hide)'!$J:$J,'Time based aggregation (hide)'!$E:$E,4,'Time based aggregation (hide)'!$F:$F,2,'Time based aggregation (hide)'!$A:$A,ROW(A21))</f>
        <v>0</v>
      </c>
      <c r="KQ63" s="6">
        <f>SUMIFS('Time based aggregation (hide)'!$J:$J,'Time based aggregation (hide)'!$E:$E,4,'Time based aggregation (hide)'!$F:$F,3,'Time based aggregation (hide)'!$A:$A,ROW(A21))</f>
        <v>0</v>
      </c>
      <c r="KR63" s="6">
        <f>SUMIFS('Time based aggregation (hide)'!$J:$J,'Time based aggregation (hide)'!$E:$E,5,'Time based aggregation (hide)'!$F:$F,1,'Time based aggregation (hide)'!$A:$A,ROW(A21))</f>
        <v>0</v>
      </c>
      <c r="KS63" s="6">
        <f>SUMIFS('Time based aggregation (hide)'!$J:$J,'Time based aggregation (hide)'!$E:$E,5,'Time based aggregation (hide)'!$F:$F,2,'Time based aggregation (hide)'!$A:$A,ROW(A21))</f>
        <v>0</v>
      </c>
      <c r="KT63" s="6">
        <f>SUMIFS('Time based aggregation (hide)'!$J:$J,'Time based aggregation (hide)'!$E:$E,5,'Time based aggregation (hide)'!$F:$F,3,'Time based aggregation (hide)'!$A:$A,ROW(A21))</f>
        <v>0</v>
      </c>
      <c r="KU63" s="6">
        <f>SUMIFS('Time based aggregation (hide)'!$J:$J,'Time based aggregation (hide)'!$E:$E,6,'Time based aggregation (hide)'!$F:$F,1,'Time based aggregation (hide)'!$A:$A,ROW(A21))</f>
        <v>0</v>
      </c>
      <c r="KV63" s="6">
        <f>SUMIFS('Time based aggregation (hide)'!$J:$J,'Time based aggregation (hide)'!$E:$E,6,'Time based aggregation (hide)'!$F:$F,2,'Time based aggregation (hide)'!$A:$A,ROW(A21))</f>
        <v>0</v>
      </c>
      <c r="KW63" s="6">
        <f>SUMIFS('Time based aggregation (hide)'!$J:$J,'Time based aggregation (hide)'!$E:$E,6,'Time based aggregation (hide)'!$F:$F,3,'Time based aggregation (hide)'!$A:$A,ROW(A21))</f>
        <v>0</v>
      </c>
      <c r="KX63" s="6">
        <f>SUMIFS('Time based aggregation (hide)'!$J:$J,'Time based aggregation (hide)'!$E:$E,7,'Time based aggregation (hide)'!$F:$F,1,'Time based aggregation (hide)'!$A:$A,ROW(A21))</f>
        <v>0</v>
      </c>
      <c r="KY63" s="6">
        <f>SUMIFS('Time based aggregation (hide)'!$J:$J,'Time based aggregation (hide)'!$E:$E,7,'Time based aggregation (hide)'!$F:$F,2,'Time based aggregation (hide)'!$A:$A,ROW(A21))</f>
        <v>0</v>
      </c>
      <c r="KZ63" s="6">
        <f>SUMIFS('Time based aggregation (hide)'!$J:$J,'Time based aggregation (hide)'!$E:$E,7,'Time based aggregation (hide)'!$F:$F,3,'Time based aggregation (hide)'!$A:$A,ROW(A21))</f>
        <v>0</v>
      </c>
      <c r="LA63" s="6">
        <f>SUMIFS('Time based aggregation (hide)'!$J:$J,'Time based aggregation (hide)'!$E:$E,8,'Time based aggregation (hide)'!$F:$F,1,'Time based aggregation (hide)'!$A:$A,ROW(A21))</f>
        <v>0</v>
      </c>
      <c r="LB63" s="6">
        <f>SUMIFS('Time based aggregation (hide)'!$J:$J,'Time based aggregation (hide)'!$E:$E,8,'Time based aggregation (hide)'!$F:$F,2,'Time based aggregation (hide)'!$A:$A,ROW(A21))</f>
        <v>0</v>
      </c>
      <c r="LC63" s="6">
        <f>SUMIFS('Time based aggregation (hide)'!$J:$J,'Time based aggregation (hide)'!$E:$E,8,'Time based aggregation (hide)'!$F:$F,3,'Time based aggregation (hide)'!$A:$A,ROW(A21))</f>
        <v>0</v>
      </c>
      <c r="LD63" s="6">
        <f>SUMIFS('Time based aggregation (hide)'!$J:$J,'Time based aggregation (hide)'!$E:$E,9,'Time based aggregation (hide)'!$F:$F,1,'Time based aggregation (hide)'!$A:$A,ROW(A21))</f>
        <v>0</v>
      </c>
      <c r="LE63" s="6">
        <f>SUMIFS('Time based aggregation (hide)'!$J:$J,'Time based aggregation (hide)'!$E:$E,9,'Time based aggregation (hide)'!$F:$F,2,'Time based aggregation (hide)'!$A:$A,ROW(A21))</f>
        <v>0</v>
      </c>
      <c r="LF63" s="6">
        <f>SUMIFS('Time based aggregation (hide)'!$J:$J,'Time based aggregation (hide)'!$E:$E,9,'Time based aggregation (hide)'!$F:$F,3,'Time based aggregation (hide)'!$A:$A,ROW(A21))</f>
        <v>0</v>
      </c>
      <c r="LG63" s="6">
        <f>SUMIFS('Time based aggregation (hide)'!$J:$J,'Time based aggregation (hide)'!$E:$E,10,'Time based aggregation (hide)'!$F:$F,1,'Time based aggregation (hide)'!$A:$A,ROW(A21))</f>
        <v>0</v>
      </c>
      <c r="LH63" s="6">
        <f>SUMIFS('Time based aggregation (hide)'!$J:$J,'Time based aggregation (hide)'!$E:$E,10,'Time based aggregation (hide)'!$F:$F,2,'Time based aggregation (hide)'!$A:$A,ROW(A21))</f>
        <v>0</v>
      </c>
      <c r="LI63" s="6">
        <f>SUMIFS('Time based aggregation (hide)'!$J:$J,'Time based aggregation (hide)'!$E:$E,10,'Time based aggregation (hide)'!$F:$F,3,'Time based aggregation (hide)'!$A:$A,ROW(A21))</f>
        <v>0</v>
      </c>
      <c r="LJ63" s="6">
        <f>SUMIFS('Time based aggregation (hide)'!$J:$J,'Time based aggregation (hide)'!$E:$E,11,'Time based aggregation (hide)'!$F:$F,1,'Time based aggregation (hide)'!$A:$A,ROW(A21))</f>
        <v>0</v>
      </c>
      <c r="LK63" s="6">
        <f>SUMIFS('Time based aggregation (hide)'!$J:$J,'Time based aggregation (hide)'!$E:$E,11,'Time based aggregation (hide)'!$F:$F,2,'Time based aggregation (hide)'!$A:$A,ROW(A21))</f>
        <v>0</v>
      </c>
      <c r="LL63" s="6">
        <f>SUMIFS('Time based aggregation (hide)'!$J:$J,'Time based aggregation (hide)'!$E:$E,11,'Time based aggregation (hide)'!$F:$F,3,'Time based aggregation (hide)'!$A:$A,ROW(A21))</f>
        <v>0</v>
      </c>
      <c r="LM63" s="6">
        <f>SUMIFS('Time based aggregation (hide)'!$J:$J,'Time based aggregation (hide)'!$E:$E,12,'Time based aggregation (hide)'!$F:$F,1,'Time based aggregation (hide)'!$A:$A,ROW(A21))</f>
        <v>0</v>
      </c>
      <c r="LN63" s="6">
        <f>SUMIFS('Time based aggregation (hide)'!$J:$J,'Time based aggregation (hide)'!$E:$E,12,'Time based aggregation (hide)'!$F:$F,2,'Time based aggregation (hide)'!$A:$A,ROW(A21))</f>
        <v>0</v>
      </c>
      <c r="LO63" s="6">
        <f>SUMIFS('Time based aggregation (hide)'!$J:$J,'Time based aggregation (hide)'!$E:$E,12,'Time based aggregation (hide)'!$F:$F,3,'Time based aggregation (hide)'!$A:$A,ROW(A21))</f>
        <v>0</v>
      </c>
      <c r="LP63" s="6">
        <f>SUMIFS('Time based aggregation (hide)'!$J:$J,'Time based aggregation (hide)'!$E:$E,13,'Time based aggregation (hide)'!$F:$F,1,'Time based aggregation (hide)'!$A:$A,ROW(A21))</f>
        <v>0</v>
      </c>
      <c r="LQ63" s="6">
        <f>SUMIFS('Time based aggregation (hide)'!$J:$J,'Time based aggregation (hide)'!$E:$E,13,'Time based aggregation (hide)'!$F:$F,2,'Time based aggregation (hide)'!$A:$A,ROW(A21))</f>
        <v>0</v>
      </c>
      <c r="LR63" s="6">
        <f>SUMIFS('Time based aggregation (hide)'!$J:$J,'Time based aggregation (hide)'!$E:$E,13,'Time based aggregation (hide)'!$F:$F,3,'Time based aggregation (hide)'!$A:$A,ROW(A21))</f>
        <v>0</v>
      </c>
      <c r="LS63" s="6">
        <f>SUMIFS('Time based aggregation (hide)'!$J:$J,'Time based aggregation (hide)'!$E:$E,14,'Time based aggregation (hide)'!$F:$F,1,'Time based aggregation (hide)'!$A:$A,ROW(A21))</f>
        <v>0</v>
      </c>
      <c r="LT63" s="6">
        <f>SUMIFS('Time based aggregation (hide)'!$J:$J,'Time based aggregation (hide)'!$E:$E,14,'Time based aggregation (hide)'!$F:$F,2,'Time based aggregation (hide)'!$A:$A,ROW(A21))</f>
        <v>0</v>
      </c>
      <c r="LU63" s="6">
        <f>SUMIFS('Time based aggregation (hide)'!$J:$J,'Time based aggregation (hide)'!$E:$E,14,'Time based aggregation (hide)'!$F:$F,3,'Time based aggregation (hide)'!$A:$A,ROW(A21))</f>
        <v>0</v>
      </c>
      <c r="LV63" s="6">
        <f>SUMIFS('Time based aggregation (hide)'!$J:$J,'Time based aggregation (hide)'!$E:$E,15,'Time based aggregation (hide)'!$F:$F,1,'Time based aggregation (hide)'!$A:$A,ROW(A21))</f>
        <v>0</v>
      </c>
      <c r="LW63" s="6">
        <f>SUMIFS('Time based aggregation (hide)'!$J:$J,'Time based aggregation (hide)'!$E:$E,15,'Time based aggregation (hide)'!$F:$F,2,'Time based aggregation (hide)'!$A:$A,ROW(A21))</f>
        <v>0</v>
      </c>
      <c r="LX63" s="6">
        <f>SUMIFS('Time based aggregation (hide)'!$J:$J,'Time based aggregation (hide)'!$E:$E,15,'Time based aggregation (hide)'!$F:$F,3,'Time based aggregation (hide)'!$A:$A,ROW(A21))</f>
        <v>0</v>
      </c>
      <c r="LY63" s="6">
        <f>SUMIFS('Time based aggregation (hide)'!$J:$J,'Time based aggregation (hide)'!$E:$E,16,'Time based aggregation (hide)'!$F:$F,1,'Time based aggregation (hide)'!$A:$A,ROW(A21))</f>
        <v>0</v>
      </c>
      <c r="LZ63" s="6">
        <f>SUMIFS('Time based aggregation (hide)'!$J:$J,'Time based aggregation (hide)'!$E:$E,16,'Time based aggregation (hide)'!$F:$F,2,'Time based aggregation (hide)'!$A:$A,ROW(A21))</f>
        <v>0</v>
      </c>
      <c r="MA63" s="6">
        <f>SUMIFS('Time based aggregation (hide)'!$J:$J,'Time based aggregation (hide)'!$E:$E,16,'Time based aggregation (hide)'!$F:$F,3,'Time based aggregation (hide)'!$A:$A,ROW(A21))</f>
        <v>0</v>
      </c>
      <c r="MB63" s="6">
        <f>SUMIFS('Time based aggregation (hide)'!$J:$J,'Time based aggregation (hide)'!$E:$E,17,'Time based aggregation (hide)'!$F:$F,1,'Time based aggregation (hide)'!$A:$A,ROW(A21))</f>
        <v>0</v>
      </c>
      <c r="MC63" s="6">
        <f>SUMIFS('Time based aggregation (hide)'!$J:$J,'Time based aggregation (hide)'!$E:$E,17,'Time based aggregation (hide)'!$F:$F,2,'Time based aggregation (hide)'!$A:$A,ROW(A21))</f>
        <v>0</v>
      </c>
      <c r="MD63" s="6">
        <f>SUMIFS('Time based aggregation (hide)'!$J:$J,'Time based aggregation (hide)'!$E:$E,17,'Time based aggregation (hide)'!$F:$F,3,'Time based aggregation (hide)'!$A:$A,ROW(A21))</f>
        <v>0</v>
      </c>
      <c r="ME63" s="6">
        <f>SUMIFS('Time based aggregation (hide)'!$J:$J,'Time based aggregation (hide)'!$E:$E,18,'Time based aggregation (hide)'!$F:$F,1,'Time based aggregation (hide)'!$A:$A,ROW(A21))</f>
        <v>0</v>
      </c>
      <c r="MF63" s="6">
        <f>SUMIFS('Time based aggregation (hide)'!$J:$J,'Time based aggregation (hide)'!$E:$E,18,'Time based aggregation (hide)'!$F:$F,2,'Time based aggregation (hide)'!$A:$A,ROW(A21))</f>
        <v>0</v>
      </c>
      <c r="MG63" s="6">
        <f>SUMIFS('Time based aggregation (hide)'!$J:$J,'Time based aggregation (hide)'!$E:$E,18,'Time based aggregation (hide)'!$F:$F,3,'Time based aggregation (hide)'!$A:$A,ROW(A21))</f>
        <v>0</v>
      </c>
      <c r="MH63" s="6">
        <f>SUMIFS('Time based aggregation (hide)'!$J:$J,'Time based aggregation (hide)'!$E:$E,19,'Time based aggregation (hide)'!$F:$F,1,'Time based aggregation (hide)'!$A:$A,ROW(A21))</f>
        <v>0</v>
      </c>
      <c r="MI63" s="6">
        <f>SUMIFS('Time based aggregation (hide)'!$J:$J,'Time based aggregation (hide)'!$E:$E,19,'Time based aggregation (hide)'!$F:$F,2,'Time based aggregation (hide)'!$A:$A,ROW(A21))</f>
        <v>0</v>
      </c>
      <c r="MJ63" s="6">
        <f>SUMIFS('Time based aggregation (hide)'!$J:$J,'Time based aggregation (hide)'!$E:$E,19,'Time based aggregation (hide)'!$F:$F,3,'Time based aggregation (hide)'!$A:$A,ROW(A21))</f>
        <v>0</v>
      </c>
      <c r="MK63" s="6">
        <f>SUMIFS('Time based aggregation (hide)'!$J:$J,'Time based aggregation (hide)'!$E:$E,20,'Time based aggregation (hide)'!$F:$F,1,'Time based aggregation (hide)'!$A:$A,ROW(A21))</f>
        <v>0</v>
      </c>
      <c r="ML63" s="6">
        <f>SUMIFS('Time based aggregation (hide)'!$J:$J,'Time based aggregation (hide)'!$E:$E,20,'Time based aggregation (hide)'!$F:$F,2,'Time based aggregation (hide)'!$A:$A,ROW(A21))</f>
        <v>0</v>
      </c>
      <c r="MM63" s="6">
        <f>SUMIFS('Time based aggregation (hide)'!$J:$J,'Time based aggregation (hide)'!$E:$E,20,'Time based aggregation (hide)'!$F:$F,3,'Time based aggregation (hide)'!$A:$A,ROW(A21))</f>
        <v>0</v>
      </c>
      <c r="MN63" s="7">
        <f t="shared" ca="1" si="41"/>
        <v>0</v>
      </c>
      <c r="MO63" s="7">
        <f t="shared" ca="1" si="41"/>
        <v>0</v>
      </c>
      <c r="MP63" s="7">
        <f t="shared" ca="1" si="41"/>
        <v>0</v>
      </c>
      <c r="MQ63" s="7">
        <f t="shared" ca="1" si="41"/>
        <v>0</v>
      </c>
      <c r="MR63" s="7">
        <f t="shared" ca="1" si="41"/>
        <v>0</v>
      </c>
    </row>
    <row r="64" spans="1:356" x14ac:dyDescent="0.25">
      <c r="A64">
        <f>1</f>
        <v>1</v>
      </c>
      <c r="B64" s="85">
        <f t="shared" si="37"/>
        <v>43852</v>
      </c>
      <c r="C64" s="85">
        <f t="shared" si="25"/>
        <v>43850</v>
      </c>
      <c r="D64">
        <f t="shared" ca="1" si="26"/>
        <v>1</v>
      </c>
      <c r="E64" s="85">
        <f t="shared" si="27"/>
        <v>43831</v>
      </c>
      <c r="F64">
        <f t="shared" si="33"/>
        <v>4</v>
      </c>
      <c r="H64">
        <f t="shared" si="34"/>
        <v>22</v>
      </c>
      <c r="I64" s="85">
        <f t="shared" si="38"/>
        <v>43976</v>
      </c>
      <c r="J64">
        <f t="shared" ca="1" si="28"/>
        <v>4</v>
      </c>
      <c r="K64">
        <f t="shared" ca="1" si="29"/>
        <v>1.5748031496062992E-2</v>
      </c>
      <c r="L64" s="114"/>
      <c r="M64" s="85"/>
      <c r="N64" s="85">
        <f t="shared" si="35"/>
        <v>43976</v>
      </c>
      <c r="O64" s="122">
        <f t="shared" ca="1" si="42"/>
        <v>0</v>
      </c>
      <c r="P64" s="122">
        <f t="shared" ca="1" si="42"/>
        <v>0</v>
      </c>
      <c r="Q64" s="122">
        <f t="shared" ca="1" si="42"/>
        <v>0</v>
      </c>
      <c r="R64" s="122">
        <f t="shared" ca="1" si="42"/>
        <v>0</v>
      </c>
      <c r="S64" s="122">
        <f t="shared" ca="1" si="42"/>
        <v>1</v>
      </c>
      <c r="T64" s="122">
        <f t="shared" ca="1" si="42"/>
        <v>0</v>
      </c>
      <c r="U64" s="122">
        <f t="shared" ca="1" si="42"/>
        <v>0</v>
      </c>
      <c r="V64" s="122">
        <f t="shared" ca="1" si="42"/>
        <v>0</v>
      </c>
      <c r="W64" s="122">
        <f t="shared" ca="1" si="42"/>
        <v>0</v>
      </c>
      <c r="X64" s="122">
        <f t="shared" ca="1" si="42"/>
        <v>0</v>
      </c>
      <c r="Y64" s="122">
        <f t="shared" ca="1" si="42"/>
        <v>0</v>
      </c>
      <c r="Z64" s="122">
        <f t="shared" ca="1" si="42"/>
        <v>0</v>
      </c>
      <c r="AA64" s="122"/>
      <c r="AB64" s="140">
        <f>INDEX('File 1'!Weekly_Adjusted,22,1)</f>
        <v>388.17143954725253</v>
      </c>
      <c r="AC64" s="140">
        <f>INDEX('File 1'!Weekly_Adjusted,22,2)</f>
        <v>0</v>
      </c>
      <c r="AD64" s="140">
        <f>INDEX('File 1'!Weekly_Adjusted,22,3)</f>
        <v>0</v>
      </c>
      <c r="AE64" s="141">
        <f>INDEX('File 2'!Weekly_Adjusted,22,1)</f>
        <v>0</v>
      </c>
      <c r="AF64" s="141">
        <f>INDEX('File 2'!Weekly_Adjusted,22,2)</f>
        <v>0</v>
      </c>
      <c r="AG64" s="141">
        <f>INDEX('File 2'!Weekly_Adjusted,22,3)</f>
        <v>0</v>
      </c>
      <c r="AH64" s="140">
        <f>INDEX('File 3'!Weekly_Adjusted,22,1)</f>
        <v>0</v>
      </c>
      <c r="AI64" s="140">
        <f>INDEX('File 3'!Weekly_Adjusted,22,2)</f>
        <v>0</v>
      </c>
      <c r="AJ64" s="140">
        <f>INDEX('File 3'!Weekly_Adjusted,22,3)</f>
        <v>0</v>
      </c>
      <c r="AK64" s="141">
        <f>INDEX('File 4'!Weekly_Adjusted,22,1)</f>
        <v>0</v>
      </c>
      <c r="AL64" s="141">
        <f>INDEX('File 4'!Weekly_Adjusted,22,2)</f>
        <v>0</v>
      </c>
      <c r="AM64" s="141">
        <f>INDEX('File 4'!Weekly_Adjusted,22,3)</f>
        <v>0</v>
      </c>
      <c r="AN64" s="140">
        <f>INDEX('File 5'!Weekly_Adjusted,22,1)</f>
        <v>0</v>
      </c>
      <c r="AO64" s="140">
        <f>INDEX('File 5'!Weekly_Adjusted,22,2)</f>
        <v>0</v>
      </c>
      <c r="AP64" s="140">
        <f>INDEX('File 5'!Weekly_Adjusted,22,3)</f>
        <v>0</v>
      </c>
      <c r="AQ64" s="141">
        <f>INDEX('File 6'!Weekly_Adjusted,22,1)</f>
        <v>0</v>
      </c>
      <c r="AR64" s="141">
        <f>INDEX('File 6'!Weekly_Adjusted,22,2)</f>
        <v>0</v>
      </c>
      <c r="AS64" s="141">
        <f>INDEX('File 6'!Weekly_Adjusted,22,3)</f>
        <v>0</v>
      </c>
      <c r="AT64" s="140">
        <f>INDEX('File 7'!Weekly_Adjusted,22,1)</f>
        <v>0</v>
      </c>
      <c r="AU64" s="140">
        <f>INDEX('File 7'!Weekly_Adjusted,22,2)</f>
        <v>0</v>
      </c>
      <c r="AV64" s="140">
        <f>INDEX('File 7'!Weekly_Adjusted,22,3)</f>
        <v>0</v>
      </c>
      <c r="AW64" s="141">
        <f>INDEX('File 8'!Weekly_Adjusted,22,1)</f>
        <v>0</v>
      </c>
      <c r="AX64" s="141">
        <f>INDEX('File 8'!Weekly_Adjusted,22,2)</f>
        <v>0</v>
      </c>
      <c r="AY64" s="141">
        <f>INDEX('File 8'!Weekly_Adjusted,22,3)</f>
        <v>0</v>
      </c>
      <c r="AZ64" s="140">
        <f>INDEX('File 9'!Weekly_Adjusted,22,1)</f>
        <v>0</v>
      </c>
      <c r="BA64" s="140">
        <f>INDEX('File 9'!Weekly_Adjusted,22,2)</f>
        <v>0</v>
      </c>
      <c r="BB64" s="140">
        <f>INDEX('File 9'!Weekly_Adjusted,22,3)</f>
        <v>0</v>
      </c>
      <c r="BC64" s="141">
        <f>INDEX('File 10'!Weekly_Adjusted,22,1)</f>
        <v>0</v>
      </c>
      <c r="BD64" s="141">
        <f>INDEX('File 10'!Weekly_Adjusted,22,2)</f>
        <v>0</v>
      </c>
      <c r="BE64" s="141">
        <f>INDEX('File 10'!Weekly_Adjusted,22,3)</f>
        <v>0</v>
      </c>
      <c r="BF64" s="140">
        <f>INDEX('File 11'!Weekly_Adjusted,22,1)</f>
        <v>0</v>
      </c>
      <c r="BG64" s="140">
        <f>INDEX('File 11'!Weekly_Adjusted,22,2)</f>
        <v>0</v>
      </c>
      <c r="BH64" s="140">
        <f>INDEX('File 11'!Weekly_Adjusted,22,3)</f>
        <v>0</v>
      </c>
      <c r="BI64" s="141">
        <f>INDEX('File 12'!Weekly_Adjusted,22,1)</f>
        <v>0</v>
      </c>
      <c r="BJ64" s="141">
        <f>INDEX('File 12'!Weekly_Adjusted,22,2)</f>
        <v>0</v>
      </c>
      <c r="BK64" s="141">
        <f>INDEX('File 12'!Weekly_Adjusted,22,3)</f>
        <v>0</v>
      </c>
      <c r="BL64" s="140">
        <f>INDEX('File 13'!Weekly_Adjusted,22,1)</f>
        <v>0</v>
      </c>
      <c r="BM64" s="140">
        <f>INDEX('File 13'!Weekly_Adjusted,22,2)</f>
        <v>0</v>
      </c>
      <c r="BN64" s="140">
        <f>INDEX('File 13'!Weekly_Adjusted,22,3)</f>
        <v>0</v>
      </c>
      <c r="BO64" s="141">
        <f>INDEX('File 14'!Weekly_Adjusted,22,1)</f>
        <v>0</v>
      </c>
      <c r="BP64" s="141">
        <f>INDEX('File 14'!Weekly_Adjusted,22,2)</f>
        <v>0</v>
      </c>
      <c r="BQ64" s="141">
        <f>INDEX('File 14'!Weekly_Adjusted,22,3)</f>
        <v>0</v>
      </c>
      <c r="BR64" s="140">
        <f>INDEX('File 15'!Weekly_Adjusted,22,1)</f>
        <v>0</v>
      </c>
      <c r="BS64" s="140">
        <f>INDEX('File 15'!Weekly_Adjusted,22,2)</f>
        <v>0</v>
      </c>
      <c r="BT64" s="140">
        <f>INDEX('File 15'!Weekly_Adjusted,22,3)</f>
        <v>0</v>
      </c>
      <c r="BU64" s="141">
        <f>INDEX('File 16'!Weekly_Adjusted,22,1)</f>
        <v>0</v>
      </c>
      <c r="BV64" s="141">
        <f>INDEX('File 16'!Weekly_Adjusted,22,2)</f>
        <v>0</v>
      </c>
      <c r="BW64" s="141">
        <f>INDEX('File 16'!Weekly_Adjusted,22,3)</f>
        <v>0</v>
      </c>
      <c r="BX64" s="140">
        <f>INDEX('File 17'!Weekly_Adjusted,22,1)</f>
        <v>0</v>
      </c>
      <c r="BY64" s="140">
        <f>INDEX('File 17'!Weekly_Adjusted,22,2)</f>
        <v>0</v>
      </c>
      <c r="BZ64" s="140">
        <f>INDEX('File 17'!Weekly_Adjusted,22,3)</f>
        <v>0</v>
      </c>
      <c r="CA64" s="141">
        <f>INDEX('File 18'!Weekly_Adjusted,22,1)</f>
        <v>0</v>
      </c>
      <c r="CB64" s="141">
        <f>INDEX('File 18'!Weekly_Adjusted,22,2)</f>
        <v>0</v>
      </c>
      <c r="CC64" s="141">
        <f>INDEX('File 18'!Weekly_Adjusted,22,3)</f>
        <v>0</v>
      </c>
      <c r="CD64" s="140">
        <f>INDEX('File 19'!Weekly_Adjusted,22,1)</f>
        <v>0</v>
      </c>
      <c r="CE64" s="140">
        <f>INDEX('File 19'!Weekly_Adjusted,22,2)</f>
        <v>0</v>
      </c>
      <c r="CF64" s="140">
        <f>INDEX('File 19'!Weekly_Adjusted,22,3)</f>
        <v>0</v>
      </c>
      <c r="CG64" s="141">
        <f>INDEX('File 20'!Weekly_Adjusted,22,1)</f>
        <v>0</v>
      </c>
      <c r="CH64" s="141">
        <f>INDEX('File 20'!Weekly_Adjusted,22,2)</f>
        <v>0</v>
      </c>
      <c r="CI64" s="141">
        <f>INDEX('File 20'!Weekly_Adjusted,22,3)</f>
        <v>0</v>
      </c>
      <c r="CJ64" s="6">
        <f ca="1">SUMIFS(INDEX(Demand_Activity_Weekly,ROW(A22),0),Demand_Activity_Weekly_Header,CJ$42)</f>
        <v>388.17143954725253</v>
      </c>
      <c r="CK64" s="6">
        <f ca="1">SUMIFS(INDEX(Demand_Activity_Weekly,ROW(B22),0),Demand_Activity_Weekly_Header,CK$42)</f>
        <v>0</v>
      </c>
      <c r="CL64" s="6">
        <f ca="1">SUMIFS(INDEX(Demand_Activity_Weekly,ROW(C22),0),Demand_Activity_Weekly_Header,CL$42)</f>
        <v>0</v>
      </c>
      <c r="CM64" s="6">
        <f ca="1">SUMIFS(INDEX(Demand_Activity_Weekly,ROW(D22),0),Demand_Activity_Weekly_Header,CM$42)</f>
        <v>0</v>
      </c>
      <c r="CN64" s="6">
        <f ca="1">SUMIFS(INDEX(Demand_Activity_Weekly,ROW(E22),0),Demand_Activity_Weekly_Header,CN$42)</f>
        <v>0</v>
      </c>
      <c r="CP64" s="142">
        <f>INDEX('File 1'!Weekly_Adjusted,22,10)</f>
        <v>24.344712210866053</v>
      </c>
      <c r="CQ64" s="142">
        <f>INDEX('File 1'!Weekly_Adjusted,22,11)</f>
        <v>0</v>
      </c>
      <c r="CR64" s="142">
        <f>INDEX('File 1'!Weekly_Adjusted,22,12)</f>
        <v>0</v>
      </c>
      <c r="CS64" s="143">
        <f>INDEX('File 2'!Weekly_Adjusted,22,10)</f>
        <v>0</v>
      </c>
      <c r="CT64" s="143">
        <f>INDEX('File 2'!Weekly_Adjusted,22,11)</f>
        <v>0</v>
      </c>
      <c r="CU64" s="143">
        <f>INDEX('File 2'!Weekly_Adjusted,22,12)</f>
        <v>0</v>
      </c>
      <c r="CV64" s="142">
        <f>INDEX('File 3'!Weekly_Adjusted,22,10)</f>
        <v>0</v>
      </c>
      <c r="CW64" s="142">
        <f>INDEX('File 3'!Weekly_Adjusted,22,11)</f>
        <v>0</v>
      </c>
      <c r="CX64" s="142">
        <f>INDEX('File 3'!Weekly_Adjusted,22,12)</f>
        <v>0</v>
      </c>
      <c r="CY64" s="143">
        <f>INDEX('File 4'!Weekly_Adjusted,22,10)</f>
        <v>0</v>
      </c>
      <c r="CZ64" s="143">
        <f>INDEX('File 4'!Weekly_Adjusted,22,11)</f>
        <v>0</v>
      </c>
      <c r="DA64" s="143">
        <f>INDEX('File 4'!Weekly_Adjusted,22,12)</f>
        <v>0</v>
      </c>
      <c r="DB64" s="142">
        <f>INDEX('File 5'!Weekly_Adjusted,22,10)</f>
        <v>0</v>
      </c>
      <c r="DC64" s="142">
        <f>INDEX('File 5'!Weekly_Adjusted,22,11)</f>
        <v>0</v>
      </c>
      <c r="DD64" s="142">
        <f>INDEX('File 5'!Weekly_Adjusted,22,12)</f>
        <v>0</v>
      </c>
      <c r="DE64" s="143">
        <f>INDEX('File 6'!Weekly_Adjusted,22,10)</f>
        <v>0</v>
      </c>
      <c r="DF64" s="143">
        <f>INDEX('File 6'!Weekly_Adjusted,22,11)</f>
        <v>0</v>
      </c>
      <c r="DG64" s="143">
        <f>INDEX('File 6'!Weekly_Adjusted,22,12)</f>
        <v>0</v>
      </c>
      <c r="DH64" s="142">
        <f>INDEX('File 7'!Weekly_Adjusted,22,10)</f>
        <v>0</v>
      </c>
      <c r="DI64" s="142">
        <f>INDEX('File 7'!Weekly_Adjusted,22,11)</f>
        <v>0</v>
      </c>
      <c r="DJ64" s="142">
        <f>INDEX('File 7'!Weekly_Adjusted,22,12)</f>
        <v>0</v>
      </c>
      <c r="DK64" s="143">
        <f>INDEX('File 8'!Weekly_Adjusted,22,10)</f>
        <v>0</v>
      </c>
      <c r="DL64" s="143">
        <f>INDEX('File 8'!Weekly_Adjusted,22,11)</f>
        <v>0</v>
      </c>
      <c r="DM64" s="143">
        <f>INDEX('File 8'!Weekly_Adjusted,22,12)</f>
        <v>0</v>
      </c>
      <c r="DN64" s="142">
        <f>INDEX('File 9'!Weekly_Adjusted,22,10)</f>
        <v>0</v>
      </c>
      <c r="DO64" s="142">
        <f>INDEX('File 9'!Weekly_Adjusted,22,11)</f>
        <v>0</v>
      </c>
      <c r="DP64" s="142">
        <f>INDEX('File 9'!Weekly_Adjusted,22,12)</f>
        <v>0</v>
      </c>
      <c r="DQ64" s="143">
        <f>INDEX('File 10'!Weekly_Adjusted,22,10)</f>
        <v>0</v>
      </c>
      <c r="DR64" s="143">
        <f>INDEX('File 10'!Weekly_Adjusted,22,11)</f>
        <v>0</v>
      </c>
      <c r="DS64" s="143">
        <f>INDEX('File 10'!Weekly_Adjusted,22,12)</f>
        <v>0</v>
      </c>
      <c r="DT64" s="142">
        <f>INDEX('File 11'!Weekly_Adjusted,22,10)</f>
        <v>0</v>
      </c>
      <c r="DU64" s="142">
        <f>INDEX('File 11'!Weekly_Adjusted,22,11)</f>
        <v>0</v>
      </c>
      <c r="DV64" s="142">
        <f>INDEX('File 11'!Weekly_Adjusted,22,12)</f>
        <v>0</v>
      </c>
      <c r="DW64" s="143">
        <f>INDEX('File 12'!Weekly_Adjusted,22,10)</f>
        <v>0</v>
      </c>
      <c r="DX64" s="143">
        <f>INDEX('File 12'!Weekly_Adjusted,22,11)</f>
        <v>0</v>
      </c>
      <c r="DY64" s="143">
        <f>INDEX('File 12'!Weekly_Adjusted,22,12)</f>
        <v>0</v>
      </c>
      <c r="DZ64" s="142">
        <f>INDEX('File 13'!Weekly_Adjusted,22,10)</f>
        <v>0</v>
      </c>
      <c r="EA64" s="142">
        <f>INDEX('File 13'!Weekly_Adjusted,22,11)</f>
        <v>0</v>
      </c>
      <c r="EB64" s="142">
        <f>INDEX('File 13'!Weekly_Adjusted,22,12)</f>
        <v>0</v>
      </c>
      <c r="EC64" s="143">
        <f>INDEX('File 14'!Weekly_Adjusted,22,10)</f>
        <v>0</v>
      </c>
      <c r="ED64" s="143">
        <f>INDEX('File 14'!Weekly_Adjusted,22,11)</f>
        <v>0</v>
      </c>
      <c r="EE64" s="143">
        <f>INDEX('File 14'!Weekly_Adjusted,22,12)</f>
        <v>0</v>
      </c>
      <c r="EF64" s="142">
        <f>INDEX('File 15'!Weekly_Adjusted,22,10)</f>
        <v>0</v>
      </c>
      <c r="EG64" s="142">
        <f>INDEX('File 15'!Weekly_Adjusted,22,11)</f>
        <v>0</v>
      </c>
      <c r="EH64" s="142">
        <f>INDEX('File 15'!Weekly_Adjusted,22,12)</f>
        <v>0</v>
      </c>
      <c r="EI64" s="143">
        <f>INDEX('File 16'!Weekly_Adjusted,22,10)</f>
        <v>0</v>
      </c>
      <c r="EJ64" s="143">
        <f>INDEX('File 16'!Weekly_Adjusted,22,11)</f>
        <v>0</v>
      </c>
      <c r="EK64" s="143">
        <f>INDEX('File 16'!Weekly_Adjusted,22,12)</f>
        <v>0</v>
      </c>
      <c r="EL64" s="142">
        <f>INDEX('File 17'!Weekly_Adjusted,22,10)</f>
        <v>0</v>
      </c>
      <c r="EM64" s="142">
        <f>INDEX('File 17'!Weekly_Adjusted,22,11)</f>
        <v>0</v>
      </c>
      <c r="EN64" s="142">
        <f>INDEX('File 17'!Weekly_Adjusted,22,12)</f>
        <v>0</v>
      </c>
      <c r="EO64" s="143">
        <f>INDEX('File 18'!Weekly_Adjusted,22,10)</f>
        <v>0</v>
      </c>
      <c r="EP64" s="143">
        <f>INDEX('File 18'!Weekly_Adjusted,22,11)</f>
        <v>0</v>
      </c>
      <c r="EQ64" s="143">
        <f>INDEX('File 18'!Weekly_Adjusted,22,12)</f>
        <v>0</v>
      </c>
      <c r="ER64" s="142">
        <f>INDEX('File 19'!Weekly_Adjusted,22,10)</f>
        <v>0</v>
      </c>
      <c r="ES64" s="142">
        <f>INDEX('File 19'!Weekly_Adjusted,22,11)</f>
        <v>0</v>
      </c>
      <c r="ET64" s="142">
        <f>INDEX('File 19'!Weekly_Adjusted,22,12)</f>
        <v>0</v>
      </c>
      <c r="EU64" s="143">
        <f>INDEX('File 20'!Weekly_Adjusted,22,10)</f>
        <v>0</v>
      </c>
      <c r="EV64" s="143">
        <f>INDEX('File 20'!Weekly_Adjusted,22,11)</f>
        <v>0</v>
      </c>
      <c r="EW64" s="143">
        <f>INDEX('File 20'!Weekly_Adjusted,22,12)</f>
        <v>0</v>
      </c>
      <c r="EX64" s="6">
        <f ca="1">SUMIFS(INDEX(Capacity_Activity_Weekly,ROW(A22),0),Demand_Activity_Weekly_Header,CJ$42)</f>
        <v>24.344712210866053</v>
      </c>
      <c r="EY64" s="6">
        <f ca="1">SUMIFS(INDEX(Capacity_Activity_Weekly,ROW(B22),0),Demand_Activity_Weekly_Header,CK$42)</f>
        <v>0</v>
      </c>
      <c r="EZ64" s="6">
        <f ca="1">SUMIFS(INDEX(Capacity_Activity_Weekly,ROW(C22),0),Demand_Activity_Weekly_Header,CL$42)</f>
        <v>0</v>
      </c>
      <c r="FA64" s="6">
        <f ca="1">SUMIFS(INDEX(Capacity_Activity_Weekly,ROW(D22),0),Demand_Activity_Weekly_Header,CM$42)</f>
        <v>0</v>
      </c>
      <c r="FB64" s="6">
        <f ca="1">SUMIFS(INDEX(Capacity_Activity_Weekly,ROW(E22),0),Demand_Activity_Weekly_Header,CN$42)</f>
        <v>0</v>
      </c>
      <c r="FD64" s="7">
        <f>'File 1'!$Q$54*'Time based aggregation (hide)'!$Q26</f>
        <v>0</v>
      </c>
      <c r="FE64" s="7">
        <f>'File 1'!$R$54*'Time based aggregation (hide)'!$R26</f>
        <v>0</v>
      </c>
      <c r="FF64" s="7">
        <f>'File 1'!$S$54*'Time based aggregation (hide)'!$S26</f>
        <v>0</v>
      </c>
      <c r="FG64" s="7">
        <f>'File 2'!$Q$54*'Time based aggregation (hide)'!$T26</f>
        <v>0</v>
      </c>
      <c r="FH64" s="7">
        <f>'File 2'!$R$54*'Time based aggregation (hide)'!$U26</f>
        <v>0</v>
      </c>
      <c r="FI64" s="7">
        <f>'File 2'!$S$54*'Time based aggregation (hide)'!$V26</f>
        <v>0</v>
      </c>
      <c r="FJ64" s="7">
        <f>'File 3'!$Q$54*'Time based aggregation (hide)'!$W26</f>
        <v>0</v>
      </c>
      <c r="FK64" s="7">
        <f>'File 3'!$R$54*'Time based aggregation (hide)'!$X26</f>
        <v>0</v>
      </c>
      <c r="FL64" s="7">
        <f>'File 3'!$S$54*'Time based aggregation (hide)'!$Y26</f>
        <v>0</v>
      </c>
      <c r="FM64" s="7">
        <f>'File 4'!$Q$54*'Time based aggregation (hide)'!$Z26</f>
        <v>0</v>
      </c>
      <c r="FN64" s="7">
        <f>'File 4'!$R$54*'Time based aggregation (hide)'!$AA26</f>
        <v>0</v>
      </c>
      <c r="FO64" s="7">
        <f>'File 4'!$S$54*'Time based aggregation (hide)'!$AB26</f>
        <v>0</v>
      </c>
      <c r="FP64" s="7">
        <f>'File 5'!$Q$54*'Time based aggregation (hide)'!$AC26</f>
        <v>0</v>
      </c>
      <c r="FQ64" s="7">
        <f>'File 5'!$R$54*'Time based aggregation (hide)'!$AD26</f>
        <v>0</v>
      </c>
      <c r="FR64" s="7">
        <f>'File 5'!$S$54*'Time based aggregation (hide)'!$AE26</f>
        <v>0</v>
      </c>
      <c r="FS64" s="7">
        <f>'File 6'!$Q$54*'Time based aggregation (hide)'!$AF26</f>
        <v>0</v>
      </c>
      <c r="FT64" s="7">
        <f>'File 6'!$R$54*'Time based aggregation (hide)'!$AG26</f>
        <v>0</v>
      </c>
      <c r="FU64" s="7">
        <f>'File 6'!$S$54*'Time based aggregation (hide)'!$AH26</f>
        <v>0</v>
      </c>
      <c r="FV64" s="7">
        <f>'File 7'!$Q$54*'Time based aggregation (hide)'!$AI26</f>
        <v>0</v>
      </c>
      <c r="FW64" s="7">
        <f>'File 7'!$R$54*'Time based aggregation (hide)'!$AJ26</f>
        <v>0</v>
      </c>
      <c r="FX64" s="7">
        <f>'File 7'!$S$54*'Time based aggregation (hide)'!$AK26</f>
        <v>0</v>
      </c>
      <c r="FY64" s="7">
        <f>'File 8'!$Q$54*'Time based aggregation (hide)'!$AL26</f>
        <v>0</v>
      </c>
      <c r="FZ64" s="7">
        <f>'File 8'!$R$54*'Time based aggregation (hide)'!$AM26</f>
        <v>0</v>
      </c>
      <c r="GA64" s="7">
        <f>'File 8'!$S$54*'Time based aggregation (hide)'!$AN26</f>
        <v>0</v>
      </c>
      <c r="GB64" s="7">
        <f>'File 9'!$Q$54*'Time based aggregation (hide)'!$AO26</f>
        <v>0</v>
      </c>
      <c r="GC64" s="7">
        <f>'File 9'!$R$54*'Time based aggregation (hide)'!$AP26</f>
        <v>0</v>
      </c>
      <c r="GD64" s="7">
        <f>'File 9'!$S$54*'Time based aggregation (hide)'!$AQ26</f>
        <v>0</v>
      </c>
      <c r="GE64" s="7">
        <f>'File 10'!$Q$54*'Time based aggregation (hide)'!$AR26</f>
        <v>0</v>
      </c>
      <c r="GF64" s="7">
        <f>'File 10'!$R$54*'Time based aggregation (hide)'!$AS26</f>
        <v>0</v>
      </c>
      <c r="GG64" s="7">
        <f>'File 10'!$S$54*'Time based aggregation (hide)'!$AT26</f>
        <v>0</v>
      </c>
      <c r="GH64" s="7">
        <f>'File 11'!$Q$54*'Time based aggregation (hide)'!$AU26</f>
        <v>0</v>
      </c>
      <c r="GI64" s="7">
        <f>'File 11'!$R$54*'Time based aggregation (hide)'!$AV26</f>
        <v>0</v>
      </c>
      <c r="GJ64" s="7">
        <f>'File 11'!$S$54*'Time based aggregation (hide)'!$AW26</f>
        <v>0</v>
      </c>
      <c r="GK64" s="7">
        <f>'File 12'!$Q$54*'Time based aggregation (hide)'!$AX26</f>
        <v>0</v>
      </c>
      <c r="GL64" s="7">
        <f>'File 12'!$R$54*'Time based aggregation (hide)'!$AY26</f>
        <v>0</v>
      </c>
      <c r="GM64" s="7">
        <f>'File 12'!$S$54*'Time based aggregation (hide)'!$AZ26</f>
        <v>0</v>
      </c>
      <c r="GN64" s="7">
        <f>'File 13'!$Q$54*'Time based aggregation (hide)'!$BA26</f>
        <v>0</v>
      </c>
      <c r="GO64" s="7">
        <f>'File 13'!$R$54*'Time based aggregation (hide)'!$BB26</f>
        <v>0</v>
      </c>
      <c r="GP64" s="7">
        <f>'File 13'!$S$54*'Time based aggregation (hide)'!$BC26</f>
        <v>0</v>
      </c>
      <c r="GQ64" s="7">
        <f>'File 14'!$Q$54*'Time based aggregation (hide)'!$BD26</f>
        <v>0</v>
      </c>
      <c r="GR64" s="7">
        <f>'File 14'!$R$54*'Time based aggregation (hide)'!$BE26</f>
        <v>0</v>
      </c>
      <c r="GS64" s="7">
        <f>'File 14'!$S$54*'Time based aggregation (hide)'!$BF26</f>
        <v>0</v>
      </c>
      <c r="GT64" s="7">
        <f>'File 15'!$Q$54*'Time based aggregation (hide)'!$BG26</f>
        <v>0</v>
      </c>
      <c r="GU64" s="7">
        <f>'File 15'!$R$54*'Time based aggregation (hide)'!$BH26</f>
        <v>0</v>
      </c>
      <c r="GV64" s="7">
        <f>'File 15'!$S$54*'Time based aggregation (hide)'!$BI26</f>
        <v>0</v>
      </c>
      <c r="GW64" s="7">
        <f>'File 16'!$Q$54*'Time based aggregation (hide)'!$BJ26</f>
        <v>0</v>
      </c>
      <c r="GX64" s="7">
        <f>'File 16'!$R$54*'Time based aggregation (hide)'!$BK26</f>
        <v>0</v>
      </c>
      <c r="GY64" s="7">
        <f>'File 16'!$S$54*'Time based aggregation (hide)'!$BL26</f>
        <v>0</v>
      </c>
      <c r="GZ64" s="7">
        <f>'File 17'!$Q$54*'Time based aggregation (hide)'!$BM26</f>
        <v>0</v>
      </c>
      <c r="HA64" s="7">
        <f>'File 17'!$R$54*'Time based aggregation (hide)'!$BN26</f>
        <v>0</v>
      </c>
      <c r="HB64" s="7">
        <f>'File 17'!$S$54*'Time based aggregation (hide)'!$BO26</f>
        <v>0</v>
      </c>
      <c r="HC64" s="7">
        <f>'File 18'!$Q$54*'Time based aggregation (hide)'!$BP26</f>
        <v>0</v>
      </c>
      <c r="HD64" s="7">
        <f>'File 18'!$R$54*'Time based aggregation (hide)'!$BQ26</f>
        <v>0</v>
      </c>
      <c r="HE64" s="7">
        <f>'File 18'!$S$54*'Time based aggregation (hide)'!$BR26</f>
        <v>0</v>
      </c>
      <c r="HF64" s="7">
        <f>'File 19'!$Q$54*'Time based aggregation (hide)'!$BS26</f>
        <v>0</v>
      </c>
      <c r="HG64" s="7">
        <f>'File 19'!$R$54*'Time based aggregation (hide)'!$BT26</f>
        <v>0</v>
      </c>
      <c r="HH64" s="7">
        <f>'File 19'!$S$54*'Time based aggregation (hide)'!$BU26</f>
        <v>0</v>
      </c>
      <c r="HI64" s="7">
        <f>'File 20'!$Q$54*'Time based aggregation (hide)'!$BV26</f>
        <v>0</v>
      </c>
      <c r="HJ64" s="7">
        <f>'File 20'!$R$54*'Time based aggregation (hide)'!$BW26</f>
        <v>0</v>
      </c>
      <c r="HK64" s="7">
        <f>'File 20'!$S$54*'Time based aggregation (hide)'!$BX26</f>
        <v>0</v>
      </c>
      <c r="HL64" s="7">
        <f t="shared" ca="1" si="43"/>
        <v>0</v>
      </c>
      <c r="HM64" s="7">
        <f t="shared" ca="1" si="43"/>
        <v>0</v>
      </c>
      <c r="HN64" s="7">
        <f t="shared" ca="1" si="43"/>
        <v>0</v>
      </c>
      <c r="HO64" s="7">
        <f t="shared" ca="1" si="43"/>
        <v>0</v>
      </c>
      <c r="HP64" s="7">
        <f t="shared" ca="1" si="43"/>
        <v>0</v>
      </c>
      <c r="HR64" s="142">
        <f>INDEX('File 1'!Weekly_Adjusted,22,16)</f>
        <v>20.933351264120493</v>
      </c>
      <c r="HS64" s="142">
        <f>INDEX('File 1'!Weekly_Adjusted,22,17)</f>
        <v>0</v>
      </c>
      <c r="HT64" s="142">
        <f>INDEX('File 1'!Weekly_Adjusted,22,18)</f>
        <v>0</v>
      </c>
      <c r="HU64" s="143">
        <f>INDEX('File 2'!Weekly_Adjusted,22,16)</f>
        <v>0</v>
      </c>
      <c r="HV64" s="143">
        <f>INDEX('File 2'!Weekly_Adjusted,22,17)</f>
        <v>0</v>
      </c>
      <c r="HW64" s="143">
        <f>INDEX('File 2'!Weekly_Adjusted,22,18)</f>
        <v>0</v>
      </c>
      <c r="HX64" s="142">
        <f>INDEX('File 3'!Weekly_Adjusted,22,16)</f>
        <v>0</v>
      </c>
      <c r="HY64" s="142">
        <f>INDEX('File 3'!Weekly_Adjusted,22,17)</f>
        <v>0</v>
      </c>
      <c r="HZ64" s="142">
        <f>INDEX('File 3'!Weekly_Adjusted,22,18)</f>
        <v>0</v>
      </c>
      <c r="IA64" s="143">
        <f>INDEX('File 4'!Weekly_Adjusted,22,16)</f>
        <v>0</v>
      </c>
      <c r="IB64" s="143">
        <f>INDEX('File 4'!Weekly_Adjusted,22,17)</f>
        <v>0</v>
      </c>
      <c r="IC64" s="143">
        <f>INDEX('File 4'!Weekly_Adjusted,22,18)</f>
        <v>0</v>
      </c>
      <c r="ID64" s="142">
        <f>INDEX('File 5'!Weekly_Adjusted,22,16)</f>
        <v>0</v>
      </c>
      <c r="IE64" s="142">
        <f>INDEX('File 5'!Weekly_Adjusted,22,17)</f>
        <v>0</v>
      </c>
      <c r="IF64" s="142">
        <f>INDEX('File 5'!Weekly_Adjusted,22,18)</f>
        <v>0</v>
      </c>
      <c r="IG64" s="143">
        <f>INDEX('File 6'!Weekly_Adjusted,22,16)</f>
        <v>0</v>
      </c>
      <c r="IH64" s="143">
        <f>INDEX('File 6'!Weekly_Adjusted,22,17)</f>
        <v>0</v>
      </c>
      <c r="II64" s="143">
        <f>INDEX('File 6'!Weekly_Adjusted,22,18)</f>
        <v>0</v>
      </c>
      <c r="IJ64" s="142">
        <f>INDEX('File 7'!Weekly_Adjusted,22,16)</f>
        <v>0</v>
      </c>
      <c r="IK64" s="142">
        <f>INDEX('File 7'!Weekly_Adjusted,22,17)</f>
        <v>0</v>
      </c>
      <c r="IL64" s="142">
        <f>INDEX('File 7'!Weekly_Adjusted,22,18)</f>
        <v>0</v>
      </c>
      <c r="IM64" s="143">
        <f>INDEX('File 8'!Weekly_Adjusted,22,16)</f>
        <v>0</v>
      </c>
      <c r="IN64" s="143">
        <f>INDEX('File 8'!Weekly_Adjusted,22,17)</f>
        <v>0</v>
      </c>
      <c r="IO64" s="143">
        <f>INDEX('File 8'!Weekly_Adjusted,22,18)</f>
        <v>0</v>
      </c>
      <c r="IP64" s="142">
        <f>INDEX('File 9'!Weekly_Adjusted,22,16)</f>
        <v>0</v>
      </c>
      <c r="IQ64" s="142">
        <f>INDEX('File 9'!Weekly_Adjusted,22,17)</f>
        <v>0</v>
      </c>
      <c r="IR64" s="142">
        <f>INDEX('File 9'!Weekly_Adjusted,22,18)</f>
        <v>0</v>
      </c>
      <c r="IS64" s="143">
        <f>INDEX('File 10'!Weekly_Adjusted,22,16)</f>
        <v>0</v>
      </c>
      <c r="IT64" s="143">
        <f>INDEX('File 10'!Weekly_Adjusted,22,17)</f>
        <v>0</v>
      </c>
      <c r="IU64" s="143">
        <f>INDEX('File 10'!Weekly_Adjusted,22,18)</f>
        <v>0</v>
      </c>
      <c r="IV64" s="142">
        <f>INDEX('File 11'!Weekly_Adjusted,22,16)</f>
        <v>0</v>
      </c>
      <c r="IW64" s="142">
        <f>INDEX('File 11'!Weekly_Adjusted,22,17)</f>
        <v>0</v>
      </c>
      <c r="IX64" s="142">
        <f>INDEX('File 11'!Weekly_Adjusted,22,18)</f>
        <v>0</v>
      </c>
      <c r="IY64" s="143">
        <f>INDEX('File 12'!Weekly_Adjusted,22,16)</f>
        <v>0</v>
      </c>
      <c r="IZ64" s="143">
        <f>INDEX('File 12'!Weekly_Adjusted,22,17)</f>
        <v>0</v>
      </c>
      <c r="JA64" s="143">
        <f>INDEX('File 12'!Weekly_Adjusted,22,18)</f>
        <v>0</v>
      </c>
      <c r="JB64" s="142">
        <f>INDEX('File 13'!Weekly_Adjusted,22,16)</f>
        <v>0</v>
      </c>
      <c r="JC64" s="142">
        <f>INDEX('File 13'!Weekly_Adjusted,22,17)</f>
        <v>0</v>
      </c>
      <c r="JD64" s="142">
        <f>INDEX('File 13'!Weekly_Adjusted,22,18)</f>
        <v>0</v>
      </c>
      <c r="JE64" s="143">
        <f>INDEX('File 14'!Weekly_Adjusted,22,16)</f>
        <v>0</v>
      </c>
      <c r="JF64" s="143">
        <f>INDEX('File 14'!Weekly_Adjusted,22,17)</f>
        <v>0</v>
      </c>
      <c r="JG64" s="143">
        <f>INDEX('File 14'!Weekly_Adjusted,22,18)</f>
        <v>0</v>
      </c>
      <c r="JH64" s="142">
        <f>INDEX('File 15'!Weekly_Adjusted,22,16)</f>
        <v>0</v>
      </c>
      <c r="JI64" s="142">
        <f>INDEX('File 15'!Weekly_Adjusted,22,17)</f>
        <v>0</v>
      </c>
      <c r="JJ64" s="142">
        <f>INDEX('File 15'!Weekly_Adjusted,22,18)</f>
        <v>0</v>
      </c>
      <c r="JK64" s="143">
        <f>INDEX('File 16'!Weekly_Adjusted,22,16)</f>
        <v>0</v>
      </c>
      <c r="JL64" s="143">
        <f>INDEX('File 16'!Weekly_Adjusted,22,17)</f>
        <v>0</v>
      </c>
      <c r="JM64" s="143">
        <f>INDEX('File 16'!Weekly_Adjusted,22,18)</f>
        <v>0</v>
      </c>
      <c r="JN64" s="142">
        <f>INDEX('File 17'!Weekly_Adjusted,22,16)</f>
        <v>0</v>
      </c>
      <c r="JO64" s="142">
        <f>INDEX('File 17'!Weekly_Adjusted,22,17)</f>
        <v>0</v>
      </c>
      <c r="JP64" s="142">
        <f>INDEX('File 17'!Weekly_Adjusted,22,18)</f>
        <v>0</v>
      </c>
      <c r="JQ64" s="143">
        <f>INDEX('File 18'!Weekly_Adjusted,22,16)</f>
        <v>0</v>
      </c>
      <c r="JR64" s="143">
        <f>INDEX('File 18'!Weekly_Adjusted,22,17)</f>
        <v>0</v>
      </c>
      <c r="JS64" s="143">
        <f>INDEX('File 18'!Weekly_Adjusted,22,18)</f>
        <v>0</v>
      </c>
      <c r="JT64" s="142">
        <f>INDEX('File 19'!Weekly_Adjusted,22,16)</f>
        <v>0</v>
      </c>
      <c r="JU64" s="142">
        <f>INDEX('File 19'!Weekly_Adjusted,22,17)</f>
        <v>0</v>
      </c>
      <c r="JV64" s="142">
        <f>INDEX('File 19'!Weekly_Adjusted,22,18)</f>
        <v>0</v>
      </c>
      <c r="JW64" s="143">
        <f>INDEX('File 20'!Weekly_Adjusted,22,16)</f>
        <v>0</v>
      </c>
      <c r="JX64" s="143">
        <f>INDEX('File 20'!Weekly_Adjusted,22,17)</f>
        <v>0</v>
      </c>
      <c r="JY64" s="143">
        <f>INDEX('File 20'!Weekly_Adjusted,22,18)</f>
        <v>0</v>
      </c>
      <c r="JZ64" s="6">
        <f ca="1">SUMIFS(INDEX(CapacityCore_Activity_Weekly,ROW(EC22),0),Demand_Activity_Weekly_Header,HL$42)</f>
        <v>20.933351264120493</v>
      </c>
      <c r="KA64" s="6">
        <f ca="1">SUMIFS(INDEX(CapacityCore_Activity_Weekly,ROW(ED22),0),Demand_Activity_Weekly_Header,HM$42)</f>
        <v>0</v>
      </c>
      <c r="KB64" s="6">
        <f ca="1">SUMIFS(INDEX(CapacityCore_Activity_Weekly,ROW(EE22),0),Demand_Activity_Weekly_Header,HN$42)</f>
        <v>0</v>
      </c>
      <c r="KC64" s="6">
        <f ca="1">SUMIFS(INDEX(CapacityCore_Activity_Weekly,ROW(EF22),0),Demand_Activity_Weekly_Header,HO$42)</f>
        <v>0</v>
      </c>
      <c r="KD64" s="6">
        <f ca="1">SUMIFS(INDEX(CapacityCore_Activity_Weekly,ROW(EG22),0),Demand_Activity_Weekly_Header,HP$42)</f>
        <v>0</v>
      </c>
      <c r="KF64" s="6">
        <f>SUMIFS('Time based aggregation (hide)'!$J:$J,'Time based aggregation (hide)'!$E:$E,1,'Time based aggregation (hide)'!$F:$F,1,'Time based aggregation (hide)'!$A:$A,ROW(A22))</f>
        <v>0</v>
      </c>
      <c r="KG64" s="6">
        <f>SUMIFS('Time based aggregation (hide)'!$J:$J,'Time based aggregation (hide)'!$E:$E,1,'Time based aggregation (hide)'!$F:$F,2,'Time based aggregation (hide)'!$A:$A,ROW(A22))</f>
        <v>0</v>
      </c>
      <c r="KH64" s="6">
        <f>SUMIFS('Time based aggregation (hide)'!$J:$J,'Time based aggregation (hide)'!$E:$E,1,'Time based aggregation (hide)'!$F:$F,3,'Time based aggregation (hide)'!$A:$A,ROW(A22))</f>
        <v>0</v>
      </c>
      <c r="KI64" s="6">
        <f>SUMIFS('Time based aggregation (hide)'!$J:$J,'Time based aggregation (hide)'!$E:$E,2,'Time based aggregation (hide)'!$F:$F,1,'Time based aggregation (hide)'!$A:$A,ROW(A22))</f>
        <v>0</v>
      </c>
      <c r="KJ64" s="6">
        <f>SUMIFS('Time based aggregation (hide)'!$J:$J,'Time based aggregation (hide)'!$E:$E,2,'Time based aggregation (hide)'!$F:$F,2,'Time based aggregation (hide)'!$A:$A,ROW(A22))</f>
        <v>0</v>
      </c>
      <c r="KK64" s="6">
        <f>SUMIFS('Time based aggregation (hide)'!$J:$J,'Time based aggregation (hide)'!$E:$E,2,'Time based aggregation (hide)'!$F:$F,3,'Time based aggregation (hide)'!$A:$A,ROW(A22))</f>
        <v>0</v>
      </c>
      <c r="KL64" s="6">
        <f>SUMIFS('Time based aggregation (hide)'!$J:$J,'Time based aggregation (hide)'!$E:$E,3,'Time based aggregation (hide)'!$F:$F,1,'Time based aggregation (hide)'!$A:$A,ROW(A22))</f>
        <v>0</v>
      </c>
      <c r="KM64" s="6">
        <f>SUMIFS('Time based aggregation (hide)'!$J:$J,'Time based aggregation (hide)'!$E:$E,3,'Time based aggregation (hide)'!$F:$F,2,'Time based aggregation (hide)'!$A:$A,ROW(A22))</f>
        <v>0</v>
      </c>
      <c r="KN64" s="6">
        <f>SUMIFS('Time based aggregation (hide)'!$J:$J,'Time based aggregation (hide)'!$E:$E,3,'Time based aggregation (hide)'!$F:$F,3,'Time based aggregation (hide)'!$A:$A,ROW(A22))</f>
        <v>0</v>
      </c>
      <c r="KO64" s="6">
        <f>SUMIFS('Time based aggregation (hide)'!$J:$J,'Time based aggregation (hide)'!$E:$E,4,'Time based aggregation (hide)'!$F:$F,1,'Time based aggregation (hide)'!$A:$A,ROW(A22))</f>
        <v>0</v>
      </c>
      <c r="KP64" s="6">
        <f>SUMIFS('Time based aggregation (hide)'!$J:$J,'Time based aggregation (hide)'!$E:$E,4,'Time based aggregation (hide)'!$F:$F,2,'Time based aggregation (hide)'!$A:$A,ROW(A22))</f>
        <v>0</v>
      </c>
      <c r="KQ64" s="6">
        <f>SUMIFS('Time based aggregation (hide)'!$J:$J,'Time based aggregation (hide)'!$E:$E,4,'Time based aggregation (hide)'!$F:$F,3,'Time based aggregation (hide)'!$A:$A,ROW(A22))</f>
        <v>0</v>
      </c>
      <c r="KR64" s="6">
        <f>SUMIFS('Time based aggregation (hide)'!$J:$J,'Time based aggregation (hide)'!$E:$E,5,'Time based aggregation (hide)'!$F:$F,1,'Time based aggregation (hide)'!$A:$A,ROW(A22))</f>
        <v>0</v>
      </c>
      <c r="KS64" s="6">
        <f>SUMIFS('Time based aggregation (hide)'!$J:$J,'Time based aggregation (hide)'!$E:$E,5,'Time based aggregation (hide)'!$F:$F,2,'Time based aggregation (hide)'!$A:$A,ROW(A22))</f>
        <v>0</v>
      </c>
      <c r="KT64" s="6">
        <f>SUMIFS('Time based aggregation (hide)'!$J:$J,'Time based aggregation (hide)'!$E:$E,5,'Time based aggregation (hide)'!$F:$F,3,'Time based aggregation (hide)'!$A:$A,ROW(A22))</f>
        <v>0</v>
      </c>
      <c r="KU64" s="6">
        <f>SUMIFS('Time based aggregation (hide)'!$J:$J,'Time based aggregation (hide)'!$E:$E,6,'Time based aggregation (hide)'!$F:$F,1,'Time based aggregation (hide)'!$A:$A,ROW(A22))</f>
        <v>0</v>
      </c>
      <c r="KV64" s="6">
        <f>SUMIFS('Time based aggregation (hide)'!$J:$J,'Time based aggregation (hide)'!$E:$E,6,'Time based aggregation (hide)'!$F:$F,2,'Time based aggregation (hide)'!$A:$A,ROW(A22))</f>
        <v>0</v>
      </c>
      <c r="KW64" s="6">
        <f>SUMIFS('Time based aggregation (hide)'!$J:$J,'Time based aggregation (hide)'!$E:$E,6,'Time based aggregation (hide)'!$F:$F,3,'Time based aggregation (hide)'!$A:$A,ROW(A22))</f>
        <v>0</v>
      </c>
      <c r="KX64" s="6">
        <f>SUMIFS('Time based aggregation (hide)'!$J:$J,'Time based aggregation (hide)'!$E:$E,7,'Time based aggregation (hide)'!$F:$F,1,'Time based aggregation (hide)'!$A:$A,ROW(A22))</f>
        <v>0</v>
      </c>
      <c r="KY64" s="6">
        <f>SUMIFS('Time based aggregation (hide)'!$J:$J,'Time based aggregation (hide)'!$E:$E,7,'Time based aggregation (hide)'!$F:$F,2,'Time based aggregation (hide)'!$A:$A,ROW(A22))</f>
        <v>0</v>
      </c>
      <c r="KZ64" s="6">
        <f>SUMIFS('Time based aggregation (hide)'!$J:$J,'Time based aggregation (hide)'!$E:$E,7,'Time based aggregation (hide)'!$F:$F,3,'Time based aggregation (hide)'!$A:$A,ROW(A22))</f>
        <v>0</v>
      </c>
      <c r="LA64" s="6">
        <f>SUMIFS('Time based aggregation (hide)'!$J:$J,'Time based aggregation (hide)'!$E:$E,8,'Time based aggregation (hide)'!$F:$F,1,'Time based aggregation (hide)'!$A:$A,ROW(A22))</f>
        <v>0</v>
      </c>
      <c r="LB64" s="6">
        <f>SUMIFS('Time based aggregation (hide)'!$J:$J,'Time based aggregation (hide)'!$E:$E,8,'Time based aggregation (hide)'!$F:$F,2,'Time based aggregation (hide)'!$A:$A,ROW(A22))</f>
        <v>0</v>
      </c>
      <c r="LC64" s="6">
        <f>SUMIFS('Time based aggregation (hide)'!$J:$J,'Time based aggregation (hide)'!$E:$E,8,'Time based aggregation (hide)'!$F:$F,3,'Time based aggregation (hide)'!$A:$A,ROW(A22))</f>
        <v>0</v>
      </c>
      <c r="LD64" s="6">
        <f>SUMIFS('Time based aggregation (hide)'!$J:$J,'Time based aggregation (hide)'!$E:$E,9,'Time based aggregation (hide)'!$F:$F,1,'Time based aggregation (hide)'!$A:$A,ROW(A22))</f>
        <v>0</v>
      </c>
      <c r="LE64" s="6">
        <f>SUMIFS('Time based aggregation (hide)'!$J:$J,'Time based aggregation (hide)'!$E:$E,9,'Time based aggregation (hide)'!$F:$F,2,'Time based aggregation (hide)'!$A:$A,ROW(A22))</f>
        <v>0</v>
      </c>
      <c r="LF64" s="6">
        <f>SUMIFS('Time based aggregation (hide)'!$J:$J,'Time based aggregation (hide)'!$E:$E,9,'Time based aggregation (hide)'!$F:$F,3,'Time based aggregation (hide)'!$A:$A,ROW(A22))</f>
        <v>0</v>
      </c>
      <c r="LG64" s="6">
        <f>SUMIFS('Time based aggregation (hide)'!$J:$J,'Time based aggregation (hide)'!$E:$E,10,'Time based aggregation (hide)'!$F:$F,1,'Time based aggregation (hide)'!$A:$A,ROW(A22))</f>
        <v>0</v>
      </c>
      <c r="LH64" s="6">
        <f>SUMIFS('Time based aggregation (hide)'!$J:$J,'Time based aggregation (hide)'!$E:$E,10,'Time based aggregation (hide)'!$F:$F,2,'Time based aggregation (hide)'!$A:$A,ROW(A22))</f>
        <v>0</v>
      </c>
      <c r="LI64" s="6">
        <f>SUMIFS('Time based aggregation (hide)'!$J:$J,'Time based aggregation (hide)'!$E:$E,10,'Time based aggregation (hide)'!$F:$F,3,'Time based aggregation (hide)'!$A:$A,ROW(A22))</f>
        <v>0</v>
      </c>
      <c r="LJ64" s="6">
        <f>SUMIFS('Time based aggregation (hide)'!$J:$J,'Time based aggregation (hide)'!$E:$E,11,'Time based aggregation (hide)'!$F:$F,1,'Time based aggregation (hide)'!$A:$A,ROW(A22))</f>
        <v>0</v>
      </c>
      <c r="LK64" s="6">
        <f>SUMIFS('Time based aggregation (hide)'!$J:$J,'Time based aggregation (hide)'!$E:$E,11,'Time based aggregation (hide)'!$F:$F,2,'Time based aggregation (hide)'!$A:$A,ROW(A22))</f>
        <v>0</v>
      </c>
      <c r="LL64" s="6">
        <f>SUMIFS('Time based aggregation (hide)'!$J:$J,'Time based aggregation (hide)'!$E:$E,11,'Time based aggregation (hide)'!$F:$F,3,'Time based aggregation (hide)'!$A:$A,ROW(A22))</f>
        <v>0</v>
      </c>
      <c r="LM64" s="6">
        <f>SUMIFS('Time based aggregation (hide)'!$J:$J,'Time based aggregation (hide)'!$E:$E,12,'Time based aggregation (hide)'!$F:$F,1,'Time based aggregation (hide)'!$A:$A,ROW(A22))</f>
        <v>0</v>
      </c>
      <c r="LN64" s="6">
        <f>SUMIFS('Time based aggregation (hide)'!$J:$J,'Time based aggregation (hide)'!$E:$E,12,'Time based aggregation (hide)'!$F:$F,2,'Time based aggregation (hide)'!$A:$A,ROW(A22))</f>
        <v>0</v>
      </c>
      <c r="LO64" s="6">
        <f>SUMIFS('Time based aggregation (hide)'!$J:$J,'Time based aggregation (hide)'!$E:$E,12,'Time based aggregation (hide)'!$F:$F,3,'Time based aggregation (hide)'!$A:$A,ROW(A22))</f>
        <v>0</v>
      </c>
      <c r="LP64" s="6">
        <f>SUMIFS('Time based aggregation (hide)'!$J:$J,'Time based aggregation (hide)'!$E:$E,13,'Time based aggregation (hide)'!$F:$F,1,'Time based aggregation (hide)'!$A:$A,ROW(A22))</f>
        <v>0</v>
      </c>
      <c r="LQ64" s="6">
        <f>SUMIFS('Time based aggregation (hide)'!$J:$J,'Time based aggregation (hide)'!$E:$E,13,'Time based aggregation (hide)'!$F:$F,2,'Time based aggregation (hide)'!$A:$A,ROW(A22))</f>
        <v>0</v>
      </c>
      <c r="LR64" s="6">
        <f>SUMIFS('Time based aggregation (hide)'!$J:$J,'Time based aggregation (hide)'!$E:$E,13,'Time based aggregation (hide)'!$F:$F,3,'Time based aggregation (hide)'!$A:$A,ROW(A22))</f>
        <v>0</v>
      </c>
      <c r="LS64" s="6">
        <f>SUMIFS('Time based aggregation (hide)'!$J:$J,'Time based aggregation (hide)'!$E:$E,14,'Time based aggregation (hide)'!$F:$F,1,'Time based aggregation (hide)'!$A:$A,ROW(A22))</f>
        <v>0</v>
      </c>
      <c r="LT64" s="6">
        <f>SUMIFS('Time based aggregation (hide)'!$J:$J,'Time based aggregation (hide)'!$E:$E,14,'Time based aggregation (hide)'!$F:$F,2,'Time based aggregation (hide)'!$A:$A,ROW(A22))</f>
        <v>0</v>
      </c>
      <c r="LU64" s="6">
        <f>SUMIFS('Time based aggregation (hide)'!$J:$J,'Time based aggregation (hide)'!$E:$E,14,'Time based aggregation (hide)'!$F:$F,3,'Time based aggregation (hide)'!$A:$A,ROW(A22))</f>
        <v>0</v>
      </c>
      <c r="LV64" s="6">
        <f>SUMIFS('Time based aggregation (hide)'!$J:$J,'Time based aggregation (hide)'!$E:$E,15,'Time based aggregation (hide)'!$F:$F,1,'Time based aggregation (hide)'!$A:$A,ROW(A22))</f>
        <v>0</v>
      </c>
      <c r="LW64" s="6">
        <f>SUMIFS('Time based aggregation (hide)'!$J:$J,'Time based aggregation (hide)'!$E:$E,15,'Time based aggregation (hide)'!$F:$F,2,'Time based aggregation (hide)'!$A:$A,ROW(A22))</f>
        <v>0</v>
      </c>
      <c r="LX64" s="6">
        <f>SUMIFS('Time based aggregation (hide)'!$J:$J,'Time based aggregation (hide)'!$E:$E,15,'Time based aggregation (hide)'!$F:$F,3,'Time based aggregation (hide)'!$A:$A,ROW(A22))</f>
        <v>0</v>
      </c>
      <c r="LY64" s="6">
        <f>SUMIFS('Time based aggregation (hide)'!$J:$J,'Time based aggregation (hide)'!$E:$E,16,'Time based aggregation (hide)'!$F:$F,1,'Time based aggregation (hide)'!$A:$A,ROW(A22))</f>
        <v>0</v>
      </c>
      <c r="LZ64" s="6">
        <f>SUMIFS('Time based aggregation (hide)'!$J:$J,'Time based aggregation (hide)'!$E:$E,16,'Time based aggregation (hide)'!$F:$F,2,'Time based aggregation (hide)'!$A:$A,ROW(A22))</f>
        <v>0</v>
      </c>
      <c r="MA64" s="6">
        <f>SUMIFS('Time based aggregation (hide)'!$J:$J,'Time based aggregation (hide)'!$E:$E,16,'Time based aggregation (hide)'!$F:$F,3,'Time based aggregation (hide)'!$A:$A,ROW(A22))</f>
        <v>0</v>
      </c>
      <c r="MB64" s="6">
        <f>SUMIFS('Time based aggregation (hide)'!$J:$J,'Time based aggregation (hide)'!$E:$E,17,'Time based aggregation (hide)'!$F:$F,1,'Time based aggregation (hide)'!$A:$A,ROW(A22))</f>
        <v>0</v>
      </c>
      <c r="MC64" s="6">
        <f>SUMIFS('Time based aggregation (hide)'!$J:$J,'Time based aggregation (hide)'!$E:$E,17,'Time based aggregation (hide)'!$F:$F,2,'Time based aggregation (hide)'!$A:$A,ROW(A22))</f>
        <v>0</v>
      </c>
      <c r="MD64" s="6">
        <f>SUMIFS('Time based aggregation (hide)'!$J:$J,'Time based aggregation (hide)'!$E:$E,17,'Time based aggregation (hide)'!$F:$F,3,'Time based aggregation (hide)'!$A:$A,ROW(A22))</f>
        <v>0</v>
      </c>
      <c r="ME64" s="6">
        <f>SUMIFS('Time based aggregation (hide)'!$J:$J,'Time based aggregation (hide)'!$E:$E,18,'Time based aggregation (hide)'!$F:$F,1,'Time based aggregation (hide)'!$A:$A,ROW(A22))</f>
        <v>0</v>
      </c>
      <c r="MF64" s="6">
        <f>SUMIFS('Time based aggregation (hide)'!$J:$J,'Time based aggregation (hide)'!$E:$E,18,'Time based aggregation (hide)'!$F:$F,2,'Time based aggregation (hide)'!$A:$A,ROW(A22))</f>
        <v>0</v>
      </c>
      <c r="MG64" s="6">
        <f>SUMIFS('Time based aggregation (hide)'!$J:$J,'Time based aggregation (hide)'!$E:$E,18,'Time based aggregation (hide)'!$F:$F,3,'Time based aggregation (hide)'!$A:$A,ROW(A22))</f>
        <v>0</v>
      </c>
      <c r="MH64" s="6">
        <f>SUMIFS('Time based aggregation (hide)'!$J:$J,'Time based aggregation (hide)'!$E:$E,19,'Time based aggregation (hide)'!$F:$F,1,'Time based aggregation (hide)'!$A:$A,ROW(A22))</f>
        <v>0</v>
      </c>
      <c r="MI64" s="6">
        <f>SUMIFS('Time based aggregation (hide)'!$J:$J,'Time based aggregation (hide)'!$E:$E,19,'Time based aggregation (hide)'!$F:$F,2,'Time based aggregation (hide)'!$A:$A,ROW(A22))</f>
        <v>0</v>
      </c>
      <c r="MJ64" s="6">
        <f>SUMIFS('Time based aggregation (hide)'!$J:$J,'Time based aggregation (hide)'!$E:$E,19,'Time based aggregation (hide)'!$F:$F,3,'Time based aggregation (hide)'!$A:$A,ROW(A22))</f>
        <v>0</v>
      </c>
      <c r="MK64" s="6">
        <f>SUMIFS('Time based aggregation (hide)'!$J:$J,'Time based aggregation (hide)'!$E:$E,20,'Time based aggregation (hide)'!$F:$F,1,'Time based aggregation (hide)'!$A:$A,ROW(A22))</f>
        <v>0</v>
      </c>
      <c r="ML64" s="6">
        <f>SUMIFS('Time based aggregation (hide)'!$J:$J,'Time based aggregation (hide)'!$E:$E,20,'Time based aggregation (hide)'!$F:$F,2,'Time based aggregation (hide)'!$A:$A,ROW(A22))</f>
        <v>0</v>
      </c>
      <c r="MM64" s="6">
        <f>SUMIFS('Time based aggregation (hide)'!$J:$J,'Time based aggregation (hide)'!$E:$E,20,'Time based aggregation (hide)'!$F:$F,3,'Time based aggregation (hide)'!$A:$A,ROW(A22))</f>
        <v>0</v>
      </c>
      <c r="MN64" s="7">
        <f t="shared" ca="1" si="41"/>
        <v>0</v>
      </c>
      <c r="MO64" s="7">
        <f t="shared" ca="1" si="41"/>
        <v>0</v>
      </c>
      <c r="MP64" s="7">
        <f t="shared" ca="1" si="41"/>
        <v>0</v>
      </c>
      <c r="MQ64" s="7">
        <f t="shared" ca="1" si="41"/>
        <v>0</v>
      </c>
      <c r="MR64" s="7">
        <f t="shared" ca="1" si="41"/>
        <v>0</v>
      </c>
    </row>
    <row r="65" spans="1:356" x14ac:dyDescent="0.25">
      <c r="A65">
        <f>1</f>
        <v>1</v>
      </c>
      <c r="B65" s="85">
        <f t="shared" si="37"/>
        <v>43853</v>
      </c>
      <c r="C65" s="85">
        <f t="shared" si="25"/>
        <v>43850</v>
      </c>
      <c r="D65">
        <f t="shared" ca="1" si="26"/>
        <v>1</v>
      </c>
      <c r="E65" s="85">
        <f t="shared" si="27"/>
        <v>43831</v>
      </c>
      <c r="F65">
        <f t="shared" si="33"/>
        <v>4</v>
      </c>
      <c r="H65">
        <f t="shared" si="34"/>
        <v>23</v>
      </c>
      <c r="I65" s="85">
        <f t="shared" si="38"/>
        <v>43983</v>
      </c>
      <c r="J65">
        <f t="shared" ca="1" si="28"/>
        <v>5</v>
      </c>
      <c r="K65">
        <f t="shared" ca="1" si="29"/>
        <v>1.968503937007874E-2</v>
      </c>
      <c r="L65" s="114"/>
      <c r="M65" s="85"/>
      <c r="N65" s="85">
        <f t="shared" si="35"/>
        <v>43983</v>
      </c>
      <c r="O65" s="122">
        <f t="shared" ca="1" si="42"/>
        <v>0</v>
      </c>
      <c r="P65" s="122">
        <f t="shared" ca="1" si="42"/>
        <v>0</v>
      </c>
      <c r="Q65" s="122">
        <f t="shared" ca="1" si="42"/>
        <v>0</v>
      </c>
      <c r="R65" s="122">
        <f t="shared" ca="1" si="42"/>
        <v>0</v>
      </c>
      <c r="S65" s="122">
        <f t="shared" ca="1" si="42"/>
        <v>0</v>
      </c>
      <c r="T65" s="122">
        <f t="shared" ca="1" si="42"/>
        <v>1</v>
      </c>
      <c r="U65" s="122">
        <f t="shared" ca="1" si="42"/>
        <v>0</v>
      </c>
      <c r="V65" s="122">
        <f t="shared" ca="1" si="42"/>
        <v>0</v>
      </c>
      <c r="W65" s="122">
        <f t="shared" ca="1" si="42"/>
        <v>0</v>
      </c>
      <c r="X65" s="122">
        <f t="shared" ca="1" si="42"/>
        <v>0</v>
      </c>
      <c r="Y65" s="122">
        <f t="shared" ca="1" si="42"/>
        <v>0</v>
      </c>
      <c r="Z65" s="122">
        <f t="shared" ca="1" si="42"/>
        <v>0</v>
      </c>
      <c r="AA65" s="122"/>
      <c r="AB65" s="140">
        <f>INDEX('File 1'!Weekly_Adjusted,23,1)</f>
        <v>388.17143954725253</v>
      </c>
      <c r="AC65" s="140">
        <f>INDEX('File 1'!Weekly_Adjusted,23,2)</f>
        <v>0</v>
      </c>
      <c r="AD65" s="140">
        <f>INDEX('File 1'!Weekly_Adjusted,23,3)</f>
        <v>0</v>
      </c>
      <c r="AE65" s="141">
        <f>INDEX('File 2'!Weekly_Adjusted,23,1)</f>
        <v>0</v>
      </c>
      <c r="AF65" s="141">
        <f>INDEX('File 2'!Weekly_Adjusted,23,2)</f>
        <v>0</v>
      </c>
      <c r="AG65" s="141">
        <f>INDEX('File 2'!Weekly_Adjusted,23,3)</f>
        <v>0</v>
      </c>
      <c r="AH65" s="140">
        <f>INDEX('File 3'!Weekly_Adjusted,23,1)</f>
        <v>0</v>
      </c>
      <c r="AI65" s="140">
        <f>INDEX('File 3'!Weekly_Adjusted,23,2)</f>
        <v>0</v>
      </c>
      <c r="AJ65" s="140">
        <f>INDEX('File 3'!Weekly_Adjusted,23,3)</f>
        <v>0</v>
      </c>
      <c r="AK65" s="141">
        <f>INDEX('File 4'!Weekly_Adjusted,23,1)</f>
        <v>0</v>
      </c>
      <c r="AL65" s="141">
        <f>INDEX('File 4'!Weekly_Adjusted,23,2)</f>
        <v>0</v>
      </c>
      <c r="AM65" s="141">
        <f>INDEX('File 4'!Weekly_Adjusted,23,3)</f>
        <v>0</v>
      </c>
      <c r="AN65" s="140">
        <f>INDEX('File 5'!Weekly_Adjusted,23,1)</f>
        <v>0</v>
      </c>
      <c r="AO65" s="140">
        <f>INDEX('File 5'!Weekly_Adjusted,23,2)</f>
        <v>0</v>
      </c>
      <c r="AP65" s="140">
        <f>INDEX('File 5'!Weekly_Adjusted,23,3)</f>
        <v>0</v>
      </c>
      <c r="AQ65" s="141">
        <f>INDEX('File 6'!Weekly_Adjusted,23,1)</f>
        <v>0</v>
      </c>
      <c r="AR65" s="141">
        <f>INDEX('File 6'!Weekly_Adjusted,23,2)</f>
        <v>0</v>
      </c>
      <c r="AS65" s="141">
        <f>INDEX('File 6'!Weekly_Adjusted,23,3)</f>
        <v>0</v>
      </c>
      <c r="AT65" s="140">
        <f>INDEX('File 7'!Weekly_Adjusted,23,1)</f>
        <v>0</v>
      </c>
      <c r="AU65" s="140">
        <f>INDEX('File 7'!Weekly_Adjusted,23,2)</f>
        <v>0</v>
      </c>
      <c r="AV65" s="140">
        <f>INDEX('File 7'!Weekly_Adjusted,23,3)</f>
        <v>0</v>
      </c>
      <c r="AW65" s="141">
        <f>INDEX('File 8'!Weekly_Adjusted,23,1)</f>
        <v>0</v>
      </c>
      <c r="AX65" s="141">
        <f>INDEX('File 8'!Weekly_Adjusted,23,2)</f>
        <v>0</v>
      </c>
      <c r="AY65" s="141">
        <f>INDEX('File 8'!Weekly_Adjusted,23,3)</f>
        <v>0</v>
      </c>
      <c r="AZ65" s="140">
        <f>INDEX('File 9'!Weekly_Adjusted,23,1)</f>
        <v>0</v>
      </c>
      <c r="BA65" s="140">
        <f>INDEX('File 9'!Weekly_Adjusted,23,2)</f>
        <v>0</v>
      </c>
      <c r="BB65" s="140">
        <f>INDEX('File 9'!Weekly_Adjusted,23,3)</f>
        <v>0</v>
      </c>
      <c r="BC65" s="141">
        <f>INDEX('File 10'!Weekly_Adjusted,23,1)</f>
        <v>0</v>
      </c>
      <c r="BD65" s="141">
        <f>INDEX('File 10'!Weekly_Adjusted,23,2)</f>
        <v>0</v>
      </c>
      <c r="BE65" s="141">
        <f>INDEX('File 10'!Weekly_Adjusted,23,3)</f>
        <v>0</v>
      </c>
      <c r="BF65" s="140">
        <f>INDEX('File 11'!Weekly_Adjusted,23,1)</f>
        <v>0</v>
      </c>
      <c r="BG65" s="140">
        <f>INDEX('File 11'!Weekly_Adjusted,23,2)</f>
        <v>0</v>
      </c>
      <c r="BH65" s="140">
        <f>INDEX('File 11'!Weekly_Adjusted,23,3)</f>
        <v>0</v>
      </c>
      <c r="BI65" s="141">
        <f>INDEX('File 12'!Weekly_Adjusted,23,1)</f>
        <v>0</v>
      </c>
      <c r="BJ65" s="141">
        <f>INDEX('File 12'!Weekly_Adjusted,23,2)</f>
        <v>0</v>
      </c>
      <c r="BK65" s="141">
        <f>INDEX('File 12'!Weekly_Adjusted,23,3)</f>
        <v>0</v>
      </c>
      <c r="BL65" s="140">
        <f>INDEX('File 13'!Weekly_Adjusted,23,1)</f>
        <v>0</v>
      </c>
      <c r="BM65" s="140">
        <f>INDEX('File 13'!Weekly_Adjusted,23,2)</f>
        <v>0</v>
      </c>
      <c r="BN65" s="140">
        <f>INDEX('File 13'!Weekly_Adjusted,23,3)</f>
        <v>0</v>
      </c>
      <c r="BO65" s="141">
        <f>INDEX('File 14'!Weekly_Adjusted,23,1)</f>
        <v>0</v>
      </c>
      <c r="BP65" s="141">
        <f>INDEX('File 14'!Weekly_Adjusted,23,2)</f>
        <v>0</v>
      </c>
      <c r="BQ65" s="141">
        <f>INDEX('File 14'!Weekly_Adjusted,23,3)</f>
        <v>0</v>
      </c>
      <c r="BR65" s="140">
        <f>INDEX('File 15'!Weekly_Adjusted,23,1)</f>
        <v>0</v>
      </c>
      <c r="BS65" s="140">
        <f>INDEX('File 15'!Weekly_Adjusted,23,2)</f>
        <v>0</v>
      </c>
      <c r="BT65" s="140">
        <f>INDEX('File 15'!Weekly_Adjusted,23,3)</f>
        <v>0</v>
      </c>
      <c r="BU65" s="141">
        <f>INDEX('File 16'!Weekly_Adjusted,23,1)</f>
        <v>0</v>
      </c>
      <c r="BV65" s="141">
        <f>INDEX('File 16'!Weekly_Adjusted,23,2)</f>
        <v>0</v>
      </c>
      <c r="BW65" s="141">
        <f>INDEX('File 16'!Weekly_Adjusted,23,3)</f>
        <v>0</v>
      </c>
      <c r="BX65" s="140">
        <f>INDEX('File 17'!Weekly_Adjusted,23,1)</f>
        <v>0</v>
      </c>
      <c r="BY65" s="140">
        <f>INDEX('File 17'!Weekly_Adjusted,23,2)</f>
        <v>0</v>
      </c>
      <c r="BZ65" s="140">
        <f>INDEX('File 17'!Weekly_Adjusted,23,3)</f>
        <v>0</v>
      </c>
      <c r="CA65" s="141">
        <f>INDEX('File 18'!Weekly_Adjusted,23,1)</f>
        <v>0</v>
      </c>
      <c r="CB65" s="141">
        <f>INDEX('File 18'!Weekly_Adjusted,23,2)</f>
        <v>0</v>
      </c>
      <c r="CC65" s="141">
        <f>INDEX('File 18'!Weekly_Adjusted,23,3)</f>
        <v>0</v>
      </c>
      <c r="CD65" s="140">
        <f>INDEX('File 19'!Weekly_Adjusted,23,1)</f>
        <v>0</v>
      </c>
      <c r="CE65" s="140">
        <f>INDEX('File 19'!Weekly_Adjusted,23,2)</f>
        <v>0</v>
      </c>
      <c r="CF65" s="140">
        <f>INDEX('File 19'!Weekly_Adjusted,23,3)</f>
        <v>0</v>
      </c>
      <c r="CG65" s="141">
        <f>INDEX('File 20'!Weekly_Adjusted,23,1)</f>
        <v>0</v>
      </c>
      <c r="CH65" s="141">
        <f>INDEX('File 20'!Weekly_Adjusted,23,2)</f>
        <v>0</v>
      </c>
      <c r="CI65" s="141">
        <f>INDEX('File 20'!Weekly_Adjusted,23,3)</f>
        <v>0</v>
      </c>
      <c r="CJ65" s="6">
        <f ca="1">SUMIFS(INDEX(Demand_Activity_Weekly,ROW(A23),0),Demand_Activity_Weekly_Header,CJ$42)</f>
        <v>388.17143954725253</v>
      </c>
      <c r="CK65" s="6">
        <f ca="1">SUMIFS(INDEX(Demand_Activity_Weekly,ROW(B23),0),Demand_Activity_Weekly_Header,CK$42)</f>
        <v>0</v>
      </c>
      <c r="CL65" s="6">
        <f ca="1">SUMIFS(INDEX(Demand_Activity_Weekly,ROW(C23),0),Demand_Activity_Weekly_Header,CL$42)</f>
        <v>0</v>
      </c>
      <c r="CM65" s="6">
        <f ca="1">SUMIFS(INDEX(Demand_Activity_Weekly,ROW(D23),0),Demand_Activity_Weekly_Header,CM$42)</f>
        <v>0</v>
      </c>
      <c r="CN65" s="6">
        <f ca="1">SUMIFS(INDEX(Demand_Activity_Weekly,ROW(E23),0),Demand_Activity_Weekly_Header,CN$42)</f>
        <v>0</v>
      </c>
      <c r="CP65" s="142">
        <f>INDEX('File 1'!Weekly_Adjusted,23,10)</f>
        <v>24.344712210866053</v>
      </c>
      <c r="CQ65" s="142">
        <f>INDEX('File 1'!Weekly_Adjusted,23,11)</f>
        <v>0</v>
      </c>
      <c r="CR65" s="142">
        <f>INDEX('File 1'!Weekly_Adjusted,23,12)</f>
        <v>0</v>
      </c>
      <c r="CS65" s="143">
        <f>INDEX('File 2'!Weekly_Adjusted,23,10)</f>
        <v>0</v>
      </c>
      <c r="CT65" s="143">
        <f>INDEX('File 2'!Weekly_Adjusted,23,11)</f>
        <v>0</v>
      </c>
      <c r="CU65" s="143">
        <f>INDEX('File 2'!Weekly_Adjusted,23,12)</f>
        <v>0</v>
      </c>
      <c r="CV65" s="142">
        <f>INDEX('File 3'!Weekly_Adjusted,23,10)</f>
        <v>0</v>
      </c>
      <c r="CW65" s="142">
        <f>INDEX('File 3'!Weekly_Adjusted,23,11)</f>
        <v>0</v>
      </c>
      <c r="CX65" s="142">
        <f>INDEX('File 3'!Weekly_Adjusted,23,12)</f>
        <v>0</v>
      </c>
      <c r="CY65" s="143">
        <f>INDEX('File 4'!Weekly_Adjusted,23,10)</f>
        <v>0</v>
      </c>
      <c r="CZ65" s="143">
        <f>INDEX('File 4'!Weekly_Adjusted,23,11)</f>
        <v>0</v>
      </c>
      <c r="DA65" s="143">
        <f>INDEX('File 4'!Weekly_Adjusted,23,12)</f>
        <v>0</v>
      </c>
      <c r="DB65" s="142">
        <f>INDEX('File 5'!Weekly_Adjusted,23,10)</f>
        <v>0</v>
      </c>
      <c r="DC65" s="142">
        <f>INDEX('File 5'!Weekly_Adjusted,23,11)</f>
        <v>0</v>
      </c>
      <c r="DD65" s="142">
        <f>INDEX('File 5'!Weekly_Adjusted,23,12)</f>
        <v>0</v>
      </c>
      <c r="DE65" s="143">
        <f>INDEX('File 6'!Weekly_Adjusted,23,10)</f>
        <v>0</v>
      </c>
      <c r="DF65" s="143">
        <f>INDEX('File 6'!Weekly_Adjusted,23,11)</f>
        <v>0</v>
      </c>
      <c r="DG65" s="143">
        <f>INDEX('File 6'!Weekly_Adjusted,23,12)</f>
        <v>0</v>
      </c>
      <c r="DH65" s="142">
        <f>INDEX('File 7'!Weekly_Adjusted,23,10)</f>
        <v>0</v>
      </c>
      <c r="DI65" s="142">
        <f>INDEX('File 7'!Weekly_Adjusted,23,11)</f>
        <v>0</v>
      </c>
      <c r="DJ65" s="142">
        <f>INDEX('File 7'!Weekly_Adjusted,23,12)</f>
        <v>0</v>
      </c>
      <c r="DK65" s="143">
        <f>INDEX('File 8'!Weekly_Adjusted,23,10)</f>
        <v>0</v>
      </c>
      <c r="DL65" s="143">
        <f>INDEX('File 8'!Weekly_Adjusted,23,11)</f>
        <v>0</v>
      </c>
      <c r="DM65" s="143">
        <f>INDEX('File 8'!Weekly_Adjusted,23,12)</f>
        <v>0</v>
      </c>
      <c r="DN65" s="142">
        <f>INDEX('File 9'!Weekly_Adjusted,23,10)</f>
        <v>0</v>
      </c>
      <c r="DO65" s="142">
        <f>INDEX('File 9'!Weekly_Adjusted,23,11)</f>
        <v>0</v>
      </c>
      <c r="DP65" s="142">
        <f>INDEX('File 9'!Weekly_Adjusted,23,12)</f>
        <v>0</v>
      </c>
      <c r="DQ65" s="143">
        <f>INDEX('File 10'!Weekly_Adjusted,23,10)</f>
        <v>0</v>
      </c>
      <c r="DR65" s="143">
        <f>INDEX('File 10'!Weekly_Adjusted,23,11)</f>
        <v>0</v>
      </c>
      <c r="DS65" s="143">
        <f>INDEX('File 10'!Weekly_Adjusted,23,12)</f>
        <v>0</v>
      </c>
      <c r="DT65" s="142">
        <f>INDEX('File 11'!Weekly_Adjusted,23,10)</f>
        <v>0</v>
      </c>
      <c r="DU65" s="142">
        <f>INDEX('File 11'!Weekly_Adjusted,23,11)</f>
        <v>0</v>
      </c>
      <c r="DV65" s="142">
        <f>INDEX('File 11'!Weekly_Adjusted,23,12)</f>
        <v>0</v>
      </c>
      <c r="DW65" s="143">
        <f>INDEX('File 12'!Weekly_Adjusted,23,10)</f>
        <v>0</v>
      </c>
      <c r="DX65" s="143">
        <f>INDEX('File 12'!Weekly_Adjusted,23,11)</f>
        <v>0</v>
      </c>
      <c r="DY65" s="143">
        <f>INDEX('File 12'!Weekly_Adjusted,23,12)</f>
        <v>0</v>
      </c>
      <c r="DZ65" s="142">
        <f>INDEX('File 13'!Weekly_Adjusted,23,10)</f>
        <v>0</v>
      </c>
      <c r="EA65" s="142">
        <f>INDEX('File 13'!Weekly_Adjusted,23,11)</f>
        <v>0</v>
      </c>
      <c r="EB65" s="142">
        <f>INDEX('File 13'!Weekly_Adjusted,23,12)</f>
        <v>0</v>
      </c>
      <c r="EC65" s="143">
        <f>INDEX('File 14'!Weekly_Adjusted,23,10)</f>
        <v>0</v>
      </c>
      <c r="ED65" s="143">
        <f>INDEX('File 14'!Weekly_Adjusted,23,11)</f>
        <v>0</v>
      </c>
      <c r="EE65" s="143">
        <f>INDEX('File 14'!Weekly_Adjusted,23,12)</f>
        <v>0</v>
      </c>
      <c r="EF65" s="142">
        <f>INDEX('File 15'!Weekly_Adjusted,23,10)</f>
        <v>0</v>
      </c>
      <c r="EG65" s="142">
        <f>INDEX('File 15'!Weekly_Adjusted,23,11)</f>
        <v>0</v>
      </c>
      <c r="EH65" s="142">
        <f>INDEX('File 15'!Weekly_Adjusted,23,12)</f>
        <v>0</v>
      </c>
      <c r="EI65" s="143">
        <f>INDEX('File 16'!Weekly_Adjusted,23,10)</f>
        <v>0</v>
      </c>
      <c r="EJ65" s="143">
        <f>INDEX('File 16'!Weekly_Adjusted,23,11)</f>
        <v>0</v>
      </c>
      <c r="EK65" s="143">
        <f>INDEX('File 16'!Weekly_Adjusted,23,12)</f>
        <v>0</v>
      </c>
      <c r="EL65" s="142">
        <f>INDEX('File 17'!Weekly_Adjusted,23,10)</f>
        <v>0</v>
      </c>
      <c r="EM65" s="142">
        <f>INDEX('File 17'!Weekly_Adjusted,23,11)</f>
        <v>0</v>
      </c>
      <c r="EN65" s="142">
        <f>INDEX('File 17'!Weekly_Adjusted,23,12)</f>
        <v>0</v>
      </c>
      <c r="EO65" s="143">
        <f>INDEX('File 18'!Weekly_Adjusted,23,10)</f>
        <v>0</v>
      </c>
      <c r="EP65" s="143">
        <f>INDEX('File 18'!Weekly_Adjusted,23,11)</f>
        <v>0</v>
      </c>
      <c r="EQ65" s="143">
        <f>INDEX('File 18'!Weekly_Adjusted,23,12)</f>
        <v>0</v>
      </c>
      <c r="ER65" s="142">
        <f>INDEX('File 19'!Weekly_Adjusted,23,10)</f>
        <v>0</v>
      </c>
      <c r="ES65" s="142">
        <f>INDEX('File 19'!Weekly_Adjusted,23,11)</f>
        <v>0</v>
      </c>
      <c r="ET65" s="142">
        <f>INDEX('File 19'!Weekly_Adjusted,23,12)</f>
        <v>0</v>
      </c>
      <c r="EU65" s="143">
        <f>INDEX('File 20'!Weekly_Adjusted,23,10)</f>
        <v>0</v>
      </c>
      <c r="EV65" s="143">
        <f>INDEX('File 20'!Weekly_Adjusted,23,11)</f>
        <v>0</v>
      </c>
      <c r="EW65" s="143">
        <f>INDEX('File 20'!Weekly_Adjusted,23,12)</f>
        <v>0</v>
      </c>
      <c r="EX65" s="6">
        <f ca="1">SUMIFS(INDEX(Capacity_Activity_Weekly,ROW(A23),0),Demand_Activity_Weekly_Header,CJ$42)</f>
        <v>24.344712210866053</v>
      </c>
      <c r="EY65" s="6">
        <f ca="1">SUMIFS(INDEX(Capacity_Activity_Weekly,ROW(B23),0),Demand_Activity_Weekly_Header,CK$42)</f>
        <v>0</v>
      </c>
      <c r="EZ65" s="6">
        <f ca="1">SUMIFS(INDEX(Capacity_Activity_Weekly,ROW(C23),0),Demand_Activity_Weekly_Header,CL$42)</f>
        <v>0</v>
      </c>
      <c r="FA65" s="6">
        <f ca="1">SUMIFS(INDEX(Capacity_Activity_Weekly,ROW(D23),0),Demand_Activity_Weekly_Header,CM$42)</f>
        <v>0</v>
      </c>
      <c r="FB65" s="6">
        <f ca="1">SUMIFS(INDEX(Capacity_Activity_Weekly,ROW(E23),0),Demand_Activity_Weekly_Header,CN$42)</f>
        <v>0</v>
      </c>
      <c r="FD65" s="7">
        <f>'File 1'!$Q$54*'Time based aggregation (hide)'!$Q27</f>
        <v>0</v>
      </c>
      <c r="FE65" s="7">
        <f>'File 1'!$R$54*'Time based aggregation (hide)'!$R27</f>
        <v>0</v>
      </c>
      <c r="FF65" s="7">
        <f>'File 1'!$S$54*'Time based aggregation (hide)'!$S27</f>
        <v>0</v>
      </c>
      <c r="FG65" s="7">
        <f>'File 2'!$Q$54*'Time based aggregation (hide)'!$T27</f>
        <v>0</v>
      </c>
      <c r="FH65" s="7">
        <f>'File 2'!$R$54*'Time based aggregation (hide)'!$U27</f>
        <v>0</v>
      </c>
      <c r="FI65" s="7">
        <f>'File 2'!$S$54*'Time based aggregation (hide)'!$V27</f>
        <v>0</v>
      </c>
      <c r="FJ65" s="7">
        <f>'File 3'!$Q$54*'Time based aggregation (hide)'!$W27</f>
        <v>0</v>
      </c>
      <c r="FK65" s="7">
        <f>'File 3'!$R$54*'Time based aggregation (hide)'!$X27</f>
        <v>0</v>
      </c>
      <c r="FL65" s="7">
        <f>'File 3'!$S$54*'Time based aggregation (hide)'!$Y27</f>
        <v>0</v>
      </c>
      <c r="FM65" s="7">
        <f>'File 4'!$Q$54*'Time based aggregation (hide)'!$Z27</f>
        <v>0</v>
      </c>
      <c r="FN65" s="7">
        <f>'File 4'!$R$54*'Time based aggregation (hide)'!$AA27</f>
        <v>0</v>
      </c>
      <c r="FO65" s="7">
        <f>'File 4'!$S$54*'Time based aggregation (hide)'!$AB27</f>
        <v>0</v>
      </c>
      <c r="FP65" s="7">
        <f>'File 5'!$Q$54*'Time based aggregation (hide)'!$AC27</f>
        <v>0</v>
      </c>
      <c r="FQ65" s="7">
        <f>'File 5'!$R$54*'Time based aggregation (hide)'!$AD27</f>
        <v>0</v>
      </c>
      <c r="FR65" s="7">
        <f>'File 5'!$S$54*'Time based aggregation (hide)'!$AE27</f>
        <v>0</v>
      </c>
      <c r="FS65" s="7">
        <f>'File 6'!$Q$54*'Time based aggregation (hide)'!$AF27</f>
        <v>0</v>
      </c>
      <c r="FT65" s="7">
        <f>'File 6'!$R$54*'Time based aggregation (hide)'!$AG27</f>
        <v>0</v>
      </c>
      <c r="FU65" s="7">
        <f>'File 6'!$S$54*'Time based aggregation (hide)'!$AH27</f>
        <v>0</v>
      </c>
      <c r="FV65" s="7">
        <f>'File 7'!$Q$54*'Time based aggregation (hide)'!$AI27</f>
        <v>0</v>
      </c>
      <c r="FW65" s="7">
        <f>'File 7'!$R$54*'Time based aggregation (hide)'!$AJ27</f>
        <v>0</v>
      </c>
      <c r="FX65" s="7">
        <f>'File 7'!$S$54*'Time based aggregation (hide)'!$AK27</f>
        <v>0</v>
      </c>
      <c r="FY65" s="7">
        <f>'File 8'!$Q$54*'Time based aggregation (hide)'!$AL27</f>
        <v>0</v>
      </c>
      <c r="FZ65" s="7">
        <f>'File 8'!$R$54*'Time based aggregation (hide)'!$AM27</f>
        <v>0</v>
      </c>
      <c r="GA65" s="7">
        <f>'File 8'!$S$54*'Time based aggregation (hide)'!$AN27</f>
        <v>0</v>
      </c>
      <c r="GB65" s="7">
        <f>'File 9'!$Q$54*'Time based aggregation (hide)'!$AO27</f>
        <v>0</v>
      </c>
      <c r="GC65" s="7">
        <f>'File 9'!$R$54*'Time based aggregation (hide)'!$AP27</f>
        <v>0</v>
      </c>
      <c r="GD65" s="7">
        <f>'File 9'!$S$54*'Time based aggregation (hide)'!$AQ27</f>
        <v>0</v>
      </c>
      <c r="GE65" s="7">
        <f>'File 10'!$Q$54*'Time based aggregation (hide)'!$AR27</f>
        <v>0</v>
      </c>
      <c r="GF65" s="7">
        <f>'File 10'!$R$54*'Time based aggregation (hide)'!$AS27</f>
        <v>0</v>
      </c>
      <c r="GG65" s="7">
        <f>'File 10'!$S$54*'Time based aggregation (hide)'!$AT27</f>
        <v>0</v>
      </c>
      <c r="GH65" s="7">
        <f>'File 11'!$Q$54*'Time based aggregation (hide)'!$AU27</f>
        <v>0</v>
      </c>
      <c r="GI65" s="7">
        <f>'File 11'!$R$54*'Time based aggregation (hide)'!$AV27</f>
        <v>0</v>
      </c>
      <c r="GJ65" s="7">
        <f>'File 11'!$S$54*'Time based aggregation (hide)'!$AW27</f>
        <v>0</v>
      </c>
      <c r="GK65" s="7">
        <f>'File 12'!$Q$54*'Time based aggregation (hide)'!$AX27</f>
        <v>0</v>
      </c>
      <c r="GL65" s="7">
        <f>'File 12'!$R$54*'Time based aggregation (hide)'!$AY27</f>
        <v>0</v>
      </c>
      <c r="GM65" s="7">
        <f>'File 12'!$S$54*'Time based aggregation (hide)'!$AZ27</f>
        <v>0</v>
      </c>
      <c r="GN65" s="7">
        <f>'File 13'!$Q$54*'Time based aggregation (hide)'!$BA27</f>
        <v>0</v>
      </c>
      <c r="GO65" s="7">
        <f>'File 13'!$R$54*'Time based aggregation (hide)'!$BB27</f>
        <v>0</v>
      </c>
      <c r="GP65" s="7">
        <f>'File 13'!$S$54*'Time based aggregation (hide)'!$BC27</f>
        <v>0</v>
      </c>
      <c r="GQ65" s="7">
        <f>'File 14'!$Q$54*'Time based aggregation (hide)'!$BD27</f>
        <v>0</v>
      </c>
      <c r="GR65" s="7">
        <f>'File 14'!$R$54*'Time based aggregation (hide)'!$BE27</f>
        <v>0</v>
      </c>
      <c r="GS65" s="7">
        <f>'File 14'!$S$54*'Time based aggregation (hide)'!$BF27</f>
        <v>0</v>
      </c>
      <c r="GT65" s="7">
        <f>'File 15'!$Q$54*'Time based aggregation (hide)'!$BG27</f>
        <v>0</v>
      </c>
      <c r="GU65" s="7">
        <f>'File 15'!$R$54*'Time based aggregation (hide)'!$BH27</f>
        <v>0</v>
      </c>
      <c r="GV65" s="7">
        <f>'File 15'!$S$54*'Time based aggregation (hide)'!$BI27</f>
        <v>0</v>
      </c>
      <c r="GW65" s="7">
        <f>'File 16'!$Q$54*'Time based aggregation (hide)'!$BJ27</f>
        <v>0</v>
      </c>
      <c r="GX65" s="7">
        <f>'File 16'!$R$54*'Time based aggregation (hide)'!$BK27</f>
        <v>0</v>
      </c>
      <c r="GY65" s="7">
        <f>'File 16'!$S$54*'Time based aggregation (hide)'!$BL27</f>
        <v>0</v>
      </c>
      <c r="GZ65" s="7">
        <f>'File 17'!$Q$54*'Time based aggregation (hide)'!$BM27</f>
        <v>0</v>
      </c>
      <c r="HA65" s="7">
        <f>'File 17'!$R$54*'Time based aggregation (hide)'!$BN27</f>
        <v>0</v>
      </c>
      <c r="HB65" s="7">
        <f>'File 17'!$S$54*'Time based aggregation (hide)'!$BO27</f>
        <v>0</v>
      </c>
      <c r="HC65" s="7">
        <f>'File 18'!$Q$54*'Time based aggregation (hide)'!$BP27</f>
        <v>0</v>
      </c>
      <c r="HD65" s="7">
        <f>'File 18'!$R$54*'Time based aggregation (hide)'!$BQ27</f>
        <v>0</v>
      </c>
      <c r="HE65" s="7">
        <f>'File 18'!$S$54*'Time based aggregation (hide)'!$BR27</f>
        <v>0</v>
      </c>
      <c r="HF65" s="7">
        <f>'File 19'!$Q$54*'Time based aggregation (hide)'!$BS27</f>
        <v>0</v>
      </c>
      <c r="HG65" s="7">
        <f>'File 19'!$R$54*'Time based aggregation (hide)'!$BT27</f>
        <v>0</v>
      </c>
      <c r="HH65" s="7">
        <f>'File 19'!$S$54*'Time based aggregation (hide)'!$BU27</f>
        <v>0</v>
      </c>
      <c r="HI65" s="7">
        <f>'File 20'!$Q$54*'Time based aggregation (hide)'!$BV27</f>
        <v>0</v>
      </c>
      <c r="HJ65" s="7">
        <f>'File 20'!$R$54*'Time based aggregation (hide)'!$BW27</f>
        <v>0</v>
      </c>
      <c r="HK65" s="7">
        <f>'File 20'!$S$54*'Time based aggregation (hide)'!$BX27</f>
        <v>0</v>
      </c>
      <c r="HL65" s="7">
        <f t="shared" ca="1" si="43"/>
        <v>0</v>
      </c>
      <c r="HM65" s="7">
        <f t="shared" ca="1" si="43"/>
        <v>0</v>
      </c>
      <c r="HN65" s="7">
        <f t="shared" ca="1" si="43"/>
        <v>0</v>
      </c>
      <c r="HO65" s="7">
        <f t="shared" ca="1" si="43"/>
        <v>0</v>
      </c>
      <c r="HP65" s="7">
        <f t="shared" ca="1" si="43"/>
        <v>0</v>
      </c>
      <c r="HR65" s="142">
        <f>INDEX('File 1'!Weekly_Adjusted,23,16)</f>
        <v>20.933351264120493</v>
      </c>
      <c r="HS65" s="142">
        <f>INDEX('File 1'!Weekly_Adjusted,23,17)</f>
        <v>0</v>
      </c>
      <c r="HT65" s="142">
        <f>INDEX('File 1'!Weekly_Adjusted,23,18)</f>
        <v>0</v>
      </c>
      <c r="HU65" s="143">
        <f>INDEX('File 2'!Weekly_Adjusted,23,16)</f>
        <v>0</v>
      </c>
      <c r="HV65" s="143">
        <f>INDEX('File 2'!Weekly_Adjusted,23,17)</f>
        <v>0</v>
      </c>
      <c r="HW65" s="143">
        <f>INDEX('File 2'!Weekly_Adjusted,23,18)</f>
        <v>0</v>
      </c>
      <c r="HX65" s="142">
        <f>INDEX('File 3'!Weekly_Adjusted,23,16)</f>
        <v>0</v>
      </c>
      <c r="HY65" s="142">
        <f>INDEX('File 3'!Weekly_Adjusted,23,17)</f>
        <v>0</v>
      </c>
      <c r="HZ65" s="142">
        <f>INDEX('File 3'!Weekly_Adjusted,23,18)</f>
        <v>0</v>
      </c>
      <c r="IA65" s="143">
        <f>INDEX('File 4'!Weekly_Adjusted,23,16)</f>
        <v>0</v>
      </c>
      <c r="IB65" s="143">
        <f>INDEX('File 4'!Weekly_Adjusted,23,17)</f>
        <v>0</v>
      </c>
      <c r="IC65" s="143">
        <f>INDEX('File 4'!Weekly_Adjusted,23,18)</f>
        <v>0</v>
      </c>
      <c r="ID65" s="142">
        <f>INDEX('File 5'!Weekly_Adjusted,23,16)</f>
        <v>0</v>
      </c>
      <c r="IE65" s="142">
        <f>INDEX('File 5'!Weekly_Adjusted,23,17)</f>
        <v>0</v>
      </c>
      <c r="IF65" s="142">
        <f>INDEX('File 5'!Weekly_Adjusted,23,18)</f>
        <v>0</v>
      </c>
      <c r="IG65" s="143">
        <f>INDEX('File 6'!Weekly_Adjusted,23,16)</f>
        <v>0</v>
      </c>
      <c r="IH65" s="143">
        <f>INDEX('File 6'!Weekly_Adjusted,23,17)</f>
        <v>0</v>
      </c>
      <c r="II65" s="143">
        <f>INDEX('File 6'!Weekly_Adjusted,23,18)</f>
        <v>0</v>
      </c>
      <c r="IJ65" s="142">
        <f>INDEX('File 7'!Weekly_Adjusted,23,16)</f>
        <v>0</v>
      </c>
      <c r="IK65" s="142">
        <f>INDEX('File 7'!Weekly_Adjusted,23,17)</f>
        <v>0</v>
      </c>
      <c r="IL65" s="142">
        <f>INDEX('File 7'!Weekly_Adjusted,23,18)</f>
        <v>0</v>
      </c>
      <c r="IM65" s="143">
        <f>INDEX('File 8'!Weekly_Adjusted,23,16)</f>
        <v>0</v>
      </c>
      <c r="IN65" s="143">
        <f>INDEX('File 8'!Weekly_Adjusted,23,17)</f>
        <v>0</v>
      </c>
      <c r="IO65" s="143">
        <f>INDEX('File 8'!Weekly_Adjusted,23,18)</f>
        <v>0</v>
      </c>
      <c r="IP65" s="142">
        <f>INDEX('File 9'!Weekly_Adjusted,23,16)</f>
        <v>0</v>
      </c>
      <c r="IQ65" s="142">
        <f>INDEX('File 9'!Weekly_Adjusted,23,17)</f>
        <v>0</v>
      </c>
      <c r="IR65" s="142">
        <f>INDEX('File 9'!Weekly_Adjusted,23,18)</f>
        <v>0</v>
      </c>
      <c r="IS65" s="143">
        <f>INDEX('File 10'!Weekly_Adjusted,23,16)</f>
        <v>0</v>
      </c>
      <c r="IT65" s="143">
        <f>INDEX('File 10'!Weekly_Adjusted,23,17)</f>
        <v>0</v>
      </c>
      <c r="IU65" s="143">
        <f>INDEX('File 10'!Weekly_Adjusted,23,18)</f>
        <v>0</v>
      </c>
      <c r="IV65" s="142">
        <f>INDEX('File 11'!Weekly_Adjusted,23,16)</f>
        <v>0</v>
      </c>
      <c r="IW65" s="142">
        <f>INDEX('File 11'!Weekly_Adjusted,23,17)</f>
        <v>0</v>
      </c>
      <c r="IX65" s="142">
        <f>INDEX('File 11'!Weekly_Adjusted,23,18)</f>
        <v>0</v>
      </c>
      <c r="IY65" s="143">
        <f>INDEX('File 12'!Weekly_Adjusted,23,16)</f>
        <v>0</v>
      </c>
      <c r="IZ65" s="143">
        <f>INDEX('File 12'!Weekly_Adjusted,23,17)</f>
        <v>0</v>
      </c>
      <c r="JA65" s="143">
        <f>INDEX('File 12'!Weekly_Adjusted,23,18)</f>
        <v>0</v>
      </c>
      <c r="JB65" s="142">
        <f>INDEX('File 13'!Weekly_Adjusted,23,16)</f>
        <v>0</v>
      </c>
      <c r="JC65" s="142">
        <f>INDEX('File 13'!Weekly_Adjusted,23,17)</f>
        <v>0</v>
      </c>
      <c r="JD65" s="142">
        <f>INDEX('File 13'!Weekly_Adjusted,23,18)</f>
        <v>0</v>
      </c>
      <c r="JE65" s="143">
        <f>INDEX('File 14'!Weekly_Adjusted,23,16)</f>
        <v>0</v>
      </c>
      <c r="JF65" s="143">
        <f>INDEX('File 14'!Weekly_Adjusted,23,17)</f>
        <v>0</v>
      </c>
      <c r="JG65" s="143">
        <f>INDEX('File 14'!Weekly_Adjusted,23,18)</f>
        <v>0</v>
      </c>
      <c r="JH65" s="142">
        <f>INDEX('File 15'!Weekly_Adjusted,23,16)</f>
        <v>0</v>
      </c>
      <c r="JI65" s="142">
        <f>INDEX('File 15'!Weekly_Adjusted,23,17)</f>
        <v>0</v>
      </c>
      <c r="JJ65" s="142">
        <f>INDEX('File 15'!Weekly_Adjusted,23,18)</f>
        <v>0</v>
      </c>
      <c r="JK65" s="143">
        <f>INDEX('File 16'!Weekly_Adjusted,23,16)</f>
        <v>0</v>
      </c>
      <c r="JL65" s="143">
        <f>INDEX('File 16'!Weekly_Adjusted,23,17)</f>
        <v>0</v>
      </c>
      <c r="JM65" s="143">
        <f>INDEX('File 16'!Weekly_Adjusted,23,18)</f>
        <v>0</v>
      </c>
      <c r="JN65" s="142">
        <f>INDEX('File 17'!Weekly_Adjusted,23,16)</f>
        <v>0</v>
      </c>
      <c r="JO65" s="142">
        <f>INDEX('File 17'!Weekly_Adjusted,23,17)</f>
        <v>0</v>
      </c>
      <c r="JP65" s="142">
        <f>INDEX('File 17'!Weekly_Adjusted,23,18)</f>
        <v>0</v>
      </c>
      <c r="JQ65" s="143">
        <f>INDEX('File 18'!Weekly_Adjusted,23,16)</f>
        <v>0</v>
      </c>
      <c r="JR65" s="143">
        <f>INDEX('File 18'!Weekly_Adjusted,23,17)</f>
        <v>0</v>
      </c>
      <c r="JS65" s="143">
        <f>INDEX('File 18'!Weekly_Adjusted,23,18)</f>
        <v>0</v>
      </c>
      <c r="JT65" s="142">
        <f>INDEX('File 19'!Weekly_Adjusted,23,16)</f>
        <v>0</v>
      </c>
      <c r="JU65" s="142">
        <f>INDEX('File 19'!Weekly_Adjusted,23,17)</f>
        <v>0</v>
      </c>
      <c r="JV65" s="142">
        <f>INDEX('File 19'!Weekly_Adjusted,23,18)</f>
        <v>0</v>
      </c>
      <c r="JW65" s="143">
        <f>INDEX('File 20'!Weekly_Adjusted,23,16)</f>
        <v>0</v>
      </c>
      <c r="JX65" s="143">
        <f>INDEX('File 20'!Weekly_Adjusted,23,17)</f>
        <v>0</v>
      </c>
      <c r="JY65" s="143">
        <f>INDEX('File 20'!Weekly_Adjusted,23,18)</f>
        <v>0</v>
      </c>
      <c r="JZ65" s="6">
        <f ca="1">SUMIFS(INDEX(CapacityCore_Activity_Weekly,ROW(EC23),0),Demand_Activity_Weekly_Header,HL$42)</f>
        <v>20.933351264120493</v>
      </c>
      <c r="KA65" s="6">
        <f ca="1">SUMIFS(INDEX(CapacityCore_Activity_Weekly,ROW(ED23),0),Demand_Activity_Weekly_Header,HM$42)</f>
        <v>0</v>
      </c>
      <c r="KB65" s="6">
        <f ca="1">SUMIFS(INDEX(CapacityCore_Activity_Weekly,ROW(EE23),0),Demand_Activity_Weekly_Header,HN$42)</f>
        <v>0</v>
      </c>
      <c r="KC65" s="6">
        <f ca="1">SUMIFS(INDEX(CapacityCore_Activity_Weekly,ROW(EF23),0),Demand_Activity_Weekly_Header,HO$42)</f>
        <v>0</v>
      </c>
      <c r="KD65" s="6">
        <f ca="1">SUMIFS(INDEX(CapacityCore_Activity_Weekly,ROW(EG23),0),Demand_Activity_Weekly_Header,HP$42)</f>
        <v>0</v>
      </c>
      <c r="KF65" s="6">
        <f>SUMIFS('Time based aggregation (hide)'!$J:$J,'Time based aggregation (hide)'!$E:$E,1,'Time based aggregation (hide)'!$F:$F,1,'Time based aggregation (hide)'!$A:$A,ROW(A23))</f>
        <v>0</v>
      </c>
      <c r="KG65" s="6">
        <f>SUMIFS('Time based aggregation (hide)'!$J:$J,'Time based aggregation (hide)'!$E:$E,1,'Time based aggregation (hide)'!$F:$F,2,'Time based aggregation (hide)'!$A:$A,ROW(A23))</f>
        <v>0</v>
      </c>
      <c r="KH65" s="6">
        <f>SUMIFS('Time based aggregation (hide)'!$J:$J,'Time based aggregation (hide)'!$E:$E,1,'Time based aggregation (hide)'!$F:$F,3,'Time based aggregation (hide)'!$A:$A,ROW(A23))</f>
        <v>0</v>
      </c>
      <c r="KI65" s="6">
        <f>SUMIFS('Time based aggregation (hide)'!$J:$J,'Time based aggregation (hide)'!$E:$E,2,'Time based aggregation (hide)'!$F:$F,1,'Time based aggregation (hide)'!$A:$A,ROW(A23))</f>
        <v>0</v>
      </c>
      <c r="KJ65" s="6">
        <f>SUMIFS('Time based aggregation (hide)'!$J:$J,'Time based aggregation (hide)'!$E:$E,2,'Time based aggregation (hide)'!$F:$F,2,'Time based aggregation (hide)'!$A:$A,ROW(A23))</f>
        <v>0</v>
      </c>
      <c r="KK65" s="6">
        <f>SUMIFS('Time based aggregation (hide)'!$J:$J,'Time based aggregation (hide)'!$E:$E,2,'Time based aggregation (hide)'!$F:$F,3,'Time based aggregation (hide)'!$A:$A,ROW(A23))</f>
        <v>0</v>
      </c>
      <c r="KL65" s="6">
        <f>SUMIFS('Time based aggregation (hide)'!$J:$J,'Time based aggregation (hide)'!$E:$E,3,'Time based aggregation (hide)'!$F:$F,1,'Time based aggregation (hide)'!$A:$A,ROW(A23))</f>
        <v>0</v>
      </c>
      <c r="KM65" s="6">
        <f>SUMIFS('Time based aggregation (hide)'!$J:$J,'Time based aggregation (hide)'!$E:$E,3,'Time based aggregation (hide)'!$F:$F,2,'Time based aggregation (hide)'!$A:$A,ROW(A23))</f>
        <v>0</v>
      </c>
      <c r="KN65" s="6">
        <f>SUMIFS('Time based aggregation (hide)'!$J:$J,'Time based aggregation (hide)'!$E:$E,3,'Time based aggregation (hide)'!$F:$F,3,'Time based aggregation (hide)'!$A:$A,ROW(A23))</f>
        <v>0</v>
      </c>
      <c r="KO65" s="6">
        <f>SUMIFS('Time based aggregation (hide)'!$J:$J,'Time based aggregation (hide)'!$E:$E,4,'Time based aggregation (hide)'!$F:$F,1,'Time based aggregation (hide)'!$A:$A,ROW(A23))</f>
        <v>0</v>
      </c>
      <c r="KP65" s="6">
        <f>SUMIFS('Time based aggregation (hide)'!$J:$J,'Time based aggregation (hide)'!$E:$E,4,'Time based aggregation (hide)'!$F:$F,2,'Time based aggregation (hide)'!$A:$A,ROW(A23))</f>
        <v>0</v>
      </c>
      <c r="KQ65" s="6">
        <f>SUMIFS('Time based aggregation (hide)'!$J:$J,'Time based aggregation (hide)'!$E:$E,4,'Time based aggregation (hide)'!$F:$F,3,'Time based aggregation (hide)'!$A:$A,ROW(A23))</f>
        <v>0</v>
      </c>
      <c r="KR65" s="6">
        <f>SUMIFS('Time based aggregation (hide)'!$J:$J,'Time based aggregation (hide)'!$E:$E,5,'Time based aggregation (hide)'!$F:$F,1,'Time based aggregation (hide)'!$A:$A,ROW(A23))</f>
        <v>0</v>
      </c>
      <c r="KS65" s="6">
        <f>SUMIFS('Time based aggregation (hide)'!$J:$J,'Time based aggregation (hide)'!$E:$E,5,'Time based aggregation (hide)'!$F:$F,2,'Time based aggregation (hide)'!$A:$A,ROW(A23))</f>
        <v>0</v>
      </c>
      <c r="KT65" s="6">
        <f>SUMIFS('Time based aggregation (hide)'!$J:$J,'Time based aggregation (hide)'!$E:$E,5,'Time based aggregation (hide)'!$F:$F,3,'Time based aggregation (hide)'!$A:$A,ROW(A23))</f>
        <v>0</v>
      </c>
      <c r="KU65" s="6">
        <f>SUMIFS('Time based aggregation (hide)'!$J:$J,'Time based aggregation (hide)'!$E:$E,6,'Time based aggregation (hide)'!$F:$F,1,'Time based aggregation (hide)'!$A:$A,ROW(A23))</f>
        <v>0</v>
      </c>
      <c r="KV65" s="6">
        <f>SUMIFS('Time based aggregation (hide)'!$J:$J,'Time based aggregation (hide)'!$E:$E,6,'Time based aggregation (hide)'!$F:$F,2,'Time based aggregation (hide)'!$A:$A,ROW(A23))</f>
        <v>0</v>
      </c>
      <c r="KW65" s="6">
        <f>SUMIFS('Time based aggregation (hide)'!$J:$J,'Time based aggregation (hide)'!$E:$E,6,'Time based aggregation (hide)'!$F:$F,3,'Time based aggregation (hide)'!$A:$A,ROW(A23))</f>
        <v>0</v>
      </c>
      <c r="KX65" s="6">
        <f>SUMIFS('Time based aggregation (hide)'!$J:$J,'Time based aggregation (hide)'!$E:$E,7,'Time based aggregation (hide)'!$F:$F,1,'Time based aggregation (hide)'!$A:$A,ROW(A23))</f>
        <v>0</v>
      </c>
      <c r="KY65" s="6">
        <f>SUMIFS('Time based aggregation (hide)'!$J:$J,'Time based aggregation (hide)'!$E:$E,7,'Time based aggregation (hide)'!$F:$F,2,'Time based aggregation (hide)'!$A:$A,ROW(A23))</f>
        <v>0</v>
      </c>
      <c r="KZ65" s="6">
        <f>SUMIFS('Time based aggregation (hide)'!$J:$J,'Time based aggregation (hide)'!$E:$E,7,'Time based aggregation (hide)'!$F:$F,3,'Time based aggregation (hide)'!$A:$A,ROW(A23))</f>
        <v>0</v>
      </c>
      <c r="LA65" s="6">
        <f>SUMIFS('Time based aggregation (hide)'!$J:$J,'Time based aggregation (hide)'!$E:$E,8,'Time based aggregation (hide)'!$F:$F,1,'Time based aggregation (hide)'!$A:$A,ROW(A23))</f>
        <v>0</v>
      </c>
      <c r="LB65" s="6">
        <f>SUMIFS('Time based aggregation (hide)'!$J:$J,'Time based aggregation (hide)'!$E:$E,8,'Time based aggregation (hide)'!$F:$F,2,'Time based aggregation (hide)'!$A:$A,ROW(A23))</f>
        <v>0</v>
      </c>
      <c r="LC65" s="6">
        <f>SUMIFS('Time based aggregation (hide)'!$J:$J,'Time based aggregation (hide)'!$E:$E,8,'Time based aggregation (hide)'!$F:$F,3,'Time based aggregation (hide)'!$A:$A,ROW(A23))</f>
        <v>0</v>
      </c>
      <c r="LD65" s="6">
        <f>SUMIFS('Time based aggregation (hide)'!$J:$J,'Time based aggregation (hide)'!$E:$E,9,'Time based aggregation (hide)'!$F:$F,1,'Time based aggregation (hide)'!$A:$A,ROW(A23))</f>
        <v>0</v>
      </c>
      <c r="LE65" s="6">
        <f>SUMIFS('Time based aggregation (hide)'!$J:$J,'Time based aggregation (hide)'!$E:$E,9,'Time based aggregation (hide)'!$F:$F,2,'Time based aggregation (hide)'!$A:$A,ROW(A23))</f>
        <v>0</v>
      </c>
      <c r="LF65" s="6">
        <f>SUMIFS('Time based aggregation (hide)'!$J:$J,'Time based aggregation (hide)'!$E:$E,9,'Time based aggregation (hide)'!$F:$F,3,'Time based aggregation (hide)'!$A:$A,ROW(A23))</f>
        <v>0</v>
      </c>
      <c r="LG65" s="6">
        <f>SUMIFS('Time based aggregation (hide)'!$J:$J,'Time based aggregation (hide)'!$E:$E,10,'Time based aggregation (hide)'!$F:$F,1,'Time based aggregation (hide)'!$A:$A,ROW(A23))</f>
        <v>0</v>
      </c>
      <c r="LH65" s="6">
        <f>SUMIFS('Time based aggregation (hide)'!$J:$J,'Time based aggregation (hide)'!$E:$E,10,'Time based aggregation (hide)'!$F:$F,2,'Time based aggregation (hide)'!$A:$A,ROW(A23))</f>
        <v>0</v>
      </c>
      <c r="LI65" s="6">
        <f>SUMIFS('Time based aggregation (hide)'!$J:$J,'Time based aggregation (hide)'!$E:$E,10,'Time based aggregation (hide)'!$F:$F,3,'Time based aggregation (hide)'!$A:$A,ROW(A23))</f>
        <v>0</v>
      </c>
      <c r="LJ65" s="6">
        <f>SUMIFS('Time based aggregation (hide)'!$J:$J,'Time based aggregation (hide)'!$E:$E,11,'Time based aggregation (hide)'!$F:$F,1,'Time based aggregation (hide)'!$A:$A,ROW(A23))</f>
        <v>0</v>
      </c>
      <c r="LK65" s="6">
        <f>SUMIFS('Time based aggregation (hide)'!$J:$J,'Time based aggregation (hide)'!$E:$E,11,'Time based aggregation (hide)'!$F:$F,2,'Time based aggregation (hide)'!$A:$A,ROW(A23))</f>
        <v>0</v>
      </c>
      <c r="LL65" s="6">
        <f>SUMIFS('Time based aggregation (hide)'!$J:$J,'Time based aggregation (hide)'!$E:$E,11,'Time based aggregation (hide)'!$F:$F,3,'Time based aggregation (hide)'!$A:$A,ROW(A23))</f>
        <v>0</v>
      </c>
      <c r="LM65" s="6">
        <f>SUMIFS('Time based aggregation (hide)'!$J:$J,'Time based aggregation (hide)'!$E:$E,12,'Time based aggregation (hide)'!$F:$F,1,'Time based aggregation (hide)'!$A:$A,ROW(A23))</f>
        <v>0</v>
      </c>
      <c r="LN65" s="6">
        <f>SUMIFS('Time based aggregation (hide)'!$J:$J,'Time based aggregation (hide)'!$E:$E,12,'Time based aggregation (hide)'!$F:$F,2,'Time based aggregation (hide)'!$A:$A,ROW(A23))</f>
        <v>0</v>
      </c>
      <c r="LO65" s="6">
        <f>SUMIFS('Time based aggregation (hide)'!$J:$J,'Time based aggregation (hide)'!$E:$E,12,'Time based aggregation (hide)'!$F:$F,3,'Time based aggregation (hide)'!$A:$A,ROW(A23))</f>
        <v>0</v>
      </c>
      <c r="LP65" s="6">
        <f>SUMIFS('Time based aggregation (hide)'!$J:$J,'Time based aggregation (hide)'!$E:$E,13,'Time based aggregation (hide)'!$F:$F,1,'Time based aggregation (hide)'!$A:$A,ROW(A23))</f>
        <v>0</v>
      </c>
      <c r="LQ65" s="6">
        <f>SUMIFS('Time based aggregation (hide)'!$J:$J,'Time based aggregation (hide)'!$E:$E,13,'Time based aggregation (hide)'!$F:$F,2,'Time based aggregation (hide)'!$A:$A,ROW(A23))</f>
        <v>0</v>
      </c>
      <c r="LR65" s="6">
        <f>SUMIFS('Time based aggregation (hide)'!$J:$J,'Time based aggregation (hide)'!$E:$E,13,'Time based aggregation (hide)'!$F:$F,3,'Time based aggregation (hide)'!$A:$A,ROW(A23))</f>
        <v>0</v>
      </c>
      <c r="LS65" s="6">
        <f>SUMIFS('Time based aggregation (hide)'!$J:$J,'Time based aggregation (hide)'!$E:$E,14,'Time based aggregation (hide)'!$F:$F,1,'Time based aggregation (hide)'!$A:$A,ROW(A23))</f>
        <v>0</v>
      </c>
      <c r="LT65" s="6">
        <f>SUMIFS('Time based aggregation (hide)'!$J:$J,'Time based aggregation (hide)'!$E:$E,14,'Time based aggregation (hide)'!$F:$F,2,'Time based aggregation (hide)'!$A:$A,ROW(A23))</f>
        <v>0</v>
      </c>
      <c r="LU65" s="6">
        <f>SUMIFS('Time based aggregation (hide)'!$J:$J,'Time based aggregation (hide)'!$E:$E,14,'Time based aggregation (hide)'!$F:$F,3,'Time based aggregation (hide)'!$A:$A,ROW(A23))</f>
        <v>0</v>
      </c>
      <c r="LV65" s="6">
        <f>SUMIFS('Time based aggregation (hide)'!$J:$J,'Time based aggregation (hide)'!$E:$E,15,'Time based aggregation (hide)'!$F:$F,1,'Time based aggregation (hide)'!$A:$A,ROW(A23))</f>
        <v>0</v>
      </c>
      <c r="LW65" s="6">
        <f>SUMIFS('Time based aggregation (hide)'!$J:$J,'Time based aggregation (hide)'!$E:$E,15,'Time based aggregation (hide)'!$F:$F,2,'Time based aggregation (hide)'!$A:$A,ROW(A23))</f>
        <v>0</v>
      </c>
      <c r="LX65" s="6">
        <f>SUMIFS('Time based aggregation (hide)'!$J:$J,'Time based aggregation (hide)'!$E:$E,15,'Time based aggregation (hide)'!$F:$F,3,'Time based aggregation (hide)'!$A:$A,ROW(A23))</f>
        <v>0</v>
      </c>
      <c r="LY65" s="6">
        <f>SUMIFS('Time based aggregation (hide)'!$J:$J,'Time based aggregation (hide)'!$E:$E,16,'Time based aggregation (hide)'!$F:$F,1,'Time based aggregation (hide)'!$A:$A,ROW(A23))</f>
        <v>0</v>
      </c>
      <c r="LZ65" s="6">
        <f>SUMIFS('Time based aggregation (hide)'!$J:$J,'Time based aggregation (hide)'!$E:$E,16,'Time based aggregation (hide)'!$F:$F,2,'Time based aggregation (hide)'!$A:$A,ROW(A23))</f>
        <v>0</v>
      </c>
      <c r="MA65" s="6">
        <f>SUMIFS('Time based aggregation (hide)'!$J:$J,'Time based aggregation (hide)'!$E:$E,16,'Time based aggregation (hide)'!$F:$F,3,'Time based aggregation (hide)'!$A:$A,ROW(A23))</f>
        <v>0</v>
      </c>
      <c r="MB65" s="6">
        <f>SUMIFS('Time based aggregation (hide)'!$J:$J,'Time based aggregation (hide)'!$E:$E,17,'Time based aggregation (hide)'!$F:$F,1,'Time based aggregation (hide)'!$A:$A,ROW(A23))</f>
        <v>0</v>
      </c>
      <c r="MC65" s="6">
        <f>SUMIFS('Time based aggregation (hide)'!$J:$J,'Time based aggregation (hide)'!$E:$E,17,'Time based aggregation (hide)'!$F:$F,2,'Time based aggregation (hide)'!$A:$A,ROW(A23))</f>
        <v>0</v>
      </c>
      <c r="MD65" s="6">
        <f>SUMIFS('Time based aggregation (hide)'!$J:$J,'Time based aggregation (hide)'!$E:$E,17,'Time based aggregation (hide)'!$F:$F,3,'Time based aggregation (hide)'!$A:$A,ROW(A23))</f>
        <v>0</v>
      </c>
      <c r="ME65" s="6">
        <f>SUMIFS('Time based aggregation (hide)'!$J:$J,'Time based aggregation (hide)'!$E:$E,18,'Time based aggregation (hide)'!$F:$F,1,'Time based aggregation (hide)'!$A:$A,ROW(A23))</f>
        <v>0</v>
      </c>
      <c r="MF65" s="6">
        <f>SUMIFS('Time based aggregation (hide)'!$J:$J,'Time based aggregation (hide)'!$E:$E,18,'Time based aggregation (hide)'!$F:$F,2,'Time based aggregation (hide)'!$A:$A,ROW(A23))</f>
        <v>0</v>
      </c>
      <c r="MG65" s="6">
        <f>SUMIFS('Time based aggregation (hide)'!$J:$J,'Time based aggregation (hide)'!$E:$E,18,'Time based aggregation (hide)'!$F:$F,3,'Time based aggregation (hide)'!$A:$A,ROW(A23))</f>
        <v>0</v>
      </c>
      <c r="MH65" s="6">
        <f>SUMIFS('Time based aggregation (hide)'!$J:$J,'Time based aggregation (hide)'!$E:$E,19,'Time based aggregation (hide)'!$F:$F,1,'Time based aggregation (hide)'!$A:$A,ROW(A23))</f>
        <v>0</v>
      </c>
      <c r="MI65" s="6">
        <f>SUMIFS('Time based aggregation (hide)'!$J:$J,'Time based aggregation (hide)'!$E:$E,19,'Time based aggregation (hide)'!$F:$F,2,'Time based aggregation (hide)'!$A:$A,ROW(A23))</f>
        <v>0</v>
      </c>
      <c r="MJ65" s="6">
        <f>SUMIFS('Time based aggregation (hide)'!$J:$J,'Time based aggregation (hide)'!$E:$E,19,'Time based aggregation (hide)'!$F:$F,3,'Time based aggregation (hide)'!$A:$A,ROW(A23))</f>
        <v>0</v>
      </c>
      <c r="MK65" s="6">
        <f>SUMIFS('Time based aggregation (hide)'!$J:$J,'Time based aggregation (hide)'!$E:$E,20,'Time based aggregation (hide)'!$F:$F,1,'Time based aggregation (hide)'!$A:$A,ROW(A23))</f>
        <v>0</v>
      </c>
      <c r="ML65" s="6">
        <f>SUMIFS('Time based aggregation (hide)'!$J:$J,'Time based aggregation (hide)'!$E:$E,20,'Time based aggregation (hide)'!$F:$F,2,'Time based aggregation (hide)'!$A:$A,ROW(A23))</f>
        <v>0</v>
      </c>
      <c r="MM65" s="6">
        <f>SUMIFS('Time based aggregation (hide)'!$J:$J,'Time based aggregation (hide)'!$E:$E,20,'Time based aggregation (hide)'!$F:$F,3,'Time based aggregation (hide)'!$A:$A,ROW(A23))</f>
        <v>0</v>
      </c>
      <c r="MN65" s="7">
        <f t="shared" ca="1" si="41"/>
        <v>0</v>
      </c>
      <c r="MO65" s="7">
        <f t="shared" ca="1" si="41"/>
        <v>0</v>
      </c>
      <c r="MP65" s="7">
        <f t="shared" ca="1" si="41"/>
        <v>0</v>
      </c>
      <c r="MQ65" s="7">
        <f t="shared" ca="1" si="41"/>
        <v>0</v>
      </c>
      <c r="MR65" s="7">
        <f t="shared" ca="1" si="41"/>
        <v>0</v>
      </c>
    </row>
    <row r="66" spans="1:356" x14ac:dyDescent="0.25">
      <c r="A66">
        <f>1</f>
        <v>1</v>
      </c>
      <c r="B66" s="85">
        <f t="shared" si="37"/>
        <v>43854</v>
      </c>
      <c r="C66" s="85">
        <f t="shared" si="25"/>
        <v>43850</v>
      </c>
      <c r="D66">
        <f t="shared" ca="1" si="26"/>
        <v>1</v>
      </c>
      <c r="E66" s="85">
        <f t="shared" si="27"/>
        <v>43831</v>
      </c>
      <c r="F66">
        <f t="shared" si="33"/>
        <v>4</v>
      </c>
      <c r="H66">
        <f t="shared" si="34"/>
        <v>24</v>
      </c>
      <c r="I66" s="85">
        <f t="shared" si="38"/>
        <v>43990</v>
      </c>
      <c r="J66">
        <f t="shared" ca="1" si="28"/>
        <v>5</v>
      </c>
      <c r="K66">
        <f t="shared" ca="1" si="29"/>
        <v>1.968503937007874E-2</v>
      </c>
      <c r="L66" s="114"/>
      <c r="M66" s="85"/>
      <c r="N66" s="85">
        <f t="shared" si="35"/>
        <v>43990</v>
      </c>
      <c r="O66" s="122">
        <f t="shared" ca="1" si="42"/>
        <v>0</v>
      </c>
      <c r="P66" s="122">
        <f t="shared" ca="1" si="42"/>
        <v>0</v>
      </c>
      <c r="Q66" s="122">
        <f t="shared" ca="1" si="42"/>
        <v>0</v>
      </c>
      <c r="R66" s="122">
        <f t="shared" ca="1" si="42"/>
        <v>0</v>
      </c>
      <c r="S66" s="122">
        <f t="shared" ca="1" si="42"/>
        <v>0</v>
      </c>
      <c r="T66" s="122">
        <f t="shared" ca="1" si="42"/>
        <v>1</v>
      </c>
      <c r="U66" s="122">
        <f t="shared" ca="1" si="42"/>
        <v>0</v>
      </c>
      <c r="V66" s="122">
        <f t="shared" ca="1" si="42"/>
        <v>0</v>
      </c>
      <c r="W66" s="122">
        <f t="shared" ca="1" si="42"/>
        <v>0</v>
      </c>
      <c r="X66" s="122">
        <f t="shared" ca="1" si="42"/>
        <v>0</v>
      </c>
      <c r="Y66" s="122">
        <f t="shared" ca="1" si="42"/>
        <v>0</v>
      </c>
      <c r="Z66" s="122">
        <f t="shared" ca="1" si="42"/>
        <v>0</v>
      </c>
      <c r="AA66" s="122"/>
      <c r="AB66" s="140">
        <f>INDEX('File 1'!Weekly_Adjusted,24,1)</f>
        <v>388.17143954725253</v>
      </c>
      <c r="AC66" s="140">
        <f>INDEX('File 1'!Weekly_Adjusted,24,2)</f>
        <v>0</v>
      </c>
      <c r="AD66" s="140">
        <f>INDEX('File 1'!Weekly_Adjusted,24,3)</f>
        <v>0</v>
      </c>
      <c r="AE66" s="141">
        <f>INDEX('File 2'!Weekly_Adjusted,24,1)</f>
        <v>0</v>
      </c>
      <c r="AF66" s="141">
        <f>INDEX('File 2'!Weekly_Adjusted,24,2)</f>
        <v>0</v>
      </c>
      <c r="AG66" s="141">
        <f>INDEX('File 2'!Weekly_Adjusted,24,3)</f>
        <v>0</v>
      </c>
      <c r="AH66" s="140">
        <f>INDEX('File 3'!Weekly_Adjusted,24,1)</f>
        <v>0</v>
      </c>
      <c r="AI66" s="140">
        <f>INDEX('File 3'!Weekly_Adjusted,24,2)</f>
        <v>0</v>
      </c>
      <c r="AJ66" s="140">
        <f>INDEX('File 3'!Weekly_Adjusted,24,3)</f>
        <v>0</v>
      </c>
      <c r="AK66" s="141">
        <f>INDEX('File 4'!Weekly_Adjusted,24,1)</f>
        <v>0</v>
      </c>
      <c r="AL66" s="141">
        <f>INDEX('File 4'!Weekly_Adjusted,24,2)</f>
        <v>0</v>
      </c>
      <c r="AM66" s="141">
        <f>INDEX('File 4'!Weekly_Adjusted,24,3)</f>
        <v>0</v>
      </c>
      <c r="AN66" s="140">
        <f>INDEX('File 5'!Weekly_Adjusted,24,1)</f>
        <v>0</v>
      </c>
      <c r="AO66" s="140">
        <f>INDEX('File 5'!Weekly_Adjusted,24,2)</f>
        <v>0</v>
      </c>
      <c r="AP66" s="140">
        <f>INDEX('File 5'!Weekly_Adjusted,24,3)</f>
        <v>0</v>
      </c>
      <c r="AQ66" s="141">
        <f>INDEX('File 6'!Weekly_Adjusted,24,1)</f>
        <v>0</v>
      </c>
      <c r="AR66" s="141">
        <f>INDEX('File 6'!Weekly_Adjusted,24,2)</f>
        <v>0</v>
      </c>
      <c r="AS66" s="141">
        <f>INDEX('File 6'!Weekly_Adjusted,24,3)</f>
        <v>0</v>
      </c>
      <c r="AT66" s="140">
        <f>INDEX('File 7'!Weekly_Adjusted,24,1)</f>
        <v>0</v>
      </c>
      <c r="AU66" s="140">
        <f>INDEX('File 7'!Weekly_Adjusted,24,2)</f>
        <v>0</v>
      </c>
      <c r="AV66" s="140">
        <f>INDEX('File 7'!Weekly_Adjusted,24,3)</f>
        <v>0</v>
      </c>
      <c r="AW66" s="141">
        <f>INDEX('File 8'!Weekly_Adjusted,24,1)</f>
        <v>0</v>
      </c>
      <c r="AX66" s="141">
        <f>INDEX('File 8'!Weekly_Adjusted,24,2)</f>
        <v>0</v>
      </c>
      <c r="AY66" s="141">
        <f>INDEX('File 8'!Weekly_Adjusted,24,3)</f>
        <v>0</v>
      </c>
      <c r="AZ66" s="140">
        <f>INDEX('File 9'!Weekly_Adjusted,24,1)</f>
        <v>0</v>
      </c>
      <c r="BA66" s="140">
        <f>INDEX('File 9'!Weekly_Adjusted,24,2)</f>
        <v>0</v>
      </c>
      <c r="BB66" s="140">
        <f>INDEX('File 9'!Weekly_Adjusted,24,3)</f>
        <v>0</v>
      </c>
      <c r="BC66" s="141">
        <f>INDEX('File 10'!Weekly_Adjusted,24,1)</f>
        <v>0</v>
      </c>
      <c r="BD66" s="141">
        <f>INDEX('File 10'!Weekly_Adjusted,24,2)</f>
        <v>0</v>
      </c>
      <c r="BE66" s="141">
        <f>INDEX('File 10'!Weekly_Adjusted,24,3)</f>
        <v>0</v>
      </c>
      <c r="BF66" s="140">
        <f>INDEX('File 11'!Weekly_Adjusted,24,1)</f>
        <v>0</v>
      </c>
      <c r="BG66" s="140">
        <f>INDEX('File 11'!Weekly_Adjusted,24,2)</f>
        <v>0</v>
      </c>
      <c r="BH66" s="140">
        <f>INDEX('File 11'!Weekly_Adjusted,24,3)</f>
        <v>0</v>
      </c>
      <c r="BI66" s="141">
        <f>INDEX('File 12'!Weekly_Adjusted,24,1)</f>
        <v>0</v>
      </c>
      <c r="BJ66" s="141">
        <f>INDEX('File 12'!Weekly_Adjusted,24,2)</f>
        <v>0</v>
      </c>
      <c r="BK66" s="141">
        <f>INDEX('File 12'!Weekly_Adjusted,24,3)</f>
        <v>0</v>
      </c>
      <c r="BL66" s="140">
        <f>INDEX('File 13'!Weekly_Adjusted,24,1)</f>
        <v>0</v>
      </c>
      <c r="BM66" s="140">
        <f>INDEX('File 13'!Weekly_Adjusted,24,2)</f>
        <v>0</v>
      </c>
      <c r="BN66" s="140">
        <f>INDEX('File 13'!Weekly_Adjusted,24,3)</f>
        <v>0</v>
      </c>
      <c r="BO66" s="141">
        <f>INDEX('File 14'!Weekly_Adjusted,24,1)</f>
        <v>0</v>
      </c>
      <c r="BP66" s="141">
        <f>INDEX('File 14'!Weekly_Adjusted,24,2)</f>
        <v>0</v>
      </c>
      <c r="BQ66" s="141">
        <f>INDEX('File 14'!Weekly_Adjusted,24,3)</f>
        <v>0</v>
      </c>
      <c r="BR66" s="140">
        <f>INDEX('File 15'!Weekly_Adjusted,24,1)</f>
        <v>0</v>
      </c>
      <c r="BS66" s="140">
        <f>INDEX('File 15'!Weekly_Adjusted,24,2)</f>
        <v>0</v>
      </c>
      <c r="BT66" s="140">
        <f>INDEX('File 15'!Weekly_Adjusted,24,3)</f>
        <v>0</v>
      </c>
      <c r="BU66" s="141">
        <f>INDEX('File 16'!Weekly_Adjusted,24,1)</f>
        <v>0</v>
      </c>
      <c r="BV66" s="141">
        <f>INDEX('File 16'!Weekly_Adjusted,24,2)</f>
        <v>0</v>
      </c>
      <c r="BW66" s="141">
        <f>INDEX('File 16'!Weekly_Adjusted,24,3)</f>
        <v>0</v>
      </c>
      <c r="BX66" s="140">
        <f>INDEX('File 17'!Weekly_Adjusted,24,1)</f>
        <v>0</v>
      </c>
      <c r="BY66" s="140">
        <f>INDEX('File 17'!Weekly_Adjusted,24,2)</f>
        <v>0</v>
      </c>
      <c r="BZ66" s="140">
        <f>INDEX('File 17'!Weekly_Adjusted,24,3)</f>
        <v>0</v>
      </c>
      <c r="CA66" s="141">
        <f>INDEX('File 18'!Weekly_Adjusted,24,1)</f>
        <v>0</v>
      </c>
      <c r="CB66" s="141">
        <f>INDEX('File 18'!Weekly_Adjusted,24,2)</f>
        <v>0</v>
      </c>
      <c r="CC66" s="141">
        <f>INDEX('File 18'!Weekly_Adjusted,24,3)</f>
        <v>0</v>
      </c>
      <c r="CD66" s="140">
        <f>INDEX('File 19'!Weekly_Adjusted,24,1)</f>
        <v>0</v>
      </c>
      <c r="CE66" s="140">
        <f>INDEX('File 19'!Weekly_Adjusted,24,2)</f>
        <v>0</v>
      </c>
      <c r="CF66" s="140">
        <f>INDEX('File 19'!Weekly_Adjusted,24,3)</f>
        <v>0</v>
      </c>
      <c r="CG66" s="141">
        <f>INDEX('File 20'!Weekly_Adjusted,24,1)</f>
        <v>0</v>
      </c>
      <c r="CH66" s="141">
        <f>INDEX('File 20'!Weekly_Adjusted,24,2)</f>
        <v>0</v>
      </c>
      <c r="CI66" s="141">
        <f>INDEX('File 20'!Weekly_Adjusted,24,3)</f>
        <v>0</v>
      </c>
      <c r="CJ66" s="6">
        <f ca="1">SUMIFS(INDEX(Demand_Activity_Weekly,ROW(A24),0),Demand_Activity_Weekly_Header,CJ$42)</f>
        <v>388.17143954725253</v>
      </c>
      <c r="CK66" s="6">
        <f ca="1">SUMIFS(INDEX(Demand_Activity_Weekly,ROW(B24),0),Demand_Activity_Weekly_Header,CK$42)</f>
        <v>0</v>
      </c>
      <c r="CL66" s="6">
        <f ca="1">SUMIFS(INDEX(Demand_Activity_Weekly,ROW(C24),0),Demand_Activity_Weekly_Header,CL$42)</f>
        <v>0</v>
      </c>
      <c r="CM66" s="6">
        <f ca="1">SUMIFS(INDEX(Demand_Activity_Weekly,ROW(D24),0),Demand_Activity_Weekly_Header,CM$42)</f>
        <v>0</v>
      </c>
      <c r="CN66" s="6">
        <f ca="1">SUMIFS(INDEX(Demand_Activity_Weekly,ROW(E24),0),Demand_Activity_Weekly_Header,CN$42)</f>
        <v>0</v>
      </c>
      <c r="CP66" s="142">
        <f>INDEX('File 1'!Weekly_Adjusted,24,10)</f>
        <v>24.344712210866053</v>
      </c>
      <c r="CQ66" s="142">
        <f>INDEX('File 1'!Weekly_Adjusted,24,11)</f>
        <v>0</v>
      </c>
      <c r="CR66" s="142">
        <f>INDEX('File 1'!Weekly_Adjusted,24,12)</f>
        <v>0</v>
      </c>
      <c r="CS66" s="143">
        <f>INDEX('File 2'!Weekly_Adjusted,24,10)</f>
        <v>0</v>
      </c>
      <c r="CT66" s="143">
        <f>INDEX('File 2'!Weekly_Adjusted,24,11)</f>
        <v>0</v>
      </c>
      <c r="CU66" s="143">
        <f>INDEX('File 2'!Weekly_Adjusted,24,12)</f>
        <v>0</v>
      </c>
      <c r="CV66" s="142">
        <f>INDEX('File 3'!Weekly_Adjusted,24,10)</f>
        <v>0</v>
      </c>
      <c r="CW66" s="142">
        <f>INDEX('File 3'!Weekly_Adjusted,24,11)</f>
        <v>0</v>
      </c>
      <c r="CX66" s="142">
        <f>INDEX('File 3'!Weekly_Adjusted,24,12)</f>
        <v>0</v>
      </c>
      <c r="CY66" s="143">
        <f>INDEX('File 4'!Weekly_Adjusted,24,10)</f>
        <v>0</v>
      </c>
      <c r="CZ66" s="143">
        <f>INDEX('File 4'!Weekly_Adjusted,24,11)</f>
        <v>0</v>
      </c>
      <c r="DA66" s="143">
        <f>INDEX('File 4'!Weekly_Adjusted,24,12)</f>
        <v>0</v>
      </c>
      <c r="DB66" s="142">
        <f>INDEX('File 5'!Weekly_Adjusted,24,10)</f>
        <v>0</v>
      </c>
      <c r="DC66" s="142">
        <f>INDEX('File 5'!Weekly_Adjusted,24,11)</f>
        <v>0</v>
      </c>
      <c r="DD66" s="142">
        <f>INDEX('File 5'!Weekly_Adjusted,24,12)</f>
        <v>0</v>
      </c>
      <c r="DE66" s="143">
        <f>INDEX('File 6'!Weekly_Adjusted,24,10)</f>
        <v>0</v>
      </c>
      <c r="DF66" s="143">
        <f>INDEX('File 6'!Weekly_Adjusted,24,11)</f>
        <v>0</v>
      </c>
      <c r="DG66" s="143">
        <f>INDEX('File 6'!Weekly_Adjusted,24,12)</f>
        <v>0</v>
      </c>
      <c r="DH66" s="142">
        <f>INDEX('File 7'!Weekly_Adjusted,24,10)</f>
        <v>0</v>
      </c>
      <c r="DI66" s="142">
        <f>INDEX('File 7'!Weekly_Adjusted,24,11)</f>
        <v>0</v>
      </c>
      <c r="DJ66" s="142">
        <f>INDEX('File 7'!Weekly_Adjusted,24,12)</f>
        <v>0</v>
      </c>
      <c r="DK66" s="143">
        <f>INDEX('File 8'!Weekly_Adjusted,24,10)</f>
        <v>0</v>
      </c>
      <c r="DL66" s="143">
        <f>INDEX('File 8'!Weekly_Adjusted,24,11)</f>
        <v>0</v>
      </c>
      <c r="DM66" s="143">
        <f>INDEX('File 8'!Weekly_Adjusted,24,12)</f>
        <v>0</v>
      </c>
      <c r="DN66" s="142">
        <f>INDEX('File 9'!Weekly_Adjusted,24,10)</f>
        <v>0</v>
      </c>
      <c r="DO66" s="142">
        <f>INDEX('File 9'!Weekly_Adjusted,24,11)</f>
        <v>0</v>
      </c>
      <c r="DP66" s="142">
        <f>INDEX('File 9'!Weekly_Adjusted,24,12)</f>
        <v>0</v>
      </c>
      <c r="DQ66" s="143">
        <f>INDEX('File 10'!Weekly_Adjusted,24,10)</f>
        <v>0</v>
      </c>
      <c r="DR66" s="143">
        <f>INDEX('File 10'!Weekly_Adjusted,24,11)</f>
        <v>0</v>
      </c>
      <c r="DS66" s="143">
        <f>INDEX('File 10'!Weekly_Adjusted,24,12)</f>
        <v>0</v>
      </c>
      <c r="DT66" s="142">
        <f>INDEX('File 11'!Weekly_Adjusted,24,10)</f>
        <v>0</v>
      </c>
      <c r="DU66" s="142">
        <f>INDEX('File 11'!Weekly_Adjusted,24,11)</f>
        <v>0</v>
      </c>
      <c r="DV66" s="142">
        <f>INDEX('File 11'!Weekly_Adjusted,24,12)</f>
        <v>0</v>
      </c>
      <c r="DW66" s="143">
        <f>INDEX('File 12'!Weekly_Adjusted,24,10)</f>
        <v>0</v>
      </c>
      <c r="DX66" s="143">
        <f>INDEX('File 12'!Weekly_Adjusted,24,11)</f>
        <v>0</v>
      </c>
      <c r="DY66" s="143">
        <f>INDEX('File 12'!Weekly_Adjusted,24,12)</f>
        <v>0</v>
      </c>
      <c r="DZ66" s="142">
        <f>INDEX('File 13'!Weekly_Adjusted,24,10)</f>
        <v>0</v>
      </c>
      <c r="EA66" s="142">
        <f>INDEX('File 13'!Weekly_Adjusted,24,11)</f>
        <v>0</v>
      </c>
      <c r="EB66" s="142">
        <f>INDEX('File 13'!Weekly_Adjusted,24,12)</f>
        <v>0</v>
      </c>
      <c r="EC66" s="143">
        <f>INDEX('File 14'!Weekly_Adjusted,24,10)</f>
        <v>0</v>
      </c>
      <c r="ED66" s="143">
        <f>INDEX('File 14'!Weekly_Adjusted,24,11)</f>
        <v>0</v>
      </c>
      <c r="EE66" s="143">
        <f>INDEX('File 14'!Weekly_Adjusted,24,12)</f>
        <v>0</v>
      </c>
      <c r="EF66" s="142">
        <f>INDEX('File 15'!Weekly_Adjusted,24,10)</f>
        <v>0</v>
      </c>
      <c r="EG66" s="142">
        <f>INDEX('File 15'!Weekly_Adjusted,24,11)</f>
        <v>0</v>
      </c>
      <c r="EH66" s="142">
        <f>INDEX('File 15'!Weekly_Adjusted,24,12)</f>
        <v>0</v>
      </c>
      <c r="EI66" s="143">
        <f>INDEX('File 16'!Weekly_Adjusted,24,10)</f>
        <v>0</v>
      </c>
      <c r="EJ66" s="143">
        <f>INDEX('File 16'!Weekly_Adjusted,24,11)</f>
        <v>0</v>
      </c>
      <c r="EK66" s="143">
        <f>INDEX('File 16'!Weekly_Adjusted,24,12)</f>
        <v>0</v>
      </c>
      <c r="EL66" s="142">
        <f>INDEX('File 17'!Weekly_Adjusted,24,10)</f>
        <v>0</v>
      </c>
      <c r="EM66" s="142">
        <f>INDEX('File 17'!Weekly_Adjusted,24,11)</f>
        <v>0</v>
      </c>
      <c r="EN66" s="142">
        <f>INDEX('File 17'!Weekly_Adjusted,24,12)</f>
        <v>0</v>
      </c>
      <c r="EO66" s="143">
        <f>INDEX('File 18'!Weekly_Adjusted,24,10)</f>
        <v>0</v>
      </c>
      <c r="EP66" s="143">
        <f>INDEX('File 18'!Weekly_Adjusted,24,11)</f>
        <v>0</v>
      </c>
      <c r="EQ66" s="143">
        <f>INDEX('File 18'!Weekly_Adjusted,24,12)</f>
        <v>0</v>
      </c>
      <c r="ER66" s="142">
        <f>INDEX('File 19'!Weekly_Adjusted,24,10)</f>
        <v>0</v>
      </c>
      <c r="ES66" s="142">
        <f>INDEX('File 19'!Weekly_Adjusted,24,11)</f>
        <v>0</v>
      </c>
      <c r="ET66" s="142">
        <f>INDEX('File 19'!Weekly_Adjusted,24,12)</f>
        <v>0</v>
      </c>
      <c r="EU66" s="143">
        <f>INDEX('File 20'!Weekly_Adjusted,24,10)</f>
        <v>0</v>
      </c>
      <c r="EV66" s="143">
        <f>INDEX('File 20'!Weekly_Adjusted,24,11)</f>
        <v>0</v>
      </c>
      <c r="EW66" s="143">
        <f>INDEX('File 20'!Weekly_Adjusted,24,12)</f>
        <v>0</v>
      </c>
      <c r="EX66" s="6">
        <f ca="1">SUMIFS(INDEX(Capacity_Activity_Weekly,ROW(A24),0),Demand_Activity_Weekly_Header,CJ$42)</f>
        <v>24.344712210866053</v>
      </c>
      <c r="EY66" s="6">
        <f ca="1">SUMIFS(INDEX(Capacity_Activity_Weekly,ROW(B24),0),Demand_Activity_Weekly_Header,CK$42)</f>
        <v>0</v>
      </c>
      <c r="EZ66" s="6">
        <f ca="1">SUMIFS(INDEX(Capacity_Activity_Weekly,ROW(C24),0),Demand_Activity_Weekly_Header,CL$42)</f>
        <v>0</v>
      </c>
      <c r="FA66" s="6">
        <f ca="1">SUMIFS(INDEX(Capacity_Activity_Weekly,ROW(D24),0),Demand_Activity_Weekly_Header,CM$42)</f>
        <v>0</v>
      </c>
      <c r="FB66" s="6">
        <f ca="1">SUMIFS(INDEX(Capacity_Activity_Weekly,ROW(E24),0),Demand_Activity_Weekly_Header,CN$42)</f>
        <v>0</v>
      </c>
      <c r="FD66" s="7">
        <f>'File 1'!$Q$54*'Time based aggregation (hide)'!$Q28</f>
        <v>0</v>
      </c>
      <c r="FE66" s="7">
        <f>'File 1'!$R$54*'Time based aggregation (hide)'!$R28</f>
        <v>0</v>
      </c>
      <c r="FF66" s="7">
        <f>'File 1'!$S$54*'Time based aggregation (hide)'!$S28</f>
        <v>0</v>
      </c>
      <c r="FG66" s="7">
        <f>'File 2'!$Q$54*'Time based aggregation (hide)'!$T28</f>
        <v>0</v>
      </c>
      <c r="FH66" s="7">
        <f>'File 2'!$R$54*'Time based aggregation (hide)'!$U28</f>
        <v>0</v>
      </c>
      <c r="FI66" s="7">
        <f>'File 2'!$S$54*'Time based aggregation (hide)'!$V28</f>
        <v>0</v>
      </c>
      <c r="FJ66" s="7">
        <f>'File 3'!$Q$54*'Time based aggregation (hide)'!$W28</f>
        <v>0</v>
      </c>
      <c r="FK66" s="7">
        <f>'File 3'!$R$54*'Time based aggregation (hide)'!$X28</f>
        <v>0</v>
      </c>
      <c r="FL66" s="7">
        <f>'File 3'!$S$54*'Time based aggregation (hide)'!$Y28</f>
        <v>0</v>
      </c>
      <c r="FM66" s="7">
        <f>'File 4'!$Q$54*'Time based aggregation (hide)'!$Z28</f>
        <v>0</v>
      </c>
      <c r="FN66" s="7">
        <f>'File 4'!$R$54*'Time based aggregation (hide)'!$AA28</f>
        <v>0</v>
      </c>
      <c r="FO66" s="7">
        <f>'File 4'!$S$54*'Time based aggregation (hide)'!$AB28</f>
        <v>0</v>
      </c>
      <c r="FP66" s="7">
        <f>'File 5'!$Q$54*'Time based aggregation (hide)'!$AC28</f>
        <v>0</v>
      </c>
      <c r="FQ66" s="7">
        <f>'File 5'!$R$54*'Time based aggregation (hide)'!$AD28</f>
        <v>0</v>
      </c>
      <c r="FR66" s="7">
        <f>'File 5'!$S$54*'Time based aggregation (hide)'!$AE28</f>
        <v>0</v>
      </c>
      <c r="FS66" s="7">
        <f>'File 6'!$Q$54*'Time based aggregation (hide)'!$AF28</f>
        <v>0</v>
      </c>
      <c r="FT66" s="7">
        <f>'File 6'!$R$54*'Time based aggregation (hide)'!$AG28</f>
        <v>0</v>
      </c>
      <c r="FU66" s="7">
        <f>'File 6'!$S$54*'Time based aggregation (hide)'!$AH28</f>
        <v>0</v>
      </c>
      <c r="FV66" s="7">
        <f>'File 7'!$Q$54*'Time based aggregation (hide)'!$AI28</f>
        <v>0</v>
      </c>
      <c r="FW66" s="7">
        <f>'File 7'!$R$54*'Time based aggregation (hide)'!$AJ28</f>
        <v>0</v>
      </c>
      <c r="FX66" s="7">
        <f>'File 7'!$S$54*'Time based aggregation (hide)'!$AK28</f>
        <v>0</v>
      </c>
      <c r="FY66" s="7">
        <f>'File 8'!$Q$54*'Time based aggregation (hide)'!$AL28</f>
        <v>0</v>
      </c>
      <c r="FZ66" s="7">
        <f>'File 8'!$R$54*'Time based aggregation (hide)'!$AM28</f>
        <v>0</v>
      </c>
      <c r="GA66" s="7">
        <f>'File 8'!$S$54*'Time based aggregation (hide)'!$AN28</f>
        <v>0</v>
      </c>
      <c r="GB66" s="7">
        <f>'File 9'!$Q$54*'Time based aggregation (hide)'!$AO28</f>
        <v>0</v>
      </c>
      <c r="GC66" s="7">
        <f>'File 9'!$R$54*'Time based aggregation (hide)'!$AP28</f>
        <v>0</v>
      </c>
      <c r="GD66" s="7">
        <f>'File 9'!$S$54*'Time based aggregation (hide)'!$AQ28</f>
        <v>0</v>
      </c>
      <c r="GE66" s="7">
        <f>'File 10'!$Q$54*'Time based aggregation (hide)'!$AR28</f>
        <v>0</v>
      </c>
      <c r="GF66" s="7">
        <f>'File 10'!$R$54*'Time based aggregation (hide)'!$AS28</f>
        <v>0</v>
      </c>
      <c r="GG66" s="7">
        <f>'File 10'!$S$54*'Time based aggregation (hide)'!$AT28</f>
        <v>0</v>
      </c>
      <c r="GH66" s="7">
        <f>'File 11'!$Q$54*'Time based aggregation (hide)'!$AU28</f>
        <v>0</v>
      </c>
      <c r="GI66" s="7">
        <f>'File 11'!$R$54*'Time based aggregation (hide)'!$AV28</f>
        <v>0</v>
      </c>
      <c r="GJ66" s="7">
        <f>'File 11'!$S$54*'Time based aggregation (hide)'!$AW28</f>
        <v>0</v>
      </c>
      <c r="GK66" s="7">
        <f>'File 12'!$Q$54*'Time based aggregation (hide)'!$AX28</f>
        <v>0</v>
      </c>
      <c r="GL66" s="7">
        <f>'File 12'!$R$54*'Time based aggregation (hide)'!$AY28</f>
        <v>0</v>
      </c>
      <c r="GM66" s="7">
        <f>'File 12'!$S$54*'Time based aggregation (hide)'!$AZ28</f>
        <v>0</v>
      </c>
      <c r="GN66" s="7">
        <f>'File 13'!$Q$54*'Time based aggregation (hide)'!$BA28</f>
        <v>0</v>
      </c>
      <c r="GO66" s="7">
        <f>'File 13'!$R$54*'Time based aggregation (hide)'!$BB28</f>
        <v>0</v>
      </c>
      <c r="GP66" s="7">
        <f>'File 13'!$S$54*'Time based aggregation (hide)'!$BC28</f>
        <v>0</v>
      </c>
      <c r="GQ66" s="7">
        <f>'File 14'!$Q$54*'Time based aggregation (hide)'!$BD28</f>
        <v>0</v>
      </c>
      <c r="GR66" s="7">
        <f>'File 14'!$R$54*'Time based aggregation (hide)'!$BE28</f>
        <v>0</v>
      </c>
      <c r="GS66" s="7">
        <f>'File 14'!$S$54*'Time based aggregation (hide)'!$BF28</f>
        <v>0</v>
      </c>
      <c r="GT66" s="7">
        <f>'File 15'!$Q$54*'Time based aggregation (hide)'!$BG28</f>
        <v>0</v>
      </c>
      <c r="GU66" s="7">
        <f>'File 15'!$R$54*'Time based aggregation (hide)'!$BH28</f>
        <v>0</v>
      </c>
      <c r="GV66" s="7">
        <f>'File 15'!$S$54*'Time based aggregation (hide)'!$BI28</f>
        <v>0</v>
      </c>
      <c r="GW66" s="7">
        <f>'File 16'!$Q$54*'Time based aggregation (hide)'!$BJ28</f>
        <v>0</v>
      </c>
      <c r="GX66" s="7">
        <f>'File 16'!$R$54*'Time based aggregation (hide)'!$BK28</f>
        <v>0</v>
      </c>
      <c r="GY66" s="7">
        <f>'File 16'!$S$54*'Time based aggregation (hide)'!$BL28</f>
        <v>0</v>
      </c>
      <c r="GZ66" s="7">
        <f>'File 17'!$Q$54*'Time based aggregation (hide)'!$BM28</f>
        <v>0</v>
      </c>
      <c r="HA66" s="7">
        <f>'File 17'!$R$54*'Time based aggregation (hide)'!$BN28</f>
        <v>0</v>
      </c>
      <c r="HB66" s="7">
        <f>'File 17'!$S$54*'Time based aggregation (hide)'!$BO28</f>
        <v>0</v>
      </c>
      <c r="HC66" s="7">
        <f>'File 18'!$Q$54*'Time based aggregation (hide)'!$BP28</f>
        <v>0</v>
      </c>
      <c r="HD66" s="7">
        <f>'File 18'!$R$54*'Time based aggregation (hide)'!$BQ28</f>
        <v>0</v>
      </c>
      <c r="HE66" s="7">
        <f>'File 18'!$S$54*'Time based aggregation (hide)'!$BR28</f>
        <v>0</v>
      </c>
      <c r="HF66" s="7">
        <f>'File 19'!$Q$54*'Time based aggregation (hide)'!$BS28</f>
        <v>0</v>
      </c>
      <c r="HG66" s="7">
        <f>'File 19'!$R$54*'Time based aggregation (hide)'!$BT28</f>
        <v>0</v>
      </c>
      <c r="HH66" s="7">
        <f>'File 19'!$S$54*'Time based aggregation (hide)'!$BU28</f>
        <v>0</v>
      </c>
      <c r="HI66" s="7">
        <f>'File 20'!$Q$54*'Time based aggregation (hide)'!$BV28</f>
        <v>0</v>
      </c>
      <c r="HJ66" s="7">
        <f>'File 20'!$R$54*'Time based aggregation (hide)'!$BW28</f>
        <v>0</v>
      </c>
      <c r="HK66" s="7">
        <f>'File 20'!$S$54*'Time based aggregation (hide)'!$BX28</f>
        <v>0</v>
      </c>
      <c r="HL66" s="7">
        <f t="shared" ca="1" si="43"/>
        <v>0</v>
      </c>
      <c r="HM66" s="7">
        <f t="shared" ca="1" si="43"/>
        <v>0</v>
      </c>
      <c r="HN66" s="7">
        <f t="shared" ca="1" si="43"/>
        <v>0</v>
      </c>
      <c r="HO66" s="7">
        <f t="shared" ca="1" si="43"/>
        <v>0</v>
      </c>
      <c r="HP66" s="7">
        <f t="shared" ca="1" si="43"/>
        <v>0</v>
      </c>
      <c r="HR66" s="142">
        <f>INDEX('File 1'!Weekly_Adjusted,24,16)</f>
        <v>20.933351264120493</v>
      </c>
      <c r="HS66" s="142">
        <f>INDEX('File 1'!Weekly_Adjusted,24,17)</f>
        <v>0</v>
      </c>
      <c r="HT66" s="142">
        <f>INDEX('File 1'!Weekly_Adjusted,24,18)</f>
        <v>0</v>
      </c>
      <c r="HU66" s="143">
        <f>INDEX('File 2'!Weekly_Adjusted,24,16)</f>
        <v>0</v>
      </c>
      <c r="HV66" s="143">
        <f>INDEX('File 2'!Weekly_Adjusted,24,17)</f>
        <v>0</v>
      </c>
      <c r="HW66" s="143">
        <f>INDEX('File 2'!Weekly_Adjusted,24,18)</f>
        <v>0</v>
      </c>
      <c r="HX66" s="142">
        <f>INDEX('File 3'!Weekly_Adjusted,24,16)</f>
        <v>0</v>
      </c>
      <c r="HY66" s="142">
        <f>INDEX('File 3'!Weekly_Adjusted,24,17)</f>
        <v>0</v>
      </c>
      <c r="HZ66" s="142">
        <f>INDEX('File 3'!Weekly_Adjusted,24,18)</f>
        <v>0</v>
      </c>
      <c r="IA66" s="143">
        <f>INDEX('File 4'!Weekly_Adjusted,24,16)</f>
        <v>0</v>
      </c>
      <c r="IB66" s="143">
        <f>INDEX('File 4'!Weekly_Adjusted,24,17)</f>
        <v>0</v>
      </c>
      <c r="IC66" s="143">
        <f>INDEX('File 4'!Weekly_Adjusted,24,18)</f>
        <v>0</v>
      </c>
      <c r="ID66" s="142">
        <f>INDEX('File 5'!Weekly_Adjusted,24,16)</f>
        <v>0</v>
      </c>
      <c r="IE66" s="142">
        <f>INDEX('File 5'!Weekly_Adjusted,24,17)</f>
        <v>0</v>
      </c>
      <c r="IF66" s="142">
        <f>INDEX('File 5'!Weekly_Adjusted,24,18)</f>
        <v>0</v>
      </c>
      <c r="IG66" s="143">
        <f>INDEX('File 6'!Weekly_Adjusted,24,16)</f>
        <v>0</v>
      </c>
      <c r="IH66" s="143">
        <f>INDEX('File 6'!Weekly_Adjusted,24,17)</f>
        <v>0</v>
      </c>
      <c r="II66" s="143">
        <f>INDEX('File 6'!Weekly_Adjusted,24,18)</f>
        <v>0</v>
      </c>
      <c r="IJ66" s="142">
        <f>INDEX('File 7'!Weekly_Adjusted,24,16)</f>
        <v>0</v>
      </c>
      <c r="IK66" s="142">
        <f>INDEX('File 7'!Weekly_Adjusted,24,17)</f>
        <v>0</v>
      </c>
      <c r="IL66" s="142">
        <f>INDEX('File 7'!Weekly_Adjusted,24,18)</f>
        <v>0</v>
      </c>
      <c r="IM66" s="143">
        <f>INDEX('File 8'!Weekly_Adjusted,24,16)</f>
        <v>0</v>
      </c>
      <c r="IN66" s="143">
        <f>INDEX('File 8'!Weekly_Adjusted,24,17)</f>
        <v>0</v>
      </c>
      <c r="IO66" s="143">
        <f>INDEX('File 8'!Weekly_Adjusted,24,18)</f>
        <v>0</v>
      </c>
      <c r="IP66" s="142">
        <f>INDEX('File 9'!Weekly_Adjusted,24,16)</f>
        <v>0</v>
      </c>
      <c r="IQ66" s="142">
        <f>INDEX('File 9'!Weekly_Adjusted,24,17)</f>
        <v>0</v>
      </c>
      <c r="IR66" s="142">
        <f>INDEX('File 9'!Weekly_Adjusted,24,18)</f>
        <v>0</v>
      </c>
      <c r="IS66" s="143">
        <f>INDEX('File 10'!Weekly_Adjusted,24,16)</f>
        <v>0</v>
      </c>
      <c r="IT66" s="143">
        <f>INDEX('File 10'!Weekly_Adjusted,24,17)</f>
        <v>0</v>
      </c>
      <c r="IU66" s="143">
        <f>INDEX('File 10'!Weekly_Adjusted,24,18)</f>
        <v>0</v>
      </c>
      <c r="IV66" s="142">
        <f>INDEX('File 11'!Weekly_Adjusted,24,16)</f>
        <v>0</v>
      </c>
      <c r="IW66" s="142">
        <f>INDEX('File 11'!Weekly_Adjusted,24,17)</f>
        <v>0</v>
      </c>
      <c r="IX66" s="142">
        <f>INDEX('File 11'!Weekly_Adjusted,24,18)</f>
        <v>0</v>
      </c>
      <c r="IY66" s="143">
        <f>INDEX('File 12'!Weekly_Adjusted,24,16)</f>
        <v>0</v>
      </c>
      <c r="IZ66" s="143">
        <f>INDEX('File 12'!Weekly_Adjusted,24,17)</f>
        <v>0</v>
      </c>
      <c r="JA66" s="143">
        <f>INDEX('File 12'!Weekly_Adjusted,24,18)</f>
        <v>0</v>
      </c>
      <c r="JB66" s="142">
        <f>INDEX('File 13'!Weekly_Adjusted,24,16)</f>
        <v>0</v>
      </c>
      <c r="JC66" s="142">
        <f>INDEX('File 13'!Weekly_Adjusted,24,17)</f>
        <v>0</v>
      </c>
      <c r="JD66" s="142">
        <f>INDEX('File 13'!Weekly_Adjusted,24,18)</f>
        <v>0</v>
      </c>
      <c r="JE66" s="143">
        <f>INDEX('File 14'!Weekly_Adjusted,24,16)</f>
        <v>0</v>
      </c>
      <c r="JF66" s="143">
        <f>INDEX('File 14'!Weekly_Adjusted,24,17)</f>
        <v>0</v>
      </c>
      <c r="JG66" s="143">
        <f>INDEX('File 14'!Weekly_Adjusted,24,18)</f>
        <v>0</v>
      </c>
      <c r="JH66" s="142">
        <f>INDEX('File 15'!Weekly_Adjusted,24,16)</f>
        <v>0</v>
      </c>
      <c r="JI66" s="142">
        <f>INDEX('File 15'!Weekly_Adjusted,24,17)</f>
        <v>0</v>
      </c>
      <c r="JJ66" s="142">
        <f>INDEX('File 15'!Weekly_Adjusted,24,18)</f>
        <v>0</v>
      </c>
      <c r="JK66" s="143">
        <f>INDEX('File 16'!Weekly_Adjusted,24,16)</f>
        <v>0</v>
      </c>
      <c r="JL66" s="143">
        <f>INDEX('File 16'!Weekly_Adjusted,24,17)</f>
        <v>0</v>
      </c>
      <c r="JM66" s="143">
        <f>INDEX('File 16'!Weekly_Adjusted,24,18)</f>
        <v>0</v>
      </c>
      <c r="JN66" s="142">
        <f>INDEX('File 17'!Weekly_Adjusted,24,16)</f>
        <v>0</v>
      </c>
      <c r="JO66" s="142">
        <f>INDEX('File 17'!Weekly_Adjusted,24,17)</f>
        <v>0</v>
      </c>
      <c r="JP66" s="142">
        <f>INDEX('File 17'!Weekly_Adjusted,24,18)</f>
        <v>0</v>
      </c>
      <c r="JQ66" s="143">
        <f>INDEX('File 18'!Weekly_Adjusted,24,16)</f>
        <v>0</v>
      </c>
      <c r="JR66" s="143">
        <f>INDEX('File 18'!Weekly_Adjusted,24,17)</f>
        <v>0</v>
      </c>
      <c r="JS66" s="143">
        <f>INDEX('File 18'!Weekly_Adjusted,24,18)</f>
        <v>0</v>
      </c>
      <c r="JT66" s="142">
        <f>INDEX('File 19'!Weekly_Adjusted,24,16)</f>
        <v>0</v>
      </c>
      <c r="JU66" s="142">
        <f>INDEX('File 19'!Weekly_Adjusted,24,17)</f>
        <v>0</v>
      </c>
      <c r="JV66" s="142">
        <f>INDEX('File 19'!Weekly_Adjusted,24,18)</f>
        <v>0</v>
      </c>
      <c r="JW66" s="143">
        <f>INDEX('File 20'!Weekly_Adjusted,24,16)</f>
        <v>0</v>
      </c>
      <c r="JX66" s="143">
        <f>INDEX('File 20'!Weekly_Adjusted,24,17)</f>
        <v>0</v>
      </c>
      <c r="JY66" s="143">
        <f>INDEX('File 20'!Weekly_Adjusted,24,18)</f>
        <v>0</v>
      </c>
      <c r="JZ66" s="6">
        <f ca="1">SUMIFS(INDEX(CapacityCore_Activity_Weekly,ROW(EC24),0),Demand_Activity_Weekly_Header,HL$42)</f>
        <v>20.933351264120493</v>
      </c>
      <c r="KA66" s="6">
        <f ca="1">SUMIFS(INDEX(CapacityCore_Activity_Weekly,ROW(ED24),0),Demand_Activity_Weekly_Header,HM$42)</f>
        <v>0</v>
      </c>
      <c r="KB66" s="6">
        <f ca="1">SUMIFS(INDEX(CapacityCore_Activity_Weekly,ROW(EE24),0),Demand_Activity_Weekly_Header,HN$42)</f>
        <v>0</v>
      </c>
      <c r="KC66" s="6">
        <f ca="1">SUMIFS(INDEX(CapacityCore_Activity_Weekly,ROW(EF24),0),Demand_Activity_Weekly_Header,HO$42)</f>
        <v>0</v>
      </c>
      <c r="KD66" s="6">
        <f ca="1">SUMIFS(INDEX(CapacityCore_Activity_Weekly,ROW(EG24),0),Demand_Activity_Weekly_Header,HP$42)</f>
        <v>0</v>
      </c>
      <c r="KF66" s="6">
        <f>SUMIFS('Time based aggregation (hide)'!$J:$J,'Time based aggregation (hide)'!$E:$E,1,'Time based aggregation (hide)'!$F:$F,1,'Time based aggregation (hide)'!$A:$A,ROW(A24))</f>
        <v>0</v>
      </c>
      <c r="KG66" s="6">
        <f>SUMIFS('Time based aggregation (hide)'!$J:$J,'Time based aggregation (hide)'!$E:$E,1,'Time based aggregation (hide)'!$F:$F,2,'Time based aggregation (hide)'!$A:$A,ROW(A24))</f>
        <v>0</v>
      </c>
      <c r="KH66" s="6">
        <f>SUMIFS('Time based aggregation (hide)'!$J:$J,'Time based aggregation (hide)'!$E:$E,1,'Time based aggregation (hide)'!$F:$F,3,'Time based aggregation (hide)'!$A:$A,ROW(A24))</f>
        <v>0</v>
      </c>
      <c r="KI66" s="6">
        <f>SUMIFS('Time based aggregation (hide)'!$J:$J,'Time based aggregation (hide)'!$E:$E,2,'Time based aggregation (hide)'!$F:$F,1,'Time based aggregation (hide)'!$A:$A,ROW(A24))</f>
        <v>0</v>
      </c>
      <c r="KJ66" s="6">
        <f>SUMIFS('Time based aggregation (hide)'!$J:$J,'Time based aggregation (hide)'!$E:$E,2,'Time based aggregation (hide)'!$F:$F,2,'Time based aggregation (hide)'!$A:$A,ROW(A24))</f>
        <v>0</v>
      </c>
      <c r="KK66" s="6">
        <f>SUMIFS('Time based aggregation (hide)'!$J:$J,'Time based aggregation (hide)'!$E:$E,2,'Time based aggregation (hide)'!$F:$F,3,'Time based aggregation (hide)'!$A:$A,ROW(A24))</f>
        <v>0</v>
      </c>
      <c r="KL66" s="6">
        <f>SUMIFS('Time based aggregation (hide)'!$J:$J,'Time based aggregation (hide)'!$E:$E,3,'Time based aggregation (hide)'!$F:$F,1,'Time based aggregation (hide)'!$A:$A,ROW(A24))</f>
        <v>0</v>
      </c>
      <c r="KM66" s="6">
        <f>SUMIFS('Time based aggregation (hide)'!$J:$J,'Time based aggregation (hide)'!$E:$E,3,'Time based aggregation (hide)'!$F:$F,2,'Time based aggregation (hide)'!$A:$A,ROW(A24))</f>
        <v>0</v>
      </c>
      <c r="KN66" s="6">
        <f>SUMIFS('Time based aggregation (hide)'!$J:$J,'Time based aggregation (hide)'!$E:$E,3,'Time based aggregation (hide)'!$F:$F,3,'Time based aggregation (hide)'!$A:$A,ROW(A24))</f>
        <v>0</v>
      </c>
      <c r="KO66" s="6">
        <f>SUMIFS('Time based aggregation (hide)'!$J:$J,'Time based aggregation (hide)'!$E:$E,4,'Time based aggregation (hide)'!$F:$F,1,'Time based aggregation (hide)'!$A:$A,ROW(A24))</f>
        <v>0</v>
      </c>
      <c r="KP66" s="6">
        <f>SUMIFS('Time based aggregation (hide)'!$J:$J,'Time based aggregation (hide)'!$E:$E,4,'Time based aggregation (hide)'!$F:$F,2,'Time based aggregation (hide)'!$A:$A,ROW(A24))</f>
        <v>0</v>
      </c>
      <c r="KQ66" s="6">
        <f>SUMIFS('Time based aggregation (hide)'!$J:$J,'Time based aggregation (hide)'!$E:$E,4,'Time based aggregation (hide)'!$F:$F,3,'Time based aggregation (hide)'!$A:$A,ROW(A24))</f>
        <v>0</v>
      </c>
      <c r="KR66" s="6">
        <f>SUMIFS('Time based aggregation (hide)'!$J:$J,'Time based aggregation (hide)'!$E:$E,5,'Time based aggregation (hide)'!$F:$F,1,'Time based aggregation (hide)'!$A:$A,ROW(A24))</f>
        <v>0</v>
      </c>
      <c r="KS66" s="6">
        <f>SUMIFS('Time based aggregation (hide)'!$J:$J,'Time based aggregation (hide)'!$E:$E,5,'Time based aggregation (hide)'!$F:$F,2,'Time based aggregation (hide)'!$A:$A,ROW(A24))</f>
        <v>0</v>
      </c>
      <c r="KT66" s="6">
        <f>SUMIFS('Time based aggregation (hide)'!$J:$J,'Time based aggregation (hide)'!$E:$E,5,'Time based aggregation (hide)'!$F:$F,3,'Time based aggregation (hide)'!$A:$A,ROW(A24))</f>
        <v>0</v>
      </c>
      <c r="KU66" s="6">
        <f>SUMIFS('Time based aggregation (hide)'!$J:$J,'Time based aggregation (hide)'!$E:$E,6,'Time based aggregation (hide)'!$F:$F,1,'Time based aggregation (hide)'!$A:$A,ROW(A24))</f>
        <v>0</v>
      </c>
      <c r="KV66" s="6">
        <f>SUMIFS('Time based aggregation (hide)'!$J:$J,'Time based aggregation (hide)'!$E:$E,6,'Time based aggregation (hide)'!$F:$F,2,'Time based aggregation (hide)'!$A:$A,ROW(A24))</f>
        <v>0</v>
      </c>
      <c r="KW66" s="6">
        <f>SUMIFS('Time based aggregation (hide)'!$J:$J,'Time based aggregation (hide)'!$E:$E,6,'Time based aggregation (hide)'!$F:$F,3,'Time based aggregation (hide)'!$A:$A,ROW(A24))</f>
        <v>0</v>
      </c>
      <c r="KX66" s="6">
        <f>SUMIFS('Time based aggregation (hide)'!$J:$J,'Time based aggregation (hide)'!$E:$E,7,'Time based aggregation (hide)'!$F:$F,1,'Time based aggregation (hide)'!$A:$A,ROW(A24))</f>
        <v>0</v>
      </c>
      <c r="KY66" s="6">
        <f>SUMIFS('Time based aggregation (hide)'!$J:$J,'Time based aggregation (hide)'!$E:$E,7,'Time based aggregation (hide)'!$F:$F,2,'Time based aggregation (hide)'!$A:$A,ROW(A24))</f>
        <v>0</v>
      </c>
      <c r="KZ66" s="6">
        <f>SUMIFS('Time based aggregation (hide)'!$J:$J,'Time based aggregation (hide)'!$E:$E,7,'Time based aggregation (hide)'!$F:$F,3,'Time based aggregation (hide)'!$A:$A,ROW(A24))</f>
        <v>0</v>
      </c>
      <c r="LA66" s="6">
        <f>SUMIFS('Time based aggregation (hide)'!$J:$J,'Time based aggregation (hide)'!$E:$E,8,'Time based aggregation (hide)'!$F:$F,1,'Time based aggregation (hide)'!$A:$A,ROW(A24))</f>
        <v>0</v>
      </c>
      <c r="LB66" s="6">
        <f>SUMIFS('Time based aggregation (hide)'!$J:$J,'Time based aggregation (hide)'!$E:$E,8,'Time based aggregation (hide)'!$F:$F,2,'Time based aggregation (hide)'!$A:$A,ROW(A24))</f>
        <v>0</v>
      </c>
      <c r="LC66" s="6">
        <f>SUMIFS('Time based aggregation (hide)'!$J:$J,'Time based aggregation (hide)'!$E:$E,8,'Time based aggregation (hide)'!$F:$F,3,'Time based aggregation (hide)'!$A:$A,ROW(A24))</f>
        <v>0</v>
      </c>
      <c r="LD66" s="6">
        <f>SUMIFS('Time based aggregation (hide)'!$J:$J,'Time based aggregation (hide)'!$E:$E,9,'Time based aggregation (hide)'!$F:$F,1,'Time based aggregation (hide)'!$A:$A,ROW(A24))</f>
        <v>0</v>
      </c>
      <c r="LE66" s="6">
        <f>SUMIFS('Time based aggregation (hide)'!$J:$J,'Time based aggregation (hide)'!$E:$E,9,'Time based aggregation (hide)'!$F:$F,2,'Time based aggregation (hide)'!$A:$A,ROW(A24))</f>
        <v>0</v>
      </c>
      <c r="LF66" s="6">
        <f>SUMIFS('Time based aggregation (hide)'!$J:$J,'Time based aggregation (hide)'!$E:$E,9,'Time based aggregation (hide)'!$F:$F,3,'Time based aggregation (hide)'!$A:$A,ROW(A24))</f>
        <v>0</v>
      </c>
      <c r="LG66" s="6">
        <f>SUMIFS('Time based aggregation (hide)'!$J:$J,'Time based aggregation (hide)'!$E:$E,10,'Time based aggregation (hide)'!$F:$F,1,'Time based aggregation (hide)'!$A:$A,ROW(A24))</f>
        <v>0</v>
      </c>
      <c r="LH66" s="6">
        <f>SUMIFS('Time based aggregation (hide)'!$J:$J,'Time based aggregation (hide)'!$E:$E,10,'Time based aggregation (hide)'!$F:$F,2,'Time based aggregation (hide)'!$A:$A,ROW(A24))</f>
        <v>0</v>
      </c>
      <c r="LI66" s="6">
        <f>SUMIFS('Time based aggregation (hide)'!$J:$J,'Time based aggregation (hide)'!$E:$E,10,'Time based aggregation (hide)'!$F:$F,3,'Time based aggregation (hide)'!$A:$A,ROW(A24))</f>
        <v>0</v>
      </c>
      <c r="LJ66" s="6">
        <f>SUMIFS('Time based aggregation (hide)'!$J:$J,'Time based aggregation (hide)'!$E:$E,11,'Time based aggregation (hide)'!$F:$F,1,'Time based aggregation (hide)'!$A:$A,ROW(A24))</f>
        <v>0</v>
      </c>
      <c r="LK66" s="6">
        <f>SUMIFS('Time based aggregation (hide)'!$J:$J,'Time based aggregation (hide)'!$E:$E,11,'Time based aggregation (hide)'!$F:$F,2,'Time based aggregation (hide)'!$A:$A,ROW(A24))</f>
        <v>0</v>
      </c>
      <c r="LL66" s="6">
        <f>SUMIFS('Time based aggregation (hide)'!$J:$J,'Time based aggregation (hide)'!$E:$E,11,'Time based aggregation (hide)'!$F:$F,3,'Time based aggregation (hide)'!$A:$A,ROW(A24))</f>
        <v>0</v>
      </c>
      <c r="LM66" s="6">
        <f>SUMIFS('Time based aggregation (hide)'!$J:$J,'Time based aggregation (hide)'!$E:$E,12,'Time based aggregation (hide)'!$F:$F,1,'Time based aggregation (hide)'!$A:$A,ROW(A24))</f>
        <v>0</v>
      </c>
      <c r="LN66" s="6">
        <f>SUMIFS('Time based aggregation (hide)'!$J:$J,'Time based aggregation (hide)'!$E:$E,12,'Time based aggregation (hide)'!$F:$F,2,'Time based aggregation (hide)'!$A:$A,ROW(A24))</f>
        <v>0</v>
      </c>
      <c r="LO66" s="6">
        <f>SUMIFS('Time based aggregation (hide)'!$J:$J,'Time based aggregation (hide)'!$E:$E,12,'Time based aggregation (hide)'!$F:$F,3,'Time based aggregation (hide)'!$A:$A,ROW(A24))</f>
        <v>0</v>
      </c>
      <c r="LP66" s="6">
        <f>SUMIFS('Time based aggregation (hide)'!$J:$J,'Time based aggregation (hide)'!$E:$E,13,'Time based aggregation (hide)'!$F:$F,1,'Time based aggregation (hide)'!$A:$A,ROW(A24))</f>
        <v>0</v>
      </c>
      <c r="LQ66" s="6">
        <f>SUMIFS('Time based aggregation (hide)'!$J:$J,'Time based aggregation (hide)'!$E:$E,13,'Time based aggregation (hide)'!$F:$F,2,'Time based aggregation (hide)'!$A:$A,ROW(A24))</f>
        <v>0</v>
      </c>
      <c r="LR66" s="6">
        <f>SUMIFS('Time based aggregation (hide)'!$J:$J,'Time based aggregation (hide)'!$E:$E,13,'Time based aggregation (hide)'!$F:$F,3,'Time based aggregation (hide)'!$A:$A,ROW(A24))</f>
        <v>0</v>
      </c>
      <c r="LS66" s="6">
        <f>SUMIFS('Time based aggregation (hide)'!$J:$J,'Time based aggregation (hide)'!$E:$E,14,'Time based aggregation (hide)'!$F:$F,1,'Time based aggregation (hide)'!$A:$A,ROW(A24))</f>
        <v>0</v>
      </c>
      <c r="LT66" s="6">
        <f>SUMIFS('Time based aggregation (hide)'!$J:$J,'Time based aggregation (hide)'!$E:$E,14,'Time based aggregation (hide)'!$F:$F,2,'Time based aggregation (hide)'!$A:$A,ROW(A24))</f>
        <v>0</v>
      </c>
      <c r="LU66" s="6">
        <f>SUMIFS('Time based aggregation (hide)'!$J:$J,'Time based aggregation (hide)'!$E:$E,14,'Time based aggregation (hide)'!$F:$F,3,'Time based aggregation (hide)'!$A:$A,ROW(A24))</f>
        <v>0</v>
      </c>
      <c r="LV66" s="6">
        <f>SUMIFS('Time based aggregation (hide)'!$J:$J,'Time based aggregation (hide)'!$E:$E,15,'Time based aggregation (hide)'!$F:$F,1,'Time based aggregation (hide)'!$A:$A,ROW(A24))</f>
        <v>0</v>
      </c>
      <c r="LW66" s="6">
        <f>SUMIFS('Time based aggregation (hide)'!$J:$J,'Time based aggregation (hide)'!$E:$E,15,'Time based aggregation (hide)'!$F:$F,2,'Time based aggregation (hide)'!$A:$A,ROW(A24))</f>
        <v>0</v>
      </c>
      <c r="LX66" s="6">
        <f>SUMIFS('Time based aggregation (hide)'!$J:$J,'Time based aggregation (hide)'!$E:$E,15,'Time based aggregation (hide)'!$F:$F,3,'Time based aggregation (hide)'!$A:$A,ROW(A24))</f>
        <v>0</v>
      </c>
      <c r="LY66" s="6">
        <f>SUMIFS('Time based aggregation (hide)'!$J:$J,'Time based aggregation (hide)'!$E:$E,16,'Time based aggregation (hide)'!$F:$F,1,'Time based aggregation (hide)'!$A:$A,ROW(A24))</f>
        <v>0</v>
      </c>
      <c r="LZ66" s="6">
        <f>SUMIFS('Time based aggregation (hide)'!$J:$J,'Time based aggregation (hide)'!$E:$E,16,'Time based aggregation (hide)'!$F:$F,2,'Time based aggregation (hide)'!$A:$A,ROW(A24))</f>
        <v>0</v>
      </c>
      <c r="MA66" s="6">
        <f>SUMIFS('Time based aggregation (hide)'!$J:$J,'Time based aggregation (hide)'!$E:$E,16,'Time based aggregation (hide)'!$F:$F,3,'Time based aggregation (hide)'!$A:$A,ROW(A24))</f>
        <v>0</v>
      </c>
      <c r="MB66" s="6">
        <f>SUMIFS('Time based aggregation (hide)'!$J:$J,'Time based aggregation (hide)'!$E:$E,17,'Time based aggregation (hide)'!$F:$F,1,'Time based aggregation (hide)'!$A:$A,ROW(A24))</f>
        <v>0</v>
      </c>
      <c r="MC66" s="6">
        <f>SUMIFS('Time based aggregation (hide)'!$J:$J,'Time based aggregation (hide)'!$E:$E,17,'Time based aggregation (hide)'!$F:$F,2,'Time based aggregation (hide)'!$A:$A,ROW(A24))</f>
        <v>0</v>
      </c>
      <c r="MD66" s="6">
        <f>SUMIFS('Time based aggregation (hide)'!$J:$J,'Time based aggregation (hide)'!$E:$E,17,'Time based aggregation (hide)'!$F:$F,3,'Time based aggregation (hide)'!$A:$A,ROW(A24))</f>
        <v>0</v>
      </c>
      <c r="ME66" s="6">
        <f>SUMIFS('Time based aggregation (hide)'!$J:$J,'Time based aggregation (hide)'!$E:$E,18,'Time based aggregation (hide)'!$F:$F,1,'Time based aggregation (hide)'!$A:$A,ROW(A24))</f>
        <v>0</v>
      </c>
      <c r="MF66" s="6">
        <f>SUMIFS('Time based aggregation (hide)'!$J:$J,'Time based aggregation (hide)'!$E:$E,18,'Time based aggregation (hide)'!$F:$F,2,'Time based aggregation (hide)'!$A:$A,ROW(A24))</f>
        <v>0</v>
      </c>
      <c r="MG66" s="6">
        <f>SUMIFS('Time based aggregation (hide)'!$J:$J,'Time based aggregation (hide)'!$E:$E,18,'Time based aggregation (hide)'!$F:$F,3,'Time based aggregation (hide)'!$A:$A,ROW(A24))</f>
        <v>0</v>
      </c>
      <c r="MH66" s="6">
        <f>SUMIFS('Time based aggregation (hide)'!$J:$J,'Time based aggregation (hide)'!$E:$E,19,'Time based aggregation (hide)'!$F:$F,1,'Time based aggregation (hide)'!$A:$A,ROW(A24))</f>
        <v>0</v>
      </c>
      <c r="MI66" s="6">
        <f>SUMIFS('Time based aggregation (hide)'!$J:$J,'Time based aggregation (hide)'!$E:$E,19,'Time based aggregation (hide)'!$F:$F,2,'Time based aggregation (hide)'!$A:$A,ROW(A24))</f>
        <v>0</v>
      </c>
      <c r="MJ66" s="6">
        <f>SUMIFS('Time based aggregation (hide)'!$J:$J,'Time based aggregation (hide)'!$E:$E,19,'Time based aggregation (hide)'!$F:$F,3,'Time based aggregation (hide)'!$A:$A,ROW(A24))</f>
        <v>0</v>
      </c>
      <c r="MK66" s="6">
        <f>SUMIFS('Time based aggregation (hide)'!$J:$J,'Time based aggregation (hide)'!$E:$E,20,'Time based aggregation (hide)'!$F:$F,1,'Time based aggregation (hide)'!$A:$A,ROW(A24))</f>
        <v>0</v>
      </c>
      <c r="ML66" s="6">
        <f>SUMIFS('Time based aggregation (hide)'!$J:$J,'Time based aggregation (hide)'!$E:$E,20,'Time based aggregation (hide)'!$F:$F,2,'Time based aggregation (hide)'!$A:$A,ROW(A24))</f>
        <v>0</v>
      </c>
      <c r="MM66" s="6">
        <f>SUMIFS('Time based aggregation (hide)'!$J:$J,'Time based aggregation (hide)'!$E:$E,20,'Time based aggregation (hide)'!$F:$F,3,'Time based aggregation (hide)'!$A:$A,ROW(A24))</f>
        <v>0</v>
      </c>
      <c r="MN66" s="7">
        <f t="shared" ca="1" si="41"/>
        <v>0</v>
      </c>
      <c r="MO66" s="7">
        <f t="shared" ca="1" si="41"/>
        <v>0</v>
      </c>
      <c r="MP66" s="7">
        <f t="shared" ca="1" si="41"/>
        <v>0</v>
      </c>
      <c r="MQ66" s="7">
        <f t="shared" ca="1" si="41"/>
        <v>0</v>
      </c>
      <c r="MR66" s="7">
        <f t="shared" ca="1" si="41"/>
        <v>0</v>
      </c>
    </row>
    <row r="67" spans="1:356" x14ac:dyDescent="0.25">
      <c r="A67">
        <f>1</f>
        <v>1</v>
      </c>
      <c r="B67" s="85">
        <f t="shared" si="37"/>
        <v>43855</v>
      </c>
      <c r="C67" s="85">
        <f t="shared" si="25"/>
        <v>43850</v>
      </c>
      <c r="D67">
        <f t="shared" ca="1" si="26"/>
        <v>0</v>
      </c>
      <c r="E67" s="85">
        <f t="shared" si="27"/>
        <v>43831</v>
      </c>
      <c r="F67">
        <f t="shared" si="33"/>
        <v>4</v>
      </c>
      <c r="H67">
        <f t="shared" si="34"/>
        <v>25</v>
      </c>
      <c r="I67" s="85">
        <f t="shared" si="38"/>
        <v>43997</v>
      </c>
      <c r="J67">
        <f t="shared" ca="1" si="28"/>
        <v>5</v>
      </c>
      <c r="K67">
        <f t="shared" ca="1" si="29"/>
        <v>1.968503937007874E-2</v>
      </c>
      <c r="L67" s="114"/>
      <c r="N67" s="85">
        <f t="shared" si="35"/>
        <v>43997</v>
      </c>
      <c r="O67" s="122">
        <f t="shared" ca="1" si="42"/>
        <v>0</v>
      </c>
      <c r="P67" s="122">
        <f t="shared" ca="1" si="42"/>
        <v>0</v>
      </c>
      <c r="Q67" s="122">
        <f t="shared" ca="1" si="42"/>
        <v>0</v>
      </c>
      <c r="R67" s="122">
        <f t="shared" ca="1" si="42"/>
        <v>0</v>
      </c>
      <c r="S67" s="122">
        <f t="shared" ca="1" si="42"/>
        <v>0</v>
      </c>
      <c r="T67" s="122">
        <f t="shared" ca="1" si="42"/>
        <v>1</v>
      </c>
      <c r="U67" s="122">
        <f t="shared" ca="1" si="42"/>
        <v>0</v>
      </c>
      <c r="V67" s="122">
        <f t="shared" ca="1" si="42"/>
        <v>0</v>
      </c>
      <c r="W67" s="122">
        <f t="shared" ca="1" si="42"/>
        <v>0</v>
      </c>
      <c r="X67" s="122">
        <f t="shared" ca="1" si="42"/>
        <v>0</v>
      </c>
      <c r="Y67" s="122">
        <f t="shared" ca="1" si="42"/>
        <v>0</v>
      </c>
      <c r="Z67" s="122">
        <f t="shared" ca="1" si="42"/>
        <v>0</v>
      </c>
      <c r="AA67" s="122"/>
      <c r="AB67" s="140">
        <f>INDEX('File 1'!Weekly_Adjusted,25,1)</f>
        <v>388.17143954725253</v>
      </c>
      <c r="AC67" s="140">
        <f>INDEX('File 1'!Weekly_Adjusted,25,2)</f>
        <v>0</v>
      </c>
      <c r="AD67" s="140">
        <f>INDEX('File 1'!Weekly_Adjusted,25,3)</f>
        <v>0</v>
      </c>
      <c r="AE67" s="141">
        <f>INDEX('File 2'!Weekly_Adjusted,25,1)</f>
        <v>0</v>
      </c>
      <c r="AF67" s="141">
        <f>INDEX('File 2'!Weekly_Adjusted,25,2)</f>
        <v>0</v>
      </c>
      <c r="AG67" s="141">
        <f>INDEX('File 2'!Weekly_Adjusted,25,3)</f>
        <v>0</v>
      </c>
      <c r="AH67" s="140">
        <f>INDEX('File 3'!Weekly_Adjusted,25,1)</f>
        <v>0</v>
      </c>
      <c r="AI67" s="140">
        <f>INDEX('File 3'!Weekly_Adjusted,25,2)</f>
        <v>0</v>
      </c>
      <c r="AJ67" s="140">
        <f>INDEX('File 3'!Weekly_Adjusted,25,3)</f>
        <v>0</v>
      </c>
      <c r="AK67" s="141">
        <f>INDEX('File 4'!Weekly_Adjusted,25,1)</f>
        <v>0</v>
      </c>
      <c r="AL67" s="141">
        <f>INDEX('File 4'!Weekly_Adjusted,25,2)</f>
        <v>0</v>
      </c>
      <c r="AM67" s="141">
        <f>INDEX('File 4'!Weekly_Adjusted,25,3)</f>
        <v>0</v>
      </c>
      <c r="AN67" s="140">
        <f>INDEX('File 5'!Weekly_Adjusted,25,1)</f>
        <v>0</v>
      </c>
      <c r="AO67" s="140">
        <f>INDEX('File 5'!Weekly_Adjusted,25,2)</f>
        <v>0</v>
      </c>
      <c r="AP67" s="140">
        <f>INDEX('File 5'!Weekly_Adjusted,25,3)</f>
        <v>0</v>
      </c>
      <c r="AQ67" s="141">
        <f>INDEX('File 6'!Weekly_Adjusted,25,1)</f>
        <v>0</v>
      </c>
      <c r="AR67" s="141">
        <f>INDEX('File 6'!Weekly_Adjusted,25,2)</f>
        <v>0</v>
      </c>
      <c r="AS67" s="141">
        <f>INDEX('File 6'!Weekly_Adjusted,25,3)</f>
        <v>0</v>
      </c>
      <c r="AT67" s="140">
        <f>INDEX('File 7'!Weekly_Adjusted,25,1)</f>
        <v>0</v>
      </c>
      <c r="AU67" s="140">
        <f>INDEX('File 7'!Weekly_Adjusted,25,2)</f>
        <v>0</v>
      </c>
      <c r="AV67" s="140">
        <f>INDEX('File 7'!Weekly_Adjusted,25,3)</f>
        <v>0</v>
      </c>
      <c r="AW67" s="141">
        <f>INDEX('File 8'!Weekly_Adjusted,25,1)</f>
        <v>0</v>
      </c>
      <c r="AX67" s="141">
        <f>INDEX('File 8'!Weekly_Adjusted,25,2)</f>
        <v>0</v>
      </c>
      <c r="AY67" s="141">
        <f>INDEX('File 8'!Weekly_Adjusted,25,3)</f>
        <v>0</v>
      </c>
      <c r="AZ67" s="140">
        <f>INDEX('File 9'!Weekly_Adjusted,25,1)</f>
        <v>0</v>
      </c>
      <c r="BA67" s="140">
        <f>INDEX('File 9'!Weekly_Adjusted,25,2)</f>
        <v>0</v>
      </c>
      <c r="BB67" s="140">
        <f>INDEX('File 9'!Weekly_Adjusted,25,3)</f>
        <v>0</v>
      </c>
      <c r="BC67" s="141">
        <f>INDEX('File 10'!Weekly_Adjusted,25,1)</f>
        <v>0</v>
      </c>
      <c r="BD67" s="141">
        <f>INDEX('File 10'!Weekly_Adjusted,25,2)</f>
        <v>0</v>
      </c>
      <c r="BE67" s="141">
        <f>INDEX('File 10'!Weekly_Adjusted,25,3)</f>
        <v>0</v>
      </c>
      <c r="BF67" s="140">
        <f>INDEX('File 11'!Weekly_Adjusted,25,1)</f>
        <v>0</v>
      </c>
      <c r="BG67" s="140">
        <f>INDEX('File 11'!Weekly_Adjusted,25,2)</f>
        <v>0</v>
      </c>
      <c r="BH67" s="140">
        <f>INDEX('File 11'!Weekly_Adjusted,25,3)</f>
        <v>0</v>
      </c>
      <c r="BI67" s="141">
        <f>INDEX('File 12'!Weekly_Adjusted,25,1)</f>
        <v>0</v>
      </c>
      <c r="BJ67" s="141">
        <f>INDEX('File 12'!Weekly_Adjusted,25,2)</f>
        <v>0</v>
      </c>
      <c r="BK67" s="141">
        <f>INDEX('File 12'!Weekly_Adjusted,25,3)</f>
        <v>0</v>
      </c>
      <c r="BL67" s="140">
        <f>INDEX('File 13'!Weekly_Adjusted,25,1)</f>
        <v>0</v>
      </c>
      <c r="BM67" s="140">
        <f>INDEX('File 13'!Weekly_Adjusted,25,2)</f>
        <v>0</v>
      </c>
      <c r="BN67" s="140">
        <f>INDEX('File 13'!Weekly_Adjusted,25,3)</f>
        <v>0</v>
      </c>
      <c r="BO67" s="141">
        <f>INDEX('File 14'!Weekly_Adjusted,25,1)</f>
        <v>0</v>
      </c>
      <c r="BP67" s="141">
        <f>INDEX('File 14'!Weekly_Adjusted,25,2)</f>
        <v>0</v>
      </c>
      <c r="BQ67" s="141">
        <f>INDEX('File 14'!Weekly_Adjusted,25,3)</f>
        <v>0</v>
      </c>
      <c r="BR67" s="140">
        <f>INDEX('File 15'!Weekly_Adjusted,25,1)</f>
        <v>0</v>
      </c>
      <c r="BS67" s="140">
        <f>INDEX('File 15'!Weekly_Adjusted,25,2)</f>
        <v>0</v>
      </c>
      <c r="BT67" s="140">
        <f>INDEX('File 15'!Weekly_Adjusted,25,3)</f>
        <v>0</v>
      </c>
      <c r="BU67" s="141">
        <f>INDEX('File 16'!Weekly_Adjusted,25,1)</f>
        <v>0</v>
      </c>
      <c r="BV67" s="141">
        <f>INDEX('File 16'!Weekly_Adjusted,25,2)</f>
        <v>0</v>
      </c>
      <c r="BW67" s="141">
        <f>INDEX('File 16'!Weekly_Adjusted,25,3)</f>
        <v>0</v>
      </c>
      <c r="BX67" s="140">
        <f>INDEX('File 17'!Weekly_Adjusted,25,1)</f>
        <v>0</v>
      </c>
      <c r="BY67" s="140">
        <f>INDEX('File 17'!Weekly_Adjusted,25,2)</f>
        <v>0</v>
      </c>
      <c r="BZ67" s="140">
        <f>INDEX('File 17'!Weekly_Adjusted,25,3)</f>
        <v>0</v>
      </c>
      <c r="CA67" s="141">
        <f>INDEX('File 18'!Weekly_Adjusted,25,1)</f>
        <v>0</v>
      </c>
      <c r="CB67" s="141">
        <f>INDEX('File 18'!Weekly_Adjusted,25,2)</f>
        <v>0</v>
      </c>
      <c r="CC67" s="141">
        <f>INDEX('File 18'!Weekly_Adjusted,25,3)</f>
        <v>0</v>
      </c>
      <c r="CD67" s="140">
        <f>INDEX('File 19'!Weekly_Adjusted,25,1)</f>
        <v>0</v>
      </c>
      <c r="CE67" s="140">
        <f>INDEX('File 19'!Weekly_Adjusted,25,2)</f>
        <v>0</v>
      </c>
      <c r="CF67" s="140">
        <f>INDEX('File 19'!Weekly_Adjusted,25,3)</f>
        <v>0</v>
      </c>
      <c r="CG67" s="141">
        <f>INDEX('File 20'!Weekly_Adjusted,25,1)</f>
        <v>0</v>
      </c>
      <c r="CH67" s="141">
        <f>INDEX('File 20'!Weekly_Adjusted,25,2)</f>
        <v>0</v>
      </c>
      <c r="CI67" s="141">
        <f>INDEX('File 20'!Weekly_Adjusted,25,3)</f>
        <v>0</v>
      </c>
      <c r="CJ67" s="6">
        <f ca="1">SUMIFS(INDEX(Demand_Activity_Weekly,ROW(A25),0),Demand_Activity_Weekly_Header,CJ$42)</f>
        <v>388.17143954725253</v>
      </c>
      <c r="CK67" s="6">
        <f ca="1">SUMIFS(INDEX(Demand_Activity_Weekly,ROW(B25),0),Demand_Activity_Weekly_Header,CK$42)</f>
        <v>0</v>
      </c>
      <c r="CL67" s="6">
        <f ca="1">SUMIFS(INDEX(Demand_Activity_Weekly,ROW(C25),0),Demand_Activity_Weekly_Header,CL$42)</f>
        <v>0</v>
      </c>
      <c r="CM67" s="6">
        <f ca="1">SUMIFS(INDEX(Demand_Activity_Weekly,ROW(D25),0),Demand_Activity_Weekly_Header,CM$42)</f>
        <v>0</v>
      </c>
      <c r="CN67" s="6">
        <f ca="1">SUMIFS(INDEX(Demand_Activity_Weekly,ROW(E25),0),Demand_Activity_Weekly_Header,CN$42)</f>
        <v>0</v>
      </c>
      <c r="CP67" s="142">
        <f>INDEX('File 1'!Weekly_Adjusted,25,10)</f>
        <v>24.344712210866053</v>
      </c>
      <c r="CQ67" s="142">
        <f>INDEX('File 1'!Weekly_Adjusted,25,11)</f>
        <v>0</v>
      </c>
      <c r="CR67" s="142">
        <f>INDEX('File 1'!Weekly_Adjusted,25,12)</f>
        <v>0</v>
      </c>
      <c r="CS67" s="143">
        <f>INDEX('File 2'!Weekly_Adjusted,25,10)</f>
        <v>0</v>
      </c>
      <c r="CT67" s="143">
        <f>INDEX('File 2'!Weekly_Adjusted,25,11)</f>
        <v>0</v>
      </c>
      <c r="CU67" s="143">
        <f>INDEX('File 2'!Weekly_Adjusted,25,12)</f>
        <v>0</v>
      </c>
      <c r="CV67" s="142">
        <f>INDEX('File 3'!Weekly_Adjusted,25,10)</f>
        <v>0</v>
      </c>
      <c r="CW67" s="142">
        <f>INDEX('File 3'!Weekly_Adjusted,25,11)</f>
        <v>0</v>
      </c>
      <c r="CX67" s="142">
        <f>INDEX('File 3'!Weekly_Adjusted,25,12)</f>
        <v>0</v>
      </c>
      <c r="CY67" s="143">
        <f>INDEX('File 4'!Weekly_Adjusted,25,10)</f>
        <v>0</v>
      </c>
      <c r="CZ67" s="143">
        <f>INDEX('File 4'!Weekly_Adjusted,25,11)</f>
        <v>0</v>
      </c>
      <c r="DA67" s="143">
        <f>INDEX('File 4'!Weekly_Adjusted,25,12)</f>
        <v>0</v>
      </c>
      <c r="DB67" s="142">
        <f>INDEX('File 5'!Weekly_Adjusted,25,10)</f>
        <v>0</v>
      </c>
      <c r="DC67" s="142">
        <f>INDEX('File 5'!Weekly_Adjusted,25,11)</f>
        <v>0</v>
      </c>
      <c r="DD67" s="142">
        <f>INDEX('File 5'!Weekly_Adjusted,25,12)</f>
        <v>0</v>
      </c>
      <c r="DE67" s="143">
        <f>INDEX('File 6'!Weekly_Adjusted,25,10)</f>
        <v>0</v>
      </c>
      <c r="DF67" s="143">
        <f>INDEX('File 6'!Weekly_Adjusted,25,11)</f>
        <v>0</v>
      </c>
      <c r="DG67" s="143">
        <f>INDEX('File 6'!Weekly_Adjusted,25,12)</f>
        <v>0</v>
      </c>
      <c r="DH67" s="142">
        <f>INDEX('File 7'!Weekly_Adjusted,25,10)</f>
        <v>0</v>
      </c>
      <c r="DI67" s="142">
        <f>INDEX('File 7'!Weekly_Adjusted,25,11)</f>
        <v>0</v>
      </c>
      <c r="DJ67" s="142">
        <f>INDEX('File 7'!Weekly_Adjusted,25,12)</f>
        <v>0</v>
      </c>
      <c r="DK67" s="143">
        <f>INDEX('File 8'!Weekly_Adjusted,25,10)</f>
        <v>0</v>
      </c>
      <c r="DL67" s="143">
        <f>INDEX('File 8'!Weekly_Adjusted,25,11)</f>
        <v>0</v>
      </c>
      <c r="DM67" s="143">
        <f>INDEX('File 8'!Weekly_Adjusted,25,12)</f>
        <v>0</v>
      </c>
      <c r="DN67" s="142">
        <f>INDEX('File 9'!Weekly_Adjusted,25,10)</f>
        <v>0</v>
      </c>
      <c r="DO67" s="142">
        <f>INDEX('File 9'!Weekly_Adjusted,25,11)</f>
        <v>0</v>
      </c>
      <c r="DP67" s="142">
        <f>INDEX('File 9'!Weekly_Adjusted,25,12)</f>
        <v>0</v>
      </c>
      <c r="DQ67" s="143">
        <f>INDEX('File 10'!Weekly_Adjusted,25,10)</f>
        <v>0</v>
      </c>
      <c r="DR67" s="143">
        <f>INDEX('File 10'!Weekly_Adjusted,25,11)</f>
        <v>0</v>
      </c>
      <c r="DS67" s="143">
        <f>INDEX('File 10'!Weekly_Adjusted,25,12)</f>
        <v>0</v>
      </c>
      <c r="DT67" s="142">
        <f>INDEX('File 11'!Weekly_Adjusted,25,10)</f>
        <v>0</v>
      </c>
      <c r="DU67" s="142">
        <f>INDEX('File 11'!Weekly_Adjusted,25,11)</f>
        <v>0</v>
      </c>
      <c r="DV67" s="142">
        <f>INDEX('File 11'!Weekly_Adjusted,25,12)</f>
        <v>0</v>
      </c>
      <c r="DW67" s="143">
        <f>INDEX('File 12'!Weekly_Adjusted,25,10)</f>
        <v>0</v>
      </c>
      <c r="DX67" s="143">
        <f>INDEX('File 12'!Weekly_Adjusted,25,11)</f>
        <v>0</v>
      </c>
      <c r="DY67" s="143">
        <f>INDEX('File 12'!Weekly_Adjusted,25,12)</f>
        <v>0</v>
      </c>
      <c r="DZ67" s="142">
        <f>INDEX('File 13'!Weekly_Adjusted,25,10)</f>
        <v>0</v>
      </c>
      <c r="EA67" s="142">
        <f>INDEX('File 13'!Weekly_Adjusted,25,11)</f>
        <v>0</v>
      </c>
      <c r="EB67" s="142">
        <f>INDEX('File 13'!Weekly_Adjusted,25,12)</f>
        <v>0</v>
      </c>
      <c r="EC67" s="143">
        <f>INDEX('File 14'!Weekly_Adjusted,25,10)</f>
        <v>0</v>
      </c>
      <c r="ED67" s="143">
        <f>INDEX('File 14'!Weekly_Adjusted,25,11)</f>
        <v>0</v>
      </c>
      <c r="EE67" s="143">
        <f>INDEX('File 14'!Weekly_Adjusted,25,12)</f>
        <v>0</v>
      </c>
      <c r="EF67" s="142">
        <f>INDEX('File 15'!Weekly_Adjusted,25,10)</f>
        <v>0</v>
      </c>
      <c r="EG67" s="142">
        <f>INDEX('File 15'!Weekly_Adjusted,25,11)</f>
        <v>0</v>
      </c>
      <c r="EH67" s="142">
        <f>INDEX('File 15'!Weekly_Adjusted,25,12)</f>
        <v>0</v>
      </c>
      <c r="EI67" s="143">
        <f>INDEX('File 16'!Weekly_Adjusted,25,10)</f>
        <v>0</v>
      </c>
      <c r="EJ67" s="143">
        <f>INDEX('File 16'!Weekly_Adjusted,25,11)</f>
        <v>0</v>
      </c>
      <c r="EK67" s="143">
        <f>INDEX('File 16'!Weekly_Adjusted,25,12)</f>
        <v>0</v>
      </c>
      <c r="EL67" s="142">
        <f>INDEX('File 17'!Weekly_Adjusted,25,10)</f>
        <v>0</v>
      </c>
      <c r="EM67" s="142">
        <f>INDEX('File 17'!Weekly_Adjusted,25,11)</f>
        <v>0</v>
      </c>
      <c r="EN67" s="142">
        <f>INDEX('File 17'!Weekly_Adjusted,25,12)</f>
        <v>0</v>
      </c>
      <c r="EO67" s="143">
        <f>INDEX('File 18'!Weekly_Adjusted,25,10)</f>
        <v>0</v>
      </c>
      <c r="EP67" s="143">
        <f>INDEX('File 18'!Weekly_Adjusted,25,11)</f>
        <v>0</v>
      </c>
      <c r="EQ67" s="143">
        <f>INDEX('File 18'!Weekly_Adjusted,25,12)</f>
        <v>0</v>
      </c>
      <c r="ER67" s="142">
        <f>INDEX('File 19'!Weekly_Adjusted,25,10)</f>
        <v>0</v>
      </c>
      <c r="ES67" s="142">
        <f>INDEX('File 19'!Weekly_Adjusted,25,11)</f>
        <v>0</v>
      </c>
      <c r="ET67" s="142">
        <f>INDEX('File 19'!Weekly_Adjusted,25,12)</f>
        <v>0</v>
      </c>
      <c r="EU67" s="143">
        <f>INDEX('File 20'!Weekly_Adjusted,25,10)</f>
        <v>0</v>
      </c>
      <c r="EV67" s="143">
        <f>INDEX('File 20'!Weekly_Adjusted,25,11)</f>
        <v>0</v>
      </c>
      <c r="EW67" s="143">
        <f>INDEX('File 20'!Weekly_Adjusted,25,12)</f>
        <v>0</v>
      </c>
      <c r="EX67" s="6">
        <f ca="1">SUMIFS(INDEX(Capacity_Activity_Weekly,ROW(A25),0),Demand_Activity_Weekly_Header,CJ$42)</f>
        <v>24.344712210866053</v>
      </c>
      <c r="EY67" s="6">
        <f ca="1">SUMIFS(INDEX(Capacity_Activity_Weekly,ROW(B25),0),Demand_Activity_Weekly_Header,CK$42)</f>
        <v>0</v>
      </c>
      <c r="EZ67" s="6">
        <f ca="1">SUMIFS(INDEX(Capacity_Activity_Weekly,ROW(C25),0),Demand_Activity_Weekly_Header,CL$42)</f>
        <v>0</v>
      </c>
      <c r="FA67" s="6">
        <f ca="1">SUMIFS(INDEX(Capacity_Activity_Weekly,ROW(D25),0),Demand_Activity_Weekly_Header,CM$42)</f>
        <v>0</v>
      </c>
      <c r="FB67" s="6">
        <f ca="1">SUMIFS(INDEX(Capacity_Activity_Weekly,ROW(E25),0),Demand_Activity_Weekly_Header,CN$42)</f>
        <v>0</v>
      </c>
      <c r="FD67" s="7">
        <f>'File 1'!$Q$54*'Time based aggregation (hide)'!$Q29</f>
        <v>0</v>
      </c>
      <c r="FE67" s="7">
        <f>'File 1'!$R$54*'Time based aggregation (hide)'!$R29</f>
        <v>0</v>
      </c>
      <c r="FF67" s="7">
        <f>'File 1'!$S$54*'Time based aggregation (hide)'!$S29</f>
        <v>0</v>
      </c>
      <c r="FG67" s="7">
        <f>'File 2'!$Q$54*'Time based aggregation (hide)'!$T29</f>
        <v>0</v>
      </c>
      <c r="FH67" s="7">
        <f>'File 2'!$R$54*'Time based aggregation (hide)'!$U29</f>
        <v>0</v>
      </c>
      <c r="FI67" s="7">
        <f>'File 2'!$S$54*'Time based aggregation (hide)'!$V29</f>
        <v>0</v>
      </c>
      <c r="FJ67" s="7">
        <f>'File 3'!$Q$54*'Time based aggregation (hide)'!$W29</f>
        <v>0</v>
      </c>
      <c r="FK67" s="7">
        <f>'File 3'!$R$54*'Time based aggregation (hide)'!$X29</f>
        <v>0</v>
      </c>
      <c r="FL67" s="7">
        <f>'File 3'!$S$54*'Time based aggregation (hide)'!$Y29</f>
        <v>0</v>
      </c>
      <c r="FM67" s="7">
        <f>'File 4'!$Q$54*'Time based aggregation (hide)'!$Z29</f>
        <v>0</v>
      </c>
      <c r="FN67" s="7">
        <f>'File 4'!$R$54*'Time based aggregation (hide)'!$AA29</f>
        <v>0</v>
      </c>
      <c r="FO67" s="7">
        <f>'File 4'!$S$54*'Time based aggregation (hide)'!$AB29</f>
        <v>0</v>
      </c>
      <c r="FP67" s="7">
        <f>'File 5'!$Q$54*'Time based aggregation (hide)'!$AC29</f>
        <v>0</v>
      </c>
      <c r="FQ67" s="7">
        <f>'File 5'!$R$54*'Time based aggregation (hide)'!$AD29</f>
        <v>0</v>
      </c>
      <c r="FR67" s="7">
        <f>'File 5'!$S$54*'Time based aggregation (hide)'!$AE29</f>
        <v>0</v>
      </c>
      <c r="FS67" s="7">
        <f>'File 6'!$Q$54*'Time based aggregation (hide)'!$AF29</f>
        <v>0</v>
      </c>
      <c r="FT67" s="7">
        <f>'File 6'!$R$54*'Time based aggregation (hide)'!$AG29</f>
        <v>0</v>
      </c>
      <c r="FU67" s="7">
        <f>'File 6'!$S$54*'Time based aggregation (hide)'!$AH29</f>
        <v>0</v>
      </c>
      <c r="FV67" s="7">
        <f>'File 7'!$Q$54*'Time based aggregation (hide)'!$AI29</f>
        <v>0</v>
      </c>
      <c r="FW67" s="7">
        <f>'File 7'!$R$54*'Time based aggregation (hide)'!$AJ29</f>
        <v>0</v>
      </c>
      <c r="FX67" s="7">
        <f>'File 7'!$S$54*'Time based aggregation (hide)'!$AK29</f>
        <v>0</v>
      </c>
      <c r="FY67" s="7">
        <f>'File 8'!$Q$54*'Time based aggregation (hide)'!$AL29</f>
        <v>0</v>
      </c>
      <c r="FZ67" s="7">
        <f>'File 8'!$R$54*'Time based aggregation (hide)'!$AM29</f>
        <v>0</v>
      </c>
      <c r="GA67" s="7">
        <f>'File 8'!$S$54*'Time based aggregation (hide)'!$AN29</f>
        <v>0</v>
      </c>
      <c r="GB67" s="7">
        <f>'File 9'!$Q$54*'Time based aggregation (hide)'!$AO29</f>
        <v>0</v>
      </c>
      <c r="GC67" s="7">
        <f>'File 9'!$R$54*'Time based aggregation (hide)'!$AP29</f>
        <v>0</v>
      </c>
      <c r="GD67" s="7">
        <f>'File 9'!$S$54*'Time based aggregation (hide)'!$AQ29</f>
        <v>0</v>
      </c>
      <c r="GE67" s="7">
        <f>'File 10'!$Q$54*'Time based aggregation (hide)'!$AR29</f>
        <v>0</v>
      </c>
      <c r="GF67" s="7">
        <f>'File 10'!$R$54*'Time based aggregation (hide)'!$AS29</f>
        <v>0</v>
      </c>
      <c r="GG67" s="7">
        <f>'File 10'!$S$54*'Time based aggregation (hide)'!$AT29</f>
        <v>0</v>
      </c>
      <c r="GH67" s="7">
        <f>'File 11'!$Q$54*'Time based aggregation (hide)'!$AU29</f>
        <v>0</v>
      </c>
      <c r="GI67" s="7">
        <f>'File 11'!$R$54*'Time based aggregation (hide)'!$AV29</f>
        <v>0</v>
      </c>
      <c r="GJ67" s="7">
        <f>'File 11'!$S$54*'Time based aggregation (hide)'!$AW29</f>
        <v>0</v>
      </c>
      <c r="GK67" s="7">
        <f>'File 12'!$Q$54*'Time based aggregation (hide)'!$AX29</f>
        <v>0</v>
      </c>
      <c r="GL67" s="7">
        <f>'File 12'!$R$54*'Time based aggregation (hide)'!$AY29</f>
        <v>0</v>
      </c>
      <c r="GM67" s="7">
        <f>'File 12'!$S$54*'Time based aggregation (hide)'!$AZ29</f>
        <v>0</v>
      </c>
      <c r="GN67" s="7">
        <f>'File 13'!$Q$54*'Time based aggregation (hide)'!$BA29</f>
        <v>0</v>
      </c>
      <c r="GO67" s="7">
        <f>'File 13'!$R$54*'Time based aggregation (hide)'!$BB29</f>
        <v>0</v>
      </c>
      <c r="GP67" s="7">
        <f>'File 13'!$S$54*'Time based aggregation (hide)'!$BC29</f>
        <v>0</v>
      </c>
      <c r="GQ67" s="7">
        <f>'File 14'!$Q$54*'Time based aggregation (hide)'!$BD29</f>
        <v>0</v>
      </c>
      <c r="GR67" s="7">
        <f>'File 14'!$R$54*'Time based aggregation (hide)'!$BE29</f>
        <v>0</v>
      </c>
      <c r="GS67" s="7">
        <f>'File 14'!$S$54*'Time based aggregation (hide)'!$BF29</f>
        <v>0</v>
      </c>
      <c r="GT67" s="7">
        <f>'File 15'!$Q$54*'Time based aggregation (hide)'!$BG29</f>
        <v>0</v>
      </c>
      <c r="GU67" s="7">
        <f>'File 15'!$R$54*'Time based aggregation (hide)'!$BH29</f>
        <v>0</v>
      </c>
      <c r="GV67" s="7">
        <f>'File 15'!$S$54*'Time based aggregation (hide)'!$BI29</f>
        <v>0</v>
      </c>
      <c r="GW67" s="7">
        <f>'File 16'!$Q$54*'Time based aggregation (hide)'!$BJ29</f>
        <v>0</v>
      </c>
      <c r="GX67" s="7">
        <f>'File 16'!$R$54*'Time based aggregation (hide)'!$BK29</f>
        <v>0</v>
      </c>
      <c r="GY67" s="7">
        <f>'File 16'!$S$54*'Time based aggregation (hide)'!$BL29</f>
        <v>0</v>
      </c>
      <c r="GZ67" s="7">
        <f>'File 17'!$Q$54*'Time based aggregation (hide)'!$BM29</f>
        <v>0</v>
      </c>
      <c r="HA67" s="7">
        <f>'File 17'!$R$54*'Time based aggregation (hide)'!$BN29</f>
        <v>0</v>
      </c>
      <c r="HB67" s="7">
        <f>'File 17'!$S$54*'Time based aggregation (hide)'!$BO29</f>
        <v>0</v>
      </c>
      <c r="HC67" s="7">
        <f>'File 18'!$Q$54*'Time based aggregation (hide)'!$BP29</f>
        <v>0</v>
      </c>
      <c r="HD67" s="7">
        <f>'File 18'!$R$54*'Time based aggregation (hide)'!$BQ29</f>
        <v>0</v>
      </c>
      <c r="HE67" s="7">
        <f>'File 18'!$S$54*'Time based aggregation (hide)'!$BR29</f>
        <v>0</v>
      </c>
      <c r="HF67" s="7">
        <f>'File 19'!$Q$54*'Time based aggregation (hide)'!$BS29</f>
        <v>0</v>
      </c>
      <c r="HG67" s="7">
        <f>'File 19'!$R$54*'Time based aggregation (hide)'!$BT29</f>
        <v>0</v>
      </c>
      <c r="HH67" s="7">
        <f>'File 19'!$S$54*'Time based aggregation (hide)'!$BU29</f>
        <v>0</v>
      </c>
      <c r="HI67" s="7">
        <f>'File 20'!$Q$54*'Time based aggregation (hide)'!$BV29</f>
        <v>0</v>
      </c>
      <c r="HJ67" s="7">
        <f>'File 20'!$R$54*'Time based aggregation (hide)'!$BW29</f>
        <v>0</v>
      </c>
      <c r="HK67" s="7">
        <f>'File 20'!$S$54*'Time based aggregation (hide)'!$BX29</f>
        <v>0</v>
      </c>
      <c r="HL67" s="7">
        <f t="shared" ca="1" si="43"/>
        <v>0</v>
      </c>
      <c r="HM67" s="7">
        <f t="shared" ca="1" si="43"/>
        <v>0</v>
      </c>
      <c r="HN67" s="7">
        <f t="shared" ca="1" si="43"/>
        <v>0</v>
      </c>
      <c r="HO67" s="7">
        <f t="shared" ca="1" si="43"/>
        <v>0</v>
      </c>
      <c r="HP67" s="7">
        <f t="shared" ca="1" si="43"/>
        <v>0</v>
      </c>
      <c r="HR67" s="142">
        <f>INDEX('File 1'!Weekly_Adjusted,25,16)</f>
        <v>20.933351264120493</v>
      </c>
      <c r="HS67" s="142">
        <f>INDEX('File 1'!Weekly_Adjusted,25,17)</f>
        <v>0</v>
      </c>
      <c r="HT67" s="142">
        <f>INDEX('File 1'!Weekly_Adjusted,25,18)</f>
        <v>0</v>
      </c>
      <c r="HU67" s="143">
        <f>INDEX('File 2'!Weekly_Adjusted,25,16)</f>
        <v>0</v>
      </c>
      <c r="HV67" s="143">
        <f>INDEX('File 2'!Weekly_Adjusted,25,17)</f>
        <v>0</v>
      </c>
      <c r="HW67" s="143">
        <f>INDEX('File 2'!Weekly_Adjusted,25,18)</f>
        <v>0</v>
      </c>
      <c r="HX67" s="142">
        <f>INDEX('File 3'!Weekly_Adjusted,25,16)</f>
        <v>0</v>
      </c>
      <c r="HY67" s="142">
        <f>INDEX('File 3'!Weekly_Adjusted,25,17)</f>
        <v>0</v>
      </c>
      <c r="HZ67" s="142">
        <f>INDEX('File 3'!Weekly_Adjusted,25,18)</f>
        <v>0</v>
      </c>
      <c r="IA67" s="143">
        <f>INDEX('File 4'!Weekly_Adjusted,25,16)</f>
        <v>0</v>
      </c>
      <c r="IB67" s="143">
        <f>INDEX('File 4'!Weekly_Adjusted,25,17)</f>
        <v>0</v>
      </c>
      <c r="IC67" s="143">
        <f>INDEX('File 4'!Weekly_Adjusted,25,18)</f>
        <v>0</v>
      </c>
      <c r="ID67" s="142">
        <f>INDEX('File 5'!Weekly_Adjusted,25,16)</f>
        <v>0</v>
      </c>
      <c r="IE67" s="142">
        <f>INDEX('File 5'!Weekly_Adjusted,25,17)</f>
        <v>0</v>
      </c>
      <c r="IF67" s="142">
        <f>INDEX('File 5'!Weekly_Adjusted,25,18)</f>
        <v>0</v>
      </c>
      <c r="IG67" s="143">
        <f>INDEX('File 6'!Weekly_Adjusted,25,16)</f>
        <v>0</v>
      </c>
      <c r="IH67" s="143">
        <f>INDEX('File 6'!Weekly_Adjusted,25,17)</f>
        <v>0</v>
      </c>
      <c r="II67" s="143">
        <f>INDEX('File 6'!Weekly_Adjusted,25,18)</f>
        <v>0</v>
      </c>
      <c r="IJ67" s="142">
        <f>INDEX('File 7'!Weekly_Adjusted,25,16)</f>
        <v>0</v>
      </c>
      <c r="IK67" s="142">
        <f>INDEX('File 7'!Weekly_Adjusted,25,17)</f>
        <v>0</v>
      </c>
      <c r="IL67" s="142">
        <f>INDEX('File 7'!Weekly_Adjusted,25,18)</f>
        <v>0</v>
      </c>
      <c r="IM67" s="143">
        <f>INDEX('File 8'!Weekly_Adjusted,25,16)</f>
        <v>0</v>
      </c>
      <c r="IN67" s="143">
        <f>INDEX('File 8'!Weekly_Adjusted,25,17)</f>
        <v>0</v>
      </c>
      <c r="IO67" s="143">
        <f>INDEX('File 8'!Weekly_Adjusted,25,18)</f>
        <v>0</v>
      </c>
      <c r="IP67" s="142">
        <f>INDEX('File 9'!Weekly_Adjusted,25,16)</f>
        <v>0</v>
      </c>
      <c r="IQ67" s="142">
        <f>INDEX('File 9'!Weekly_Adjusted,25,17)</f>
        <v>0</v>
      </c>
      <c r="IR67" s="142">
        <f>INDEX('File 9'!Weekly_Adjusted,25,18)</f>
        <v>0</v>
      </c>
      <c r="IS67" s="143">
        <f>INDEX('File 10'!Weekly_Adjusted,25,16)</f>
        <v>0</v>
      </c>
      <c r="IT67" s="143">
        <f>INDEX('File 10'!Weekly_Adjusted,25,17)</f>
        <v>0</v>
      </c>
      <c r="IU67" s="143">
        <f>INDEX('File 10'!Weekly_Adjusted,25,18)</f>
        <v>0</v>
      </c>
      <c r="IV67" s="142">
        <f>INDEX('File 11'!Weekly_Adjusted,25,16)</f>
        <v>0</v>
      </c>
      <c r="IW67" s="142">
        <f>INDEX('File 11'!Weekly_Adjusted,25,17)</f>
        <v>0</v>
      </c>
      <c r="IX67" s="142">
        <f>INDEX('File 11'!Weekly_Adjusted,25,18)</f>
        <v>0</v>
      </c>
      <c r="IY67" s="143">
        <f>INDEX('File 12'!Weekly_Adjusted,25,16)</f>
        <v>0</v>
      </c>
      <c r="IZ67" s="143">
        <f>INDEX('File 12'!Weekly_Adjusted,25,17)</f>
        <v>0</v>
      </c>
      <c r="JA67" s="143">
        <f>INDEX('File 12'!Weekly_Adjusted,25,18)</f>
        <v>0</v>
      </c>
      <c r="JB67" s="142">
        <f>INDEX('File 13'!Weekly_Adjusted,25,16)</f>
        <v>0</v>
      </c>
      <c r="JC67" s="142">
        <f>INDEX('File 13'!Weekly_Adjusted,25,17)</f>
        <v>0</v>
      </c>
      <c r="JD67" s="142">
        <f>INDEX('File 13'!Weekly_Adjusted,25,18)</f>
        <v>0</v>
      </c>
      <c r="JE67" s="143">
        <f>INDEX('File 14'!Weekly_Adjusted,25,16)</f>
        <v>0</v>
      </c>
      <c r="JF67" s="143">
        <f>INDEX('File 14'!Weekly_Adjusted,25,17)</f>
        <v>0</v>
      </c>
      <c r="JG67" s="143">
        <f>INDEX('File 14'!Weekly_Adjusted,25,18)</f>
        <v>0</v>
      </c>
      <c r="JH67" s="142">
        <f>INDEX('File 15'!Weekly_Adjusted,25,16)</f>
        <v>0</v>
      </c>
      <c r="JI67" s="142">
        <f>INDEX('File 15'!Weekly_Adjusted,25,17)</f>
        <v>0</v>
      </c>
      <c r="JJ67" s="142">
        <f>INDEX('File 15'!Weekly_Adjusted,25,18)</f>
        <v>0</v>
      </c>
      <c r="JK67" s="143">
        <f>INDEX('File 16'!Weekly_Adjusted,25,16)</f>
        <v>0</v>
      </c>
      <c r="JL67" s="143">
        <f>INDEX('File 16'!Weekly_Adjusted,25,17)</f>
        <v>0</v>
      </c>
      <c r="JM67" s="143">
        <f>INDEX('File 16'!Weekly_Adjusted,25,18)</f>
        <v>0</v>
      </c>
      <c r="JN67" s="142">
        <f>INDEX('File 17'!Weekly_Adjusted,25,16)</f>
        <v>0</v>
      </c>
      <c r="JO67" s="142">
        <f>INDEX('File 17'!Weekly_Adjusted,25,17)</f>
        <v>0</v>
      </c>
      <c r="JP67" s="142">
        <f>INDEX('File 17'!Weekly_Adjusted,25,18)</f>
        <v>0</v>
      </c>
      <c r="JQ67" s="143">
        <f>INDEX('File 18'!Weekly_Adjusted,25,16)</f>
        <v>0</v>
      </c>
      <c r="JR67" s="143">
        <f>INDEX('File 18'!Weekly_Adjusted,25,17)</f>
        <v>0</v>
      </c>
      <c r="JS67" s="143">
        <f>INDEX('File 18'!Weekly_Adjusted,25,18)</f>
        <v>0</v>
      </c>
      <c r="JT67" s="142">
        <f>INDEX('File 19'!Weekly_Adjusted,25,16)</f>
        <v>0</v>
      </c>
      <c r="JU67" s="142">
        <f>INDEX('File 19'!Weekly_Adjusted,25,17)</f>
        <v>0</v>
      </c>
      <c r="JV67" s="142">
        <f>INDEX('File 19'!Weekly_Adjusted,25,18)</f>
        <v>0</v>
      </c>
      <c r="JW67" s="143">
        <f>INDEX('File 20'!Weekly_Adjusted,25,16)</f>
        <v>0</v>
      </c>
      <c r="JX67" s="143">
        <f>INDEX('File 20'!Weekly_Adjusted,25,17)</f>
        <v>0</v>
      </c>
      <c r="JY67" s="143">
        <f>INDEX('File 20'!Weekly_Adjusted,25,18)</f>
        <v>0</v>
      </c>
      <c r="JZ67" s="6">
        <f ca="1">SUMIFS(INDEX(CapacityCore_Activity_Weekly,ROW(EC25),0),Demand_Activity_Weekly_Header,HL$42)</f>
        <v>20.933351264120493</v>
      </c>
      <c r="KA67" s="6">
        <f ca="1">SUMIFS(INDEX(CapacityCore_Activity_Weekly,ROW(ED25),0),Demand_Activity_Weekly_Header,HM$42)</f>
        <v>0</v>
      </c>
      <c r="KB67" s="6">
        <f ca="1">SUMIFS(INDEX(CapacityCore_Activity_Weekly,ROW(EE25),0),Demand_Activity_Weekly_Header,HN$42)</f>
        <v>0</v>
      </c>
      <c r="KC67" s="6">
        <f ca="1">SUMIFS(INDEX(CapacityCore_Activity_Weekly,ROW(EF25),0),Demand_Activity_Weekly_Header,HO$42)</f>
        <v>0</v>
      </c>
      <c r="KD67" s="6">
        <f ca="1">SUMIFS(INDEX(CapacityCore_Activity_Weekly,ROW(EG25),0),Demand_Activity_Weekly_Header,HP$42)</f>
        <v>0</v>
      </c>
      <c r="KF67" s="6">
        <f>SUMIFS('Time based aggregation (hide)'!$J:$J,'Time based aggregation (hide)'!$E:$E,1,'Time based aggregation (hide)'!$F:$F,1,'Time based aggregation (hide)'!$A:$A,ROW(A25))</f>
        <v>0</v>
      </c>
      <c r="KG67" s="6">
        <f>SUMIFS('Time based aggregation (hide)'!$J:$J,'Time based aggregation (hide)'!$E:$E,1,'Time based aggregation (hide)'!$F:$F,2,'Time based aggregation (hide)'!$A:$A,ROW(A25))</f>
        <v>0</v>
      </c>
      <c r="KH67" s="6">
        <f>SUMIFS('Time based aggregation (hide)'!$J:$J,'Time based aggregation (hide)'!$E:$E,1,'Time based aggregation (hide)'!$F:$F,3,'Time based aggregation (hide)'!$A:$A,ROW(A25))</f>
        <v>0</v>
      </c>
      <c r="KI67" s="6">
        <f>SUMIFS('Time based aggregation (hide)'!$J:$J,'Time based aggregation (hide)'!$E:$E,2,'Time based aggregation (hide)'!$F:$F,1,'Time based aggregation (hide)'!$A:$A,ROW(A25))</f>
        <v>0</v>
      </c>
      <c r="KJ67" s="6">
        <f>SUMIFS('Time based aggregation (hide)'!$J:$J,'Time based aggregation (hide)'!$E:$E,2,'Time based aggregation (hide)'!$F:$F,2,'Time based aggregation (hide)'!$A:$A,ROW(A25))</f>
        <v>0</v>
      </c>
      <c r="KK67" s="6">
        <f>SUMIFS('Time based aggregation (hide)'!$J:$J,'Time based aggregation (hide)'!$E:$E,2,'Time based aggregation (hide)'!$F:$F,3,'Time based aggregation (hide)'!$A:$A,ROW(A25))</f>
        <v>0</v>
      </c>
      <c r="KL67" s="6">
        <f>SUMIFS('Time based aggregation (hide)'!$J:$J,'Time based aggregation (hide)'!$E:$E,3,'Time based aggregation (hide)'!$F:$F,1,'Time based aggregation (hide)'!$A:$A,ROW(A25))</f>
        <v>0</v>
      </c>
      <c r="KM67" s="6">
        <f>SUMIFS('Time based aggregation (hide)'!$J:$J,'Time based aggregation (hide)'!$E:$E,3,'Time based aggregation (hide)'!$F:$F,2,'Time based aggregation (hide)'!$A:$A,ROW(A25))</f>
        <v>0</v>
      </c>
      <c r="KN67" s="6">
        <f>SUMIFS('Time based aggregation (hide)'!$J:$J,'Time based aggregation (hide)'!$E:$E,3,'Time based aggregation (hide)'!$F:$F,3,'Time based aggregation (hide)'!$A:$A,ROW(A25))</f>
        <v>0</v>
      </c>
      <c r="KO67" s="6">
        <f>SUMIFS('Time based aggregation (hide)'!$J:$J,'Time based aggregation (hide)'!$E:$E,4,'Time based aggregation (hide)'!$F:$F,1,'Time based aggregation (hide)'!$A:$A,ROW(A25))</f>
        <v>0</v>
      </c>
      <c r="KP67" s="6">
        <f>SUMIFS('Time based aggregation (hide)'!$J:$J,'Time based aggregation (hide)'!$E:$E,4,'Time based aggregation (hide)'!$F:$F,2,'Time based aggregation (hide)'!$A:$A,ROW(A25))</f>
        <v>0</v>
      </c>
      <c r="KQ67" s="6">
        <f>SUMIFS('Time based aggregation (hide)'!$J:$J,'Time based aggregation (hide)'!$E:$E,4,'Time based aggregation (hide)'!$F:$F,3,'Time based aggregation (hide)'!$A:$A,ROW(A25))</f>
        <v>0</v>
      </c>
      <c r="KR67" s="6">
        <f>SUMIFS('Time based aggregation (hide)'!$J:$J,'Time based aggregation (hide)'!$E:$E,5,'Time based aggregation (hide)'!$F:$F,1,'Time based aggregation (hide)'!$A:$A,ROW(A25))</f>
        <v>0</v>
      </c>
      <c r="KS67" s="6">
        <f>SUMIFS('Time based aggregation (hide)'!$J:$J,'Time based aggregation (hide)'!$E:$E,5,'Time based aggregation (hide)'!$F:$F,2,'Time based aggregation (hide)'!$A:$A,ROW(A25))</f>
        <v>0</v>
      </c>
      <c r="KT67" s="6">
        <f>SUMIFS('Time based aggregation (hide)'!$J:$J,'Time based aggregation (hide)'!$E:$E,5,'Time based aggregation (hide)'!$F:$F,3,'Time based aggregation (hide)'!$A:$A,ROW(A25))</f>
        <v>0</v>
      </c>
      <c r="KU67" s="6">
        <f>SUMIFS('Time based aggregation (hide)'!$J:$J,'Time based aggregation (hide)'!$E:$E,6,'Time based aggregation (hide)'!$F:$F,1,'Time based aggregation (hide)'!$A:$A,ROW(A25))</f>
        <v>0</v>
      </c>
      <c r="KV67" s="6">
        <f>SUMIFS('Time based aggregation (hide)'!$J:$J,'Time based aggregation (hide)'!$E:$E,6,'Time based aggregation (hide)'!$F:$F,2,'Time based aggregation (hide)'!$A:$A,ROW(A25))</f>
        <v>0</v>
      </c>
      <c r="KW67" s="6">
        <f>SUMIFS('Time based aggregation (hide)'!$J:$J,'Time based aggregation (hide)'!$E:$E,6,'Time based aggregation (hide)'!$F:$F,3,'Time based aggregation (hide)'!$A:$A,ROW(A25))</f>
        <v>0</v>
      </c>
      <c r="KX67" s="6">
        <f>SUMIFS('Time based aggregation (hide)'!$J:$J,'Time based aggregation (hide)'!$E:$E,7,'Time based aggregation (hide)'!$F:$F,1,'Time based aggregation (hide)'!$A:$A,ROW(A25))</f>
        <v>0</v>
      </c>
      <c r="KY67" s="6">
        <f>SUMIFS('Time based aggregation (hide)'!$J:$J,'Time based aggregation (hide)'!$E:$E,7,'Time based aggregation (hide)'!$F:$F,2,'Time based aggregation (hide)'!$A:$A,ROW(A25))</f>
        <v>0</v>
      </c>
      <c r="KZ67" s="6">
        <f>SUMIFS('Time based aggregation (hide)'!$J:$J,'Time based aggregation (hide)'!$E:$E,7,'Time based aggregation (hide)'!$F:$F,3,'Time based aggregation (hide)'!$A:$A,ROW(A25))</f>
        <v>0</v>
      </c>
      <c r="LA67" s="6">
        <f>SUMIFS('Time based aggregation (hide)'!$J:$J,'Time based aggregation (hide)'!$E:$E,8,'Time based aggregation (hide)'!$F:$F,1,'Time based aggregation (hide)'!$A:$A,ROW(A25))</f>
        <v>0</v>
      </c>
      <c r="LB67" s="6">
        <f>SUMIFS('Time based aggregation (hide)'!$J:$J,'Time based aggregation (hide)'!$E:$E,8,'Time based aggregation (hide)'!$F:$F,2,'Time based aggregation (hide)'!$A:$A,ROW(A25))</f>
        <v>0</v>
      </c>
      <c r="LC67" s="6">
        <f>SUMIFS('Time based aggregation (hide)'!$J:$J,'Time based aggregation (hide)'!$E:$E,8,'Time based aggregation (hide)'!$F:$F,3,'Time based aggregation (hide)'!$A:$A,ROW(A25))</f>
        <v>0</v>
      </c>
      <c r="LD67" s="6">
        <f>SUMIFS('Time based aggregation (hide)'!$J:$J,'Time based aggregation (hide)'!$E:$E,9,'Time based aggregation (hide)'!$F:$F,1,'Time based aggregation (hide)'!$A:$A,ROW(A25))</f>
        <v>0</v>
      </c>
      <c r="LE67" s="6">
        <f>SUMIFS('Time based aggregation (hide)'!$J:$J,'Time based aggregation (hide)'!$E:$E,9,'Time based aggregation (hide)'!$F:$F,2,'Time based aggregation (hide)'!$A:$A,ROW(A25))</f>
        <v>0</v>
      </c>
      <c r="LF67" s="6">
        <f>SUMIFS('Time based aggregation (hide)'!$J:$J,'Time based aggregation (hide)'!$E:$E,9,'Time based aggregation (hide)'!$F:$F,3,'Time based aggregation (hide)'!$A:$A,ROW(A25))</f>
        <v>0</v>
      </c>
      <c r="LG67" s="6">
        <f>SUMIFS('Time based aggregation (hide)'!$J:$J,'Time based aggregation (hide)'!$E:$E,10,'Time based aggregation (hide)'!$F:$F,1,'Time based aggregation (hide)'!$A:$A,ROW(A25))</f>
        <v>0</v>
      </c>
      <c r="LH67" s="6">
        <f>SUMIFS('Time based aggregation (hide)'!$J:$J,'Time based aggregation (hide)'!$E:$E,10,'Time based aggregation (hide)'!$F:$F,2,'Time based aggregation (hide)'!$A:$A,ROW(A25))</f>
        <v>0</v>
      </c>
      <c r="LI67" s="6">
        <f>SUMIFS('Time based aggregation (hide)'!$J:$J,'Time based aggregation (hide)'!$E:$E,10,'Time based aggregation (hide)'!$F:$F,3,'Time based aggregation (hide)'!$A:$A,ROW(A25))</f>
        <v>0</v>
      </c>
      <c r="LJ67" s="6">
        <f>SUMIFS('Time based aggregation (hide)'!$J:$J,'Time based aggregation (hide)'!$E:$E,11,'Time based aggregation (hide)'!$F:$F,1,'Time based aggregation (hide)'!$A:$A,ROW(A25))</f>
        <v>0</v>
      </c>
      <c r="LK67" s="6">
        <f>SUMIFS('Time based aggregation (hide)'!$J:$J,'Time based aggregation (hide)'!$E:$E,11,'Time based aggregation (hide)'!$F:$F,2,'Time based aggregation (hide)'!$A:$A,ROW(A25))</f>
        <v>0</v>
      </c>
      <c r="LL67" s="6">
        <f>SUMIFS('Time based aggregation (hide)'!$J:$J,'Time based aggregation (hide)'!$E:$E,11,'Time based aggregation (hide)'!$F:$F,3,'Time based aggregation (hide)'!$A:$A,ROW(A25))</f>
        <v>0</v>
      </c>
      <c r="LM67" s="6">
        <f>SUMIFS('Time based aggregation (hide)'!$J:$J,'Time based aggregation (hide)'!$E:$E,12,'Time based aggregation (hide)'!$F:$F,1,'Time based aggregation (hide)'!$A:$A,ROW(A25))</f>
        <v>0</v>
      </c>
      <c r="LN67" s="6">
        <f>SUMIFS('Time based aggregation (hide)'!$J:$J,'Time based aggregation (hide)'!$E:$E,12,'Time based aggregation (hide)'!$F:$F,2,'Time based aggregation (hide)'!$A:$A,ROW(A25))</f>
        <v>0</v>
      </c>
      <c r="LO67" s="6">
        <f>SUMIFS('Time based aggregation (hide)'!$J:$J,'Time based aggregation (hide)'!$E:$E,12,'Time based aggregation (hide)'!$F:$F,3,'Time based aggregation (hide)'!$A:$A,ROW(A25))</f>
        <v>0</v>
      </c>
      <c r="LP67" s="6">
        <f>SUMIFS('Time based aggregation (hide)'!$J:$J,'Time based aggregation (hide)'!$E:$E,13,'Time based aggregation (hide)'!$F:$F,1,'Time based aggregation (hide)'!$A:$A,ROW(A25))</f>
        <v>0</v>
      </c>
      <c r="LQ67" s="6">
        <f>SUMIFS('Time based aggregation (hide)'!$J:$J,'Time based aggregation (hide)'!$E:$E,13,'Time based aggregation (hide)'!$F:$F,2,'Time based aggregation (hide)'!$A:$A,ROW(A25))</f>
        <v>0</v>
      </c>
      <c r="LR67" s="6">
        <f>SUMIFS('Time based aggregation (hide)'!$J:$J,'Time based aggregation (hide)'!$E:$E,13,'Time based aggregation (hide)'!$F:$F,3,'Time based aggregation (hide)'!$A:$A,ROW(A25))</f>
        <v>0</v>
      </c>
      <c r="LS67" s="6">
        <f>SUMIFS('Time based aggregation (hide)'!$J:$J,'Time based aggregation (hide)'!$E:$E,14,'Time based aggregation (hide)'!$F:$F,1,'Time based aggregation (hide)'!$A:$A,ROW(A25))</f>
        <v>0</v>
      </c>
      <c r="LT67" s="6">
        <f>SUMIFS('Time based aggregation (hide)'!$J:$J,'Time based aggregation (hide)'!$E:$E,14,'Time based aggregation (hide)'!$F:$F,2,'Time based aggregation (hide)'!$A:$A,ROW(A25))</f>
        <v>0</v>
      </c>
      <c r="LU67" s="6">
        <f>SUMIFS('Time based aggregation (hide)'!$J:$J,'Time based aggregation (hide)'!$E:$E,14,'Time based aggregation (hide)'!$F:$F,3,'Time based aggregation (hide)'!$A:$A,ROW(A25))</f>
        <v>0</v>
      </c>
      <c r="LV67" s="6">
        <f>SUMIFS('Time based aggregation (hide)'!$J:$J,'Time based aggregation (hide)'!$E:$E,15,'Time based aggregation (hide)'!$F:$F,1,'Time based aggregation (hide)'!$A:$A,ROW(A25))</f>
        <v>0</v>
      </c>
      <c r="LW67" s="6">
        <f>SUMIFS('Time based aggregation (hide)'!$J:$J,'Time based aggregation (hide)'!$E:$E,15,'Time based aggregation (hide)'!$F:$F,2,'Time based aggregation (hide)'!$A:$A,ROW(A25))</f>
        <v>0</v>
      </c>
      <c r="LX67" s="6">
        <f>SUMIFS('Time based aggregation (hide)'!$J:$J,'Time based aggregation (hide)'!$E:$E,15,'Time based aggregation (hide)'!$F:$F,3,'Time based aggregation (hide)'!$A:$A,ROW(A25))</f>
        <v>0</v>
      </c>
      <c r="LY67" s="6">
        <f>SUMIFS('Time based aggregation (hide)'!$J:$J,'Time based aggregation (hide)'!$E:$E,16,'Time based aggregation (hide)'!$F:$F,1,'Time based aggregation (hide)'!$A:$A,ROW(A25))</f>
        <v>0</v>
      </c>
      <c r="LZ67" s="6">
        <f>SUMIFS('Time based aggregation (hide)'!$J:$J,'Time based aggregation (hide)'!$E:$E,16,'Time based aggregation (hide)'!$F:$F,2,'Time based aggregation (hide)'!$A:$A,ROW(A25))</f>
        <v>0</v>
      </c>
      <c r="MA67" s="6">
        <f>SUMIFS('Time based aggregation (hide)'!$J:$J,'Time based aggregation (hide)'!$E:$E,16,'Time based aggregation (hide)'!$F:$F,3,'Time based aggregation (hide)'!$A:$A,ROW(A25))</f>
        <v>0</v>
      </c>
      <c r="MB67" s="6">
        <f>SUMIFS('Time based aggregation (hide)'!$J:$J,'Time based aggregation (hide)'!$E:$E,17,'Time based aggregation (hide)'!$F:$F,1,'Time based aggregation (hide)'!$A:$A,ROW(A25))</f>
        <v>0</v>
      </c>
      <c r="MC67" s="6">
        <f>SUMIFS('Time based aggregation (hide)'!$J:$J,'Time based aggregation (hide)'!$E:$E,17,'Time based aggregation (hide)'!$F:$F,2,'Time based aggregation (hide)'!$A:$A,ROW(A25))</f>
        <v>0</v>
      </c>
      <c r="MD67" s="6">
        <f>SUMIFS('Time based aggregation (hide)'!$J:$J,'Time based aggregation (hide)'!$E:$E,17,'Time based aggregation (hide)'!$F:$F,3,'Time based aggregation (hide)'!$A:$A,ROW(A25))</f>
        <v>0</v>
      </c>
      <c r="ME67" s="6">
        <f>SUMIFS('Time based aggregation (hide)'!$J:$J,'Time based aggregation (hide)'!$E:$E,18,'Time based aggregation (hide)'!$F:$F,1,'Time based aggregation (hide)'!$A:$A,ROW(A25))</f>
        <v>0</v>
      </c>
      <c r="MF67" s="6">
        <f>SUMIFS('Time based aggregation (hide)'!$J:$J,'Time based aggregation (hide)'!$E:$E,18,'Time based aggregation (hide)'!$F:$F,2,'Time based aggregation (hide)'!$A:$A,ROW(A25))</f>
        <v>0</v>
      </c>
      <c r="MG67" s="6">
        <f>SUMIFS('Time based aggregation (hide)'!$J:$J,'Time based aggregation (hide)'!$E:$E,18,'Time based aggregation (hide)'!$F:$F,3,'Time based aggregation (hide)'!$A:$A,ROW(A25))</f>
        <v>0</v>
      </c>
      <c r="MH67" s="6">
        <f>SUMIFS('Time based aggregation (hide)'!$J:$J,'Time based aggregation (hide)'!$E:$E,19,'Time based aggregation (hide)'!$F:$F,1,'Time based aggregation (hide)'!$A:$A,ROW(A25))</f>
        <v>0</v>
      </c>
      <c r="MI67" s="6">
        <f>SUMIFS('Time based aggregation (hide)'!$J:$J,'Time based aggregation (hide)'!$E:$E,19,'Time based aggregation (hide)'!$F:$F,2,'Time based aggregation (hide)'!$A:$A,ROW(A25))</f>
        <v>0</v>
      </c>
      <c r="MJ67" s="6">
        <f>SUMIFS('Time based aggregation (hide)'!$J:$J,'Time based aggregation (hide)'!$E:$E,19,'Time based aggregation (hide)'!$F:$F,3,'Time based aggregation (hide)'!$A:$A,ROW(A25))</f>
        <v>0</v>
      </c>
      <c r="MK67" s="6">
        <f>SUMIFS('Time based aggregation (hide)'!$J:$J,'Time based aggregation (hide)'!$E:$E,20,'Time based aggregation (hide)'!$F:$F,1,'Time based aggregation (hide)'!$A:$A,ROW(A25))</f>
        <v>0</v>
      </c>
      <c r="ML67" s="6">
        <f>SUMIFS('Time based aggregation (hide)'!$J:$J,'Time based aggregation (hide)'!$E:$E,20,'Time based aggregation (hide)'!$F:$F,2,'Time based aggregation (hide)'!$A:$A,ROW(A25))</f>
        <v>0</v>
      </c>
      <c r="MM67" s="6">
        <f>SUMIFS('Time based aggregation (hide)'!$J:$J,'Time based aggregation (hide)'!$E:$E,20,'Time based aggregation (hide)'!$F:$F,3,'Time based aggregation (hide)'!$A:$A,ROW(A25))</f>
        <v>0</v>
      </c>
      <c r="MN67" s="7">
        <f t="shared" ca="1" si="41"/>
        <v>0</v>
      </c>
      <c r="MO67" s="7">
        <f t="shared" ca="1" si="41"/>
        <v>0</v>
      </c>
      <c r="MP67" s="7">
        <f t="shared" ca="1" si="41"/>
        <v>0</v>
      </c>
      <c r="MQ67" s="7">
        <f t="shared" ca="1" si="41"/>
        <v>0</v>
      </c>
      <c r="MR67" s="7">
        <f t="shared" ca="1" si="41"/>
        <v>0</v>
      </c>
    </row>
    <row r="68" spans="1:356" x14ac:dyDescent="0.25">
      <c r="A68">
        <f>1</f>
        <v>1</v>
      </c>
      <c r="B68" s="85">
        <f t="shared" si="37"/>
        <v>43856</v>
      </c>
      <c r="C68" s="85">
        <f t="shared" si="25"/>
        <v>43850</v>
      </c>
      <c r="D68">
        <f t="shared" ca="1" si="26"/>
        <v>0</v>
      </c>
      <c r="E68" s="85">
        <f t="shared" si="27"/>
        <v>43831</v>
      </c>
      <c r="F68">
        <f t="shared" si="33"/>
        <v>4</v>
      </c>
      <c r="H68">
        <f t="shared" si="34"/>
        <v>26</v>
      </c>
      <c r="I68" s="85">
        <f t="shared" si="38"/>
        <v>44004</v>
      </c>
      <c r="J68">
        <f t="shared" ca="1" si="28"/>
        <v>5</v>
      </c>
      <c r="K68">
        <f t="shared" ca="1" si="29"/>
        <v>1.968503937007874E-2</v>
      </c>
      <c r="L68" s="114"/>
      <c r="N68" s="85">
        <f t="shared" si="35"/>
        <v>44004</v>
      </c>
      <c r="O68" s="122">
        <f t="shared" ca="1" si="42"/>
        <v>0</v>
      </c>
      <c r="P68" s="122">
        <f t="shared" ca="1" si="42"/>
        <v>0</v>
      </c>
      <c r="Q68" s="122">
        <f t="shared" ca="1" si="42"/>
        <v>0</v>
      </c>
      <c r="R68" s="122">
        <f t="shared" ca="1" si="42"/>
        <v>0</v>
      </c>
      <c r="S68" s="122">
        <f t="shared" ca="1" si="42"/>
        <v>0</v>
      </c>
      <c r="T68" s="122">
        <f t="shared" ca="1" si="42"/>
        <v>1</v>
      </c>
      <c r="U68" s="122">
        <f t="shared" ca="1" si="42"/>
        <v>0</v>
      </c>
      <c r="V68" s="122">
        <f t="shared" ca="1" si="42"/>
        <v>0</v>
      </c>
      <c r="W68" s="122">
        <f t="shared" ca="1" si="42"/>
        <v>0</v>
      </c>
      <c r="X68" s="122">
        <f t="shared" ca="1" si="42"/>
        <v>0</v>
      </c>
      <c r="Y68" s="122">
        <f t="shared" ca="1" si="42"/>
        <v>0</v>
      </c>
      <c r="Z68" s="122">
        <f t="shared" ca="1" si="42"/>
        <v>0</v>
      </c>
      <c r="AA68" s="122"/>
      <c r="AB68" s="140">
        <f>INDEX('File 1'!Weekly_Adjusted,26,1)</f>
        <v>388.17143954725253</v>
      </c>
      <c r="AC68" s="140">
        <f>INDEX('File 1'!Weekly_Adjusted,26,2)</f>
        <v>0</v>
      </c>
      <c r="AD68" s="140">
        <f>INDEX('File 1'!Weekly_Adjusted,26,3)</f>
        <v>0</v>
      </c>
      <c r="AE68" s="141">
        <f>INDEX('File 2'!Weekly_Adjusted,26,1)</f>
        <v>0</v>
      </c>
      <c r="AF68" s="141">
        <f>INDEX('File 2'!Weekly_Adjusted,26,2)</f>
        <v>0</v>
      </c>
      <c r="AG68" s="141">
        <f>INDEX('File 2'!Weekly_Adjusted,26,3)</f>
        <v>0</v>
      </c>
      <c r="AH68" s="140">
        <f>INDEX('File 3'!Weekly_Adjusted,26,1)</f>
        <v>0</v>
      </c>
      <c r="AI68" s="140">
        <f>INDEX('File 3'!Weekly_Adjusted,26,2)</f>
        <v>0</v>
      </c>
      <c r="AJ68" s="140">
        <f>INDEX('File 3'!Weekly_Adjusted,26,3)</f>
        <v>0</v>
      </c>
      <c r="AK68" s="141">
        <f>INDEX('File 4'!Weekly_Adjusted,26,1)</f>
        <v>0</v>
      </c>
      <c r="AL68" s="141">
        <f>INDEX('File 4'!Weekly_Adjusted,26,2)</f>
        <v>0</v>
      </c>
      <c r="AM68" s="141">
        <f>INDEX('File 4'!Weekly_Adjusted,26,3)</f>
        <v>0</v>
      </c>
      <c r="AN68" s="140">
        <f>INDEX('File 5'!Weekly_Adjusted,26,1)</f>
        <v>0</v>
      </c>
      <c r="AO68" s="140">
        <f>INDEX('File 5'!Weekly_Adjusted,26,2)</f>
        <v>0</v>
      </c>
      <c r="AP68" s="140">
        <f>INDEX('File 5'!Weekly_Adjusted,26,3)</f>
        <v>0</v>
      </c>
      <c r="AQ68" s="141">
        <f>INDEX('File 6'!Weekly_Adjusted,26,1)</f>
        <v>0</v>
      </c>
      <c r="AR68" s="141">
        <f>INDEX('File 6'!Weekly_Adjusted,26,2)</f>
        <v>0</v>
      </c>
      <c r="AS68" s="141">
        <f>INDEX('File 6'!Weekly_Adjusted,26,3)</f>
        <v>0</v>
      </c>
      <c r="AT68" s="140">
        <f>INDEX('File 7'!Weekly_Adjusted,26,1)</f>
        <v>0</v>
      </c>
      <c r="AU68" s="140">
        <f>INDEX('File 7'!Weekly_Adjusted,26,2)</f>
        <v>0</v>
      </c>
      <c r="AV68" s="140">
        <f>INDEX('File 7'!Weekly_Adjusted,26,3)</f>
        <v>0</v>
      </c>
      <c r="AW68" s="141">
        <f>INDEX('File 8'!Weekly_Adjusted,26,1)</f>
        <v>0</v>
      </c>
      <c r="AX68" s="141">
        <f>INDEX('File 8'!Weekly_Adjusted,26,2)</f>
        <v>0</v>
      </c>
      <c r="AY68" s="141">
        <f>INDEX('File 8'!Weekly_Adjusted,26,3)</f>
        <v>0</v>
      </c>
      <c r="AZ68" s="140">
        <f>INDEX('File 9'!Weekly_Adjusted,26,1)</f>
        <v>0</v>
      </c>
      <c r="BA68" s="140">
        <f>INDEX('File 9'!Weekly_Adjusted,26,2)</f>
        <v>0</v>
      </c>
      <c r="BB68" s="140">
        <f>INDEX('File 9'!Weekly_Adjusted,26,3)</f>
        <v>0</v>
      </c>
      <c r="BC68" s="141">
        <f>INDEX('File 10'!Weekly_Adjusted,26,1)</f>
        <v>0</v>
      </c>
      <c r="BD68" s="141">
        <f>INDEX('File 10'!Weekly_Adjusted,26,2)</f>
        <v>0</v>
      </c>
      <c r="BE68" s="141">
        <f>INDEX('File 10'!Weekly_Adjusted,26,3)</f>
        <v>0</v>
      </c>
      <c r="BF68" s="140">
        <f>INDEX('File 11'!Weekly_Adjusted,26,1)</f>
        <v>0</v>
      </c>
      <c r="BG68" s="140">
        <f>INDEX('File 11'!Weekly_Adjusted,26,2)</f>
        <v>0</v>
      </c>
      <c r="BH68" s="140">
        <f>INDEX('File 11'!Weekly_Adjusted,26,3)</f>
        <v>0</v>
      </c>
      <c r="BI68" s="141">
        <f>INDEX('File 12'!Weekly_Adjusted,26,1)</f>
        <v>0</v>
      </c>
      <c r="BJ68" s="141">
        <f>INDEX('File 12'!Weekly_Adjusted,26,2)</f>
        <v>0</v>
      </c>
      <c r="BK68" s="141">
        <f>INDEX('File 12'!Weekly_Adjusted,26,3)</f>
        <v>0</v>
      </c>
      <c r="BL68" s="140">
        <f>INDEX('File 13'!Weekly_Adjusted,26,1)</f>
        <v>0</v>
      </c>
      <c r="BM68" s="140">
        <f>INDEX('File 13'!Weekly_Adjusted,26,2)</f>
        <v>0</v>
      </c>
      <c r="BN68" s="140">
        <f>INDEX('File 13'!Weekly_Adjusted,26,3)</f>
        <v>0</v>
      </c>
      <c r="BO68" s="141">
        <f>INDEX('File 14'!Weekly_Adjusted,26,1)</f>
        <v>0</v>
      </c>
      <c r="BP68" s="141">
        <f>INDEX('File 14'!Weekly_Adjusted,26,2)</f>
        <v>0</v>
      </c>
      <c r="BQ68" s="141">
        <f>INDEX('File 14'!Weekly_Adjusted,26,3)</f>
        <v>0</v>
      </c>
      <c r="BR68" s="140">
        <f>INDEX('File 15'!Weekly_Adjusted,26,1)</f>
        <v>0</v>
      </c>
      <c r="BS68" s="140">
        <f>INDEX('File 15'!Weekly_Adjusted,26,2)</f>
        <v>0</v>
      </c>
      <c r="BT68" s="140">
        <f>INDEX('File 15'!Weekly_Adjusted,26,3)</f>
        <v>0</v>
      </c>
      <c r="BU68" s="141">
        <f>INDEX('File 16'!Weekly_Adjusted,26,1)</f>
        <v>0</v>
      </c>
      <c r="BV68" s="141">
        <f>INDEX('File 16'!Weekly_Adjusted,26,2)</f>
        <v>0</v>
      </c>
      <c r="BW68" s="141">
        <f>INDEX('File 16'!Weekly_Adjusted,26,3)</f>
        <v>0</v>
      </c>
      <c r="BX68" s="140">
        <f>INDEX('File 17'!Weekly_Adjusted,26,1)</f>
        <v>0</v>
      </c>
      <c r="BY68" s="140">
        <f>INDEX('File 17'!Weekly_Adjusted,26,2)</f>
        <v>0</v>
      </c>
      <c r="BZ68" s="140">
        <f>INDEX('File 17'!Weekly_Adjusted,26,3)</f>
        <v>0</v>
      </c>
      <c r="CA68" s="141">
        <f>INDEX('File 18'!Weekly_Adjusted,26,1)</f>
        <v>0</v>
      </c>
      <c r="CB68" s="141">
        <f>INDEX('File 18'!Weekly_Adjusted,26,2)</f>
        <v>0</v>
      </c>
      <c r="CC68" s="141">
        <f>INDEX('File 18'!Weekly_Adjusted,26,3)</f>
        <v>0</v>
      </c>
      <c r="CD68" s="140">
        <f>INDEX('File 19'!Weekly_Adjusted,26,1)</f>
        <v>0</v>
      </c>
      <c r="CE68" s="140">
        <f>INDEX('File 19'!Weekly_Adjusted,26,2)</f>
        <v>0</v>
      </c>
      <c r="CF68" s="140">
        <f>INDEX('File 19'!Weekly_Adjusted,26,3)</f>
        <v>0</v>
      </c>
      <c r="CG68" s="141">
        <f>INDEX('File 20'!Weekly_Adjusted,26,1)</f>
        <v>0</v>
      </c>
      <c r="CH68" s="141">
        <f>INDEX('File 20'!Weekly_Adjusted,26,2)</f>
        <v>0</v>
      </c>
      <c r="CI68" s="141">
        <f>INDEX('File 20'!Weekly_Adjusted,26,3)</f>
        <v>0</v>
      </c>
      <c r="CJ68" s="6">
        <f ca="1">SUMIFS(INDEX(Demand_Activity_Weekly,ROW(A26),0),Demand_Activity_Weekly_Header,CJ$42)</f>
        <v>388.17143954725253</v>
      </c>
      <c r="CK68" s="6">
        <f ca="1">SUMIFS(INDEX(Demand_Activity_Weekly,ROW(B26),0),Demand_Activity_Weekly_Header,CK$42)</f>
        <v>0</v>
      </c>
      <c r="CL68" s="6">
        <f ca="1">SUMIFS(INDEX(Demand_Activity_Weekly,ROW(C26),0),Demand_Activity_Weekly_Header,CL$42)</f>
        <v>0</v>
      </c>
      <c r="CM68" s="6">
        <f ca="1">SUMIFS(INDEX(Demand_Activity_Weekly,ROW(D26),0),Demand_Activity_Weekly_Header,CM$42)</f>
        <v>0</v>
      </c>
      <c r="CN68" s="6">
        <f ca="1">SUMIFS(INDEX(Demand_Activity_Weekly,ROW(E26),0),Demand_Activity_Weekly_Header,CN$42)</f>
        <v>0</v>
      </c>
      <c r="CP68" s="142">
        <f>INDEX('File 1'!Weekly_Adjusted,26,10)</f>
        <v>24.344712210866053</v>
      </c>
      <c r="CQ68" s="142">
        <f>INDEX('File 1'!Weekly_Adjusted,26,11)</f>
        <v>0</v>
      </c>
      <c r="CR68" s="142">
        <f>INDEX('File 1'!Weekly_Adjusted,26,12)</f>
        <v>0</v>
      </c>
      <c r="CS68" s="143">
        <f>INDEX('File 2'!Weekly_Adjusted,26,10)</f>
        <v>0</v>
      </c>
      <c r="CT68" s="143">
        <f>INDEX('File 2'!Weekly_Adjusted,26,11)</f>
        <v>0</v>
      </c>
      <c r="CU68" s="143">
        <f>INDEX('File 2'!Weekly_Adjusted,26,12)</f>
        <v>0</v>
      </c>
      <c r="CV68" s="142">
        <f>INDEX('File 3'!Weekly_Adjusted,26,10)</f>
        <v>0</v>
      </c>
      <c r="CW68" s="142">
        <f>INDEX('File 3'!Weekly_Adjusted,26,11)</f>
        <v>0</v>
      </c>
      <c r="CX68" s="142">
        <f>INDEX('File 3'!Weekly_Adjusted,26,12)</f>
        <v>0</v>
      </c>
      <c r="CY68" s="143">
        <f>INDEX('File 4'!Weekly_Adjusted,26,10)</f>
        <v>0</v>
      </c>
      <c r="CZ68" s="143">
        <f>INDEX('File 4'!Weekly_Adjusted,26,11)</f>
        <v>0</v>
      </c>
      <c r="DA68" s="143">
        <f>INDEX('File 4'!Weekly_Adjusted,26,12)</f>
        <v>0</v>
      </c>
      <c r="DB68" s="142">
        <f>INDEX('File 5'!Weekly_Adjusted,26,10)</f>
        <v>0</v>
      </c>
      <c r="DC68" s="142">
        <f>INDEX('File 5'!Weekly_Adjusted,26,11)</f>
        <v>0</v>
      </c>
      <c r="DD68" s="142">
        <f>INDEX('File 5'!Weekly_Adjusted,26,12)</f>
        <v>0</v>
      </c>
      <c r="DE68" s="143">
        <f>INDEX('File 6'!Weekly_Adjusted,26,10)</f>
        <v>0</v>
      </c>
      <c r="DF68" s="143">
        <f>INDEX('File 6'!Weekly_Adjusted,26,11)</f>
        <v>0</v>
      </c>
      <c r="DG68" s="143">
        <f>INDEX('File 6'!Weekly_Adjusted,26,12)</f>
        <v>0</v>
      </c>
      <c r="DH68" s="142">
        <f>INDEX('File 7'!Weekly_Adjusted,26,10)</f>
        <v>0</v>
      </c>
      <c r="DI68" s="142">
        <f>INDEX('File 7'!Weekly_Adjusted,26,11)</f>
        <v>0</v>
      </c>
      <c r="DJ68" s="142">
        <f>INDEX('File 7'!Weekly_Adjusted,26,12)</f>
        <v>0</v>
      </c>
      <c r="DK68" s="143">
        <f>INDEX('File 8'!Weekly_Adjusted,26,10)</f>
        <v>0</v>
      </c>
      <c r="DL68" s="143">
        <f>INDEX('File 8'!Weekly_Adjusted,26,11)</f>
        <v>0</v>
      </c>
      <c r="DM68" s="143">
        <f>INDEX('File 8'!Weekly_Adjusted,26,12)</f>
        <v>0</v>
      </c>
      <c r="DN68" s="142">
        <f>INDEX('File 9'!Weekly_Adjusted,26,10)</f>
        <v>0</v>
      </c>
      <c r="DO68" s="142">
        <f>INDEX('File 9'!Weekly_Adjusted,26,11)</f>
        <v>0</v>
      </c>
      <c r="DP68" s="142">
        <f>INDEX('File 9'!Weekly_Adjusted,26,12)</f>
        <v>0</v>
      </c>
      <c r="DQ68" s="143">
        <f>INDEX('File 10'!Weekly_Adjusted,26,10)</f>
        <v>0</v>
      </c>
      <c r="DR68" s="143">
        <f>INDEX('File 10'!Weekly_Adjusted,26,11)</f>
        <v>0</v>
      </c>
      <c r="DS68" s="143">
        <f>INDEX('File 10'!Weekly_Adjusted,26,12)</f>
        <v>0</v>
      </c>
      <c r="DT68" s="142">
        <f>INDEX('File 11'!Weekly_Adjusted,26,10)</f>
        <v>0</v>
      </c>
      <c r="DU68" s="142">
        <f>INDEX('File 11'!Weekly_Adjusted,26,11)</f>
        <v>0</v>
      </c>
      <c r="DV68" s="142">
        <f>INDEX('File 11'!Weekly_Adjusted,26,12)</f>
        <v>0</v>
      </c>
      <c r="DW68" s="143">
        <f>INDEX('File 12'!Weekly_Adjusted,26,10)</f>
        <v>0</v>
      </c>
      <c r="DX68" s="143">
        <f>INDEX('File 12'!Weekly_Adjusted,26,11)</f>
        <v>0</v>
      </c>
      <c r="DY68" s="143">
        <f>INDEX('File 12'!Weekly_Adjusted,26,12)</f>
        <v>0</v>
      </c>
      <c r="DZ68" s="142">
        <f>INDEX('File 13'!Weekly_Adjusted,26,10)</f>
        <v>0</v>
      </c>
      <c r="EA68" s="142">
        <f>INDEX('File 13'!Weekly_Adjusted,26,11)</f>
        <v>0</v>
      </c>
      <c r="EB68" s="142">
        <f>INDEX('File 13'!Weekly_Adjusted,26,12)</f>
        <v>0</v>
      </c>
      <c r="EC68" s="143">
        <f>INDEX('File 14'!Weekly_Adjusted,26,10)</f>
        <v>0</v>
      </c>
      <c r="ED68" s="143">
        <f>INDEX('File 14'!Weekly_Adjusted,26,11)</f>
        <v>0</v>
      </c>
      <c r="EE68" s="143">
        <f>INDEX('File 14'!Weekly_Adjusted,26,12)</f>
        <v>0</v>
      </c>
      <c r="EF68" s="142">
        <f>INDEX('File 15'!Weekly_Adjusted,26,10)</f>
        <v>0</v>
      </c>
      <c r="EG68" s="142">
        <f>INDEX('File 15'!Weekly_Adjusted,26,11)</f>
        <v>0</v>
      </c>
      <c r="EH68" s="142">
        <f>INDEX('File 15'!Weekly_Adjusted,26,12)</f>
        <v>0</v>
      </c>
      <c r="EI68" s="143">
        <f>INDEX('File 16'!Weekly_Adjusted,26,10)</f>
        <v>0</v>
      </c>
      <c r="EJ68" s="143">
        <f>INDEX('File 16'!Weekly_Adjusted,26,11)</f>
        <v>0</v>
      </c>
      <c r="EK68" s="143">
        <f>INDEX('File 16'!Weekly_Adjusted,26,12)</f>
        <v>0</v>
      </c>
      <c r="EL68" s="142">
        <f>INDEX('File 17'!Weekly_Adjusted,26,10)</f>
        <v>0</v>
      </c>
      <c r="EM68" s="142">
        <f>INDEX('File 17'!Weekly_Adjusted,26,11)</f>
        <v>0</v>
      </c>
      <c r="EN68" s="142">
        <f>INDEX('File 17'!Weekly_Adjusted,26,12)</f>
        <v>0</v>
      </c>
      <c r="EO68" s="143">
        <f>INDEX('File 18'!Weekly_Adjusted,26,10)</f>
        <v>0</v>
      </c>
      <c r="EP68" s="143">
        <f>INDEX('File 18'!Weekly_Adjusted,26,11)</f>
        <v>0</v>
      </c>
      <c r="EQ68" s="143">
        <f>INDEX('File 18'!Weekly_Adjusted,26,12)</f>
        <v>0</v>
      </c>
      <c r="ER68" s="142">
        <f>INDEX('File 19'!Weekly_Adjusted,26,10)</f>
        <v>0</v>
      </c>
      <c r="ES68" s="142">
        <f>INDEX('File 19'!Weekly_Adjusted,26,11)</f>
        <v>0</v>
      </c>
      <c r="ET68" s="142">
        <f>INDEX('File 19'!Weekly_Adjusted,26,12)</f>
        <v>0</v>
      </c>
      <c r="EU68" s="143">
        <f>INDEX('File 20'!Weekly_Adjusted,26,10)</f>
        <v>0</v>
      </c>
      <c r="EV68" s="143">
        <f>INDEX('File 20'!Weekly_Adjusted,26,11)</f>
        <v>0</v>
      </c>
      <c r="EW68" s="143">
        <f>INDEX('File 20'!Weekly_Adjusted,26,12)</f>
        <v>0</v>
      </c>
      <c r="EX68" s="6">
        <f ca="1">SUMIFS(INDEX(Capacity_Activity_Weekly,ROW(A26),0),Demand_Activity_Weekly_Header,CJ$42)</f>
        <v>24.344712210866053</v>
      </c>
      <c r="EY68" s="6">
        <f ca="1">SUMIFS(INDEX(Capacity_Activity_Weekly,ROW(B26),0),Demand_Activity_Weekly_Header,CK$42)</f>
        <v>0</v>
      </c>
      <c r="EZ68" s="6">
        <f ca="1">SUMIFS(INDEX(Capacity_Activity_Weekly,ROW(C26),0),Demand_Activity_Weekly_Header,CL$42)</f>
        <v>0</v>
      </c>
      <c r="FA68" s="6">
        <f ca="1">SUMIFS(INDEX(Capacity_Activity_Weekly,ROW(D26),0),Demand_Activity_Weekly_Header,CM$42)</f>
        <v>0</v>
      </c>
      <c r="FB68" s="6">
        <f ca="1">SUMIFS(INDEX(Capacity_Activity_Weekly,ROW(E26),0),Demand_Activity_Weekly_Header,CN$42)</f>
        <v>0</v>
      </c>
      <c r="FD68" s="7">
        <f>'File 1'!$Q$54*'Time based aggregation (hide)'!$Q30</f>
        <v>0</v>
      </c>
      <c r="FE68" s="7">
        <f>'File 1'!$R$54*'Time based aggregation (hide)'!$R30</f>
        <v>0</v>
      </c>
      <c r="FF68" s="7">
        <f>'File 1'!$S$54*'Time based aggregation (hide)'!$S30</f>
        <v>0</v>
      </c>
      <c r="FG68" s="7">
        <f>'File 2'!$Q$54*'Time based aggregation (hide)'!$T30</f>
        <v>0</v>
      </c>
      <c r="FH68" s="7">
        <f>'File 2'!$R$54*'Time based aggregation (hide)'!$U30</f>
        <v>0</v>
      </c>
      <c r="FI68" s="7">
        <f>'File 2'!$S$54*'Time based aggregation (hide)'!$V30</f>
        <v>0</v>
      </c>
      <c r="FJ68" s="7">
        <f>'File 3'!$Q$54*'Time based aggregation (hide)'!$W30</f>
        <v>0</v>
      </c>
      <c r="FK68" s="7">
        <f>'File 3'!$R$54*'Time based aggregation (hide)'!$X30</f>
        <v>0</v>
      </c>
      <c r="FL68" s="7">
        <f>'File 3'!$S$54*'Time based aggregation (hide)'!$Y30</f>
        <v>0</v>
      </c>
      <c r="FM68" s="7">
        <f>'File 4'!$Q$54*'Time based aggregation (hide)'!$Z30</f>
        <v>0</v>
      </c>
      <c r="FN68" s="7">
        <f>'File 4'!$R$54*'Time based aggregation (hide)'!$AA30</f>
        <v>0</v>
      </c>
      <c r="FO68" s="7">
        <f>'File 4'!$S$54*'Time based aggregation (hide)'!$AB30</f>
        <v>0</v>
      </c>
      <c r="FP68" s="7">
        <f>'File 5'!$Q$54*'Time based aggregation (hide)'!$AC30</f>
        <v>0</v>
      </c>
      <c r="FQ68" s="7">
        <f>'File 5'!$R$54*'Time based aggregation (hide)'!$AD30</f>
        <v>0</v>
      </c>
      <c r="FR68" s="7">
        <f>'File 5'!$S$54*'Time based aggregation (hide)'!$AE30</f>
        <v>0</v>
      </c>
      <c r="FS68" s="7">
        <f>'File 6'!$Q$54*'Time based aggregation (hide)'!$AF30</f>
        <v>0</v>
      </c>
      <c r="FT68" s="7">
        <f>'File 6'!$R$54*'Time based aggregation (hide)'!$AG30</f>
        <v>0</v>
      </c>
      <c r="FU68" s="7">
        <f>'File 6'!$S$54*'Time based aggregation (hide)'!$AH30</f>
        <v>0</v>
      </c>
      <c r="FV68" s="7">
        <f>'File 7'!$Q$54*'Time based aggregation (hide)'!$AI30</f>
        <v>0</v>
      </c>
      <c r="FW68" s="7">
        <f>'File 7'!$R$54*'Time based aggregation (hide)'!$AJ30</f>
        <v>0</v>
      </c>
      <c r="FX68" s="7">
        <f>'File 7'!$S$54*'Time based aggregation (hide)'!$AK30</f>
        <v>0</v>
      </c>
      <c r="FY68" s="7">
        <f>'File 8'!$Q$54*'Time based aggregation (hide)'!$AL30</f>
        <v>0</v>
      </c>
      <c r="FZ68" s="7">
        <f>'File 8'!$R$54*'Time based aggregation (hide)'!$AM30</f>
        <v>0</v>
      </c>
      <c r="GA68" s="7">
        <f>'File 8'!$S$54*'Time based aggregation (hide)'!$AN30</f>
        <v>0</v>
      </c>
      <c r="GB68" s="7">
        <f>'File 9'!$Q$54*'Time based aggregation (hide)'!$AO30</f>
        <v>0</v>
      </c>
      <c r="GC68" s="7">
        <f>'File 9'!$R$54*'Time based aggregation (hide)'!$AP30</f>
        <v>0</v>
      </c>
      <c r="GD68" s="7">
        <f>'File 9'!$S$54*'Time based aggregation (hide)'!$AQ30</f>
        <v>0</v>
      </c>
      <c r="GE68" s="7">
        <f>'File 10'!$Q$54*'Time based aggregation (hide)'!$AR30</f>
        <v>0</v>
      </c>
      <c r="GF68" s="7">
        <f>'File 10'!$R$54*'Time based aggregation (hide)'!$AS30</f>
        <v>0</v>
      </c>
      <c r="GG68" s="7">
        <f>'File 10'!$S$54*'Time based aggregation (hide)'!$AT30</f>
        <v>0</v>
      </c>
      <c r="GH68" s="7">
        <f>'File 11'!$Q$54*'Time based aggregation (hide)'!$AU30</f>
        <v>0</v>
      </c>
      <c r="GI68" s="7">
        <f>'File 11'!$R$54*'Time based aggregation (hide)'!$AV30</f>
        <v>0</v>
      </c>
      <c r="GJ68" s="7">
        <f>'File 11'!$S$54*'Time based aggregation (hide)'!$AW30</f>
        <v>0</v>
      </c>
      <c r="GK68" s="7">
        <f>'File 12'!$Q$54*'Time based aggregation (hide)'!$AX30</f>
        <v>0</v>
      </c>
      <c r="GL68" s="7">
        <f>'File 12'!$R$54*'Time based aggregation (hide)'!$AY30</f>
        <v>0</v>
      </c>
      <c r="GM68" s="7">
        <f>'File 12'!$S$54*'Time based aggregation (hide)'!$AZ30</f>
        <v>0</v>
      </c>
      <c r="GN68" s="7">
        <f>'File 13'!$Q$54*'Time based aggregation (hide)'!$BA30</f>
        <v>0</v>
      </c>
      <c r="GO68" s="7">
        <f>'File 13'!$R$54*'Time based aggregation (hide)'!$BB30</f>
        <v>0</v>
      </c>
      <c r="GP68" s="7">
        <f>'File 13'!$S$54*'Time based aggregation (hide)'!$BC30</f>
        <v>0</v>
      </c>
      <c r="GQ68" s="7">
        <f>'File 14'!$Q$54*'Time based aggregation (hide)'!$BD30</f>
        <v>0</v>
      </c>
      <c r="GR68" s="7">
        <f>'File 14'!$R$54*'Time based aggregation (hide)'!$BE30</f>
        <v>0</v>
      </c>
      <c r="GS68" s="7">
        <f>'File 14'!$S$54*'Time based aggregation (hide)'!$BF30</f>
        <v>0</v>
      </c>
      <c r="GT68" s="7">
        <f>'File 15'!$Q$54*'Time based aggregation (hide)'!$BG30</f>
        <v>0</v>
      </c>
      <c r="GU68" s="7">
        <f>'File 15'!$R$54*'Time based aggregation (hide)'!$BH30</f>
        <v>0</v>
      </c>
      <c r="GV68" s="7">
        <f>'File 15'!$S$54*'Time based aggregation (hide)'!$BI30</f>
        <v>0</v>
      </c>
      <c r="GW68" s="7">
        <f>'File 16'!$Q$54*'Time based aggregation (hide)'!$BJ30</f>
        <v>0</v>
      </c>
      <c r="GX68" s="7">
        <f>'File 16'!$R$54*'Time based aggregation (hide)'!$BK30</f>
        <v>0</v>
      </c>
      <c r="GY68" s="7">
        <f>'File 16'!$S$54*'Time based aggregation (hide)'!$BL30</f>
        <v>0</v>
      </c>
      <c r="GZ68" s="7">
        <f>'File 17'!$Q$54*'Time based aggregation (hide)'!$BM30</f>
        <v>0</v>
      </c>
      <c r="HA68" s="7">
        <f>'File 17'!$R$54*'Time based aggregation (hide)'!$BN30</f>
        <v>0</v>
      </c>
      <c r="HB68" s="7">
        <f>'File 17'!$S$54*'Time based aggregation (hide)'!$BO30</f>
        <v>0</v>
      </c>
      <c r="HC68" s="7">
        <f>'File 18'!$Q$54*'Time based aggregation (hide)'!$BP30</f>
        <v>0</v>
      </c>
      <c r="HD68" s="7">
        <f>'File 18'!$R$54*'Time based aggregation (hide)'!$BQ30</f>
        <v>0</v>
      </c>
      <c r="HE68" s="7">
        <f>'File 18'!$S$54*'Time based aggregation (hide)'!$BR30</f>
        <v>0</v>
      </c>
      <c r="HF68" s="7">
        <f>'File 19'!$Q$54*'Time based aggregation (hide)'!$BS30</f>
        <v>0</v>
      </c>
      <c r="HG68" s="7">
        <f>'File 19'!$R$54*'Time based aggregation (hide)'!$BT30</f>
        <v>0</v>
      </c>
      <c r="HH68" s="7">
        <f>'File 19'!$S$54*'Time based aggregation (hide)'!$BU30</f>
        <v>0</v>
      </c>
      <c r="HI68" s="7">
        <f>'File 20'!$Q$54*'Time based aggregation (hide)'!$BV30</f>
        <v>0</v>
      </c>
      <c r="HJ68" s="7">
        <f>'File 20'!$R$54*'Time based aggregation (hide)'!$BW30</f>
        <v>0</v>
      </c>
      <c r="HK68" s="7">
        <f>'File 20'!$S$54*'Time based aggregation (hide)'!$BX30</f>
        <v>0</v>
      </c>
      <c r="HL68" s="7">
        <f t="shared" ca="1" si="43"/>
        <v>0</v>
      </c>
      <c r="HM68" s="7">
        <f t="shared" ca="1" si="43"/>
        <v>0</v>
      </c>
      <c r="HN68" s="7">
        <f t="shared" ca="1" si="43"/>
        <v>0</v>
      </c>
      <c r="HO68" s="7">
        <f t="shared" ca="1" si="43"/>
        <v>0</v>
      </c>
      <c r="HP68" s="7">
        <f t="shared" ca="1" si="43"/>
        <v>0</v>
      </c>
      <c r="HR68" s="142">
        <f>INDEX('File 1'!Weekly_Adjusted,26,16)</f>
        <v>20.933351264120493</v>
      </c>
      <c r="HS68" s="142">
        <f>INDEX('File 1'!Weekly_Adjusted,26,17)</f>
        <v>0</v>
      </c>
      <c r="HT68" s="142">
        <f>INDEX('File 1'!Weekly_Adjusted,26,18)</f>
        <v>0</v>
      </c>
      <c r="HU68" s="143">
        <f>INDEX('File 2'!Weekly_Adjusted,26,16)</f>
        <v>0</v>
      </c>
      <c r="HV68" s="143">
        <f>INDEX('File 2'!Weekly_Adjusted,26,17)</f>
        <v>0</v>
      </c>
      <c r="HW68" s="143">
        <f>INDEX('File 2'!Weekly_Adjusted,26,18)</f>
        <v>0</v>
      </c>
      <c r="HX68" s="142">
        <f>INDEX('File 3'!Weekly_Adjusted,26,16)</f>
        <v>0</v>
      </c>
      <c r="HY68" s="142">
        <f>INDEX('File 3'!Weekly_Adjusted,26,17)</f>
        <v>0</v>
      </c>
      <c r="HZ68" s="142">
        <f>INDEX('File 3'!Weekly_Adjusted,26,18)</f>
        <v>0</v>
      </c>
      <c r="IA68" s="143">
        <f>INDEX('File 4'!Weekly_Adjusted,26,16)</f>
        <v>0</v>
      </c>
      <c r="IB68" s="143">
        <f>INDEX('File 4'!Weekly_Adjusted,26,17)</f>
        <v>0</v>
      </c>
      <c r="IC68" s="143">
        <f>INDEX('File 4'!Weekly_Adjusted,26,18)</f>
        <v>0</v>
      </c>
      <c r="ID68" s="142">
        <f>INDEX('File 5'!Weekly_Adjusted,26,16)</f>
        <v>0</v>
      </c>
      <c r="IE68" s="142">
        <f>INDEX('File 5'!Weekly_Adjusted,26,17)</f>
        <v>0</v>
      </c>
      <c r="IF68" s="142">
        <f>INDEX('File 5'!Weekly_Adjusted,26,18)</f>
        <v>0</v>
      </c>
      <c r="IG68" s="143">
        <f>INDEX('File 6'!Weekly_Adjusted,26,16)</f>
        <v>0</v>
      </c>
      <c r="IH68" s="143">
        <f>INDEX('File 6'!Weekly_Adjusted,26,17)</f>
        <v>0</v>
      </c>
      <c r="II68" s="143">
        <f>INDEX('File 6'!Weekly_Adjusted,26,18)</f>
        <v>0</v>
      </c>
      <c r="IJ68" s="142">
        <f>INDEX('File 7'!Weekly_Adjusted,26,16)</f>
        <v>0</v>
      </c>
      <c r="IK68" s="142">
        <f>INDEX('File 7'!Weekly_Adjusted,26,17)</f>
        <v>0</v>
      </c>
      <c r="IL68" s="142">
        <f>INDEX('File 7'!Weekly_Adjusted,26,18)</f>
        <v>0</v>
      </c>
      <c r="IM68" s="143">
        <f>INDEX('File 8'!Weekly_Adjusted,26,16)</f>
        <v>0</v>
      </c>
      <c r="IN68" s="143">
        <f>INDEX('File 8'!Weekly_Adjusted,26,17)</f>
        <v>0</v>
      </c>
      <c r="IO68" s="143">
        <f>INDEX('File 8'!Weekly_Adjusted,26,18)</f>
        <v>0</v>
      </c>
      <c r="IP68" s="142">
        <f>INDEX('File 9'!Weekly_Adjusted,26,16)</f>
        <v>0</v>
      </c>
      <c r="IQ68" s="142">
        <f>INDEX('File 9'!Weekly_Adjusted,26,17)</f>
        <v>0</v>
      </c>
      <c r="IR68" s="142">
        <f>INDEX('File 9'!Weekly_Adjusted,26,18)</f>
        <v>0</v>
      </c>
      <c r="IS68" s="143">
        <f>INDEX('File 10'!Weekly_Adjusted,26,16)</f>
        <v>0</v>
      </c>
      <c r="IT68" s="143">
        <f>INDEX('File 10'!Weekly_Adjusted,26,17)</f>
        <v>0</v>
      </c>
      <c r="IU68" s="143">
        <f>INDEX('File 10'!Weekly_Adjusted,26,18)</f>
        <v>0</v>
      </c>
      <c r="IV68" s="142">
        <f>INDEX('File 11'!Weekly_Adjusted,26,16)</f>
        <v>0</v>
      </c>
      <c r="IW68" s="142">
        <f>INDEX('File 11'!Weekly_Adjusted,26,17)</f>
        <v>0</v>
      </c>
      <c r="IX68" s="142">
        <f>INDEX('File 11'!Weekly_Adjusted,26,18)</f>
        <v>0</v>
      </c>
      <c r="IY68" s="143">
        <f>INDEX('File 12'!Weekly_Adjusted,26,16)</f>
        <v>0</v>
      </c>
      <c r="IZ68" s="143">
        <f>INDEX('File 12'!Weekly_Adjusted,26,17)</f>
        <v>0</v>
      </c>
      <c r="JA68" s="143">
        <f>INDEX('File 12'!Weekly_Adjusted,26,18)</f>
        <v>0</v>
      </c>
      <c r="JB68" s="142">
        <f>INDEX('File 13'!Weekly_Adjusted,26,16)</f>
        <v>0</v>
      </c>
      <c r="JC68" s="142">
        <f>INDEX('File 13'!Weekly_Adjusted,26,17)</f>
        <v>0</v>
      </c>
      <c r="JD68" s="142">
        <f>INDEX('File 13'!Weekly_Adjusted,26,18)</f>
        <v>0</v>
      </c>
      <c r="JE68" s="143">
        <f>INDEX('File 14'!Weekly_Adjusted,26,16)</f>
        <v>0</v>
      </c>
      <c r="JF68" s="143">
        <f>INDEX('File 14'!Weekly_Adjusted,26,17)</f>
        <v>0</v>
      </c>
      <c r="JG68" s="143">
        <f>INDEX('File 14'!Weekly_Adjusted,26,18)</f>
        <v>0</v>
      </c>
      <c r="JH68" s="142">
        <f>INDEX('File 15'!Weekly_Adjusted,26,16)</f>
        <v>0</v>
      </c>
      <c r="JI68" s="142">
        <f>INDEX('File 15'!Weekly_Adjusted,26,17)</f>
        <v>0</v>
      </c>
      <c r="JJ68" s="142">
        <f>INDEX('File 15'!Weekly_Adjusted,26,18)</f>
        <v>0</v>
      </c>
      <c r="JK68" s="143">
        <f>INDEX('File 16'!Weekly_Adjusted,26,16)</f>
        <v>0</v>
      </c>
      <c r="JL68" s="143">
        <f>INDEX('File 16'!Weekly_Adjusted,26,17)</f>
        <v>0</v>
      </c>
      <c r="JM68" s="143">
        <f>INDEX('File 16'!Weekly_Adjusted,26,18)</f>
        <v>0</v>
      </c>
      <c r="JN68" s="142">
        <f>INDEX('File 17'!Weekly_Adjusted,26,16)</f>
        <v>0</v>
      </c>
      <c r="JO68" s="142">
        <f>INDEX('File 17'!Weekly_Adjusted,26,17)</f>
        <v>0</v>
      </c>
      <c r="JP68" s="142">
        <f>INDEX('File 17'!Weekly_Adjusted,26,18)</f>
        <v>0</v>
      </c>
      <c r="JQ68" s="143">
        <f>INDEX('File 18'!Weekly_Adjusted,26,16)</f>
        <v>0</v>
      </c>
      <c r="JR68" s="143">
        <f>INDEX('File 18'!Weekly_Adjusted,26,17)</f>
        <v>0</v>
      </c>
      <c r="JS68" s="143">
        <f>INDEX('File 18'!Weekly_Adjusted,26,18)</f>
        <v>0</v>
      </c>
      <c r="JT68" s="142">
        <f>INDEX('File 19'!Weekly_Adjusted,26,16)</f>
        <v>0</v>
      </c>
      <c r="JU68" s="142">
        <f>INDEX('File 19'!Weekly_Adjusted,26,17)</f>
        <v>0</v>
      </c>
      <c r="JV68" s="142">
        <f>INDEX('File 19'!Weekly_Adjusted,26,18)</f>
        <v>0</v>
      </c>
      <c r="JW68" s="143">
        <f>INDEX('File 20'!Weekly_Adjusted,26,16)</f>
        <v>0</v>
      </c>
      <c r="JX68" s="143">
        <f>INDEX('File 20'!Weekly_Adjusted,26,17)</f>
        <v>0</v>
      </c>
      <c r="JY68" s="143">
        <f>INDEX('File 20'!Weekly_Adjusted,26,18)</f>
        <v>0</v>
      </c>
      <c r="JZ68" s="6">
        <f ca="1">SUMIFS(INDEX(CapacityCore_Activity_Weekly,ROW(EC26),0),Demand_Activity_Weekly_Header,HL$42)</f>
        <v>20.933351264120493</v>
      </c>
      <c r="KA68" s="6">
        <f ca="1">SUMIFS(INDEX(CapacityCore_Activity_Weekly,ROW(ED26),0),Demand_Activity_Weekly_Header,HM$42)</f>
        <v>0</v>
      </c>
      <c r="KB68" s="6">
        <f ca="1">SUMIFS(INDEX(CapacityCore_Activity_Weekly,ROW(EE26),0),Demand_Activity_Weekly_Header,HN$42)</f>
        <v>0</v>
      </c>
      <c r="KC68" s="6">
        <f ca="1">SUMIFS(INDEX(CapacityCore_Activity_Weekly,ROW(EF26),0),Demand_Activity_Weekly_Header,HO$42)</f>
        <v>0</v>
      </c>
      <c r="KD68" s="6">
        <f ca="1">SUMIFS(INDEX(CapacityCore_Activity_Weekly,ROW(EG26),0),Demand_Activity_Weekly_Header,HP$42)</f>
        <v>0</v>
      </c>
      <c r="KF68" s="6">
        <f>SUMIFS('Time based aggregation (hide)'!$J:$J,'Time based aggregation (hide)'!$E:$E,1,'Time based aggregation (hide)'!$F:$F,1,'Time based aggregation (hide)'!$A:$A,ROW(A26))</f>
        <v>0</v>
      </c>
      <c r="KG68" s="6">
        <f>SUMIFS('Time based aggregation (hide)'!$J:$J,'Time based aggregation (hide)'!$E:$E,1,'Time based aggregation (hide)'!$F:$F,2,'Time based aggregation (hide)'!$A:$A,ROW(A26))</f>
        <v>0</v>
      </c>
      <c r="KH68" s="6">
        <f>SUMIFS('Time based aggregation (hide)'!$J:$J,'Time based aggregation (hide)'!$E:$E,1,'Time based aggregation (hide)'!$F:$F,3,'Time based aggregation (hide)'!$A:$A,ROW(A26))</f>
        <v>0</v>
      </c>
      <c r="KI68" s="6">
        <f>SUMIFS('Time based aggregation (hide)'!$J:$J,'Time based aggregation (hide)'!$E:$E,2,'Time based aggregation (hide)'!$F:$F,1,'Time based aggregation (hide)'!$A:$A,ROW(A26))</f>
        <v>0</v>
      </c>
      <c r="KJ68" s="6">
        <f>SUMIFS('Time based aggregation (hide)'!$J:$J,'Time based aggregation (hide)'!$E:$E,2,'Time based aggregation (hide)'!$F:$F,2,'Time based aggregation (hide)'!$A:$A,ROW(A26))</f>
        <v>0</v>
      </c>
      <c r="KK68" s="6">
        <f>SUMIFS('Time based aggregation (hide)'!$J:$J,'Time based aggregation (hide)'!$E:$E,2,'Time based aggregation (hide)'!$F:$F,3,'Time based aggregation (hide)'!$A:$A,ROW(A26))</f>
        <v>0</v>
      </c>
      <c r="KL68" s="6">
        <f>SUMIFS('Time based aggregation (hide)'!$J:$J,'Time based aggregation (hide)'!$E:$E,3,'Time based aggregation (hide)'!$F:$F,1,'Time based aggregation (hide)'!$A:$A,ROW(A26))</f>
        <v>0</v>
      </c>
      <c r="KM68" s="6">
        <f>SUMIFS('Time based aggregation (hide)'!$J:$J,'Time based aggregation (hide)'!$E:$E,3,'Time based aggregation (hide)'!$F:$F,2,'Time based aggregation (hide)'!$A:$A,ROW(A26))</f>
        <v>0</v>
      </c>
      <c r="KN68" s="6">
        <f>SUMIFS('Time based aggregation (hide)'!$J:$J,'Time based aggregation (hide)'!$E:$E,3,'Time based aggregation (hide)'!$F:$F,3,'Time based aggregation (hide)'!$A:$A,ROW(A26))</f>
        <v>0</v>
      </c>
      <c r="KO68" s="6">
        <f>SUMIFS('Time based aggregation (hide)'!$J:$J,'Time based aggregation (hide)'!$E:$E,4,'Time based aggregation (hide)'!$F:$F,1,'Time based aggregation (hide)'!$A:$A,ROW(A26))</f>
        <v>0</v>
      </c>
      <c r="KP68" s="6">
        <f>SUMIFS('Time based aggregation (hide)'!$J:$J,'Time based aggregation (hide)'!$E:$E,4,'Time based aggregation (hide)'!$F:$F,2,'Time based aggregation (hide)'!$A:$A,ROW(A26))</f>
        <v>0</v>
      </c>
      <c r="KQ68" s="6">
        <f>SUMIFS('Time based aggregation (hide)'!$J:$J,'Time based aggregation (hide)'!$E:$E,4,'Time based aggregation (hide)'!$F:$F,3,'Time based aggregation (hide)'!$A:$A,ROW(A26))</f>
        <v>0</v>
      </c>
      <c r="KR68" s="6">
        <f>SUMIFS('Time based aggregation (hide)'!$J:$J,'Time based aggregation (hide)'!$E:$E,5,'Time based aggregation (hide)'!$F:$F,1,'Time based aggregation (hide)'!$A:$A,ROW(A26))</f>
        <v>0</v>
      </c>
      <c r="KS68" s="6">
        <f>SUMIFS('Time based aggregation (hide)'!$J:$J,'Time based aggregation (hide)'!$E:$E,5,'Time based aggregation (hide)'!$F:$F,2,'Time based aggregation (hide)'!$A:$A,ROW(A26))</f>
        <v>0</v>
      </c>
      <c r="KT68" s="6">
        <f>SUMIFS('Time based aggregation (hide)'!$J:$J,'Time based aggregation (hide)'!$E:$E,5,'Time based aggregation (hide)'!$F:$F,3,'Time based aggregation (hide)'!$A:$A,ROW(A26))</f>
        <v>0</v>
      </c>
      <c r="KU68" s="6">
        <f>SUMIFS('Time based aggregation (hide)'!$J:$J,'Time based aggregation (hide)'!$E:$E,6,'Time based aggregation (hide)'!$F:$F,1,'Time based aggregation (hide)'!$A:$A,ROW(A26))</f>
        <v>0</v>
      </c>
      <c r="KV68" s="6">
        <f>SUMIFS('Time based aggregation (hide)'!$J:$J,'Time based aggregation (hide)'!$E:$E,6,'Time based aggregation (hide)'!$F:$F,2,'Time based aggregation (hide)'!$A:$A,ROW(A26))</f>
        <v>0</v>
      </c>
      <c r="KW68" s="6">
        <f>SUMIFS('Time based aggregation (hide)'!$J:$J,'Time based aggregation (hide)'!$E:$E,6,'Time based aggregation (hide)'!$F:$F,3,'Time based aggregation (hide)'!$A:$A,ROW(A26))</f>
        <v>0</v>
      </c>
      <c r="KX68" s="6">
        <f>SUMIFS('Time based aggregation (hide)'!$J:$J,'Time based aggregation (hide)'!$E:$E,7,'Time based aggregation (hide)'!$F:$F,1,'Time based aggregation (hide)'!$A:$A,ROW(A26))</f>
        <v>0</v>
      </c>
      <c r="KY68" s="6">
        <f>SUMIFS('Time based aggregation (hide)'!$J:$J,'Time based aggregation (hide)'!$E:$E,7,'Time based aggregation (hide)'!$F:$F,2,'Time based aggregation (hide)'!$A:$A,ROW(A26))</f>
        <v>0</v>
      </c>
      <c r="KZ68" s="6">
        <f>SUMIFS('Time based aggregation (hide)'!$J:$J,'Time based aggregation (hide)'!$E:$E,7,'Time based aggregation (hide)'!$F:$F,3,'Time based aggregation (hide)'!$A:$A,ROW(A26))</f>
        <v>0</v>
      </c>
      <c r="LA68" s="6">
        <f>SUMIFS('Time based aggregation (hide)'!$J:$J,'Time based aggregation (hide)'!$E:$E,8,'Time based aggregation (hide)'!$F:$F,1,'Time based aggregation (hide)'!$A:$A,ROW(A26))</f>
        <v>0</v>
      </c>
      <c r="LB68" s="6">
        <f>SUMIFS('Time based aggregation (hide)'!$J:$J,'Time based aggregation (hide)'!$E:$E,8,'Time based aggregation (hide)'!$F:$F,2,'Time based aggregation (hide)'!$A:$A,ROW(A26))</f>
        <v>0</v>
      </c>
      <c r="LC68" s="6">
        <f>SUMIFS('Time based aggregation (hide)'!$J:$J,'Time based aggregation (hide)'!$E:$E,8,'Time based aggregation (hide)'!$F:$F,3,'Time based aggregation (hide)'!$A:$A,ROW(A26))</f>
        <v>0</v>
      </c>
      <c r="LD68" s="6">
        <f>SUMIFS('Time based aggregation (hide)'!$J:$J,'Time based aggregation (hide)'!$E:$E,9,'Time based aggregation (hide)'!$F:$F,1,'Time based aggregation (hide)'!$A:$A,ROW(A26))</f>
        <v>0</v>
      </c>
      <c r="LE68" s="6">
        <f>SUMIFS('Time based aggregation (hide)'!$J:$J,'Time based aggregation (hide)'!$E:$E,9,'Time based aggregation (hide)'!$F:$F,2,'Time based aggregation (hide)'!$A:$A,ROW(A26))</f>
        <v>0</v>
      </c>
      <c r="LF68" s="6">
        <f>SUMIFS('Time based aggregation (hide)'!$J:$J,'Time based aggregation (hide)'!$E:$E,9,'Time based aggregation (hide)'!$F:$F,3,'Time based aggregation (hide)'!$A:$A,ROW(A26))</f>
        <v>0</v>
      </c>
      <c r="LG68" s="6">
        <f>SUMIFS('Time based aggregation (hide)'!$J:$J,'Time based aggregation (hide)'!$E:$E,10,'Time based aggregation (hide)'!$F:$F,1,'Time based aggregation (hide)'!$A:$A,ROW(A26))</f>
        <v>0</v>
      </c>
      <c r="LH68" s="6">
        <f>SUMIFS('Time based aggregation (hide)'!$J:$J,'Time based aggregation (hide)'!$E:$E,10,'Time based aggregation (hide)'!$F:$F,2,'Time based aggregation (hide)'!$A:$A,ROW(A26))</f>
        <v>0</v>
      </c>
      <c r="LI68" s="6">
        <f>SUMIFS('Time based aggregation (hide)'!$J:$J,'Time based aggregation (hide)'!$E:$E,10,'Time based aggregation (hide)'!$F:$F,3,'Time based aggregation (hide)'!$A:$A,ROW(A26))</f>
        <v>0</v>
      </c>
      <c r="LJ68" s="6">
        <f>SUMIFS('Time based aggregation (hide)'!$J:$J,'Time based aggregation (hide)'!$E:$E,11,'Time based aggregation (hide)'!$F:$F,1,'Time based aggregation (hide)'!$A:$A,ROW(A26))</f>
        <v>0</v>
      </c>
      <c r="LK68" s="6">
        <f>SUMIFS('Time based aggregation (hide)'!$J:$J,'Time based aggregation (hide)'!$E:$E,11,'Time based aggregation (hide)'!$F:$F,2,'Time based aggregation (hide)'!$A:$A,ROW(A26))</f>
        <v>0</v>
      </c>
      <c r="LL68" s="6">
        <f>SUMIFS('Time based aggregation (hide)'!$J:$J,'Time based aggregation (hide)'!$E:$E,11,'Time based aggregation (hide)'!$F:$F,3,'Time based aggregation (hide)'!$A:$A,ROW(A26))</f>
        <v>0</v>
      </c>
      <c r="LM68" s="6">
        <f>SUMIFS('Time based aggregation (hide)'!$J:$J,'Time based aggregation (hide)'!$E:$E,12,'Time based aggregation (hide)'!$F:$F,1,'Time based aggregation (hide)'!$A:$A,ROW(A26))</f>
        <v>0</v>
      </c>
      <c r="LN68" s="6">
        <f>SUMIFS('Time based aggregation (hide)'!$J:$J,'Time based aggregation (hide)'!$E:$E,12,'Time based aggregation (hide)'!$F:$F,2,'Time based aggregation (hide)'!$A:$A,ROW(A26))</f>
        <v>0</v>
      </c>
      <c r="LO68" s="6">
        <f>SUMIFS('Time based aggregation (hide)'!$J:$J,'Time based aggregation (hide)'!$E:$E,12,'Time based aggregation (hide)'!$F:$F,3,'Time based aggregation (hide)'!$A:$A,ROW(A26))</f>
        <v>0</v>
      </c>
      <c r="LP68" s="6">
        <f>SUMIFS('Time based aggregation (hide)'!$J:$J,'Time based aggregation (hide)'!$E:$E,13,'Time based aggregation (hide)'!$F:$F,1,'Time based aggregation (hide)'!$A:$A,ROW(A26))</f>
        <v>0</v>
      </c>
      <c r="LQ68" s="6">
        <f>SUMIFS('Time based aggregation (hide)'!$J:$J,'Time based aggregation (hide)'!$E:$E,13,'Time based aggregation (hide)'!$F:$F,2,'Time based aggregation (hide)'!$A:$A,ROW(A26))</f>
        <v>0</v>
      </c>
      <c r="LR68" s="6">
        <f>SUMIFS('Time based aggregation (hide)'!$J:$J,'Time based aggregation (hide)'!$E:$E,13,'Time based aggregation (hide)'!$F:$F,3,'Time based aggregation (hide)'!$A:$A,ROW(A26))</f>
        <v>0</v>
      </c>
      <c r="LS68" s="6">
        <f>SUMIFS('Time based aggregation (hide)'!$J:$J,'Time based aggregation (hide)'!$E:$E,14,'Time based aggregation (hide)'!$F:$F,1,'Time based aggregation (hide)'!$A:$A,ROW(A26))</f>
        <v>0</v>
      </c>
      <c r="LT68" s="6">
        <f>SUMIFS('Time based aggregation (hide)'!$J:$J,'Time based aggregation (hide)'!$E:$E,14,'Time based aggregation (hide)'!$F:$F,2,'Time based aggregation (hide)'!$A:$A,ROW(A26))</f>
        <v>0</v>
      </c>
      <c r="LU68" s="6">
        <f>SUMIFS('Time based aggregation (hide)'!$J:$J,'Time based aggregation (hide)'!$E:$E,14,'Time based aggregation (hide)'!$F:$F,3,'Time based aggregation (hide)'!$A:$A,ROW(A26))</f>
        <v>0</v>
      </c>
      <c r="LV68" s="6">
        <f>SUMIFS('Time based aggregation (hide)'!$J:$J,'Time based aggregation (hide)'!$E:$E,15,'Time based aggregation (hide)'!$F:$F,1,'Time based aggregation (hide)'!$A:$A,ROW(A26))</f>
        <v>0</v>
      </c>
      <c r="LW68" s="6">
        <f>SUMIFS('Time based aggregation (hide)'!$J:$J,'Time based aggregation (hide)'!$E:$E,15,'Time based aggregation (hide)'!$F:$F,2,'Time based aggregation (hide)'!$A:$A,ROW(A26))</f>
        <v>0</v>
      </c>
      <c r="LX68" s="6">
        <f>SUMIFS('Time based aggregation (hide)'!$J:$J,'Time based aggregation (hide)'!$E:$E,15,'Time based aggregation (hide)'!$F:$F,3,'Time based aggregation (hide)'!$A:$A,ROW(A26))</f>
        <v>0</v>
      </c>
      <c r="LY68" s="6">
        <f>SUMIFS('Time based aggregation (hide)'!$J:$J,'Time based aggregation (hide)'!$E:$E,16,'Time based aggregation (hide)'!$F:$F,1,'Time based aggregation (hide)'!$A:$A,ROW(A26))</f>
        <v>0</v>
      </c>
      <c r="LZ68" s="6">
        <f>SUMIFS('Time based aggregation (hide)'!$J:$J,'Time based aggregation (hide)'!$E:$E,16,'Time based aggregation (hide)'!$F:$F,2,'Time based aggregation (hide)'!$A:$A,ROW(A26))</f>
        <v>0</v>
      </c>
      <c r="MA68" s="6">
        <f>SUMIFS('Time based aggregation (hide)'!$J:$J,'Time based aggregation (hide)'!$E:$E,16,'Time based aggregation (hide)'!$F:$F,3,'Time based aggregation (hide)'!$A:$A,ROW(A26))</f>
        <v>0</v>
      </c>
      <c r="MB68" s="6">
        <f>SUMIFS('Time based aggregation (hide)'!$J:$J,'Time based aggregation (hide)'!$E:$E,17,'Time based aggregation (hide)'!$F:$F,1,'Time based aggregation (hide)'!$A:$A,ROW(A26))</f>
        <v>0</v>
      </c>
      <c r="MC68" s="6">
        <f>SUMIFS('Time based aggregation (hide)'!$J:$J,'Time based aggregation (hide)'!$E:$E,17,'Time based aggregation (hide)'!$F:$F,2,'Time based aggregation (hide)'!$A:$A,ROW(A26))</f>
        <v>0</v>
      </c>
      <c r="MD68" s="6">
        <f>SUMIFS('Time based aggregation (hide)'!$J:$J,'Time based aggregation (hide)'!$E:$E,17,'Time based aggregation (hide)'!$F:$F,3,'Time based aggregation (hide)'!$A:$A,ROW(A26))</f>
        <v>0</v>
      </c>
      <c r="ME68" s="6">
        <f>SUMIFS('Time based aggregation (hide)'!$J:$J,'Time based aggregation (hide)'!$E:$E,18,'Time based aggregation (hide)'!$F:$F,1,'Time based aggregation (hide)'!$A:$A,ROW(A26))</f>
        <v>0</v>
      </c>
      <c r="MF68" s="6">
        <f>SUMIFS('Time based aggregation (hide)'!$J:$J,'Time based aggregation (hide)'!$E:$E,18,'Time based aggregation (hide)'!$F:$F,2,'Time based aggregation (hide)'!$A:$A,ROW(A26))</f>
        <v>0</v>
      </c>
      <c r="MG68" s="6">
        <f>SUMIFS('Time based aggregation (hide)'!$J:$J,'Time based aggregation (hide)'!$E:$E,18,'Time based aggregation (hide)'!$F:$F,3,'Time based aggregation (hide)'!$A:$A,ROW(A26))</f>
        <v>0</v>
      </c>
      <c r="MH68" s="6">
        <f>SUMIFS('Time based aggregation (hide)'!$J:$J,'Time based aggregation (hide)'!$E:$E,19,'Time based aggregation (hide)'!$F:$F,1,'Time based aggregation (hide)'!$A:$A,ROW(A26))</f>
        <v>0</v>
      </c>
      <c r="MI68" s="6">
        <f>SUMIFS('Time based aggregation (hide)'!$J:$J,'Time based aggregation (hide)'!$E:$E,19,'Time based aggregation (hide)'!$F:$F,2,'Time based aggregation (hide)'!$A:$A,ROW(A26))</f>
        <v>0</v>
      </c>
      <c r="MJ68" s="6">
        <f>SUMIFS('Time based aggregation (hide)'!$J:$J,'Time based aggregation (hide)'!$E:$E,19,'Time based aggregation (hide)'!$F:$F,3,'Time based aggregation (hide)'!$A:$A,ROW(A26))</f>
        <v>0</v>
      </c>
      <c r="MK68" s="6">
        <f>SUMIFS('Time based aggregation (hide)'!$J:$J,'Time based aggregation (hide)'!$E:$E,20,'Time based aggregation (hide)'!$F:$F,1,'Time based aggregation (hide)'!$A:$A,ROW(A26))</f>
        <v>0</v>
      </c>
      <c r="ML68" s="6">
        <f>SUMIFS('Time based aggregation (hide)'!$J:$J,'Time based aggregation (hide)'!$E:$E,20,'Time based aggregation (hide)'!$F:$F,2,'Time based aggregation (hide)'!$A:$A,ROW(A26))</f>
        <v>0</v>
      </c>
      <c r="MM68" s="6">
        <f>SUMIFS('Time based aggregation (hide)'!$J:$J,'Time based aggregation (hide)'!$E:$E,20,'Time based aggregation (hide)'!$F:$F,3,'Time based aggregation (hide)'!$A:$A,ROW(A26))</f>
        <v>0</v>
      </c>
      <c r="MN68" s="7">
        <f t="shared" ca="1" si="41"/>
        <v>0</v>
      </c>
      <c r="MO68" s="7">
        <f t="shared" ca="1" si="41"/>
        <v>0</v>
      </c>
      <c r="MP68" s="7">
        <f t="shared" ca="1" si="41"/>
        <v>0</v>
      </c>
      <c r="MQ68" s="7">
        <f t="shared" ca="1" si="41"/>
        <v>0</v>
      </c>
      <c r="MR68" s="7">
        <f t="shared" ca="1" si="41"/>
        <v>0</v>
      </c>
    </row>
    <row r="69" spans="1:356" x14ac:dyDescent="0.25">
      <c r="A69">
        <f>1</f>
        <v>1</v>
      </c>
      <c r="B69" s="85">
        <f t="shared" si="37"/>
        <v>43857</v>
      </c>
      <c r="C69" s="85">
        <f t="shared" si="25"/>
        <v>43857</v>
      </c>
      <c r="D69">
        <f t="shared" ca="1" si="26"/>
        <v>1</v>
      </c>
      <c r="E69" s="85">
        <f t="shared" si="27"/>
        <v>43831</v>
      </c>
      <c r="F69">
        <f t="shared" si="33"/>
        <v>5</v>
      </c>
      <c r="H69">
        <f t="shared" si="34"/>
        <v>27</v>
      </c>
      <c r="I69" s="85">
        <f t="shared" si="38"/>
        <v>44011</v>
      </c>
      <c r="J69">
        <f t="shared" ca="1" si="28"/>
        <v>5</v>
      </c>
      <c r="K69">
        <f t="shared" ca="1" si="29"/>
        <v>1.968503937007874E-2</v>
      </c>
      <c r="L69" s="114"/>
      <c r="N69" s="85">
        <f t="shared" si="35"/>
        <v>44011</v>
      </c>
      <c r="O69" s="122">
        <f t="shared" ca="1" si="42"/>
        <v>0</v>
      </c>
      <c r="P69" s="122">
        <f t="shared" ca="1" si="42"/>
        <v>0</v>
      </c>
      <c r="Q69" s="122">
        <f t="shared" ca="1" si="42"/>
        <v>0</v>
      </c>
      <c r="R69" s="122">
        <f t="shared" ca="1" si="42"/>
        <v>0</v>
      </c>
      <c r="S69" s="122">
        <f t="shared" ca="1" si="42"/>
        <v>0</v>
      </c>
      <c r="T69" s="122">
        <f t="shared" ca="1" si="42"/>
        <v>0.4</v>
      </c>
      <c r="U69" s="122">
        <f t="shared" ca="1" si="42"/>
        <v>0.6</v>
      </c>
      <c r="V69" s="122">
        <f t="shared" ca="1" si="42"/>
        <v>0</v>
      </c>
      <c r="W69" s="122">
        <f t="shared" ca="1" si="42"/>
        <v>0</v>
      </c>
      <c r="X69" s="122">
        <f t="shared" ca="1" si="42"/>
        <v>0</v>
      </c>
      <c r="Y69" s="122">
        <f t="shared" ca="1" si="42"/>
        <v>0</v>
      </c>
      <c r="Z69" s="122">
        <f t="shared" ca="1" si="42"/>
        <v>0</v>
      </c>
      <c r="AA69" s="122"/>
      <c r="AB69" s="140">
        <f>INDEX('File 1'!Weekly_Adjusted,27,1)</f>
        <v>388.17143954725253</v>
      </c>
      <c r="AC69" s="140">
        <f>INDEX('File 1'!Weekly_Adjusted,27,2)</f>
        <v>0</v>
      </c>
      <c r="AD69" s="140">
        <f>INDEX('File 1'!Weekly_Adjusted,27,3)</f>
        <v>0</v>
      </c>
      <c r="AE69" s="141">
        <f>INDEX('File 2'!Weekly_Adjusted,27,1)</f>
        <v>0</v>
      </c>
      <c r="AF69" s="141">
        <f>INDEX('File 2'!Weekly_Adjusted,27,2)</f>
        <v>0</v>
      </c>
      <c r="AG69" s="141">
        <f>INDEX('File 2'!Weekly_Adjusted,27,3)</f>
        <v>0</v>
      </c>
      <c r="AH69" s="140">
        <f>INDEX('File 3'!Weekly_Adjusted,27,1)</f>
        <v>0</v>
      </c>
      <c r="AI69" s="140">
        <f>INDEX('File 3'!Weekly_Adjusted,27,2)</f>
        <v>0</v>
      </c>
      <c r="AJ69" s="140">
        <f>INDEX('File 3'!Weekly_Adjusted,27,3)</f>
        <v>0</v>
      </c>
      <c r="AK69" s="141">
        <f>INDEX('File 4'!Weekly_Adjusted,27,1)</f>
        <v>0</v>
      </c>
      <c r="AL69" s="141">
        <f>INDEX('File 4'!Weekly_Adjusted,27,2)</f>
        <v>0</v>
      </c>
      <c r="AM69" s="141">
        <f>INDEX('File 4'!Weekly_Adjusted,27,3)</f>
        <v>0</v>
      </c>
      <c r="AN69" s="140">
        <f>INDEX('File 5'!Weekly_Adjusted,27,1)</f>
        <v>0</v>
      </c>
      <c r="AO69" s="140">
        <f>INDEX('File 5'!Weekly_Adjusted,27,2)</f>
        <v>0</v>
      </c>
      <c r="AP69" s="140">
        <f>INDEX('File 5'!Weekly_Adjusted,27,3)</f>
        <v>0</v>
      </c>
      <c r="AQ69" s="141">
        <f>INDEX('File 6'!Weekly_Adjusted,27,1)</f>
        <v>0</v>
      </c>
      <c r="AR69" s="141">
        <f>INDEX('File 6'!Weekly_Adjusted,27,2)</f>
        <v>0</v>
      </c>
      <c r="AS69" s="141">
        <f>INDEX('File 6'!Weekly_Adjusted,27,3)</f>
        <v>0</v>
      </c>
      <c r="AT69" s="140">
        <f>INDEX('File 7'!Weekly_Adjusted,27,1)</f>
        <v>0</v>
      </c>
      <c r="AU69" s="140">
        <f>INDEX('File 7'!Weekly_Adjusted,27,2)</f>
        <v>0</v>
      </c>
      <c r="AV69" s="140">
        <f>INDEX('File 7'!Weekly_Adjusted,27,3)</f>
        <v>0</v>
      </c>
      <c r="AW69" s="141">
        <f>INDEX('File 8'!Weekly_Adjusted,27,1)</f>
        <v>0</v>
      </c>
      <c r="AX69" s="141">
        <f>INDEX('File 8'!Weekly_Adjusted,27,2)</f>
        <v>0</v>
      </c>
      <c r="AY69" s="141">
        <f>INDEX('File 8'!Weekly_Adjusted,27,3)</f>
        <v>0</v>
      </c>
      <c r="AZ69" s="140">
        <f>INDEX('File 9'!Weekly_Adjusted,27,1)</f>
        <v>0</v>
      </c>
      <c r="BA69" s="140">
        <f>INDEX('File 9'!Weekly_Adjusted,27,2)</f>
        <v>0</v>
      </c>
      <c r="BB69" s="140">
        <f>INDEX('File 9'!Weekly_Adjusted,27,3)</f>
        <v>0</v>
      </c>
      <c r="BC69" s="141">
        <f>INDEX('File 10'!Weekly_Adjusted,27,1)</f>
        <v>0</v>
      </c>
      <c r="BD69" s="141">
        <f>INDEX('File 10'!Weekly_Adjusted,27,2)</f>
        <v>0</v>
      </c>
      <c r="BE69" s="141">
        <f>INDEX('File 10'!Weekly_Adjusted,27,3)</f>
        <v>0</v>
      </c>
      <c r="BF69" s="140">
        <f>INDEX('File 11'!Weekly_Adjusted,27,1)</f>
        <v>0</v>
      </c>
      <c r="BG69" s="140">
        <f>INDEX('File 11'!Weekly_Adjusted,27,2)</f>
        <v>0</v>
      </c>
      <c r="BH69" s="140">
        <f>INDEX('File 11'!Weekly_Adjusted,27,3)</f>
        <v>0</v>
      </c>
      <c r="BI69" s="141">
        <f>INDEX('File 12'!Weekly_Adjusted,27,1)</f>
        <v>0</v>
      </c>
      <c r="BJ69" s="141">
        <f>INDEX('File 12'!Weekly_Adjusted,27,2)</f>
        <v>0</v>
      </c>
      <c r="BK69" s="141">
        <f>INDEX('File 12'!Weekly_Adjusted,27,3)</f>
        <v>0</v>
      </c>
      <c r="BL69" s="140">
        <f>INDEX('File 13'!Weekly_Adjusted,27,1)</f>
        <v>0</v>
      </c>
      <c r="BM69" s="140">
        <f>INDEX('File 13'!Weekly_Adjusted,27,2)</f>
        <v>0</v>
      </c>
      <c r="BN69" s="140">
        <f>INDEX('File 13'!Weekly_Adjusted,27,3)</f>
        <v>0</v>
      </c>
      <c r="BO69" s="141">
        <f>INDEX('File 14'!Weekly_Adjusted,27,1)</f>
        <v>0</v>
      </c>
      <c r="BP69" s="141">
        <f>INDEX('File 14'!Weekly_Adjusted,27,2)</f>
        <v>0</v>
      </c>
      <c r="BQ69" s="141">
        <f>INDEX('File 14'!Weekly_Adjusted,27,3)</f>
        <v>0</v>
      </c>
      <c r="BR69" s="140">
        <f>INDEX('File 15'!Weekly_Adjusted,27,1)</f>
        <v>0</v>
      </c>
      <c r="BS69" s="140">
        <f>INDEX('File 15'!Weekly_Adjusted,27,2)</f>
        <v>0</v>
      </c>
      <c r="BT69" s="140">
        <f>INDEX('File 15'!Weekly_Adjusted,27,3)</f>
        <v>0</v>
      </c>
      <c r="BU69" s="141">
        <f>INDEX('File 16'!Weekly_Adjusted,27,1)</f>
        <v>0</v>
      </c>
      <c r="BV69" s="141">
        <f>INDEX('File 16'!Weekly_Adjusted,27,2)</f>
        <v>0</v>
      </c>
      <c r="BW69" s="141">
        <f>INDEX('File 16'!Weekly_Adjusted,27,3)</f>
        <v>0</v>
      </c>
      <c r="BX69" s="140">
        <f>INDEX('File 17'!Weekly_Adjusted,27,1)</f>
        <v>0</v>
      </c>
      <c r="BY69" s="140">
        <f>INDEX('File 17'!Weekly_Adjusted,27,2)</f>
        <v>0</v>
      </c>
      <c r="BZ69" s="140">
        <f>INDEX('File 17'!Weekly_Adjusted,27,3)</f>
        <v>0</v>
      </c>
      <c r="CA69" s="141">
        <f>INDEX('File 18'!Weekly_Adjusted,27,1)</f>
        <v>0</v>
      </c>
      <c r="CB69" s="141">
        <f>INDEX('File 18'!Weekly_Adjusted,27,2)</f>
        <v>0</v>
      </c>
      <c r="CC69" s="141">
        <f>INDEX('File 18'!Weekly_Adjusted,27,3)</f>
        <v>0</v>
      </c>
      <c r="CD69" s="140">
        <f>INDEX('File 19'!Weekly_Adjusted,27,1)</f>
        <v>0</v>
      </c>
      <c r="CE69" s="140">
        <f>INDEX('File 19'!Weekly_Adjusted,27,2)</f>
        <v>0</v>
      </c>
      <c r="CF69" s="140">
        <f>INDEX('File 19'!Weekly_Adjusted,27,3)</f>
        <v>0</v>
      </c>
      <c r="CG69" s="141">
        <f>INDEX('File 20'!Weekly_Adjusted,27,1)</f>
        <v>0</v>
      </c>
      <c r="CH69" s="141">
        <f>INDEX('File 20'!Weekly_Adjusted,27,2)</f>
        <v>0</v>
      </c>
      <c r="CI69" s="141">
        <f>INDEX('File 20'!Weekly_Adjusted,27,3)</f>
        <v>0</v>
      </c>
      <c r="CJ69" s="6">
        <f ca="1">SUMIFS(INDEX(Demand_Activity_Weekly,ROW(A27),0),Demand_Activity_Weekly_Header,CJ$42)</f>
        <v>388.17143954725253</v>
      </c>
      <c r="CK69" s="6">
        <f ca="1">SUMIFS(INDEX(Demand_Activity_Weekly,ROW(B27),0),Demand_Activity_Weekly_Header,CK$42)</f>
        <v>0</v>
      </c>
      <c r="CL69" s="6">
        <f ca="1">SUMIFS(INDEX(Demand_Activity_Weekly,ROW(C27),0),Demand_Activity_Weekly_Header,CL$42)</f>
        <v>0</v>
      </c>
      <c r="CM69" s="6">
        <f ca="1">SUMIFS(INDEX(Demand_Activity_Weekly,ROW(D27),0),Demand_Activity_Weekly_Header,CM$42)</f>
        <v>0</v>
      </c>
      <c r="CN69" s="6">
        <f ca="1">SUMIFS(INDEX(Demand_Activity_Weekly,ROW(E27),0),Demand_Activity_Weekly_Header,CN$42)</f>
        <v>0</v>
      </c>
      <c r="CP69" s="142">
        <f>INDEX('File 1'!Weekly_Adjusted,27,10)</f>
        <v>24.344712210866053</v>
      </c>
      <c r="CQ69" s="142">
        <f>INDEX('File 1'!Weekly_Adjusted,27,11)</f>
        <v>0</v>
      </c>
      <c r="CR69" s="142">
        <f>INDEX('File 1'!Weekly_Adjusted,27,12)</f>
        <v>0</v>
      </c>
      <c r="CS69" s="143">
        <f>INDEX('File 2'!Weekly_Adjusted,27,10)</f>
        <v>0</v>
      </c>
      <c r="CT69" s="143">
        <f>INDEX('File 2'!Weekly_Adjusted,27,11)</f>
        <v>0</v>
      </c>
      <c r="CU69" s="143">
        <f>INDEX('File 2'!Weekly_Adjusted,27,12)</f>
        <v>0</v>
      </c>
      <c r="CV69" s="142">
        <f>INDEX('File 3'!Weekly_Adjusted,27,10)</f>
        <v>0</v>
      </c>
      <c r="CW69" s="142">
        <f>INDEX('File 3'!Weekly_Adjusted,27,11)</f>
        <v>0</v>
      </c>
      <c r="CX69" s="142">
        <f>INDEX('File 3'!Weekly_Adjusted,27,12)</f>
        <v>0</v>
      </c>
      <c r="CY69" s="143">
        <f>INDEX('File 4'!Weekly_Adjusted,27,10)</f>
        <v>0</v>
      </c>
      <c r="CZ69" s="143">
        <f>INDEX('File 4'!Weekly_Adjusted,27,11)</f>
        <v>0</v>
      </c>
      <c r="DA69" s="143">
        <f>INDEX('File 4'!Weekly_Adjusted,27,12)</f>
        <v>0</v>
      </c>
      <c r="DB69" s="142">
        <f>INDEX('File 5'!Weekly_Adjusted,27,10)</f>
        <v>0</v>
      </c>
      <c r="DC69" s="142">
        <f>INDEX('File 5'!Weekly_Adjusted,27,11)</f>
        <v>0</v>
      </c>
      <c r="DD69" s="142">
        <f>INDEX('File 5'!Weekly_Adjusted,27,12)</f>
        <v>0</v>
      </c>
      <c r="DE69" s="143">
        <f>INDEX('File 6'!Weekly_Adjusted,27,10)</f>
        <v>0</v>
      </c>
      <c r="DF69" s="143">
        <f>INDEX('File 6'!Weekly_Adjusted,27,11)</f>
        <v>0</v>
      </c>
      <c r="DG69" s="143">
        <f>INDEX('File 6'!Weekly_Adjusted,27,12)</f>
        <v>0</v>
      </c>
      <c r="DH69" s="142">
        <f>INDEX('File 7'!Weekly_Adjusted,27,10)</f>
        <v>0</v>
      </c>
      <c r="DI69" s="142">
        <f>INDEX('File 7'!Weekly_Adjusted,27,11)</f>
        <v>0</v>
      </c>
      <c r="DJ69" s="142">
        <f>INDEX('File 7'!Weekly_Adjusted,27,12)</f>
        <v>0</v>
      </c>
      <c r="DK69" s="143">
        <f>INDEX('File 8'!Weekly_Adjusted,27,10)</f>
        <v>0</v>
      </c>
      <c r="DL69" s="143">
        <f>INDEX('File 8'!Weekly_Adjusted,27,11)</f>
        <v>0</v>
      </c>
      <c r="DM69" s="143">
        <f>INDEX('File 8'!Weekly_Adjusted,27,12)</f>
        <v>0</v>
      </c>
      <c r="DN69" s="142">
        <f>INDEX('File 9'!Weekly_Adjusted,27,10)</f>
        <v>0</v>
      </c>
      <c r="DO69" s="142">
        <f>INDEX('File 9'!Weekly_Adjusted,27,11)</f>
        <v>0</v>
      </c>
      <c r="DP69" s="142">
        <f>INDEX('File 9'!Weekly_Adjusted,27,12)</f>
        <v>0</v>
      </c>
      <c r="DQ69" s="143">
        <f>INDEX('File 10'!Weekly_Adjusted,27,10)</f>
        <v>0</v>
      </c>
      <c r="DR69" s="143">
        <f>INDEX('File 10'!Weekly_Adjusted,27,11)</f>
        <v>0</v>
      </c>
      <c r="DS69" s="143">
        <f>INDEX('File 10'!Weekly_Adjusted,27,12)</f>
        <v>0</v>
      </c>
      <c r="DT69" s="142">
        <f>INDEX('File 11'!Weekly_Adjusted,27,10)</f>
        <v>0</v>
      </c>
      <c r="DU69" s="142">
        <f>INDEX('File 11'!Weekly_Adjusted,27,11)</f>
        <v>0</v>
      </c>
      <c r="DV69" s="142">
        <f>INDEX('File 11'!Weekly_Adjusted,27,12)</f>
        <v>0</v>
      </c>
      <c r="DW69" s="143">
        <f>INDEX('File 12'!Weekly_Adjusted,27,10)</f>
        <v>0</v>
      </c>
      <c r="DX69" s="143">
        <f>INDEX('File 12'!Weekly_Adjusted,27,11)</f>
        <v>0</v>
      </c>
      <c r="DY69" s="143">
        <f>INDEX('File 12'!Weekly_Adjusted,27,12)</f>
        <v>0</v>
      </c>
      <c r="DZ69" s="142">
        <f>INDEX('File 13'!Weekly_Adjusted,27,10)</f>
        <v>0</v>
      </c>
      <c r="EA69" s="142">
        <f>INDEX('File 13'!Weekly_Adjusted,27,11)</f>
        <v>0</v>
      </c>
      <c r="EB69" s="142">
        <f>INDEX('File 13'!Weekly_Adjusted,27,12)</f>
        <v>0</v>
      </c>
      <c r="EC69" s="143">
        <f>INDEX('File 14'!Weekly_Adjusted,27,10)</f>
        <v>0</v>
      </c>
      <c r="ED69" s="143">
        <f>INDEX('File 14'!Weekly_Adjusted,27,11)</f>
        <v>0</v>
      </c>
      <c r="EE69" s="143">
        <f>INDEX('File 14'!Weekly_Adjusted,27,12)</f>
        <v>0</v>
      </c>
      <c r="EF69" s="142">
        <f>INDEX('File 15'!Weekly_Adjusted,27,10)</f>
        <v>0</v>
      </c>
      <c r="EG69" s="142">
        <f>INDEX('File 15'!Weekly_Adjusted,27,11)</f>
        <v>0</v>
      </c>
      <c r="EH69" s="142">
        <f>INDEX('File 15'!Weekly_Adjusted,27,12)</f>
        <v>0</v>
      </c>
      <c r="EI69" s="143">
        <f>INDEX('File 16'!Weekly_Adjusted,27,10)</f>
        <v>0</v>
      </c>
      <c r="EJ69" s="143">
        <f>INDEX('File 16'!Weekly_Adjusted,27,11)</f>
        <v>0</v>
      </c>
      <c r="EK69" s="143">
        <f>INDEX('File 16'!Weekly_Adjusted,27,12)</f>
        <v>0</v>
      </c>
      <c r="EL69" s="142">
        <f>INDEX('File 17'!Weekly_Adjusted,27,10)</f>
        <v>0</v>
      </c>
      <c r="EM69" s="142">
        <f>INDEX('File 17'!Weekly_Adjusted,27,11)</f>
        <v>0</v>
      </c>
      <c r="EN69" s="142">
        <f>INDEX('File 17'!Weekly_Adjusted,27,12)</f>
        <v>0</v>
      </c>
      <c r="EO69" s="143">
        <f>INDEX('File 18'!Weekly_Adjusted,27,10)</f>
        <v>0</v>
      </c>
      <c r="EP69" s="143">
        <f>INDEX('File 18'!Weekly_Adjusted,27,11)</f>
        <v>0</v>
      </c>
      <c r="EQ69" s="143">
        <f>INDEX('File 18'!Weekly_Adjusted,27,12)</f>
        <v>0</v>
      </c>
      <c r="ER69" s="142">
        <f>INDEX('File 19'!Weekly_Adjusted,27,10)</f>
        <v>0</v>
      </c>
      <c r="ES69" s="142">
        <f>INDEX('File 19'!Weekly_Adjusted,27,11)</f>
        <v>0</v>
      </c>
      <c r="ET69" s="142">
        <f>INDEX('File 19'!Weekly_Adjusted,27,12)</f>
        <v>0</v>
      </c>
      <c r="EU69" s="143">
        <f>INDEX('File 20'!Weekly_Adjusted,27,10)</f>
        <v>0</v>
      </c>
      <c r="EV69" s="143">
        <f>INDEX('File 20'!Weekly_Adjusted,27,11)</f>
        <v>0</v>
      </c>
      <c r="EW69" s="143">
        <f>INDEX('File 20'!Weekly_Adjusted,27,12)</f>
        <v>0</v>
      </c>
      <c r="EX69" s="6">
        <f ca="1">SUMIFS(INDEX(Capacity_Activity_Weekly,ROW(A27),0),Demand_Activity_Weekly_Header,CJ$42)</f>
        <v>24.344712210866053</v>
      </c>
      <c r="EY69" s="6">
        <f ca="1">SUMIFS(INDEX(Capacity_Activity_Weekly,ROW(B27),0),Demand_Activity_Weekly_Header,CK$42)</f>
        <v>0</v>
      </c>
      <c r="EZ69" s="6">
        <f ca="1">SUMIFS(INDEX(Capacity_Activity_Weekly,ROW(C27),0),Demand_Activity_Weekly_Header,CL$42)</f>
        <v>0</v>
      </c>
      <c r="FA69" s="6">
        <f ca="1">SUMIFS(INDEX(Capacity_Activity_Weekly,ROW(D27),0),Demand_Activity_Weekly_Header,CM$42)</f>
        <v>0</v>
      </c>
      <c r="FB69" s="6">
        <f ca="1">SUMIFS(INDEX(Capacity_Activity_Weekly,ROW(E27),0),Demand_Activity_Weekly_Header,CN$42)</f>
        <v>0</v>
      </c>
      <c r="FD69" s="7">
        <f>'File 1'!$Q$54*'Time based aggregation (hide)'!$Q31</f>
        <v>0</v>
      </c>
      <c r="FE69" s="7">
        <f>'File 1'!$R$54*'Time based aggregation (hide)'!$R31</f>
        <v>0</v>
      </c>
      <c r="FF69" s="7">
        <f>'File 1'!$S$54*'Time based aggregation (hide)'!$S31</f>
        <v>0</v>
      </c>
      <c r="FG69" s="7">
        <f>'File 2'!$Q$54*'Time based aggregation (hide)'!$T31</f>
        <v>0</v>
      </c>
      <c r="FH69" s="7">
        <f>'File 2'!$R$54*'Time based aggregation (hide)'!$U31</f>
        <v>0</v>
      </c>
      <c r="FI69" s="7">
        <f>'File 2'!$S$54*'Time based aggregation (hide)'!$V31</f>
        <v>0</v>
      </c>
      <c r="FJ69" s="7">
        <f>'File 3'!$Q$54*'Time based aggregation (hide)'!$W31</f>
        <v>0</v>
      </c>
      <c r="FK69" s="7">
        <f>'File 3'!$R$54*'Time based aggregation (hide)'!$X31</f>
        <v>0</v>
      </c>
      <c r="FL69" s="7">
        <f>'File 3'!$S$54*'Time based aggregation (hide)'!$Y31</f>
        <v>0</v>
      </c>
      <c r="FM69" s="7">
        <f>'File 4'!$Q$54*'Time based aggregation (hide)'!$Z31</f>
        <v>0</v>
      </c>
      <c r="FN69" s="7">
        <f>'File 4'!$R$54*'Time based aggregation (hide)'!$AA31</f>
        <v>0</v>
      </c>
      <c r="FO69" s="7">
        <f>'File 4'!$S$54*'Time based aggregation (hide)'!$AB31</f>
        <v>0</v>
      </c>
      <c r="FP69" s="7">
        <f>'File 5'!$Q$54*'Time based aggregation (hide)'!$AC31</f>
        <v>0</v>
      </c>
      <c r="FQ69" s="7">
        <f>'File 5'!$R$54*'Time based aggregation (hide)'!$AD31</f>
        <v>0</v>
      </c>
      <c r="FR69" s="7">
        <f>'File 5'!$S$54*'Time based aggregation (hide)'!$AE31</f>
        <v>0</v>
      </c>
      <c r="FS69" s="7">
        <f>'File 6'!$Q$54*'Time based aggregation (hide)'!$AF31</f>
        <v>0</v>
      </c>
      <c r="FT69" s="7">
        <f>'File 6'!$R$54*'Time based aggregation (hide)'!$AG31</f>
        <v>0</v>
      </c>
      <c r="FU69" s="7">
        <f>'File 6'!$S$54*'Time based aggregation (hide)'!$AH31</f>
        <v>0</v>
      </c>
      <c r="FV69" s="7">
        <f>'File 7'!$Q$54*'Time based aggregation (hide)'!$AI31</f>
        <v>0</v>
      </c>
      <c r="FW69" s="7">
        <f>'File 7'!$R$54*'Time based aggregation (hide)'!$AJ31</f>
        <v>0</v>
      </c>
      <c r="FX69" s="7">
        <f>'File 7'!$S$54*'Time based aggregation (hide)'!$AK31</f>
        <v>0</v>
      </c>
      <c r="FY69" s="7">
        <f>'File 8'!$Q$54*'Time based aggregation (hide)'!$AL31</f>
        <v>0</v>
      </c>
      <c r="FZ69" s="7">
        <f>'File 8'!$R$54*'Time based aggregation (hide)'!$AM31</f>
        <v>0</v>
      </c>
      <c r="GA69" s="7">
        <f>'File 8'!$S$54*'Time based aggregation (hide)'!$AN31</f>
        <v>0</v>
      </c>
      <c r="GB69" s="7">
        <f>'File 9'!$Q$54*'Time based aggregation (hide)'!$AO31</f>
        <v>0</v>
      </c>
      <c r="GC69" s="7">
        <f>'File 9'!$R$54*'Time based aggregation (hide)'!$AP31</f>
        <v>0</v>
      </c>
      <c r="GD69" s="7">
        <f>'File 9'!$S$54*'Time based aggregation (hide)'!$AQ31</f>
        <v>0</v>
      </c>
      <c r="GE69" s="7">
        <f>'File 10'!$Q$54*'Time based aggregation (hide)'!$AR31</f>
        <v>0</v>
      </c>
      <c r="GF69" s="7">
        <f>'File 10'!$R$54*'Time based aggregation (hide)'!$AS31</f>
        <v>0</v>
      </c>
      <c r="GG69" s="7">
        <f>'File 10'!$S$54*'Time based aggregation (hide)'!$AT31</f>
        <v>0</v>
      </c>
      <c r="GH69" s="7">
        <f>'File 11'!$Q$54*'Time based aggregation (hide)'!$AU31</f>
        <v>0</v>
      </c>
      <c r="GI69" s="7">
        <f>'File 11'!$R$54*'Time based aggregation (hide)'!$AV31</f>
        <v>0</v>
      </c>
      <c r="GJ69" s="7">
        <f>'File 11'!$S$54*'Time based aggregation (hide)'!$AW31</f>
        <v>0</v>
      </c>
      <c r="GK69" s="7">
        <f>'File 12'!$Q$54*'Time based aggregation (hide)'!$AX31</f>
        <v>0</v>
      </c>
      <c r="GL69" s="7">
        <f>'File 12'!$R$54*'Time based aggregation (hide)'!$AY31</f>
        <v>0</v>
      </c>
      <c r="GM69" s="7">
        <f>'File 12'!$S$54*'Time based aggregation (hide)'!$AZ31</f>
        <v>0</v>
      </c>
      <c r="GN69" s="7">
        <f>'File 13'!$Q$54*'Time based aggregation (hide)'!$BA31</f>
        <v>0</v>
      </c>
      <c r="GO69" s="7">
        <f>'File 13'!$R$54*'Time based aggregation (hide)'!$BB31</f>
        <v>0</v>
      </c>
      <c r="GP69" s="7">
        <f>'File 13'!$S$54*'Time based aggregation (hide)'!$BC31</f>
        <v>0</v>
      </c>
      <c r="GQ69" s="7">
        <f>'File 14'!$Q$54*'Time based aggregation (hide)'!$BD31</f>
        <v>0</v>
      </c>
      <c r="GR69" s="7">
        <f>'File 14'!$R$54*'Time based aggregation (hide)'!$BE31</f>
        <v>0</v>
      </c>
      <c r="GS69" s="7">
        <f>'File 14'!$S$54*'Time based aggregation (hide)'!$BF31</f>
        <v>0</v>
      </c>
      <c r="GT69" s="7">
        <f>'File 15'!$Q$54*'Time based aggregation (hide)'!$BG31</f>
        <v>0</v>
      </c>
      <c r="GU69" s="7">
        <f>'File 15'!$R$54*'Time based aggregation (hide)'!$BH31</f>
        <v>0</v>
      </c>
      <c r="GV69" s="7">
        <f>'File 15'!$S$54*'Time based aggregation (hide)'!$BI31</f>
        <v>0</v>
      </c>
      <c r="GW69" s="7">
        <f>'File 16'!$Q$54*'Time based aggregation (hide)'!$BJ31</f>
        <v>0</v>
      </c>
      <c r="GX69" s="7">
        <f>'File 16'!$R$54*'Time based aggregation (hide)'!$BK31</f>
        <v>0</v>
      </c>
      <c r="GY69" s="7">
        <f>'File 16'!$S$54*'Time based aggregation (hide)'!$BL31</f>
        <v>0</v>
      </c>
      <c r="GZ69" s="7">
        <f>'File 17'!$Q$54*'Time based aggregation (hide)'!$BM31</f>
        <v>0</v>
      </c>
      <c r="HA69" s="7">
        <f>'File 17'!$R$54*'Time based aggregation (hide)'!$BN31</f>
        <v>0</v>
      </c>
      <c r="HB69" s="7">
        <f>'File 17'!$S$54*'Time based aggregation (hide)'!$BO31</f>
        <v>0</v>
      </c>
      <c r="HC69" s="7">
        <f>'File 18'!$Q$54*'Time based aggregation (hide)'!$BP31</f>
        <v>0</v>
      </c>
      <c r="HD69" s="7">
        <f>'File 18'!$R$54*'Time based aggregation (hide)'!$BQ31</f>
        <v>0</v>
      </c>
      <c r="HE69" s="7">
        <f>'File 18'!$S$54*'Time based aggregation (hide)'!$BR31</f>
        <v>0</v>
      </c>
      <c r="HF69" s="7">
        <f>'File 19'!$Q$54*'Time based aggregation (hide)'!$BS31</f>
        <v>0</v>
      </c>
      <c r="HG69" s="7">
        <f>'File 19'!$R$54*'Time based aggregation (hide)'!$BT31</f>
        <v>0</v>
      </c>
      <c r="HH69" s="7">
        <f>'File 19'!$S$54*'Time based aggregation (hide)'!$BU31</f>
        <v>0</v>
      </c>
      <c r="HI69" s="7">
        <f>'File 20'!$Q$54*'Time based aggregation (hide)'!$BV31</f>
        <v>0</v>
      </c>
      <c r="HJ69" s="7">
        <f>'File 20'!$R$54*'Time based aggregation (hide)'!$BW31</f>
        <v>0</v>
      </c>
      <c r="HK69" s="7">
        <f>'File 20'!$S$54*'Time based aggregation (hide)'!$BX31</f>
        <v>0</v>
      </c>
      <c r="HL69" s="7">
        <f t="shared" ca="1" si="43"/>
        <v>0</v>
      </c>
      <c r="HM69" s="7">
        <f t="shared" ca="1" si="43"/>
        <v>0</v>
      </c>
      <c r="HN69" s="7">
        <f t="shared" ca="1" si="43"/>
        <v>0</v>
      </c>
      <c r="HO69" s="7">
        <f t="shared" ca="1" si="43"/>
        <v>0</v>
      </c>
      <c r="HP69" s="7">
        <f t="shared" ca="1" si="43"/>
        <v>0</v>
      </c>
      <c r="HR69" s="142">
        <f>INDEX('File 1'!Weekly_Adjusted,27,16)</f>
        <v>20.933351264120493</v>
      </c>
      <c r="HS69" s="142">
        <f>INDEX('File 1'!Weekly_Adjusted,27,17)</f>
        <v>0</v>
      </c>
      <c r="HT69" s="142">
        <f>INDEX('File 1'!Weekly_Adjusted,27,18)</f>
        <v>0</v>
      </c>
      <c r="HU69" s="143">
        <f>INDEX('File 2'!Weekly_Adjusted,27,16)</f>
        <v>0</v>
      </c>
      <c r="HV69" s="143">
        <f>INDEX('File 2'!Weekly_Adjusted,27,17)</f>
        <v>0</v>
      </c>
      <c r="HW69" s="143">
        <f>INDEX('File 2'!Weekly_Adjusted,27,18)</f>
        <v>0</v>
      </c>
      <c r="HX69" s="142">
        <f>INDEX('File 3'!Weekly_Adjusted,27,16)</f>
        <v>0</v>
      </c>
      <c r="HY69" s="142">
        <f>INDEX('File 3'!Weekly_Adjusted,27,17)</f>
        <v>0</v>
      </c>
      <c r="HZ69" s="142">
        <f>INDEX('File 3'!Weekly_Adjusted,27,18)</f>
        <v>0</v>
      </c>
      <c r="IA69" s="143">
        <f>INDEX('File 4'!Weekly_Adjusted,27,16)</f>
        <v>0</v>
      </c>
      <c r="IB69" s="143">
        <f>INDEX('File 4'!Weekly_Adjusted,27,17)</f>
        <v>0</v>
      </c>
      <c r="IC69" s="143">
        <f>INDEX('File 4'!Weekly_Adjusted,27,18)</f>
        <v>0</v>
      </c>
      <c r="ID69" s="142">
        <f>INDEX('File 5'!Weekly_Adjusted,27,16)</f>
        <v>0</v>
      </c>
      <c r="IE69" s="142">
        <f>INDEX('File 5'!Weekly_Adjusted,27,17)</f>
        <v>0</v>
      </c>
      <c r="IF69" s="142">
        <f>INDEX('File 5'!Weekly_Adjusted,27,18)</f>
        <v>0</v>
      </c>
      <c r="IG69" s="143">
        <f>INDEX('File 6'!Weekly_Adjusted,27,16)</f>
        <v>0</v>
      </c>
      <c r="IH69" s="143">
        <f>INDEX('File 6'!Weekly_Adjusted,27,17)</f>
        <v>0</v>
      </c>
      <c r="II69" s="143">
        <f>INDEX('File 6'!Weekly_Adjusted,27,18)</f>
        <v>0</v>
      </c>
      <c r="IJ69" s="142">
        <f>INDEX('File 7'!Weekly_Adjusted,27,16)</f>
        <v>0</v>
      </c>
      <c r="IK69" s="142">
        <f>INDEX('File 7'!Weekly_Adjusted,27,17)</f>
        <v>0</v>
      </c>
      <c r="IL69" s="142">
        <f>INDEX('File 7'!Weekly_Adjusted,27,18)</f>
        <v>0</v>
      </c>
      <c r="IM69" s="143">
        <f>INDEX('File 8'!Weekly_Adjusted,27,16)</f>
        <v>0</v>
      </c>
      <c r="IN69" s="143">
        <f>INDEX('File 8'!Weekly_Adjusted,27,17)</f>
        <v>0</v>
      </c>
      <c r="IO69" s="143">
        <f>INDEX('File 8'!Weekly_Adjusted,27,18)</f>
        <v>0</v>
      </c>
      <c r="IP69" s="142">
        <f>INDEX('File 9'!Weekly_Adjusted,27,16)</f>
        <v>0</v>
      </c>
      <c r="IQ69" s="142">
        <f>INDEX('File 9'!Weekly_Adjusted,27,17)</f>
        <v>0</v>
      </c>
      <c r="IR69" s="142">
        <f>INDEX('File 9'!Weekly_Adjusted,27,18)</f>
        <v>0</v>
      </c>
      <c r="IS69" s="143">
        <f>INDEX('File 10'!Weekly_Adjusted,27,16)</f>
        <v>0</v>
      </c>
      <c r="IT69" s="143">
        <f>INDEX('File 10'!Weekly_Adjusted,27,17)</f>
        <v>0</v>
      </c>
      <c r="IU69" s="143">
        <f>INDEX('File 10'!Weekly_Adjusted,27,18)</f>
        <v>0</v>
      </c>
      <c r="IV69" s="142">
        <f>INDEX('File 11'!Weekly_Adjusted,27,16)</f>
        <v>0</v>
      </c>
      <c r="IW69" s="142">
        <f>INDEX('File 11'!Weekly_Adjusted,27,17)</f>
        <v>0</v>
      </c>
      <c r="IX69" s="142">
        <f>INDEX('File 11'!Weekly_Adjusted,27,18)</f>
        <v>0</v>
      </c>
      <c r="IY69" s="143">
        <f>INDEX('File 12'!Weekly_Adjusted,27,16)</f>
        <v>0</v>
      </c>
      <c r="IZ69" s="143">
        <f>INDEX('File 12'!Weekly_Adjusted,27,17)</f>
        <v>0</v>
      </c>
      <c r="JA69" s="143">
        <f>INDEX('File 12'!Weekly_Adjusted,27,18)</f>
        <v>0</v>
      </c>
      <c r="JB69" s="142">
        <f>INDEX('File 13'!Weekly_Adjusted,27,16)</f>
        <v>0</v>
      </c>
      <c r="JC69" s="142">
        <f>INDEX('File 13'!Weekly_Adjusted,27,17)</f>
        <v>0</v>
      </c>
      <c r="JD69" s="142">
        <f>INDEX('File 13'!Weekly_Adjusted,27,18)</f>
        <v>0</v>
      </c>
      <c r="JE69" s="143">
        <f>INDEX('File 14'!Weekly_Adjusted,27,16)</f>
        <v>0</v>
      </c>
      <c r="JF69" s="143">
        <f>INDEX('File 14'!Weekly_Adjusted,27,17)</f>
        <v>0</v>
      </c>
      <c r="JG69" s="143">
        <f>INDEX('File 14'!Weekly_Adjusted,27,18)</f>
        <v>0</v>
      </c>
      <c r="JH69" s="142">
        <f>INDEX('File 15'!Weekly_Adjusted,27,16)</f>
        <v>0</v>
      </c>
      <c r="JI69" s="142">
        <f>INDEX('File 15'!Weekly_Adjusted,27,17)</f>
        <v>0</v>
      </c>
      <c r="JJ69" s="142">
        <f>INDEX('File 15'!Weekly_Adjusted,27,18)</f>
        <v>0</v>
      </c>
      <c r="JK69" s="143">
        <f>INDEX('File 16'!Weekly_Adjusted,27,16)</f>
        <v>0</v>
      </c>
      <c r="JL69" s="143">
        <f>INDEX('File 16'!Weekly_Adjusted,27,17)</f>
        <v>0</v>
      </c>
      <c r="JM69" s="143">
        <f>INDEX('File 16'!Weekly_Adjusted,27,18)</f>
        <v>0</v>
      </c>
      <c r="JN69" s="142">
        <f>INDEX('File 17'!Weekly_Adjusted,27,16)</f>
        <v>0</v>
      </c>
      <c r="JO69" s="142">
        <f>INDEX('File 17'!Weekly_Adjusted,27,17)</f>
        <v>0</v>
      </c>
      <c r="JP69" s="142">
        <f>INDEX('File 17'!Weekly_Adjusted,27,18)</f>
        <v>0</v>
      </c>
      <c r="JQ69" s="143">
        <f>INDEX('File 18'!Weekly_Adjusted,27,16)</f>
        <v>0</v>
      </c>
      <c r="JR69" s="143">
        <f>INDEX('File 18'!Weekly_Adjusted,27,17)</f>
        <v>0</v>
      </c>
      <c r="JS69" s="143">
        <f>INDEX('File 18'!Weekly_Adjusted,27,18)</f>
        <v>0</v>
      </c>
      <c r="JT69" s="142">
        <f>INDEX('File 19'!Weekly_Adjusted,27,16)</f>
        <v>0</v>
      </c>
      <c r="JU69" s="142">
        <f>INDEX('File 19'!Weekly_Adjusted,27,17)</f>
        <v>0</v>
      </c>
      <c r="JV69" s="142">
        <f>INDEX('File 19'!Weekly_Adjusted,27,18)</f>
        <v>0</v>
      </c>
      <c r="JW69" s="143">
        <f>INDEX('File 20'!Weekly_Adjusted,27,16)</f>
        <v>0</v>
      </c>
      <c r="JX69" s="143">
        <f>INDEX('File 20'!Weekly_Adjusted,27,17)</f>
        <v>0</v>
      </c>
      <c r="JY69" s="143">
        <f>INDEX('File 20'!Weekly_Adjusted,27,18)</f>
        <v>0</v>
      </c>
      <c r="JZ69" s="6">
        <f ca="1">SUMIFS(INDEX(CapacityCore_Activity_Weekly,ROW(EC27),0),Demand_Activity_Weekly_Header,HL$42)</f>
        <v>20.933351264120493</v>
      </c>
      <c r="KA69" s="6">
        <f ca="1">SUMIFS(INDEX(CapacityCore_Activity_Weekly,ROW(ED27),0),Demand_Activity_Weekly_Header,HM$42)</f>
        <v>0</v>
      </c>
      <c r="KB69" s="6">
        <f ca="1">SUMIFS(INDEX(CapacityCore_Activity_Weekly,ROW(EE27),0),Demand_Activity_Weekly_Header,HN$42)</f>
        <v>0</v>
      </c>
      <c r="KC69" s="6">
        <f ca="1">SUMIFS(INDEX(CapacityCore_Activity_Weekly,ROW(EF27),0),Demand_Activity_Weekly_Header,HO$42)</f>
        <v>0</v>
      </c>
      <c r="KD69" s="6">
        <f ca="1">SUMIFS(INDEX(CapacityCore_Activity_Weekly,ROW(EG27),0),Demand_Activity_Weekly_Header,HP$42)</f>
        <v>0</v>
      </c>
      <c r="KF69" s="6">
        <f>SUMIFS('Time based aggregation (hide)'!$J:$J,'Time based aggregation (hide)'!$E:$E,1,'Time based aggregation (hide)'!$F:$F,1,'Time based aggregation (hide)'!$A:$A,ROW(A27))</f>
        <v>0</v>
      </c>
      <c r="KG69" s="6">
        <f>SUMIFS('Time based aggregation (hide)'!$J:$J,'Time based aggregation (hide)'!$E:$E,1,'Time based aggregation (hide)'!$F:$F,2,'Time based aggregation (hide)'!$A:$A,ROW(A27))</f>
        <v>0</v>
      </c>
      <c r="KH69" s="6">
        <f>SUMIFS('Time based aggregation (hide)'!$J:$J,'Time based aggregation (hide)'!$E:$E,1,'Time based aggregation (hide)'!$F:$F,3,'Time based aggregation (hide)'!$A:$A,ROW(A27))</f>
        <v>0</v>
      </c>
      <c r="KI69" s="6">
        <f>SUMIFS('Time based aggregation (hide)'!$J:$J,'Time based aggregation (hide)'!$E:$E,2,'Time based aggregation (hide)'!$F:$F,1,'Time based aggregation (hide)'!$A:$A,ROW(A27))</f>
        <v>0</v>
      </c>
      <c r="KJ69" s="6">
        <f>SUMIFS('Time based aggregation (hide)'!$J:$J,'Time based aggregation (hide)'!$E:$E,2,'Time based aggregation (hide)'!$F:$F,2,'Time based aggregation (hide)'!$A:$A,ROW(A27))</f>
        <v>0</v>
      </c>
      <c r="KK69" s="6">
        <f>SUMIFS('Time based aggregation (hide)'!$J:$J,'Time based aggregation (hide)'!$E:$E,2,'Time based aggregation (hide)'!$F:$F,3,'Time based aggregation (hide)'!$A:$A,ROW(A27))</f>
        <v>0</v>
      </c>
      <c r="KL69" s="6">
        <f>SUMIFS('Time based aggregation (hide)'!$J:$J,'Time based aggregation (hide)'!$E:$E,3,'Time based aggregation (hide)'!$F:$F,1,'Time based aggregation (hide)'!$A:$A,ROW(A27))</f>
        <v>0</v>
      </c>
      <c r="KM69" s="6">
        <f>SUMIFS('Time based aggregation (hide)'!$J:$J,'Time based aggregation (hide)'!$E:$E,3,'Time based aggregation (hide)'!$F:$F,2,'Time based aggregation (hide)'!$A:$A,ROW(A27))</f>
        <v>0</v>
      </c>
      <c r="KN69" s="6">
        <f>SUMIFS('Time based aggregation (hide)'!$J:$J,'Time based aggregation (hide)'!$E:$E,3,'Time based aggregation (hide)'!$F:$F,3,'Time based aggregation (hide)'!$A:$A,ROW(A27))</f>
        <v>0</v>
      </c>
      <c r="KO69" s="6">
        <f>SUMIFS('Time based aggregation (hide)'!$J:$J,'Time based aggregation (hide)'!$E:$E,4,'Time based aggregation (hide)'!$F:$F,1,'Time based aggregation (hide)'!$A:$A,ROW(A27))</f>
        <v>0</v>
      </c>
      <c r="KP69" s="6">
        <f>SUMIFS('Time based aggregation (hide)'!$J:$J,'Time based aggregation (hide)'!$E:$E,4,'Time based aggregation (hide)'!$F:$F,2,'Time based aggregation (hide)'!$A:$A,ROW(A27))</f>
        <v>0</v>
      </c>
      <c r="KQ69" s="6">
        <f>SUMIFS('Time based aggregation (hide)'!$J:$J,'Time based aggregation (hide)'!$E:$E,4,'Time based aggregation (hide)'!$F:$F,3,'Time based aggregation (hide)'!$A:$A,ROW(A27))</f>
        <v>0</v>
      </c>
      <c r="KR69" s="6">
        <f>SUMIFS('Time based aggregation (hide)'!$J:$J,'Time based aggregation (hide)'!$E:$E,5,'Time based aggregation (hide)'!$F:$F,1,'Time based aggregation (hide)'!$A:$A,ROW(A27))</f>
        <v>0</v>
      </c>
      <c r="KS69" s="6">
        <f>SUMIFS('Time based aggregation (hide)'!$J:$J,'Time based aggregation (hide)'!$E:$E,5,'Time based aggregation (hide)'!$F:$F,2,'Time based aggregation (hide)'!$A:$A,ROW(A27))</f>
        <v>0</v>
      </c>
      <c r="KT69" s="6">
        <f>SUMIFS('Time based aggregation (hide)'!$J:$J,'Time based aggregation (hide)'!$E:$E,5,'Time based aggregation (hide)'!$F:$F,3,'Time based aggregation (hide)'!$A:$A,ROW(A27))</f>
        <v>0</v>
      </c>
      <c r="KU69" s="6">
        <f>SUMIFS('Time based aggregation (hide)'!$J:$J,'Time based aggregation (hide)'!$E:$E,6,'Time based aggregation (hide)'!$F:$F,1,'Time based aggregation (hide)'!$A:$A,ROW(A27))</f>
        <v>0</v>
      </c>
      <c r="KV69" s="6">
        <f>SUMIFS('Time based aggregation (hide)'!$J:$J,'Time based aggregation (hide)'!$E:$E,6,'Time based aggregation (hide)'!$F:$F,2,'Time based aggregation (hide)'!$A:$A,ROW(A27))</f>
        <v>0</v>
      </c>
      <c r="KW69" s="6">
        <f>SUMIFS('Time based aggregation (hide)'!$J:$J,'Time based aggregation (hide)'!$E:$E,6,'Time based aggregation (hide)'!$F:$F,3,'Time based aggregation (hide)'!$A:$A,ROW(A27))</f>
        <v>0</v>
      </c>
      <c r="KX69" s="6">
        <f>SUMIFS('Time based aggregation (hide)'!$J:$J,'Time based aggregation (hide)'!$E:$E,7,'Time based aggregation (hide)'!$F:$F,1,'Time based aggregation (hide)'!$A:$A,ROW(A27))</f>
        <v>0</v>
      </c>
      <c r="KY69" s="6">
        <f>SUMIFS('Time based aggregation (hide)'!$J:$J,'Time based aggregation (hide)'!$E:$E,7,'Time based aggregation (hide)'!$F:$F,2,'Time based aggregation (hide)'!$A:$A,ROW(A27))</f>
        <v>0</v>
      </c>
      <c r="KZ69" s="6">
        <f>SUMIFS('Time based aggregation (hide)'!$J:$J,'Time based aggregation (hide)'!$E:$E,7,'Time based aggregation (hide)'!$F:$F,3,'Time based aggregation (hide)'!$A:$A,ROW(A27))</f>
        <v>0</v>
      </c>
      <c r="LA69" s="6">
        <f>SUMIFS('Time based aggregation (hide)'!$J:$J,'Time based aggregation (hide)'!$E:$E,8,'Time based aggregation (hide)'!$F:$F,1,'Time based aggregation (hide)'!$A:$A,ROW(A27))</f>
        <v>0</v>
      </c>
      <c r="LB69" s="6">
        <f>SUMIFS('Time based aggregation (hide)'!$J:$J,'Time based aggregation (hide)'!$E:$E,8,'Time based aggregation (hide)'!$F:$F,2,'Time based aggregation (hide)'!$A:$A,ROW(A27))</f>
        <v>0</v>
      </c>
      <c r="LC69" s="6">
        <f>SUMIFS('Time based aggregation (hide)'!$J:$J,'Time based aggregation (hide)'!$E:$E,8,'Time based aggregation (hide)'!$F:$F,3,'Time based aggregation (hide)'!$A:$A,ROW(A27))</f>
        <v>0</v>
      </c>
      <c r="LD69" s="6">
        <f>SUMIFS('Time based aggregation (hide)'!$J:$J,'Time based aggregation (hide)'!$E:$E,9,'Time based aggregation (hide)'!$F:$F,1,'Time based aggregation (hide)'!$A:$A,ROW(A27))</f>
        <v>0</v>
      </c>
      <c r="LE69" s="6">
        <f>SUMIFS('Time based aggregation (hide)'!$J:$J,'Time based aggregation (hide)'!$E:$E,9,'Time based aggregation (hide)'!$F:$F,2,'Time based aggregation (hide)'!$A:$A,ROW(A27))</f>
        <v>0</v>
      </c>
      <c r="LF69" s="6">
        <f>SUMIFS('Time based aggregation (hide)'!$J:$J,'Time based aggregation (hide)'!$E:$E,9,'Time based aggregation (hide)'!$F:$F,3,'Time based aggregation (hide)'!$A:$A,ROW(A27))</f>
        <v>0</v>
      </c>
      <c r="LG69" s="6">
        <f>SUMIFS('Time based aggregation (hide)'!$J:$J,'Time based aggregation (hide)'!$E:$E,10,'Time based aggregation (hide)'!$F:$F,1,'Time based aggregation (hide)'!$A:$A,ROW(A27))</f>
        <v>0</v>
      </c>
      <c r="LH69" s="6">
        <f>SUMIFS('Time based aggregation (hide)'!$J:$J,'Time based aggregation (hide)'!$E:$E,10,'Time based aggregation (hide)'!$F:$F,2,'Time based aggregation (hide)'!$A:$A,ROW(A27))</f>
        <v>0</v>
      </c>
      <c r="LI69" s="6">
        <f>SUMIFS('Time based aggregation (hide)'!$J:$J,'Time based aggregation (hide)'!$E:$E,10,'Time based aggregation (hide)'!$F:$F,3,'Time based aggregation (hide)'!$A:$A,ROW(A27))</f>
        <v>0</v>
      </c>
      <c r="LJ69" s="6">
        <f>SUMIFS('Time based aggregation (hide)'!$J:$J,'Time based aggregation (hide)'!$E:$E,11,'Time based aggregation (hide)'!$F:$F,1,'Time based aggregation (hide)'!$A:$A,ROW(A27))</f>
        <v>0</v>
      </c>
      <c r="LK69" s="6">
        <f>SUMIFS('Time based aggregation (hide)'!$J:$J,'Time based aggregation (hide)'!$E:$E,11,'Time based aggregation (hide)'!$F:$F,2,'Time based aggregation (hide)'!$A:$A,ROW(A27))</f>
        <v>0</v>
      </c>
      <c r="LL69" s="6">
        <f>SUMIFS('Time based aggregation (hide)'!$J:$J,'Time based aggregation (hide)'!$E:$E,11,'Time based aggregation (hide)'!$F:$F,3,'Time based aggregation (hide)'!$A:$A,ROW(A27))</f>
        <v>0</v>
      </c>
      <c r="LM69" s="6">
        <f>SUMIFS('Time based aggregation (hide)'!$J:$J,'Time based aggregation (hide)'!$E:$E,12,'Time based aggregation (hide)'!$F:$F,1,'Time based aggregation (hide)'!$A:$A,ROW(A27))</f>
        <v>0</v>
      </c>
      <c r="LN69" s="6">
        <f>SUMIFS('Time based aggregation (hide)'!$J:$J,'Time based aggregation (hide)'!$E:$E,12,'Time based aggregation (hide)'!$F:$F,2,'Time based aggregation (hide)'!$A:$A,ROW(A27))</f>
        <v>0</v>
      </c>
      <c r="LO69" s="6">
        <f>SUMIFS('Time based aggregation (hide)'!$J:$J,'Time based aggregation (hide)'!$E:$E,12,'Time based aggregation (hide)'!$F:$F,3,'Time based aggregation (hide)'!$A:$A,ROW(A27))</f>
        <v>0</v>
      </c>
      <c r="LP69" s="6">
        <f>SUMIFS('Time based aggregation (hide)'!$J:$J,'Time based aggregation (hide)'!$E:$E,13,'Time based aggregation (hide)'!$F:$F,1,'Time based aggregation (hide)'!$A:$A,ROW(A27))</f>
        <v>0</v>
      </c>
      <c r="LQ69" s="6">
        <f>SUMIFS('Time based aggregation (hide)'!$J:$J,'Time based aggregation (hide)'!$E:$E,13,'Time based aggregation (hide)'!$F:$F,2,'Time based aggregation (hide)'!$A:$A,ROW(A27))</f>
        <v>0</v>
      </c>
      <c r="LR69" s="6">
        <f>SUMIFS('Time based aggregation (hide)'!$J:$J,'Time based aggregation (hide)'!$E:$E,13,'Time based aggregation (hide)'!$F:$F,3,'Time based aggregation (hide)'!$A:$A,ROW(A27))</f>
        <v>0</v>
      </c>
      <c r="LS69" s="6">
        <f>SUMIFS('Time based aggregation (hide)'!$J:$J,'Time based aggregation (hide)'!$E:$E,14,'Time based aggregation (hide)'!$F:$F,1,'Time based aggregation (hide)'!$A:$A,ROW(A27))</f>
        <v>0</v>
      </c>
      <c r="LT69" s="6">
        <f>SUMIFS('Time based aggregation (hide)'!$J:$J,'Time based aggregation (hide)'!$E:$E,14,'Time based aggregation (hide)'!$F:$F,2,'Time based aggregation (hide)'!$A:$A,ROW(A27))</f>
        <v>0</v>
      </c>
      <c r="LU69" s="6">
        <f>SUMIFS('Time based aggregation (hide)'!$J:$J,'Time based aggregation (hide)'!$E:$E,14,'Time based aggregation (hide)'!$F:$F,3,'Time based aggregation (hide)'!$A:$A,ROW(A27))</f>
        <v>0</v>
      </c>
      <c r="LV69" s="6">
        <f>SUMIFS('Time based aggregation (hide)'!$J:$J,'Time based aggregation (hide)'!$E:$E,15,'Time based aggregation (hide)'!$F:$F,1,'Time based aggregation (hide)'!$A:$A,ROW(A27))</f>
        <v>0</v>
      </c>
      <c r="LW69" s="6">
        <f>SUMIFS('Time based aggregation (hide)'!$J:$J,'Time based aggregation (hide)'!$E:$E,15,'Time based aggregation (hide)'!$F:$F,2,'Time based aggregation (hide)'!$A:$A,ROW(A27))</f>
        <v>0</v>
      </c>
      <c r="LX69" s="6">
        <f>SUMIFS('Time based aggregation (hide)'!$J:$J,'Time based aggregation (hide)'!$E:$E,15,'Time based aggregation (hide)'!$F:$F,3,'Time based aggregation (hide)'!$A:$A,ROW(A27))</f>
        <v>0</v>
      </c>
      <c r="LY69" s="6">
        <f>SUMIFS('Time based aggregation (hide)'!$J:$J,'Time based aggregation (hide)'!$E:$E,16,'Time based aggregation (hide)'!$F:$F,1,'Time based aggregation (hide)'!$A:$A,ROW(A27))</f>
        <v>0</v>
      </c>
      <c r="LZ69" s="6">
        <f>SUMIFS('Time based aggregation (hide)'!$J:$J,'Time based aggregation (hide)'!$E:$E,16,'Time based aggregation (hide)'!$F:$F,2,'Time based aggregation (hide)'!$A:$A,ROW(A27))</f>
        <v>0</v>
      </c>
      <c r="MA69" s="6">
        <f>SUMIFS('Time based aggregation (hide)'!$J:$J,'Time based aggregation (hide)'!$E:$E,16,'Time based aggregation (hide)'!$F:$F,3,'Time based aggregation (hide)'!$A:$A,ROW(A27))</f>
        <v>0</v>
      </c>
      <c r="MB69" s="6">
        <f>SUMIFS('Time based aggregation (hide)'!$J:$J,'Time based aggregation (hide)'!$E:$E,17,'Time based aggregation (hide)'!$F:$F,1,'Time based aggregation (hide)'!$A:$A,ROW(A27))</f>
        <v>0</v>
      </c>
      <c r="MC69" s="6">
        <f>SUMIFS('Time based aggregation (hide)'!$J:$J,'Time based aggregation (hide)'!$E:$E,17,'Time based aggregation (hide)'!$F:$F,2,'Time based aggregation (hide)'!$A:$A,ROW(A27))</f>
        <v>0</v>
      </c>
      <c r="MD69" s="6">
        <f>SUMIFS('Time based aggregation (hide)'!$J:$J,'Time based aggregation (hide)'!$E:$E,17,'Time based aggregation (hide)'!$F:$F,3,'Time based aggregation (hide)'!$A:$A,ROW(A27))</f>
        <v>0</v>
      </c>
      <c r="ME69" s="6">
        <f>SUMIFS('Time based aggregation (hide)'!$J:$J,'Time based aggregation (hide)'!$E:$E,18,'Time based aggregation (hide)'!$F:$F,1,'Time based aggregation (hide)'!$A:$A,ROW(A27))</f>
        <v>0</v>
      </c>
      <c r="MF69" s="6">
        <f>SUMIFS('Time based aggregation (hide)'!$J:$J,'Time based aggregation (hide)'!$E:$E,18,'Time based aggregation (hide)'!$F:$F,2,'Time based aggregation (hide)'!$A:$A,ROW(A27))</f>
        <v>0</v>
      </c>
      <c r="MG69" s="6">
        <f>SUMIFS('Time based aggregation (hide)'!$J:$J,'Time based aggregation (hide)'!$E:$E,18,'Time based aggregation (hide)'!$F:$F,3,'Time based aggregation (hide)'!$A:$A,ROW(A27))</f>
        <v>0</v>
      </c>
      <c r="MH69" s="6">
        <f>SUMIFS('Time based aggregation (hide)'!$J:$J,'Time based aggregation (hide)'!$E:$E,19,'Time based aggregation (hide)'!$F:$F,1,'Time based aggregation (hide)'!$A:$A,ROW(A27))</f>
        <v>0</v>
      </c>
      <c r="MI69" s="6">
        <f>SUMIFS('Time based aggregation (hide)'!$J:$J,'Time based aggregation (hide)'!$E:$E,19,'Time based aggregation (hide)'!$F:$F,2,'Time based aggregation (hide)'!$A:$A,ROW(A27))</f>
        <v>0</v>
      </c>
      <c r="MJ69" s="6">
        <f>SUMIFS('Time based aggregation (hide)'!$J:$J,'Time based aggregation (hide)'!$E:$E,19,'Time based aggregation (hide)'!$F:$F,3,'Time based aggregation (hide)'!$A:$A,ROW(A27))</f>
        <v>0</v>
      </c>
      <c r="MK69" s="6">
        <f>SUMIFS('Time based aggregation (hide)'!$J:$J,'Time based aggregation (hide)'!$E:$E,20,'Time based aggregation (hide)'!$F:$F,1,'Time based aggregation (hide)'!$A:$A,ROW(A27))</f>
        <v>0</v>
      </c>
      <c r="ML69" s="6">
        <f>SUMIFS('Time based aggregation (hide)'!$J:$J,'Time based aggregation (hide)'!$E:$E,20,'Time based aggregation (hide)'!$F:$F,2,'Time based aggregation (hide)'!$A:$A,ROW(A27))</f>
        <v>0</v>
      </c>
      <c r="MM69" s="6">
        <f>SUMIFS('Time based aggregation (hide)'!$J:$J,'Time based aggregation (hide)'!$E:$E,20,'Time based aggregation (hide)'!$F:$F,3,'Time based aggregation (hide)'!$A:$A,ROW(A27))</f>
        <v>0</v>
      </c>
      <c r="MN69" s="7">
        <f t="shared" ca="1" si="41"/>
        <v>0</v>
      </c>
      <c r="MO69" s="7">
        <f t="shared" ca="1" si="41"/>
        <v>0</v>
      </c>
      <c r="MP69" s="7">
        <f t="shared" ca="1" si="41"/>
        <v>0</v>
      </c>
      <c r="MQ69" s="7">
        <f t="shared" ca="1" si="41"/>
        <v>0</v>
      </c>
      <c r="MR69" s="7">
        <f t="shared" ca="1" si="41"/>
        <v>0</v>
      </c>
    </row>
    <row r="70" spans="1:356" x14ac:dyDescent="0.25">
      <c r="A70">
        <f>1</f>
        <v>1</v>
      </c>
      <c r="B70" s="85">
        <f t="shared" si="37"/>
        <v>43858</v>
      </c>
      <c r="C70" s="85">
        <f t="shared" si="25"/>
        <v>43857</v>
      </c>
      <c r="D70">
        <f t="shared" ca="1" si="26"/>
        <v>1</v>
      </c>
      <c r="E70" s="85">
        <f t="shared" si="27"/>
        <v>43831</v>
      </c>
      <c r="F70">
        <f t="shared" si="33"/>
        <v>5</v>
      </c>
      <c r="H70">
        <f t="shared" si="34"/>
        <v>28</v>
      </c>
      <c r="I70" s="85">
        <f t="shared" si="38"/>
        <v>44018</v>
      </c>
      <c r="J70">
        <f t="shared" ca="1" si="28"/>
        <v>5</v>
      </c>
      <c r="K70">
        <f t="shared" ca="1" si="29"/>
        <v>1.968503937007874E-2</v>
      </c>
      <c r="L70" s="114"/>
      <c r="N70" s="85">
        <f t="shared" si="35"/>
        <v>44018</v>
      </c>
      <c r="O70" s="122">
        <f t="shared" ca="1" si="42"/>
        <v>0</v>
      </c>
      <c r="P70" s="122">
        <f t="shared" ca="1" si="42"/>
        <v>0</v>
      </c>
      <c r="Q70" s="122">
        <f t="shared" ca="1" si="42"/>
        <v>0</v>
      </c>
      <c r="R70" s="122">
        <f t="shared" ca="1" si="42"/>
        <v>0</v>
      </c>
      <c r="S70" s="122">
        <f t="shared" ca="1" si="42"/>
        <v>0</v>
      </c>
      <c r="T70" s="122">
        <f t="shared" ca="1" si="42"/>
        <v>0</v>
      </c>
      <c r="U70" s="122">
        <f t="shared" ca="1" si="42"/>
        <v>1</v>
      </c>
      <c r="V70" s="122">
        <f t="shared" ca="1" si="42"/>
        <v>0</v>
      </c>
      <c r="W70" s="122">
        <f t="shared" ca="1" si="42"/>
        <v>0</v>
      </c>
      <c r="X70" s="122">
        <f t="shared" ca="1" si="42"/>
        <v>0</v>
      </c>
      <c r="Y70" s="122">
        <f t="shared" ca="1" si="42"/>
        <v>0</v>
      </c>
      <c r="Z70" s="122">
        <f t="shared" ca="1" si="42"/>
        <v>0</v>
      </c>
      <c r="AA70" s="122"/>
      <c r="AB70" s="140">
        <f>INDEX('File 1'!Weekly_Adjusted,28,1)</f>
        <v>388.17143954725253</v>
      </c>
      <c r="AC70" s="140">
        <f>INDEX('File 1'!Weekly_Adjusted,28,2)</f>
        <v>0</v>
      </c>
      <c r="AD70" s="140">
        <f>INDEX('File 1'!Weekly_Adjusted,28,3)</f>
        <v>0</v>
      </c>
      <c r="AE70" s="141">
        <f>INDEX('File 2'!Weekly_Adjusted,28,1)</f>
        <v>0</v>
      </c>
      <c r="AF70" s="141">
        <f>INDEX('File 2'!Weekly_Adjusted,28,2)</f>
        <v>0</v>
      </c>
      <c r="AG70" s="141">
        <f>INDEX('File 2'!Weekly_Adjusted,28,3)</f>
        <v>0</v>
      </c>
      <c r="AH70" s="140">
        <f>INDEX('File 3'!Weekly_Adjusted,28,1)</f>
        <v>0</v>
      </c>
      <c r="AI70" s="140">
        <f>INDEX('File 3'!Weekly_Adjusted,28,2)</f>
        <v>0</v>
      </c>
      <c r="AJ70" s="140">
        <f>INDEX('File 3'!Weekly_Adjusted,28,3)</f>
        <v>0</v>
      </c>
      <c r="AK70" s="141">
        <f>INDEX('File 4'!Weekly_Adjusted,28,1)</f>
        <v>0</v>
      </c>
      <c r="AL70" s="141">
        <f>INDEX('File 4'!Weekly_Adjusted,28,2)</f>
        <v>0</v>
      </c>
      <c r="AM70" s="141">
        <f>INDEX('File 4'!Weekly_Adjusted,28,3)</f>
        <v>0</v>
      </c>
      <c r="AN70" s="140">
        <f>INDEX('File 5'!Weekly_Adjusted,28,1)</f>
        <v>0</v>
      </c>
      <c r="AO70" s="140">
        <f>INDEX('File 5'!Weekly_Adjusted,28,2)</f>
        <v>0</v>
      </c>
      <c r="AP70" s="140">
        <f>INDEX('File 5'!Weekly_Adjusted,28,3)</f>
        <v>0</v>
      </c>
      <c r="AQ70" s="141">
        <f>INDEX('File 6'!Weekly_Adjusted,28,1)</f>
        <v>0</v>
      </c>
      <c r="AR70" s="141">
        <f>INDEX('File 6'!Weekly_Adjusted,28,2)</f>
        <v>0</v>
      </c>
      <c r="AS70" s="141">
        <f>INDEX('File 6'!Weekly_Adjusted,28,3)</f>
        <v>0</v>
      </c>
      <c r="AT70" s="140">
        <f>INDEX('File 7'!Weekly_Adjusted,28,1)</f>
        <v>0</v>
      </c>
      <c r="AU70" s="140">
        <f>INDEX('File 7'!Weekly_Adjusted,28,2)</f>
        <v>0</v>
      </c>
      <c r="AV70" s="140">
        <f>INDEX('File 7'!Weekly_Adjusted,28,3)</f>
        <v>0</v>
      </c>
      <c r="AW70" s="141">
        <f>INDEX('File 8'!Weekly_Adjusted,28,1)</f>
        <v>0</v>
      </c>
      <c r="AX70" s="141">
        <f>INDEX('File 8'!Weekly_Adjusted,28,2)</f>
        <v>0</v>
      </c>
      <c r="AY70" s="141">
        <f>INDEX('File 8'!Weekly_Adjusted,28,3)</f>
        <v>0</v>
      </c>
      <c r="AZ70" s="140">
        <f>INDEX('File 9'!Weekly_Adjusted,28,1)</f>
        <v>0</v>
      </c>
      <c r="BA70" s="140">
        <f>INDEX('File 9'!Weekly_Adjusted,28,2)</f>
        <v>0</v>
      </c>
      <c r="BB70" s="140">
        <f>INDEX('File 9'!Weekly_Adjusted,28,3)</f>
        <v>0</v>
      </c>
      <c r="BC70" s="141">
        <f>INDEX('File 10'!Weekly_Adjusted,28,1)</f>
        <v>0</v>
      </c>
      <c r="BD70" s="141">
        <f>INDEX('File 10'!Weekly_Adjusted,28,2)</f>
        <v>0</v>
      </c>
      <c r="BE70" s="141">
        <f>INDEX('File 10'!Weekly_Adjusted,28,3)</f>
        <v>0</v>
      </c>
      <c r="BF70" s="140">
        <f>INDEX('File 11'!Weekly_Adjusted,28,1)</f>
        <v>0</v>
      </c>
      <c r="BG70" s="140">
        <f>INDEX('File 11'!Weekly_Adjusted,28,2)</f>
        <v>0</v>
      </c>
      <c r="BH70" s="140">
        <f>INDEX('File 11'!Weekly_Adjusted,28,3)</f>
        <v>0</v>
      </c>
      <c r="BI70" s="141">
        <f>INDEX('File 12'!Weekly_Adjusted,28,1)</f>
        <v>0</v>
      </c>
      <c r="BJ70" s="141">
        <f>INDEX('File 12'!Weekly_Adjusted,28,2)</f>
        <v>0</v>
      </c>
      <c r="BK70" s="141">
        <f>INDEX('File 12'!Weekly_Adjusted,28,3)</f>
        <v>0</v>
      </c>
      <c r="BL70" s="140">
        <f>INDEX('File 13'!Weekly_Adjusted,28,1)</f>
        <v>0</v>
      </c>
      <c r="BM70" s="140">
        <f>INDEX('File 13'!Weekly_Adjusted,28,2)</f>
        <v>0</v>
      </c>
      <c r="BN70" s="140">
        <f>INDEX('File 13'!Weekly_Adjusted,28,3)</f>
        <v>0</v>
      </c>
      <c r="BO70" s="141">
        <f>INDEX('File 14'!Weekly_Adjusted,28,1)</f>
        <v>0</v>
      </c>
      <c r="BP70" s="141">
        <f>INDEX('File 14'!Weekly_Adjusted,28,2)</f>
        <v>0</v>
      </c>
      <c r="BQ70" s="141">
        <f>INDEX('File 14'!Weekly_Adjusted,28,3)</f>
        <v>0</v>
      </c>
      <c r="BR70" s="140">
        <f>INDEX('File 15'!Weekly_Adjusted,28,1)</f>
        <v>0</v>
      </c>
      <c r="BS70" s="140">
        <f>INDEX('File 15'!Weekly_Adjusted,28,2)</f>
        <v>0</v>
      </c>
      <c r="BT70" s="140">
        <f>INDEX('File 15'!Weekly_Adjusted,28,3)</f>
        <v>0</v>
      </c>
      <c r="BU70" s="141">
        <f>INDEX('File 16'!Weekly_Adjusted,28,1)</f>
        <v>0</v>
      </c>
      <c r="BV70" s="141">
        <f>INDEX('File 16'!Weekly_Adjusted,28,2)</f>
        <v>0</v>
      </c>
      <c r="BW70" s="141">
        <f>INDEX('File 16'!Weekly_Adjusted,28,3)</f>
        <v>0</v>
      </c>
      <c r="BX70" s="140">
        <f>INDEX('File 17'!Weekly_Adjusted,28,1)</f>
        <v>0</v>
      </c>
      <c r="BY70" s="140">
        <f>INDEX('File 17'!Weekly_Adjusted,28,2)</f>
        <v>0</v>
      </c>
      <c r="BZ70" s="140">
        <f>INDEX('File 17'!Weekly_Adjusted,28,3)</f>
        <v>0</v>
      </c>
      <c r="CA70" s="141">
        <f>INDEX('File 18'!Weekly_Adjusted,28,1)</f>
        <v>0</v>
      </c>
      <c r="CB70" s="141">
        <f>INDEX('File 18'!Weekly_Adjusted,28,2)</f>
        <v>0</v>
      </c>
      <c r="CC70" s="141">
        <f>INDEX('File 18'!Weekly_Adjusted,28,3)</f>
        <v>0</v>
      </c>
      <c r="CD70" s="140">
        <f>INDEX('File 19'!Weekly_Adjusted,28,1)</f>
        <v>0</v>
      </c>
      <c r="CE70" s="140">
        <f>INDEX('File 19'!Weekly_Adjusted,28,2)</f>
        <v>0</v>
      </c>
      <c r="CF70" s="140">
        <f>INDEX('File 19'!Weekly_Adjusted,28,3)</f>
        <v>0</v>
      </c>
      <c r="CG70" s="141">
        <f>INDEX('File 20'!Weekly_Adjusted,28,1)</f>
        <v>0</v>
      </c>
      <c r="CH70" s="141">
        <f>INDEX('File 20'!Weekly_Adjusted,28,2)</f>
        <v>0</v>
      </c>
      <c r="CI70" s="141">
        <f>INDEX('File 20'!Weekly_Adjusted,28,3)</f>
        <v>0</v>
      </c>
      <c r="CJ70" s="6">
        <f ca="1">SUMIFS(INDEX(Demand_Activity_Weekly,ROW(A28),0),Demand_Activity_Weekly_Header,CJ$42)</f>
        <v>388.17143954725253</v>
      </c>
      <c r="CK70" s="6">
        <f ca="1">SUMIFS(INDEX(Demand_Activity_Weekly,ROW(B28),0),Demand_Activity_Weekly_Header,CK$42)</f>
        <v>0</v>
      </c>
      <c r="CL70" s="6">
        <f ca="1">SUMIFS(INDEX(Demand_Activity_Weekly,ROW(C28),0),Demand_Activity_Weekly_Header,CL$42)</f>
        <v>0</v>
      </c>
      <c r="CM70" s="6">
        <f ca="1">SUMIFS(INDEX(Demand_Activity_Weekly,ROW(D28),0),Demand_Activity_Weekly_Header,CM$42)</f>
        <v>0</v>
      </c>
      <c r="CN70" s="6">
        <f ca="1">SUMIFS(INDEX(Demand_Activity_Weekly,ROW(E28),0),Demand_Activity_Weekly_Header,CN$42)</f>
        <v>0</v>
      </c>
      <c r="CP70" s="142">
        <f>INDEX('File 1'!Weekly_Adjusted,28,10)</f>
        <v>24.344712210866053</v>
      </c>
      <c r="CQ70" s="142">
        <f>INDEX('File 1'!Weekly_Adjusted,28,11)</f>
        <v>0</v>
      </c>
      <c r="CR70" s="142">
        <f>INDEX('File 1'!Weekly_Adjusted,28,12)</f>
        <v>0</v>
      </c>
      <c r="CS70" s="143">
        <f>INDEX('File 2'!Weekly_Adjusted,28,10)</f>
        <v>0</v>
      </c>
      <c r="CT70" s="143">
        <f>INDEX('File 2'!Weekly_Adjusted,28,11)</f>
        <v>0</v>
      </c>
      <c r="CU70" s="143">
        <f>INDEX('File 2'!Weekly_Adjusted,28,12)</f>
        <v>0</v>
      </c>
      <c r="CV70" s="142">
        <f>INDEX('File 3'!Weekly_Adjusted,28,10)</f>
        <v>0</v>
      </c>
      <c r="CW70" s="142">
        <f>INDEX('File 3'!Weekly_Adjusted,28,11)</f>
        <v>0</v>
      </c>
      <c r="CX70" s="142">
        <f>INDEX('File 3'!Weekly_Adjusted,28,12)</f>
        <v>0</v>
      </c>
      <c r="CY70" s="143">
        <f>INDEX('File 4'!Weekly_Adjusted,28,10)</f>
        <v>0</v>
      </c>
      <c r="CZ70" s="143">
        <f>INDEX('File 4'!Weekly_Adjusted,28,11)</f>
        <v>0</v>
      </c>
      <c r="DA70" s="143">
        <f>INDEX('File 4'!Weekly_Adjusted,28,12)</f>
        <v>0</v>
      </c>
      <c r="DB70" s="142">
        <f>INDEX('File 5'!Weekly_Adjusted,28,10)</f>
        <v>0</v>
      </c>
      <c r="DC70" s="142">
        <f>INDEX('File 5'!Weekly_Adjusted,28,11)</f>
        <v>0</v>
      </c>
      <c r="DD70" s="142">
        <f>INDEX('File 5'!Weekly_Adjusted,28,12)</f>
        <v>0</v>
      </c>
      <c r="DE70" s="143">
        <f>INDEX('File 6'!Weekly_Adjusted,28,10)</f>
        <v>0</v>
      </c>
      <c r="DF70" s="143">
        <f>INDEX('File 6'!Weekly_Adjusted,28,11)</f>
        <v>0</v>
      </c>
      <c r="DG70" s="143">
        <f>INDEX('File 6'!Weekly_Adjusted,28,12)</f>
        <v>0</v>
      </c>
      <c r="DH70" s="142">
        <f>INDEX('File 7'!Weekly_Adjusted,28,10)</f>
        <v>0</v>
      </c>
      <c r="DI70" s="142">
        <f>INDEX('File 7'!Weekly_Adjusted,28,11)</f>
        <v>0</v>
      </c>
      <c r="DJ70" s="142">
        <f>INDEX('File 7'!Weekly_Adjusted,28,12)</f>
        <v>0</v>
      </c>
      <c r="DK70" s="143">
        <f>INDEX('File 8'!Weekly_Adjusted,28,10)</f>
        <v>0</v>
      </c>
      <c r="DL70" s="143">
        <f>INDEX('File 8'!Weekly_Adjusted,28,11)</f>
        <v>0</v>
      </c>
      <c r="DM70" s="143">
        <f>INDEX('File 8'!Weekly_Adjusted,28,12)</f>
        <v>0</v>
      </c>
      <c r="DN70" s="142">
        <f>INDEX('File 9'!Weekly_Adjusted,28,10)</f>
        <v>0</v>
      </c>
      <c r="DO70" s="142">
        <f>INDEX('File 9'!Weekly_Adjusted,28,11)</f>
        <v>0</v>
      </c>
      <c r="DP70" s="142">
        <f>INDEX('File 9'!Weekly_Adjusted,28,12)</f>
        <v>0</v>
      </c>
      <c r="DQ70" s="143">
        <f>INDEX('File 10'!Weekly_Adjusted,28,10)</f>
        <v>0</v>
      </c>
      <c r="DR70" s="143">
        <f>INDEX('File 10'!Weekly_Adjusted,28,11)</f>
        <v>0</v>
      </c>
      <c r="DS70" s="143">
        <f>INDEX('File 10'!Weekly_Adjusted,28,12)</f>
        <v>0</v>
      </c>
      <c r="DT70" s="142">
        <f>INDEX('File 11'!Weekly_Adjusted,28,10)</f>
        <v>0</v>
      </c>
      <c r="DU70" s="142">
        <f>INDEX('File 11'!Weekly_Adjusted,28,11)</f>
        <v>0</v>
      </c>
      <c r="DV70" s="142">
        <f>INDEX('File 11'!Weekly_Adjusted,28,12)</f>
        <v>0</v>
      </c>
      <c r="DW70" s="143">
        <f>INDEX('File 12'!Weekly_Adjusted,28,10)</f>
        <v>0</v>
      </c>
      <c r="DX70" s="143">
        <f>INDEX('File 12'!Weekly_Adjusted,28,11)</f>
        <v>0</v>
      </c>
      <c r="DY70" s="143">
        <f>INDEX('File 12'!Weekly_Adjusted,28,12)</f>
        <v>0</v>
      </c>
      <c r="DZ70" s="142">
        <f>INDEX('File 13'!Weekly_Adjusted,28,10)</f>
        <v>0</v>
      </c>
      <c r="EA70" s="142">
        <f>INDEX('File 13'!Weekly_Adjusted,28,11)</f>
        <v>0</v>
      </c>
      <c r="EB70" s="142">
        <f>INDEX('File 13'!Weekly_Adjusted,28,12)</f>
        <v>0</v>
      </c>
      <c r="EC70" s="143">
        <f>INDEX('File 14'!Weekly_Adjusted,28,10)</f>
        <v>0</v>
      </c>
      <c r="ED70" s="143">
        <f>INDEX('File 14'!Weekly_Adjusted,28,11)</f>
        <v>0</v>
      </c>
      <c r="EE70" s="143">
        <f>INDEX('File 14'!Weekly_Adjusted,28,12)</f>
        <v>0</v>
      </c>
      <c r="EF70" s="142">
        <f>INDEX('File 15'!Weekly_Adjusted,28,10)</f>
        <v>0</v>
      </c>
      <c r="EG70" s="142">
        <f>INDEX('File 15'!Weekly_Adjusted,28,11)</f>
        <v>0</v>
      </c>
      <c r="EH70" s="142">
        <f>INDEX('File 15'!Weekly_Adjusted,28,12)</f>
        <v>0</v>
      </c>
      <c r="EI70" s="143">
        <f>INDEX('File 16'!Weekly_Adjusted,28,10)</f>
        <v>0</v>
      </c>
      <c r="EJ70" s="143">
        <f>INDEX('File 16'!Weekly_Adjusted,28,11)</f>
        <v>0</v>
      </c>
      <c r="EK70" s="143">
        <f>INDEX('File 16'!Weekly_Adjusted,28,12)</f>
        <v>0</v>
      </c>
      <c r="EL70" s="142">
        <f>INDEX('File 17'!Weekly_Adjusted,28,10)</f>
        <v>0</v>
      </c>
      <c r="EM70" s="142">
        <f>INDEX('File 17'!Weekly_Adjusted,28,11)</f>
        <v>0</v>
      </c>
      <c r="EN70" s="142">
        <f>INDEX('File 17'!Weekly_Adjusted,28,12)</f>
        <v>0</v>
      </c>
      <c r="EO70" s="143">
        <f>INDEX('File 18'!Weekly_Adjusted,28,10)</f>
        <v>0</v>
      </c>
      <c r="EP70" s="143">
        <f>INDEX('File 18'!Weekly_Adjusted,28,11)</f>
        <v>0</v>
      </c>
      <c r="EQ70" s="143">
        <f>INDEX('File 18'!Weekly_Adjusted,28,12)</f>
        <v>0</v>
      </c>
      <c r="ER70" s="142">
        <f>INDEX('File 19'!Weekly_Adjusted,28,10)</f>
        <v>0</v>
      </c>
      <c r="ES70" s="142">
        <f>INDEX('File 19'!Weekly_Adjusted,28,11)</f>
        <v>0</v>
      </c>
      <c r="ET70" s="142">
        <f>INDEX('File 19'!Weekly_Adjusted,28,12)</f>
        <v>0</v>
      </c>
      <c r="EU70" s="143">
        <f>INDEX('File 20'!Weekly_Adjusted,28,10)</f>
        <v>0</v>
      </c>
      <c r="EV70" s="143">
        <f>INDEX('File 20'!Weekly_Adjusted,28,11)</f>
        <v>0</v>
      </c>
      <c r="EW70" s="143">
        <f>INDEX('File 20'!Weekly_Adjusted,28,12)</f>
        <v>0</v>
      </c>
      <c r="EX70" s="6">
        <f ca="1">SUMIFS(INDEX(Capacity_Activity_Weekly,ROW(A28),0),Demand_Activity_Weekly_Header,CJ$42)</f>
        <v>24.344712210866053</v>
      </c>
      <c r="EY70" s="6">
        <f ca="1">SUMIFS(INDEX(Capacity_Activity_Weekly,ROW(B28),0),Demand_Activity_Weekly_Header,CK$42)</f>
        <v>0</v>
      </c>
      <c r="EZ70" s="6">
        <f ca="1">SUMIFS(INDEX(Capacity_Activity_Weekly,ROW(C28),0),Demand_Activity_Weekly_Header,CL$42)</f>
        <v>0</v>
      </c>
      <c r="FA70" s="6">
        <f ca="1">SUMIFS(INDEX(Capacity_Activity_Weekly,ROW(D28),0),Demand_Activity_Weekly_Header,CM$42)</f>
        <v>0</v>
      </c>
      <c r="FB70" s="6">
        <f ca="1">SUMIFS(INDEX(Capacity_Activity_Weekly,ROW(E28),0),Demand_Activity_Weekly_Header,CN$42)</f>
        <v>0</v>
      </c>
      <c r="FD70" s="7">
        <f>'File 1'!$Q$54*'Time based aggregation (hide)'!$Q32</f>
        <v>0</v>
      </c>
      <c r="FE70" s="7">
        <f>'File 1'!$R$54*'Time based aggregation (hide)'!$R32</f>
        <v>0</v>
      </c>
      <c r="FF70" s="7">
        <f>'File 1'!$S$54*'Time based aggregation (hide)'!$S32</f>
        <v>0</v>
      </c>
      <c r="FG70" s="7">
        <f>'File 2'!$Q$54*'Time based aggregation (hide)'!$T32</f>
        <v>0</v>
      </c>
      <c r="FH70" s="7">
        <f>'File 2'!$R$54*'Time based aggregation (hide)'!$U32</f>
        <v>0</v>
      </c>
      <c r="FI70" s="7">
        <f>'File 2'!$S$54*'Time based aggregation (hide)'!$V32</f>
        <v>0</v>
      </c>
      <c r="FJ70" s="7">
        <f>'File 3'!$Q$54*'Time based aggregation (hide)'!$W32</f>
        <v>0</v>
      </c>
      <c r="FK70" s="7">
        <f>'File 3'!$R$54*'Time based aggregation (hide)'!$X32</f>
        <v>0</v>
      </c>
      <c r="FL70" s="7">
        <f>'File 3'!$S$54*'Time based aggregation (hide)'!$Y32</f>
        <v>0</v>
      </c>
      <c r="FM70" s="7">
        <f>'File 4'!$Q$54*'Time based aggregation (hide)'!$Z32</f>
        <v>0</v>
      </c>
      <c r="FN70" s="7">
        <f>'File 4'!$R$54*'Time based aggregation (hide)'!$AA32</f>
        <v>0</v>
      </c>
      <c r="FO70" s="7">
        <f>'File 4'!$S$54*'Time based aggregation (hide)'!$AB32</f>
        <v>0</v>
      </c>
      <c r="FP70" s="7">
        <f>'File 5'!$Q$54*'Time based aggregation (hide)'!$AC32</f>
        <v>0</v>
      </c>
      <c r="FQ70" s="7">
        <f>'File 5'!$R$54*'Time based aggregation (hide)'!$AD32</f>
        <v>0</v>
      </c>
      <c r="FR70" s="7">
        <f>'File 5'!$S$54*'Time based aggregation (hide)'!$AE32</f>
        <v>0</v>
      </c>
      <c r="FS70" s="7">
        <f>'File 6'!$Q$54*'Time based aggregation (hide)'!$AF32</f>
        <v>0</v>
      </c>
      <c r="FT70" s="7">
        <f>'File 6'!$R$54*'Time based aggregation (hide)'!$AG32</f>
        <v>0</v>
      </c>
      <c r="FU70" s="7">
        <f>'File 6'!$S$54*'Time based aggregation (hide)'!$AH32</f>
        <v>0</v>
      </c>
      <c r="FV70" s="7">
        <f>'File 7'!$Q$54*'Time based aggregation (hide)'!$AI32</f>
        <v>0</v>
      </c>
      <c r="FW70" s="7">
        <f>'File 7'!$R$54*'Time based aggregation (hide)'!$AJ32</f>
        <v>0</v>
      </c>
      <c r="FX70" s="7">
        <f>'File 7'!$S$54*'Time based aggregation (hide)'!$AK32</f>
        <v>0</v>
      </c>
      <c r="FY70" s="7">
        <f>'File 8'!$Q$54*'Time based aggregation (hide)'!$AL32</f>
        <v>0</v>
      </c>
      <c r="FZ70" s="7">
        <f>'File 8'!$R$54*'Time based aggregation (hide)'!$AM32</f>
        <v>0</v>
      </c>
      <c r="GA70" s="7">
        <f>'File 8'!$S$54*'Time based aggregation (hide)'!$AN32</f>
        <v>0</v>
      </c>
      <c r="GB70" s="7">
        <f>'File 9'!$Q$54*'Time based aggregation (hide)'!$AO32</f>
        <v>0</v>
      </c>
      <c r="GC70" s="7">
        <f>'File 9'!$R$54*'Time based aggregation (hide)'!$AP32</f>
        <v>0</v>
      </c>
      <c r="GD70" s="7">
        <f>'File 9'!$S$54*'Time based aggregation (hide)'!$AQ32</f>
        <v>0</v>
      </c>
      <c r="GE70" s="7">
        <f>'File 10'!$Q$54*'Time based aggregation (hide)'!$AR32</f>
        <v>0</v>
      </c>
      <c r="GF70" s="7">
        <f>'File 10'!$R$54*'Time based aggregation (hide)'!$AS32</f>
        <v>0</v>
      </c>
      <c r="GG70" s="7">
        <f>'File 10'!$S$54*'Time based aggregation (hide)'!$AT32</f>
        <v>0</v>
      </c>
      <c r="GH70" s="7">
        <f>'File 11'!$Q$54*'Time based aggregation (hide)'!$AU32</f>
        <v>0</v>
      </c>
      <c r="GI70" s="7">
        <f>'File 11'!$R$54*'Time based aggregation (hide)'!$AV32</f>
        <v>0</v>
      </c>
      <c r="GJ70" s="7">
        <f>'File 11'!$S$54*'Time based aggregation (hide)'!$AW32</f>
        <v>0</v>
      </c>
      <c r="GK70" s="7">
        <f>'File 12'!$Q$54*'Time based aggregation (hide)'!$AX32</f>
        <v>0</v>
      </c>
      <c r="GL70" s="7">
        <f>'File 12'!$R$54*'Time based aggregation (hide)'!$AY32</f>
        <v>0</v>
      </c>
      <c r="GM70" s="7">
        <f>'File 12'!$S$54*'Time based aggregation (hide)'!$AZ32</f>
        <v>0</v>
      </c>
      <c r="GN70" s="7">
        <f>'File 13'!$Q$54*'Time based aggregation (hide)'!$BA32</f>
        <v>0</v>
      </c>
      <c r="GO70" s="7">
        <f>'File 13'!$R$54*'Time based aggregation (hide)'!$BB32</f>
        <v>0</v>
      </c>
      <c r="GP70" s="7">
        <f>'File 13'!$S$54*'Time based aggregation (hide)'!$BC32</f>
        <v>0</v>
      </c>
      <c r="GQ70" s="7">
        <f>'File 14'!$Q$54*'Time based aggregation (hide)'!$BD32</f>
        <v>0</v>
      </c>
      <c r="GR70" s="7">
        <f>'File 14'!$R$54*'Time based aggregation (hide)'!$BE32</f>
        <v>0</v>
      </c>
      <c r="GS70" s="7">
        <f>'File 14'!$S$54*'Time based aggregation (hide)'!$BF32</f>
        <v>0</v>
      </c>
      <c r="GT70" s="7">
        <f>'File 15'!$Q$54*'Time based aggregation (hide)'!$BG32</f>
        <v>0</v>
      </c>
      <c r="GU70" s="7">
        <f>'File 15'!$R$54*'Time based aggregation (hide)'!$BH32</f>
        <v>0</v>
      </c>
      <c r="GV70" s="7">
        <f>'File 15'!$S$54*'Time based aggregation (hide)'!$BI32</f>
        <v>0</v>
      </c>
      <c r="GW70" s="7">
        <f>'File 16'!$Q$54*'Time based aggregation (hide)'!$BJ32</f>
        <v>0</v>
      </c>
      <c r="GX70" s="7">
        <f>'File 16'!$R$54*'Time based aggregation (hide)'!$BK32</f>
        <v>0</v>
      </c>
      <c r="GY70" s="7">
        <f>'File 16'!$S$54*'Time based aggregation (hide)'!$BL32</f>
        <v>0</v>
      </c>
      <c r="GZ70" s="7">
        <f>'File 17'!$Q$54*'Time based aggregation (hide)'!$BM32</f>
        <v>0</v>
      </c>
      <c r="HA70" s="7">
        <f>'File 17'!$R$54*'Time based aggregation (hide)'!$BN32</f>
        <v>0</v>
      </c>
      <c r="HB70" s="7">
        <f>'File 17'!$S$54*'Time based aggregation (hide)'!$BO32</f>
        <v>0</v>
      </c>
      <c r="HC70" s="7">
        <f>'File 18'!$Q$54*'Time based aggregation (hide)'!$BP32</f>
        <v>0</v>
      </c>
      <c r="HD70" s="7">
        <f>'File 18'!$R$54*'Time based aggregation (hide)'!$BQ32</f>
        <v>0</v>
      </c>
      <c r="HE70" s="7">
        <f>'File 18'!$S$54*'Time based aggregation (hide)'!$BR32</f>
        <v>0</v>
      </c>
      <c r="HF70" s="7">
        <f>'File 19'!$Q$54*'Time based aggregation (hide)'!$BS32</f>
        <v>0</v>
      </c>
      <c r="HG70" s="7">
        <f>'File 19'!$R$54*'Time based aggregation (hide)'!$BT32</f>
        <v>0</v>
      </c>
      <c r="HH70" s="7">
        <f>'File 19'!$S$54*'Time based aggregation (hide)'!$BU32</f>
        <v>0</v>
      </c>
      <c r="HI70" s="7">
        <f>'File 20'!$Q$54*'Time based aggregation (hide)'!$BV32</f>
        <v>0</v>
      </c>
      <c r="HJ70" s="7">
        <f>'File 20'!$R$54*'Time based aggregation (hide)'!$BW32</f>
        <v>0</v>
      </c>
      <c r="HK70" s="7">
        <f>'File 20'!$S$54*'Time based aggregation (hide)'!$BX32</f>
        <v>0</v>
      </c>
      <c r="HL70" s="7">
        <f t="shared" ca="1" si="43"/>
        <v>0</v>
      </c>
      <c r="HM70" s="7">
        <f t="shared" ca="1" si="43"/>
        <v>0</v>
      </c>
      <c r="HN70" s="7">
        <f t="shared" ca="1" si="43"/>
        <v>0</v>
      </c>
      <c r="HO70" s="7">
        <f t="shared" ca="1" si="43"/>
        <v>0</v>
      </c>
      <c r="HP70" s="7">
        <f t="shared" ca="1" si="43"/>
        <v>0</v>
      </c>
      <c r="HR70" s="142">
        <f>INDEX('File 1'!Weekly_Adjusted,28,16)</f>
        <v>20.933351264120493</v>
      </c>
      <c r="HS70" s="142">
        <f>INDEX('File 1'!Weekly_Adjusted,28,17)</f>
        <v>0</v>
      </c>
      <c r="HT70" s="142">
        <f>INDEX('File 1'!Weekly_Adjusted,28,18)</f>
        <v>0</v>
      </c>
      <c r="HU70" s="143">
        <f>INDEX('File 2'!Weekly_Adjusted,28,16)</f>
        <v>0</v>
      </c>
      <c r="HV70" s="143">
        <f>INDEX('File 2'!Weekly_Adjusted,28,17)</f>
        <v>0</v>
      </c>
      <c r="HW70" s="143">
        <f>INDEX('File 2'!Weekly_Adjusted,28,18)</f>
        <v>0</v>
      </c>
      <c r="HX70" s="142">
        <f>INDEX('File 3'!Weekly_Adjusted,28,16)</f>
        <v>0</v>
      </c>
      <c r="HY70" s="142">
        <f>INDEX('File 3'!Weekly_Adjusted,28,17)</f>
        <v>0</v>
      </c>
      <c r="HZ70" s="142">
        <f>INDEX('File 3'!Weekly_Adjusted,28,18)</f>
        <v>0</v>
      </c>
      <c r="IA70" s="143">
        <f>INDEX('File 4'!Weekly_Adjusted,28,16)</f>
        <v>0</v>
      </c>
      <c r="IB70" s="143">
        <f>INDEX('File 4'!Weekly_Adjusted,28,17)</f>
        <v>0</v>
      </c>
      <c r="IC70" s="143">
        <f>INDEX('File 4'!Weekly_Adjusted,28,18)</f>
        <v>0</v>
      </c>
      <c r="ID70" s="142">
        <f>INDEX('File 5'!Weekly_Adjusted,28,16)</f>
        <v>0</v>
      </c>
      <c r="IE70" s="142">
        <f>INDEX('File 5'!Weekly_Adjusted,28,17)</f>
        <v>0</v>
      </c>
      <c r="IF70" s="142">
        <f>INDEX('File 5'!Weekly_Adjusted,28,18)</f>
        <v>0</v>
      </c>
      <c r="IG70" s="143">
        <f>INDEX('File 6'!Weekly_Adjusted,28,16)</f>
        <v>0</v>
      </c>
      <c r="IH70" s="143">
        <f>INDEX('File 6'!Weekly_Adjusted,28,17)</f>
        <v>0</v>
      </c>
      <c r="II70" s="143">
        <f>INDEX('File 6'!Weekly_Adjusted,28,18)</f>
        <v>0</v>
      </c>
      <c r="IJ70" s="142">
        <f>INDEX('File 7'!Weekly_Adjusted,28,16)</f>
        <v>0</v>
      </c>
      <c r="IK70" s="142">
        <f>INDEX('File 7'!Weekly_Adjusted,28,17)</f>
        <v>0</v>
      </c>
      <c r="IL70" s="142">
        <f>INDEX('File 7'!Weekly_Adjusted,28,18)</f>
        <v>0</v>
      </c>
      <c r="IM70" s="143">
        <f>INDEX('File 8'!Weekly_Adjusted,28,16)</f>
        <v>0</v>
      </c>
      <c r="IN70" s="143">
        <f>INDEX('File 8'!Weekly_Adjusted,28,17)</f>
        <v>0</v>
      </c>
      <c r="IO70" s="143">
        <f>INDEX('File 8'!Weekly_Adjusted,28,18)</f>
        <v>0</v>
      </c>
      <c r="IP70" s="142">
        <f>INDEX('File 9'!Weekly_Adjusted,28,16)</f>
        <v>0</v>
      </c>
      <c r="IQ70" s="142">
        <f>INDEX('File 9'!Weekly_Adjusted,28,17)</f>
        <v>0</v>
      </c>
      <c r="IR70" s="142">
        <f>INDEX('File 9'!Weekly_Adjusted,28,18)</f>
        <v>0</v>
      </c>
      <c r="IS70" s="143">
        <f>INDEX('File 10'!Weekly_Adjusted,28,16)</f>
        <v>0</v>
      </c>
      <c r="IT70" s="143">
        <f>INDEX('File 10'!Weekly_Adjusted,28,17)</f>
        <v>0</v>
      </c>
      <c r="IU70" s="143">
        <f>INDEX('File 10'!Weekly_Adjusted,28,18)</f>
        <v>0</v>
      </c>
      <c r="IV70" s="142">
        <f>INDEX('File 11'!Weekly_Adjusted,28,16)</f>
        <v>0</v>
      </c>
      <c r="IW70" s="142">
        <f>INDEX('File 11'!Weekly_Adjusted,28,17)</f>
        <v>0</v>
      </c>
      <c r="IX70" s="142">
        <f>INDEX('File 11'!Weekly_Adjusted,28,18)</f>
        <v>0</v>
      </c>
      <c r="IY70" s="143">
        <f>INDEX('File 12'!Weekly_Adjusted,28,16)</f>
        <v>0</v>
      </c>
      <c r="IZ70" s="143">
        <f>INDEX('File 12'!Weekly_Adjusted,28,17)</f>
        <v>0</v>
      </c>
      <c r="JA70" s="143">
        <f>INDEX('File 12'!Weekly_Adjusted,28,18)</f>
        <v>0</v>
      </c>
      <c r="JB70" s="142">
        <f>INDEX('File 13'!Weekly_Adjusted,28,16)</f>
        <v>0</v>
      </c>
      <c r="JC70" s="142">
        <f>INDEX('File 13'!Weekly_Adjusted,28,17)</f>
        <v>0</v>
      </c>
      <c r="JD70" s="142">
        <f>INDEX('File 13'!Weekly_Adjusted,28,18)</f>
        <v>0</v>
      </c>
      <c r="JE70" s="143">
        <f>INDEX('File 14'!Weekly_Adjusted,28,16)</f>
        <v>0</v>
      </c>
      <c r="JF70" s="143">
        <f>INDEX('File 14'!Weekly_Adjusted,28,17)</f>
        <v>0</v>
      </c>
      <c r="JG70" s="143">
        <f>INDEX('File 14'!Weekly_Adjusted,28,18)</f>
        <v>0</v>
      </c>
      <c r="JH70" s="142">
        <f>INDEX('File 15'!Weekly_Adjusted,28,16)</f>
        <v>0</v>
      </c>
      <c r="JI70" s="142">
        <f>INDEX('File 15'!Weekly_Adjusted,28,17)</f>
        <v>0</v>
      </c>
      <c r="JJ70" s="142">
        <f>INDEX('File 15'!Weekly_Adjusted,28,18)</f>
        <v>0</v>
      </c>
      <c r="JK70" s="143">
        <f>INDEX('File 16'!Weekly_Adjusted,28,16)</f>
        <v>0</v>
      </c>
      <c r="JL70" s="143">
        <f>INDEX('File 16'!Weekly_Adjusted,28,17)</f>
        <v>0</v>
      </c>
      <c r="JM70" s="143">
        <f>INDEX('File 16'!Weekly_Adjusted,28,18)</f>
        <v>0</v>
      </c>
      <c r="JN70" s="142">
        <f>INDEX('File 17'!Weekly_Adjusted,28,16)</f>
        <v>0</v>
      </c>
      <c r="JO70" s="142">
        <f>INDEX('File 17'!Weekly_Adjusted,28,17)</f>
        <v>0</v>
      </c>
      <c r="JP70" s="142">
        <f>INDEX('File 17'!Weekly_Adjusted,28,18)</f>
        <v>0</v>
      </c>
      <c r="JQ70" s="143">
        <f>INDEX('File 18'!Weekly_Adjusted,28,16)</f>
        <v>0</v>
      </c>
      <c r="JR70" s="143">
        <f>INDEX('File 18'!Weekly_Adjusted,28,17)</f>
        <v>0</v>
      </c>
      <c r="JS70" s="143">
        <f>INDEX('File 18'!Weekly_Adjusted,28,18)</f>
        <v>0</v>
      </c>
      <c r="JT70" s="142">
        <f>INDEX('File 19'!Weekly_Adjusted,28,16)</f>
        <v>0</v>
      </c>
      <c r="JU70" s="142">
        <f>INDEX('File 19'!Weekly_Adjusted,28,17)</f>
        <v>0</v>
      </c>
      <c r="JV70" s="142">
        <f>INDEX('File 19'!Weekly_Adjusted,28,18)</f>
        <v>0</v>
      </c>
      <c r="JW70" s="143">
        <f>INDEX('File 20'!Weekly_Adjusted,28,16)</f>
        <v>0</v>
      </c>
      <c r="JX70" s="143">
        <f>INDEX('File 20'!Weekly_Adjusted,28,17)</f>
        <v>0</v>
      </c>
      <c r="JY70" s="143">
        <f>INDEX('File 20'!Weekly_Adjusted,28,18)</f>
        <v>0</v>
      </c>
      <c r="JZ70" s="6">
        <f ca="1">SUMIFS(INDEX(CapacityCore_Activity_Weekly,ROW(EC28),0),Demand_Activity_Weekly_Header,HL$42)</f>
        <v>20.933351264120493</v>
      </c>
      <c r="KA70" s="6">
        <f ca="1">SUMIFS(INDEX(CapacityCore_Activity_Weekly,ROW(ED28),0),Demand_Activity_Weekly_Header,HM$42)</f>
        <v>0</v>
      </c>
      <c r="KB70" s="6">
        <f ca="1">SUMIFS(INDEX(CapacityCore_Activity_Weekly,ROW(EE28),0),Demand_Activity_Weekly_Header,HN$42)</f>
        <v>0</v>
      </c>
      <c r="KC70" s="6">
        <f ca="1">SUMIFS(INDEX(CapacityCore_Activity_Weekly,ROW(EF28),0),Demand_Activity_Weekly_Header,HO$42)</f>
        <v>0</v>
      </c>
      <c r="KD70" s="6">
        <f ca="1">SUMIFS(INDEX(CapacityCore_Activity_Weekly,ROW(EG28),0),Demand_Activity_Weekly_Header,HP$42)</f>
        <v>0</v>
      </c>
      <c r="KF70" s="6">
        <f>SUMIFS('Time based aggregation (hide)'!$J:$J,'Time based aggregation (hide)'!$E:$E,1,'Time based aggregation (hide)'!$F:$F,1,'Time based aggregation (hide)'!$A:$A,ROW(A28))</f>
        <v>0</v>
      </c>
      <c r="KG70" s="6">
        <f>SUMIFS('Time based aggregation (hide)'!$J:$J,'Time based aggregation (hide)'!$E:$E,1,'Time based aggregation (hide)'!$F:$F,2,'Time based aggregation (hide)'!$A:$A,ROW(A28))</f>
        <v>0</v>
      </c>
      <c r="KH70" s="6">
        <f>SUMIFS('Time based aggregation (hide)'!$J:$J,'Time based aggregation (hide)'!$E:$E,1,'Time based aggregation (hide)'!$F:$F,3,'Time based aggregation (hide)'!$A:$A,ROW(A28))</f>
        <v>0</v>
      </c>
      <c r="KI70" s="6">
        <f>SUMIFS('Time based aggregation (hide)'!$J:$J,'Time based aggregation (hide)'!$E:$E,2,'Time based aggregation (hide)'!$F:$F,1,'Time based aggregation (hide)'!$A:$A,ROW(A28))</f>
        <v>0</v>
      </c>
      <c r="KJ70" s="6">
        <f>SUMIFS('Time based aggregation (hide)'!$J:$J,'Time based aggregation (hide)'!$E:$E,2,'Time based aggregation (hide)'!$F:$F,2,'Time based aggregation (hide)'!$A:$A,ROW(A28))</f>
        <v>0</v>
      </c>
      <c r="KK70" s="6">
        <f>SUMIFS('Time based aggregation (hide)'!$J:$J,'Time based aggregation (hide)'!$E:$E,2,'Time based aggregation (hide)'!$F:$F,3,'Time based aggregation (hide)'!$A:$A,ROW(A28))</f>
        <v>0</v>
      </c>
      <c r="KL70" s="6">
        <f>SUMIFS('Time based aggregation (hide)'!$J:$J,'Time based aggregation (hide)'!$E:$E,3,'Time based aggregation (hide)'!$F:$F,1,'Time based aggregation (hide)'!$A:$A,ROW(A28))</f>
        <v>0</v>
      </c>
      <c r="KM70" s="6">
        <f>SUMIFS('Time based aggregation (hide)'!$J:$J,'Time based aggregation (hide)'!$E:$E,3,'Time based aggregation (hide)'!$F:$F,2,'Time based aggregation (hide)'!$A:$A,ROW(A28))</f>
        <v>0</v>
      </c>
      <c r="KN70" s="6">
        <f>SUMIFS('Time based aggregation (hide)'!$J:$J,'Time based aggregation (hide)'!$E:$E,3,'Time based aggregation (hide)'!$F:$F,3,'Time based aggregation (hide)'!$A:$A,ROW(A28))</f>
        <v>0</v>
      </c>
      <c r="KO70" s="6">
        <f>SUMIFS('Time based aggregation (hide)'!$J:$J,'Time based aggregation (hide)'!$E:$E,4,'Time based aggregation (hide)'!$F:$F,1,'Time based aggregation (hide)'!$A:$A,ROW(A28))</f>
        <v>0</v>
      </c>
      <c r="KP70" s="6">
        <f>SUMIFS('Time based aggregation (hide)'!$J:$J,'Time based aggregation (hide)'!$E:$E,4,'Time based aggregation (hide)'!$F:$F,2,'Time based aggregation (hide)'!$A:$A,ROW(A28))</f>
        <v>0</v>
      </c>
      <c r="KQ70" s="6">
        <f>SUMIFS('Time based aggregation (hide)'!$J:$J,'Time based aggregation (hide)'!$E:$E,4,'Time based aggregation (hide)'!$F:$F,3,'Time based aggregation (hide)'!$A:$A,ROW(A28))</f>
        <v>0</v>
      </c>
      <c r="KR70" s="6">
        <f>SUMIFS('Time based aggregation (hide)'!$J:$J,'Time based aggregation (hide)'!$E:$E,5,'Time based aggregation (hide)'!$F:$F,1,'Time based aggregation (hide)'!$A:$A,ROW(A28))</f>
        <v>0</v>
      </c>
      <c r="KS70" s="6">
        <f>SUMIFS('Time based aggregation (hide)'!$J:$J,'Time based aggregation (hide)'!$E:$E,5,'Time based aggregation (hide)'!$F:$F,2,'Time based aggregation (hide)'!$A:$A,ROW(A28))</f>
        <v>0</v>
      </c>
      <c r="KT70" s="6">
        <f>SUMIFS('Time based aggregation (hide)'!$J:$J,'Time based aggregation (hide)'!$E:$E,5,'Time based aggregation (hide)'!$F:$F,3,'Time based aggregation (hide)'!$A:$A,ROW(A28))</f>
        <v>0</v>
      </c>
      <c r="KU70" s="6">
        <f>SUMIFS('Time based aggregation (hide)'!$J:$J,'Time based aggregation (hide)'!$E:$E,6,'Time based aggregation (hide)'!$F:$F,1,'Time based aggregation (hide)'!$A:$A,ROW(A28))</f>
        <v>0</v>
      </c>
      <c r="KV70" s="6">
        <f>SUMIFS('Time based aggregation (hide)'!$J:$J,'Time based aggregation (hide)'!$E:$E,6,'Time based aggregation (hide)'!$F:$F,2,'Time based aggregation (hide)'!$A:$A,ROW(A28))</f>
        <v>0</v>
      </c>
      <c r="KW70" s="6">
        <f>SUMIFS('Time based aggregation (hide)'!$J:$J,'Time based aggregation (hide)'!$E:$E,6,'Time based aggregation (hide)'!$F:$F,3,'Time based aggregation (hide)'!$A:$A,ROW(A28))</f>
        <v>0</v>
      </c>
      <c r="KX70" s="6">
        <f>SUMIFS('Time based aggregation (hide)'!$J:$J,'Time based aggregation (hide)'!$E:$E,7,'Time based aggregation (hide)'!$F:$F,1,'Time based aggregation (hide)'!$A:$A,ROW(A28))</f>
        <v>0</v>
      </c>
      <c r="KY70" s="6">
        <f>SUMIFS('Time based aggregation (hide)'!$J:$J,'Time based aggregation (hide)'!$E:$E,7,'Time based aggregation (hide)'!$F:$F,2,'Time based aggregation (hide)'!$A:$A,ROW(A28))</f>
        <v>0</v>
      </c>
      <c r="KZ70" s="6">
        <f>SUMIFS('Time based aggregation (hide)'!$J:$J,'Time based aggregation (hide)'!$E:$E,7,'Time based aggregation (hide)'!$F:$F,3,'Time based aggregation (hide)'!$A:$A,ROW(A28))</f>
        <v>0</v>
      </c>
      <c r="LA70" s="6">
        <f>SUMIFS('Time based aggregation (hide)'!$J:$J,'Time based aggregation (hide)'!$E:$E,8,'Time based aggregation (hide)'!$F:$F,1,'Time based aggregation (hide)'!$A:$A,ROW(A28))</f>
        <v>0</v>
      </c>
      <c r="LB70" s="6">
        <f>SUMIFS('Time based aggregation (hide)'!$J:$J,'Time based aggregation (hide)'!$E:$E,8,'Time based aggregation (hide)'!$F:$F,2,'Time based aggregation (hide)'!$A:$A,ROW(A28))</f>
        <v>0</v>
      </c>
      <c r="LC70" s="6">
        <f>SUMIFS('Time based aggregation (hide)'!$J:$J,'Time based aggregation (hide)'!$E:$E,8,'Time based aggregation (hide)'!$F:$F,3,'Time based aggregation (hide)'!$A:$A,ROW(A28))</f>
        <v>0</v>
      </c>
      <c r="LD70" s="6">
        <f>SUMIFS('Time based aggregation (hide)'!$J:$J,'Time based aggregation (hide)'!$E:$E,9,'Time based aggregation (hide)'!$F:$F,1,'Time based aggregation (hide)'!$A:$A,ROW(A28))</f>
        <v>0</v>
      </c>
      <c r="LE70" s="6">
        <f>SUMIFS('Time based aggregation (hide)'!$J:$J,'Time based aggregation (hide)'!$E:$E,9,'Time based aggregation (hide)'!$F:$F,2,'Time based aggregation (hide)'!$A:$A,ROW(A28))</f>
        <v>0</v>
      </c>
      <c r="LF70" s="6">
        <f>SUMIFS('Time based aggregation (hide)'!$J:$J,'Time based aggregation (hide)'!$E:$E,9,'Time based aggregation (hide)'!$F:$F,3,'Time based aggregation (hide)'!$A:$A,ROW(A28))</f>
        <v>0</v>
      </c>
      <c r="LG70" s="6">
        <f>SUMIFS('Time based aggregation (hide)'!$J:$J,'Time based aggregation (hide)'!$E:$E,10,'Time based aggregation (hide)'!$F:$F,1,'Time based aggregation (hide)'!$A:$A,ROW(A28))</f>
        <v>0</v>
      </c>
      <c r="LH70" s="6">
        <f>SUMIFS('Time based aggregation (hide)'!$J:$J,'Time based aggregation (hide)'!$E:$E,10,'Time based aggregation (hide)'!$F:$F,2,'Time based aggregation (hide)'!$A:$A,ROW(A28))</f>
        <v>0</v>
      </c>
      <c r="LI70" s="6">
        <f>SUMIFS('Time based aggregation (hide)'!$J:$J,'Time based aggregation (hide)'!$E:$E,10,'Time based aggregation (hide)'!$F:$F,3,'Time based aggregation (hide)'!$A:$A,ROW(A28))</f>
        <v>0</v>
      </c>
      <c r="LJ70" s="6">
        <f>SUMIFS('Time based aggregation (hide)'!$J:$J,'Time based aggregation (hide)'!$E:$E,11,'Time based aggregation (hide)'!$F:$F,1,'Time based aggregation (hide)'!$A:$A,ROW(A28))</f>
        <v>0</v>
      </c>
      <c r="LK70" s="6">
        <f>SUMIFS('Time based aggregation (hide)'!$J:$J,'Time based aggregation (hide)'!$E:$E,11,'Time based aggregation (hide)'!$F:$F,2,'Time based aggregation (hide)'!$A:$A,ROW(A28))</f>
        <v>0</v>
      </c>
      <c r="LL70" s="6">
        <f>SUMIFS('Time based aggregation (hide)'!$J:$J,'Time based aggregation (hide)'!$E:$E,11,'Time based aggregation (hide)'!$F:$F,3,'Time based aggregation (hide)'!$A:$A,ROW(A28))</f>
        <v>0</v>
      </c>
      <c r="LM70" s="6">
        <f>SUMIFS('Time based aggregation (hide)'!$J:$J,'Time based aggregation (hide)'!$E:$E,12,'Time based aggregation (hide)'!$F:$F,1,'Time based aggregation (hide)'!$A:$A,ROW(A28))</f>
        <v>0</v>
      </c>
      <c r="LN70" s="6">
        <f>SUMIFS('Time based aggregation (hide)'!$J:$J,'Time based aggregation (hide)'!$E:$E,12,'Time based aggregation (hide)'!$F:$F,2,'Time based aggregation (hide)'!$A:$A,ROW(A28))</f>
        <v>0</v>
      </c>
      <c r="LO70" s="6">
        <f>SUMIFS('Time based aggregation (hide)'!$J:$J,'Time based aggregation (hide)'!$E:$E,12,'Time based aggregation (hide)'!$F:$F,3,'Time based aggregation (hide)'!$A:$A,ROW(A28))</f>
        <v>0</v>
      </c>
      <c r="LP70" s="6">
        <f>SUMIFS('Time based aggregation (hide)'!$J:$J,'Time based aggregation (hide)'!$E:$E,13,'Time based aggregation (hide)'!$F:$F,1,'Time based aggregation (hide)'!$A:$A,ROW(A28))</f>
        <v>0</v>
      </c>
      <c r="LQ70" s="6">
        <f>SUMIFS('Time based aggregation (hide)'!$J:$J,'Time based aggregation (hide)'!$E:$E,13,'Time based aggregation (hide)'!$F:$F,2,'Time based aggregation (hide)'!$A:$A,ROW(A28))</f>
        <v>0</v>
      </c>
      <c r="LR70" s="6">
        <f>SUMIFS('Time based aggregation (hide)'!$J:$J,'Time based aggregation (hide)'!$E:$E,13,'Time based aggregation (hide)'!$F:$F,3,'Time based aggregation (hide)'!$A:$A,ROW(A28))</f>
        <v>0</v>
      </c>
      <c r="LS70" s="6">
        <f>SUMIFS('Time based aggregation (hide)'!$J:$J,'Time based aggregation (hide)'!$E:$E,14,'Time based aggregation (hide)'!$F:$F,1,'Time based aggregation (hide)'!$A:$A,ROW(A28))</f>
        <v>0</v>
      </c>
      <c r="LT70" s="6">
        <f>SUMIFS('Time based aggregation (hide)'!$J:$J,'Time based aggregation (hide)'!$E:$E,14,'Time based aggregation (hide)'!$F:$F,2,'Time based aggregation (hide)'!$A:$A,ROW(A28))</f>
        <v>0</v>
      </c>
      <c r="LU70" s="6">
        <f>SUMIFS('Time based aggregation (hide)'!$J:$J,'Time based aggregation (hide)'!$E:$E,14,'Time based aggregation (hide)'!$F:$F,3,'Time based aggregation (hide)'!$A:$A,ROW(A28))</f>
        <v>0</v>
      </c>
      <c r="LV70" s="6">
        <f>SUMIFS('Time based aggregation (hide)'!$J:$J,'Time based aggregation (hide)'!$E:$E,15,'Time based aggregation (hide)'!$F:$F,1,'Time based aggregation (hide)'!$A:$A,ROW(A28))</f>
        <v>0</v>
      </c>
      <c r="LW70" s="6">
        <f>SUMIFS('Time based aggregation (hide)'!$J:$J,'Time based aggregation (hide)'!$E:$E,15,'Time based aggregation (hide)'!$F:$F,2,'Time based aggregation (hide)'!$A:$A,ROW(A28))</f>
        <v>0</v>
      </c>
      <c r="LX70" s="6">
        <f>SUMIFS('Time based aggregation (hide)'!$J:$J,'Time based aggregation (hide)'!$E:$E,15,'Time based aggregation (hide)'!$F:$F,3,'Time based aggregation (hide)'!$A:$A,ROW(A28))</f>
        <v>0</v>
      </c>
      <c r="LY70" s="6">
        <f>SUMIFS('Time based aggregation (hide)'!$J:$J,'Time based aggregation (hide)'!$E:$E,16,'Time based aggregation (hide)'!$F:$F,1,'Time based aggregation (hide)'!$A:$A,ROW(A28))</f>
        <v>0</v>
      </c>
      <c r="LZ70" s="6">
        <f>SUMIFS('Time based aggregation (hide)'!$J:$J,'Time based aggregation (hide)'!$E:$E,16,'Time based aggregation (hide)'!$F:$F,2,'Time based aggregation (hide)'!$A:$A,ROW(A28))</f>
        <v>0</v>
      </c>
      <c r="MA70" s="6">
        <f>SUMIFS('Time based aggregation (hide)'!$J:$J,'Time based aggregation (hide)'!$E:$E,16,'Time based aggregation (hide)'!$F:$F,3,'Time based aggregation (hide)'!$A:$A,ROW(A28))</f>
        <v>0</v>
      </c>
      <c r="MB70" s="6">
        <f>SUMIFS('Time based aggregation (hide)'!$J:$J,'Time based aggregation (hide)'!$E:$E,17,'Time based aggregation (hide)'!$F:$F,1,'Time based aggregation (hide)'!$A:$A,ROW(A28))</f>
        <v>0</v>
      </c>
      <c r="MC70" s="6">
        <f>SUMIFS('Time based aggregation (hide)'!$J:$J,'Time based aggregation (hide)'!$E:$E,17,'Time based aggregation (hide)'!$F:$F,2,'Time based aggregation (hide)'!$A:$A,ROW(A28))</f>
        <v>0</v>
      </c>
      <c r="MD70" s="6">
        <f>SUMIFS('Time based aggregation (hide)'!$J:$J,'Time based aggregation (hide)'!$E:$E,17,'Time based aggregation (hide)'!$F:$F,3,'Time based aggregation (hide)'!$A:$A,ROW(A28))</f>
        <v>0</v>
      </c>
      <c r="ME70" s="6">
        <f>SUMIFS('Time based aggregation (hide)'!$J:$J,'Time based aggregation (hide)'!$E:$E,18,'Time based aggregation (hide)'!$F:$F,1,'Time based aggregation (hide)'!$A:$A,ROW(A28))</f>
        <v>0</v>
      </c>
      <c r="MF70" s="6">
        <f>SUMIFS('Time based aggregation (hide)'!$J:$J,'Time based aggregation (hide)'!$E:$E,18,'Time based aggregation (hide)'!$F:$F,2,'Time based aggregation (hide)'!$A:$A,ROW(A28))</f>
        <v>0</v>
      </c>
      <c r="MG70" s="6">
        <f>SUMIFS('Time based aggregation (hide)'!$J:$J,'Time based aggregation (hide)'!$E:$E,18,'Time based aggregation (hide)'!$F:$F,3,'Time based aggregation (hide)'!$A:$A,ROW(A28))</f>
        <v>0</v>
      </c>
      <c r="MH70" s="6">
        <f>SUMIFS('Time based aggregation (hide)'!$J:$J,'Time based aggregation (hide)'!$E:$E,19,'Time based aggregation (hide)'!$F:$F,1,'Time based aggregation (hide)'!$A:$A,ROW(A28))</f>
        <v>0</v>
      </c>
      <c r="MI70" s="6">
        <f>SUMIFS('Time based aggregation (hide)'!$J:$J,'Time based aggregation (hide)'!$E:$E,19,'Time based aggregation (hide)'!$F:$F,2,'Time based aggregation (hide)'!$A:$A,ROW(A28))</f>
        <v>0</v>
      </c>
      <c r="MJ70" s="6">
        <f>SUMIFS('Time based aggregation (hide)'!$J:$J,'Time based aggregation (hide)'!$E:$E,19,'Time based aggregation (hide)'!$F:$F,3,'Time based aggregation (hide)'!$A:$A,ROW(A28))</f>
        <v>0</v>
      </c>
      <c r="MK70" s="6">
        <f>SUMIFS('Time based aggregation (hide)'!$J:$J,'Time based aggregation (hide)'!$E:$E,20,'Time based aggregation (hide)'!$F:$F,1,'Time based aggregation (hide)'!$A:$A,ROW(A28))</f>
        <v>0</v>
      </c>
      <c r="ML70" s="6">
        <f>SUMIFS('Time based aggregation (hide)'!$J:$J,'Time based aggregation (hide)'!$E:$E,20,'Time based aggregation (hide)'!$F:$F,2,'Time based aggregation (hide)'!$A:$A,ROW(A28))</f>
        <v>0</v>
      </c>
      <c r="MM70" s="6">
        <f>SUMIFS('Time based aggregation (hide)'!$J:$J,'Time based aggregation (hide)'!$E:$E,20,'Time based aggregation (hide)'!$F:$F,3,'Time based aggregation (hide)'!$A:$A,ROW(A28))</f>
        <v>0</v>
      </c>
      <c r="MN70" s="7">
        <f t="shared" ca="1" si="41"/>
        <v>0</v>
      </c>
      <c r="MO70" s="7">
        <f t="shared" ca="1" si="41"/>
        <v>0</v>
      </c>
      <c r="MP70" s="7">
        <f t="shared" ca="1" si="41"/>
        <v>0</v>
      </c>
      <c r="MQ70" s="7">
        <f t="shared" ca="1" si="41"/>
        <v>0</v>
      </c>
      <c r="MR70" s="7">
        <f t="shared" ca="1" si="41"/>
        <v>0</v>
      </c>
    </row>
    <row r="71" spans="1:356" x14ac:dyDescent="0.25">
      <c r="A71">
        <f>1</f>
        <v>1</v>
      </c>
      <c r="B71" s="85">
        <f t="shared" si="37"/>
        <v>43859</v>
      </c>
      <c r="C71" s="85">
        <f t="shared" si="25"/>
        <v>43857</v>
      </c>
      <c r="D71">
        <f t="shared" ca="1" si="26"/>
        <v>1</v>
      </c>
      <c r="E71" s="85">
        <f t="shared" si="27"/>
        <v>43831</v>
      </c>
      <c r="F71">
        <f t="shared" si="33"/>
        <v>5</v>
      </c>
      <c r="H71">
        <f t="shared" si="34"/>
        <v>29</v>
      </c>
      <c r="I71" s="85">
        <f t="shared" si="38"/>
        <v>44025</v>
      </c>
      <c r="J71">
        <f t="shared" ca="1" si="28"/>
        <v>5</v>
      </c>
      <c r="K71">
        <f t="shared" ca="1" si="29"/>
        <v>1.968503937007874E-2</v>
      </c>
      <c r="L71" s="114"/>
      <c r="N71" s="85">
        <f t="shared" si="35"/>
        <v>44025</v>
      </c>
      <c r="O71" s="122">
        <f t="shared" ca="1" si="42"/>
        <v>0</v>
      </c>
      <c r="P71" s="122">
        <f t="shared" ca="1" si="42"/>
        <v>0</v>
      </c>
      <c r="Q71" s="122">
        <f t="shared" ca="1" si="42"/>
        <v>0</v>
      </c>
      <c r="R71" s="122">
        <f t="shared" ca="1" si="42"/>
        <v>0</v>
      </c>
      <c r="S71" s="122">
        <f t="shared" ca="1" si="42"/>
        <v>0</v>
      </c>
      <c r="T71" s="122">
        <f t="shared" ca="1" si="42"/>
        <v>0</v>
      </c>
      <c r="U71" s="122">
        <f t="shared" ca="1" si="42"/>
        <v>1</v>
      </c>
      <c r="V71" s="122">
        <f t="shared" ca="1" si="42"/>
        <v>0</v>
      </c>
      <c r="W71" s="122">
        <f t="shared" ca="1" si="42"/>
        <v>0</v>
      </c>
      <c r="X71" s="122">
        <f t="shared" ca="1" si="42"/>
        <v>0</v>
      </c>
      <c r="Y71" s="122">
        <f t="shared" ca="1" si="42"/>
        <v>0</v>
      </c>
      <c r="Z71" s="122">
        <f t="shared" ca="1" si="42"/>
        <v>0</v>
      </c>
      <c r="AA71" s="122"/>
      <c r="AB71" s="140">
        <f>INDEX('File 1'!Weekly_Adjusted,29,1)</f>
        <v>388.17143954725253</v>
      </c>
      <c r="AC71" s="140">
        <f>INDEX('File 1'!Weekly_Adjusted,29,2)</f>
        <v>0</v>
      </c>
      <c r="AD71" s="140">
        <f>INDEX('File 1'!Weekly_Adjusted,29,3)</f>
        <v>0</v>
      </c>
      <c r="AE71" s="141">
        <f>INDEX('File 2'!Weekly_Adjusted,29,1)</f>
        <v>0</v>
      </c>
      <c r="AF71" s="141">
        <f>INDEX('File 2'!Weekly_Adjusted,29,2)</f>
        <v>0</v>
      </c>
      <c r="AG71" s="141">
        <f>INDEX('File 2'!Weekly_Adjusted,29,3)</f>
        <v>0</v>
      </c>
      <c r="AH71" s="140">
        <f>INDEX('File 3'!Weekly_Adjusted,29,1)</f>
        <v>0</v>
      </c>
      <c r="AI71" s="140">
        <f>INDEX('File 3'!Weekly_Adjusted,29,2)</f>
        <v>0</v>
      </c>
      <c r="AJ71" s="140">
        <f>INDEX('File 3'!Weekly_Adjusted,29,3)</f>
        <v>0</v>
      </c>
      <c r="AK71" s="141">
        <f>INDEX('File 4'!Weekly_Adjusted,29,1)</f>
        <v>0</v>
      </c>
      <c r="AL71" s="141">
        <f>INDEX('File 4'!Weekly_Adjusted,29,2)</f>
        <v>0</v>
      </c>
      <c r="AM71" s="141">
        <f>INDEX('File 4'!Weekly_Adjusted,29,3)</f>
        <v>0</v>
      </c>
      <c r="AN71" s="140">
        <f>INDEX('File 5'!Weekly_Adjusted,29,1)</f>
        <v>0</v>
      </c>
      <c r="AO71" s="140">
        <f>INDEX('File 5'!Weekly_Adjusted,29,2)</f>
        <v>0</v>
      </c>
      <c r="AP71" s="140">
        <f>INDEX('File 5'!Weekly_Adjusted,29,3)</f>
        <v>0</v>
      </c>
      <c r="AQ71" s="141">
        <f>INDEX('File 6'!Weekly_Adjusted,29,1)</f>
        <v>0</v>
      </c>
      <c r="AR71" s="141">
        <f>INDEX('File 6'!Weekly_Adjusted,29,2)</f>
        <v>0</v>
      </c>
      <c r="AS71" s="141">
        <f>INDEX('File 6'!Weekly_Adjusted,29,3)</f>
        <v>0</v>
      </c>
      <c r="AT71" s="140">
        <f>INDEX('File 7'!Weekly_Adjusted,29,1)</f>
        <v>0</v>
      </c>
      <c r="AU71" s="140">
        <f>INDEX('File 7'!Weekly_Adjusted,29,2)</f>
        <v>0</v>
      </c>
      <c r="AV71" s="140">
        <f>INDEX('File 7'!Weekly_Adjusted,29,3)</f>
        <v>0</v>
      </c>
      <c r="AW71" s="141">
        <f>INDEX('File 8'!Weekly_Adjusted,29,1)</f>
        <v>0</v>
      </c>
      <c r="AX71" s="141">
        <f>INDEX('File 8'!Weekly_Adjusted,29,2)</f>
        <v>0</v>
      </c>
      <c r="AY71" s="141">
        <f>INDEX('File 8'!Weekly_Adjusted,29,3)</f>
        <v>0</v>
      </c>
      <c r="AZ71" s="140">
        <f>INDEX('File 9'!Weekly_Adjusted,29,1)</f>
        <v>0</v>
      </c>
      <c r="BA71" s="140">
        <f>INDEX('File 9'!Weekly_Adjusted,29,2)</f>
        <v>0</v>
      </c>
      <c r="BB71" s="140">
        <f>INDEX('File 9'!Weekly_Adjusted,29,3)</f>
        <v>0</v>
      </c>
      <c r="BC71" s="141">
        <f>INDEX('File 10'!Weekly_Adjusted,29,1)</f>
        <v>0</v>
      </c>
      <c r="BD71" s="141">
        <f>INDEX('File 10'!Weekly_Adjusted,29,2)</f>
        <v>0</v>
      </c>
      <c r="BE71" s="141">
        <f>INDEX('File 10'!Weekly_Adjusted,29,3)</f>
        <v>0</v>
      </c>
      <c r="BF71" s="140">
        <f>INDEX('File 11'!Weekly_Adjusted,29,1)</f>
        <v>0</v>
      </c>
      <c r="BG71" s="140">
        <f>INDEX('File 11'!Weekly_Adjusted,29,2)</f>
        <v>0</v>
      </c>
      <c r="BH71" s="140">
        <f>INDEX('File 11'!Weekly_Adjusted,29,3)</f>
        <v>0</v>
      </c>
      <c r="BI71" s="141">
        <f>INDEX('File 12'!Weekly_Adjusted,29,1)</f>
        <v>0</v>
      </c>
      <c r="BJ71" s="141">
        <f>INDEX('File 12'!Weekly_Adjusted,29,2)</f>
        <v>0</v>
      </c>
      <c r="BK71" s="141">
        <f>INDEX('File 12'!Weekly_Adjusted,29,3)</f>
        <v>0</v>
      </c>
      <c r="BL71" s="140">
        <f>INDEX('File 13'!Weekly_Adjusted,29,1)</f>
        <v>0</v>
      </c>
      <c r="BM71" s="140">
        <f>INDEX('File 13'!Weekly_Adjusted,29,2)</f>
        <v>0</v>
      </c>
      <c r="BN71" s="140">
        <f>INDEX('File 13'!Weekly_Adjusted,29,3)</f>
        <v>0</v>
      </c>
      <c r="BO71" s="141">
        <f>INDEX('File 14'!Weekly_Adjusted,29,1)</f>
        <v>0</v>
      </c>
      <c r="BP71" s="141">
        <f>INDEX('File 14'!Weekly_Adjusted,29,2)</f>
        <v>0</v>
      </c>
      <c r="BQ71" s="141">
        <f>INDEX('File 14'!Weekly_Adjusted,29,3)</f>
        <v>0</v>
      </c>
      <c r="BR71" s="140">
        <f>INDEX('File 15'!Weekly_Adjusted,29,1)</f>
        <v>0</v>
      </c>
      <c r="BS71" s="140">
        <f>INDEX('File 15'!Weekly_Adjusted,29,2)</f>
        <v>0</v>
      </c>
      <c r="BT71" s="140">
        <f>INDEX('File 15'!Weekly_Adjusted,29,3)</f>
        <v>0</v>
      </c>
      <c r="BU71" s="141">
        <f>INDEX('File 16'!Weekly_Adjusted,29,1)</f>
        <v>0</v>
      </c>
      <c r="BV71" s="141">
        <f>INDEX('File 16'!Weekly_Adjusted,29,2)</f>
        <v>0</v>
      </c>
      <c r="BW71" s="141">
        <f>INDEX('File 16'!Weekly_Adjusted,29,3)</f>
        <v>0</v>
      </c>
      <c r="BX71" s="140">
        <f>INDEX('File 17'!Weekly_Adjusted,29,1)</f>
        <v>0</v>
      </c>
      <c r="BY71" s="140">
        <f>INDEX('File 17'!Weekly_Adjusted,29,2)</f>
        <v>0</v>
      </c>
      <c r="BZ71" s="140">
        <f>INDEX('File 17'!Weekly_Adjusted,29,3)</f>
        <v>0</v>
      </c>
      <c r="CA71" s="141">
        <f>INDEX('File 18'!Weekly_Adjusted,29,1)</f>
        <v>0</v>
      </c>
      <c r="CB71" s="141">
        <f>INDEX('File 18'!Weekly_Adjusted,29,2)</f>
        <v>0</v>
      </c>
      <c r="CC71" s="141">
        <f>INDEX('File 18'!Weekly_Adjusted,29,3)</f>
        <v>0</v>
      </c>
      <c r="CD71" s="140">
        <f>INDEX('File 19'!Weekly_Adjusted,29,1)</f>
        <v>0</v>
      </c>
      <c r="CE71" s="140">
        <f>INDEX('File 19'!Weekly_Adjusted,29,2)</f>
        <v>0</v>
      </c>
      <c r="CF71" s="140">
        <f>INDEX('File 19'!Weekly_Adjusted,29,3)</f>
        <v>0</v>
      </c>
      <c r="CG71" s="141">
        <f>INDEX('File 20'!Weekly_Adjusted,29,1)</f>
        <v>0</v>
      </c>
      <c r="CH71" s="141">
        <f>INDEX('File 20'!Weekly_Adjusted,29,2)</f>
        <v>0</v>
      </c>
      <c r="CI71" s="141">
        <f>INDEX('File 20'!Weekly_Adjusted,29,3)</f>
        <v>0</v>
      </c>
      <c r="CJ71" s="6">
        <f ca="1">SUMIFS(INDEX(Demand_Activity_Weekly,ROW(A29),0),Demand_Activity_Weekly_Header,CJ$42)</f>
        <v>388.17143954725253</v>
      </c>
      <c r="CK71" s="6">
        <f ca="1">SUMIFS(INDEX(Demand_Activity_Weekly,ROW(B29),0),Demand_Activity_Weekly_Header,CK$42)</f>
        <v>0</v>
      </c>
      <c r="CL71" s="6">
        <f ca="1">SUMIFS(INDEX(Demand_Activity_Weekly,ROW(C29),0),Demand_Activity_Weekly_Header,CL$42)</f>
        <v>0</v>
      </c>
      <c r="CM71" s="6">
        <f ca="1">SUMIFS(INDEX(Demand_Activity_Weekly,ROW(D29),0),Demand_Activity_Weekly_Header,CM$42)</f>
        <v>0</v>
      </c>
      <c r="CN71" s="6">
        <f ca="1">SUMIFS(INDEX(Demand_Activity_Weekly,ROW(E29),0),Demand_Activity_Weekly_Header,CN$42)</f>
        <v>0</v>
      </c>
      <c r="CP71" s="142">
        <f>INDEX('File 1'!Weekly_Adjusted,29,10)</f>
        <v>24.344712210866053</v>
      </c>
      <c r="CQ71" s="142">
        <f>INDEX('File 1'!Weekly_Adjusted,29,11)</f>
        <v>0</v>
      </c>
      <c r="CR71" s="142">
        <f>INDEX('File 1'!Weekly_Adjusted,29,12)</f>
        <v>0</v>
      </c>
      <c r="CS71" s="143">
        <f>INDEX('File 2'!Weekly_Adjusted,29,10)</f>
        <v>0</v>
      </c>
      <c r="CT71" s="143">
        <f>INDEX('File 2'!Weekly_Adjusted,29,11)</f>
        <v>0</v>
      </c>
      <c r="CU71" s="143">
        <f>INDEX('File 2'!Weekly_Adjusted,29,12)</f>
        <v>0</v>
      </c>
      <c r="CV71" s="142">
        <f>INDEX('File 3'!Weekly_Adjusted,29,10)</f>
        <v>0</v>
      </c>
      <c r="CW71" s="142">
        <f>INDEX('File 3'!Weekly_Adjusted,29,11)</f>
        <v>0</v>
      </c>
      <c r="CX71" s="142">
        <f>INDEX('File 3'!Weekly_Adjusted,29,12)</f>
        <v>0</v>
      </c>
      <c r="CY71" s="143">
        <f>INDEX('File 4'!Weekly_Adjusted,29,10)</f>
        <v>0</v>
      </c>
      <c r="CZ71" s="143">
        <f>INDEX('File 4'!Weekly_Adjusted,29,11)</f>
        <v>0</v>
      </c>
      <c r="DA71" s="143">
        <f>INDEX('File 4'!Weekly_Adjusted,29,12)</f>
        <v>0</v>
      </c>
      <c r="DB71" s="142">
        <f>INDEX('File 5'!Weekly_Adjusted,29,10)</f>
        <v>0</v>
      </c>
      <c r="DC71" s="142">
        <f>INDEX('File 5'!Weekly_Adjusted,29,11)</f>
        <v>0</v>
      </c>
      <c r="DD71" s="142">
        <f>INDEX('File 5'!Weekly_Adjusted,29,12)</f>
        <v>0</v>
      </c>
      <c r="DE71" s="143">
        <f>INDEX('File 6'!Weekly_Adjusted,29,10)</f>
        <v>0</v>
      </c>
      <c r="DF71" s="143">
        <f>INDEX('File 6'!Weekly_Adjusted,29,11)</f>
        <v>0</v>
      </c>
      <c r="DG71" s="143">
        <f>INDEX('File 6'!Weekly_Adjusted,29,12)</f>
        <v>0</v>
      </c>
      <c r="DH71" s="142">
        <f>INDEX('File 7'!Weekly_Adjusted,29,10)</f>
        <v>0</v>
      </c>
      <c r="DI71" s="142">
        <f>INDEX('File 7'!Weekly_Adjusted,29,11)</f>
        <v>0</v>
      </c>
      <c r="DJ71" s="142">
        <f>INDEX('File 7'!Weekly_Adjusted,29,12)</f>
        <v>0</v>
      </c>
      <c r="DK71" s="143">
        <f>INDEX('File 8'!Weekly_Adjusted,29,10)</f>
        <v>0</v>
      </c>
      <c r="DL71" s="143">
        <f>INDEX('File 8'!Weekly_Adjusted,29,11)</f>
        <v>0</v>
      </c>
      <c r="DM71" s="143">
        <f>INDEX('File 8'!Weekly_Adjusted,29,12)</f>
        <v>0</v>
      </c>
      <c r="DN71" s="142">
        <f>INDEX('File 9'!Weekly_Adjusted,29,10)</f>
        <v>0</v>
      </c>
      <c r="DO71" s="142">
        <f>INDEX('File 9'!Weekly_Adjusted,29,11)</f>
        <v>0</v>
      </c>
      <c r="DP71" s="142">
        <f>INDEX('File 9'!Weekly_Adjusted,29,12)</f>
        <v>0</v>
      </c>
      <c r="DQ71" s="143">
        <f>INDEX('File 10'!Weekly_Adjusted,29,10)</f>
        <v>0</v>
      </c>
      <c r="DR71" s="143">
        <f>INDEX('File 10'!Weekly_Adjusted,29,11)</f>
        <v>0</v>
      </c>
      <c r="DS71" s="143">
        <f>INDEX('File 10'!Weekly_Adjusted,29,12)</f>
        <v>0</v>
      </c>
      <c r="DT71" s="142">
        <f>INDEX('File 11'!Weekly_Adjusted,29,10)</f>
        <v>0</v>
      </c>
      <c r="DU71" s="142">
        <f>INDEX('File 11'!Weekly_Adjusted,29,11)</f>
        <v>0</v>
      </c>
      <c r="DV71" s="142">
        <f>INDEX('File 11'!Weekly_Adjusted,29,12)</f>
        <v>0</v>
      </c>
      <c r="DW71" s="143">
        <f>INDEX('File 12'!Weekly_Adjusted,29,10)</f>
        <v>0</v>
      </c>
      <c r="DX71" s="143">
        <f>INDEX('File 12'!Weekly_Adjusted,29,11)</f>
        <v>0</v>
      </c>
      <c r="DY71" s="143">
        <f>INDEX('File 12'!Weekly_Adjusted,29,12)</f>
        <v>0</v>
      </c>
      <c r="DZ71" s="142">
        <f>INDEX('File 13'!Weekly_Adjusted,29,10)</f>
        <v>0</v>
      </c>
      <c r="EA71" s="142">
        <f>INDEX('File 13'!Weekly_Adjusted,29,11)</f>
        <v>0</v>
      </c>
      <c r="EB71" s="142">
        <f>INDEX('File 13'!Weekly_Adjusted,29,12)</f>
        <v>0</v>
      </c>
      <c r="EC71" s="143">
        <f>INDEX('File 14'!Weekly_Adjusted,29,10)</f>
        <v>0</v>
      </c>
      <c r="ED71" s="143">
        <f>INDEX('File 14'!Weekly_Adjusted,29,11)</f>
        <v>0</v>
      </c>
      <c r="EE71" s="143">
        <f>INDEX('File 14'!Weekly_Adjusted,29,12)</f>
        <v>0</v>
      </c>
      <c r="EF71" s="142">
        <f>INDEX('File 15'!Weekly_Adjusted,29,10)</f>
        <v>0</v>
      </c>
      <c r="EG71" s="142">
        <f>INDEX('File 15'!Weekly_Adjusted,29,11)</f>
        <v>0</v>
      </c>
      <c r="EH71" s="142">
        <f>INDEX('File 15'!Weekly_Adjusted,29,12)</f>
        <v>0</v>
      </c>
      <c r="EI71" s="143">
        <f>INDEX('File 16'!Weekly_Adjusted,29,10)</f>
        <v>0</v>
      </c>
      <c r="EJ71" s="143">
        <f>INDEX('File 16'!Weekly_Adjusted,29,11)</f>
        <v>0</v>
      </c>
      <c r="EK71" s="143">
        <f>INDEX('File 16'!Weekly_Adjusted,29,12)</f>
        <v>0</v>
      </c>
      <c r="EL71" s="142">
        <f>INDEX('File 17'!Weekly_Adjusted,29,10)</f>
        <v>0</v>
      </c>
      <c r="EM71" s="142">
        <f>INDEX('File 17'!Weekly_Adjusted,29,11)</f>
        <v>0</v>
      </c>
      <c r="EN71" s="142">
        <f>INDEX('File 17'!Weekly_Adjusted,29,12)</f>
        <v>0</v>
      </c>
      <c r="EO71" s="143">
        <f>INDEX('File 18'!Weekly_Adjusted,29,10)</f>
        <v>0</v>
      </c>
      <c r="EP71" s="143">
        <f>INDEX('File 18'!Weekly_Adjusted,29,11)</f>
        <v>0</v>
      </c>
      <c r="EQ71" s="143">
        <f>INDEX('File 18'!Weekly_Adjusted,29,12)</f>
        <v>0</v>
      </c>
      <c r="ER71" s="142">
        <f>INDEX('File 19'!Weekly_Adjusted,29,10)</f>
        <v>0</v>
      </c>
      <c r="ES71" s="142">
        <f>INDEX('File 19'!Weekly_Adjusted,29,11)</f>
        <v>0</v>
      </c>
      <c r="ET71" s="142">
        <f>INDEX('File 19'!Weekly_Adjusted,29,12)</f>
        <v>0</v>
      </c>
      <c r="EU71" s="143">
        <f>INDEX('File 20'!Weekly_Adjusted,29,10)</f>
        <v>0</v>
      </c>
      <c r="EV71" s="143">
        <f>INDEX('File 20'!Weekly_Adjusted,29,11)</f>
        <v>0</v>
      </c>
      <c r="EW71" s="143">
        <f>INDEX('File 20'!Weekly_Adjusted,29,12)</f>
        <v>0</v>
      </c>
      <c r="EX71" s="6">
        <f ca="1">SUMIFS(INDEX(Capacity_Activity_Weekly,ROW(A29),0),Demand_Activity_Weekly_Header,CJ$42)</f>
        <v>24.344712210866053</v>
      </c>
      <c r="EY71" s="6">
        <f ca="1">SUMIFS(INDEX(Capacity_Activity_Weekly,ROW(B29),0),Demand_Activity_Weekly_Header,CK$42)</f>
        <v>0</v>
      </c>
      <c r="EZ71" s="6">
        <f ca="1">SUMIFS(INDEX(Capacity_Activity_Weekly,ROW(C29),0),Demand_Activity_Weekly_Header,CL$42)</f>
        <v>0</v>
      </c>
      <c r="FA71" s="6">
        <f ca="1">SUMIFS(INDEX(Capacity_Activity_Weekly,ROW(D29),0),Demand_Activity_Weekly_Header,CM$42)</f>
        <v>0</v>
      </c>
      <c r="FB71" s="6">
        <f ca="1">SUMIFS(INDEX(Capacity_Activity_Weekly,ROW(E29),0),Demand_Activity_Weekly_Header,CN$42)</f>
        <v>0</v>
      </c>
      <c r="FD71" s="7">
        <f>'File 1'!$Q$54*'Time based aggregation (hide)'!$Q33</f>
        <v>0</v>
      </c>
      <c r="FE71" s="7">
        <f>'File 1'!$R$54*'Time based aggregation (hide)'!$R33</f>
        <v>0</v>
      </c>
      <c r="FF71" s="7">
        <f>'File 1'!$S$54*'Time based aggregation (hide)'!$S33</f>
        <v>0</v>
      </c>
      <c r="FG71" s="7">
        <f>'File 2'!$Q$54*'Time based aggregation (hide)'!$T33</f>
        <v>0</v>
      </c>
      <c r="FH71" s="7">
        <f>'File 2'!$R$54*'Time based aggregation (hide)'!$U33</f>
        <v>0</v>
      </c>
      <c r="FI71" s="7">
        <f>'File 2'!$S$54*'Time based aggregation (hide)'!$V33</f>
        <v>0</v>
      </c>
      <c r="FJ71" s="7">
        <f>'File 3'!$Q$54*'Time based aggregation (hide)'!$W33</f>
        <v>0</v>
      </c>
      <c r="FK71" s="7">
        <f>'File 3'!$R$54*'Time based aggregation (hide)'!$X33</f>
        <v>0</v>
      </c>
      <c r="FL71" s="7">
        <f>'File 3'!$S$54*'Time based aggregation (hide)'!$Y33</f>
        <v>0</v>
      </c>
      <c r="FM71" s="7">
        <f>'File 4'!$Q$54*'Time based aggregation (hide)'!$Z33</f>
        <v>0</v>
      </c>
      <c r="FN71" s="7">
        <f>'File 4'!$R$54*'Time based aggregation (hide)'!$AA33</f>
        <v>0</v>
      </c>
      <c r="FO71" s="7">
        <f>'File 4'!$S$54*'Time based aggregation (hide)'!$AB33</f>
        <v>0</v>
      </c>
      <c r="FP71" s="7">
        <f>'File 5'!$Q$54*'Time based aggregation (hide)'!$AC33</f>
        <v>0</v>
      </c>
      <c r="FQ71" s="7">
        <f>'File 5'!$R$54*'Time based aggregation (hide)'!$AD33</f>
        <v>0</v>
      </c>
      <c r="FR71" s="7">
        <f>'File 5'!$S$54*'Time based aggregation (hide)'!$AE33</f>
        <v>0</v>
      </c>
      <c r="FS71" s="7">
        <f>'File 6'!$Q$54*'Time based aggregation (hide)'!$AF33</f>
        <v>0</v>
      </c>
      <c r="FT71" s="7">
        <f>'File 6'!$R$54*'Time based aggregation (hide)'!$AG33</f>
        <v>0</v>
      </c>
      <c r="FU71" s="7">
        <f>'File 6'!$S$54*'Time based aggregation (hide)'!$AH33</f>
        <v>0</v>
      </c>
      <c r="FV71" s="7">
        <f>'File 7'!$Q$54*'Time based aggregation (hide)'!$AI33</f>
        <v>0</v>
      </c>
      <c r="FW71" s="7">
        <f>'File 7'!$R$54*'Time based aggregation (hide)'!$AJ33</f>
        <v>0</v>
      </c>
      <c r="FX71" s="7">
        <f>'File 7'!$S$54*'Time based aggregation (hide)'!$AK33</f>
        <v>0</v>
      </c>
      <c r="FY71" s="7">
        <f>'File 8'!$Q$54*'Time based aggregation (hide)'!$AL33</f>
        <v>0</v>
      </c>
      <c r="FZ71" s="7">
        <f>'File 8'!$R$54*'Time based aggregation (hide)'!$AM33</f>
        <v>0</v>
      </c>
      <c r="GA71" s="7">
        <f>'File 8'!$S$54*'Time based aggregation (hide)'!$AN33</f>
        <v>0</v>
      </c>
      <c r="GB71" s="7">
        <f>'File 9'!$Q$54*'Time based aggregation (hide)'!$AO33</f>
        <v>0</v>
      </c>
      <c r="GC71" s="7">
        <f>'File 9'!$R$54*'Time based aggregation (hide)'!$AP33</f>
        <v>0</v>
      </c>
      <c r="GD71" s="7">
        <f>'File 9'!$S$54*'Time based aggregation (hide)'!$AQ33</f>
        <v>0</v>
      </c>
      <c r="GE71" s="7">
        <f>'File 10'!$Q$54*'Time based aggregation (hide)'!$AR33</f>
        <v>0</v>
      </c>
      <c r="GF71" s="7">
        <f>'File 10'!$R$54*'Time based aggregation (hide)'!$AS33</f>
        <v>0</v>
      </c>
      <c r="GG71" s="7">
        <f>'File 10'!$S$54*'Time based aggregation (hide)'!$AT33</f>
        <v>0</v>
      </c>
      <c r="GH71" s="7">
        <f>'File 11'!$Q$54*'Time based aggregation (hide)'!$AU33</f>
        <v>0</v>
      </c>
      <c r="GI71" s="7">
        <f>'File 11'!$R$54*'Time based aggregation (hide)'!$AV33</f>
        <v>0</v>
      </c>
      <c r="GJ71" s="7">
        <f>'File 11'!$S$54*'Time based aggregation (hide)'!$AW33</f>
        <v>0</v>
      </c>
      <c r="GK71" s="7">
        <f>'File 12'!$Q$54*'Time based aggregation (hide)'!$AX33</f>
        <v>0</v>
      </c>
      <c r="GL71" s="7">
        <f>'File 12'!$R$54*'Time based aggregation (hide)'!$AY33</f>
        <v>0</v>
      </c>
      <c r="GM71" s="7">
        <f>'File 12'!$S$54*'Time based aggregation (hide)'!$AZ33</f>
        <v>0</v>
      </c>
      <c r="GN71" s="7">
        <f>'File 13'!$Q$54*'Time based aggregation (hide)'!$BA33</f>
        <v>0</v>
      </c>
      <c r="GO71" s="7">
        <f>'File 13'!$R$54*'Time based aggregation (hide)'!$BB33</f>
        <v>0</v>
      </c>
      <c r="GP71" s="7">
        <f>'File 13'!$S$54*'Time based aggregation (hide)'!$BC33</f>
        <v>0</v>
      </c>
      <c r="GQ71" s="7">
        <f>'File 14'!$Q$54*'Time based aggregation (hide)'!$BD33</f>
        <v>0</v>
      </c>
      <c r="GR71" s="7">
        <f>'File 14'!$R$54*'Time based aggregation (hide)'!$BE33</f>
        <v>0</v>
      </c>
      <c r="GS71" s="7">
        <f>'File 14'!$S$54*'Time based aggregation (hide)'!$BF33</f>
        <v>0</v>
      </c>
      <c r="GT71" s="7">
        <f>'File 15'!$Q$54*'Time based aggregation (hide)'!$BG33</f>
        <v>0</v>
      </c>
      <c r="GU71" s="7">
        <f>'File 15'!$R$54*'Time based aggregation (hide)'!$BH33</f>
        <v>0</v>
      </c>
      <c r="GV71" s="7">
        <f>'File 15'!$S$54*'Time based aggregation (hide)'!$BI33</f>
        <v>0</v>
      </c>
      <c r="GW71" s="7">
        <f>'File 16'!$Q$54*'Time based aggregation (hide)'!$BJ33</f>
        <v>0</v>
      </c>
      <c r="GX71" s="7">
        <f>'File 16'!$R$54*'Time based aggregation (hide)'!$BK33</f>
        <v>0</v>
      </c>
      <c r="GY71" s="7">
        <f>'File 16'!$S$54*'Time based aggregation (hide)'!$BL33</f>
        <v>0</v>
      </c>
      <c r="GZ71" s="7">
        <f>'File 17'!$Q$54*'Time based aggregation (hide)'!$BM33</f>
        <v>0</v>
      </c>
      <c r="HA71" s="7">
        <f>'File 17'!$R$54*'Time based aggregation (hide)'!$BN33</f>
        <v>0</v>
      </c>
      <c r="HB71" s="7">
        <f>'File 17'!$S$54*'Time based aggregation (hide)'!$BO33</f>
        <v>0</v>
      </c>
      <c r="HC71" s="7">
        <f>'File 18'!$Q$54*'Time based aggregation (hide)'!$BP33</f>
        <v>0</v>
      </c>
      <c r="HD71" s="7">
        <f>'File 18'!$R$54*'Time based aggregation (hide)'!$BQ33</f>
        <v>0</v>
      </c>
      <c r="HE71" s="7">
        <f>'File 18'!$S$54*'Time based aggregation (hide)'!$BR33</f>
        <v>0</v>
      </c>
      <c r="HF71" s="7">
        <f>'File 19'!$Q$54*'Time based aggregation (hide)'!$BS33</f>
        <v>0</v>
      </c>
      <c r="HG71" s="7">
        <f>'File 19'!$R$54*'Time based aggregation (hide)'!$BT33</f>
        <v>0</v>
      </c>
      <c r="HH71" s="7">
        <f>'File 19'!$S$54*'Time based aggregation (hide)'!$BU33</f>
        <v>0</v>
      </c>
      <c r="HI71" s="7">
        <f>'File 20'!$Q$54*'Time based aggregation (hide)'!$BV33</f>
        <v>0</v>
      </c>
      <c r="HJ71" s="7">
        <f>'File 20'!$R$54*'Time based aggregation (hide)'!$BW33</f>
        <v>0</v>
      </c>
      <c r="HK71" s="7">
        <f>'File 20'!$S$54*'Time based aggregation (hide)'!$BX33</f>
        <v>0</v>
      </c>
      <c r="HL71" s="7">
        <f t="shared" ca="1" si="43"/>
        <v>0</v>
      </c>
      <c r="HM71" s="7">
        <f t="shared" ca="1" si="43"/>
        <v>0</v>
      </c>
      <c r="HN71" s="7">
        <f t="shared" ca="1" si="43"/>
        <v>0</v>
      </c>
      <c r="HO71" s="7">
        <f t="shared" ca="1" si="43"/>
        <v>0</v>
      </c>
      <c r="HP71" s="7">
        <f t="shared" ca="1" si="43"/>
        <v>0</v>
      </c>
      <c r="HR71" s="142">
        <f>INDEX('File 1'!Weekly_Adjusted,29,16)</f>
        <v>20.933351264120493</v>
      </c>
      <c r="HS71" s="142">
        <f>INDEX('File 1'!Weekly_Adjusted,29,17)</f>
        <v>0</v>
      </c>
      <c r="HT71" s="142">
        <f>INDEX('File 1'!Weekly_Adjusted,29,18)</f>
        <v>0</v>
      </c>
      <c r="HU71" s="143">
        <f>INDEX('File 2'!Weekly_Adjusted,29,16)</f>
        <v>0</v>
      </c>
      <c r="HV71" s="143">
        <f>INDEX('File 2'!Weekly_Adjusted,29,17)</f>
        <v>0</v>
      </c>
      <c r="HW71" s="143">
        <f>INDEX('File 2'!Weekly_Adjusted,29,18)</f>
        <v>0</v>
      </c>
      <c r="HX71" s="142">
        <f>INDEX('File 3'!Weekly_Adjusted,29,16)</f>
        <v>0</v>
      </c>
      <c r="HY71" s="142">
        <f>INDEX('File 3'!Weekly_Adjusted,29,17)</f>
        <v>0</v>
      </c>
      <c r="HZ71" s="142">
        <f>INDEX('File 3'!Weekly_Adjusted,29,18)</f>
        <v>0</v>
      </c>
      <c r="IA71" s="143">
        <f>INDEX('File 4'!Weekly_Adjusted,29,16)</f>
        <v>0</v>
      </c>
      <c r="IB71" s="143">
        <f>INDEX('File 4'!Weekly_Adjusted,29,17)</f>
        <v>0</v>
      </c>
      <c r="IC71" s="143">
        <f>INDEX('File 4'!Weekly_Adjusted,29,18)</f>
        <v>0</v>
      </c>
      <c r="ID71" s="142">
        <f>INDEX('File 5'!Weekly_Adjusted,29,16)</f>
        <v>0</v>
      </c>
      <c r="IE71" s="142">
        <f>INDEX('File 5'!Weekly_Adjusted,29,17)</f>
        <v>0</v>
      </c>
      <c r="IF71" s="142">
        <f>INDEX('File 5'!Weekly_Adjusted,29,18)</f>
        <v>0</v>
      </c>
      <c r="IG71" s="143">
        <f>INDEX('File 6'!Weekly_Adjusted,29,16)</f>
        <v>0</v>
      </c>
      <c r="IH71" s="143">
        <f>INDEX('File 6'!Weekly_Adjusted,29,17)</f>
        <v>0</v>
      </c>
      <c r="II71" s="143">
        <f>INDEX('File 6'!Weekly_Adjusted,29,18)</f>
        <v>0</v>
      </c>
      <c r="IJ71" s="142">
        <f>INDEX('File 7'!Weekly_Adjusted,29,16)</f>
        <v>0</v>
      </c>
      <c r="IK71" s="142">
        <f>INDEX('File 7'!Weekly_Adjusted,29,17)</f>
        <v>0</v>
      </c>
      <c r="IL71" s="142">
        <f>INDEX('File 7'!Weekly_Adjusted,29,18)</f>
        <v>0</v>
      </c>
      <c r="IM71" s="143">
        <f>INDEX('File 8'!Weekly_Adjusted,29,16)</f>
        <v>0</v>
      </c>
      <c r="IN71" s="143">
        <f>INDEX('File 8'!Weekly_Adjusted,29,17)</f>
        <v>0</v>
      </c>
      <c r="IO71" s="143">
        <f>INDEX('File 8'!Weekly_Adjusted,29,18)</f>
        <v>0</v>
      </c>
      <c r="IP71" s="142">
        <f>INDEX('File 9'!Weekly_Adjusted,29,16)</f>
        <v>0</v>
      </c>
      <c r="IQ71" s="142">
        <f>INDEX('File 9'!Weekly_Adjusted,29,17)</f>
        <v>0</v>
      </c>
      <c r="IR71" s="142">
        <f>INDEX('File 9'!Weekly_Adjusted,29,18)</f>
        <v>0</v>
      </c>
      <c r="IS71" s="143">
        <f>INDEX('File 10'!Weekly_Adjusted,29,16)</f>
        <v>0</v>
      </c>
      <c r="IT71" s="143">
        <f>INDEX('File 10'!Weekly_Adjusted,29,17)</f>
        <v>0</v>
      </c>
      <c r="IU71" s="143">
        <f>INDEX('File 10'!Weekly_Adjusted,29,18)</f>
        <v>0</v>
      </c>
      <c r="IV71" s="142">
        <f>INDEX('File 11'!Weekly_Adjusted,29,16)</f>
        <v>0</v>
      </c>
      <c r="IW71" s="142">
        <f>INDEX('File 11'!Weekly_Adjusted,29,17)</f>
        <v>0</v>
      </c>
      <c r="IX71" s="142">
        <f>INDEX('File 11'!Weekly_Adjusted,29,18)</f>
        <v>0</v>
      </c>
      <c r="IY71" s="143">
        <f>INDEX('File 12'!Weekly_Adjusted,29,16)</f>
        <v>0</v>
      </c>
      <c r="IZ71" s="143">
        <f>INDEX('File 12'!Weekly_Adjusted,29,17)</f>
        <v>0</v>
      </c>
      <c r="JA71" s="143">
        <f>INDEX('File 12'!Weekly_Adjusted,29,18)</f>
        <v>0</v>
      </c>
      <c r="JB71" s="142">
        <f>INDEX('File 13'!Weekly_Adjusted,29,16)</f>
        <v>0</v>
      </c>
      <c r="JC71" s="142">
        <f>INDEX('File 13'!Weekly_Adjusted,29,17)</f>
        <v>0</v>
      </c>
      <c r="JD71" s="142">
        <f>INDEX('File 13'!Weekly_Adjusted,29,18)</f>
        <v>0</v>
      </c>
      <c r="JE71" s="143">
        <f>INDEX('File 14'!Weekly_Adjusted,29,16)</f>
        <v>0</v>
      </c>
      <c r="JF71" s="143">
        <f>INDEX('File 14'!Weekly_Adjusted,29,17)</f>
        <v>0</v>
      </c>
      <c r="JG71" s="143">
        <f>INDEX('File 14'!Weekly_Adjusted,29,18)</f>
        <v>0</v>
      </c>
      <c r="JH71" s="142">
        <f>INDEX('File 15'!Weekly_Adjusted,29,16)</f>
        <v>0</v>
      </c>
      <c r="JI71" s="142">
        <f>INDEX('File 15'!Weekly_Adjusted,29,17)</f>
        <v>0</v>
      </c>
      <c r="JJ71" s="142">
        <f>INDEX('File 15'!Weekly_Adjusted,29,18)</f>
        <v>0</v>
      </c>
      <c r="JK71" s="143">
        <f>INDEX('File 16'!Weekly_Adjusted,29,16)</f>
        <v>0</v>
      </c>
      <c r="JL71" s="143">
        <f>INDEX('File 16'!Weekly_Adjusted,29,17)</f>
        <v>0</v>
      </c>
      <c r="JM71" s="143">
        <f>INDEX('File 16'!Weekly_Adjusted,29,18)</f>
        <v>0</v>
      </c>
      <c r="JN71" s="142">
        <f>INDEX('File 17'!Weekly_Adjusted,29,16)</f>
        <v>0</v>
      </c>
      <c r="JO71" s="142">
        <f>INDEX('File 17'!Weekly_Adjusted,29,17)</f>
        <v>0</v>
      </c>
      <c r="JP71" s="142">
        <f>INDEX('File 17'!Weekly_Adjusted,29,18)</f>
        <v>0</v>
      </c>
      <c r="JQ71" s="143">
        <f>INDEX('File 18'!Weekly_Adjusted,29,16)</f>
        <v>0</v>
      </c>
      <c r="JR71" s="143">
        <f>INDEX('File 18'!Weekly_Adjusted,29,17)</f>
        <v>0</v>
      </c>
      <c r="JS71" s="143">
        <f>INDEX('File 18'!Weekly_Adjusted,29,18)</f>
        <v>0</v>
      </c>
      <c r="JT71" s="142">
        <f>INDEX('File 19'!Weekly_Adjusted,29,16)</f>
        <v>0</v>
      </c>
      <c r="JU71" s="142">
        <f>INDEX('File 19'!Weekly_Adjusted,29,17)</f>
        <v>0</v>
      </c>
      <c r="JV71" s="142">
        <f>INDEX('File 19'!Weekly_Adjusted,29,18)</f>
        <v>0</v>
      </c>
      <c r="JW71" s="143">
        <f>INDEX('File 20'!Weekly_Adjusted,29,16)</f>
        <v>0</v>
      </c>
      <c r="JX71" s="143">
        <f>INDEX('File 20'!Weekly_Adjusted,29,17)</f>
        <v>0</v>
      </c>
      <c r="JY71" s="143">
        <f>INDEX('File 20'!Weekly_Adjusted,29,18)</f>
        <v>0</v>
      </c>
      <c r="JZ71" s="6">
        <f ca="1">SUMIFS(INDEX(CapacityCore_Activity_Weekly,ROW(EC29),0),Demand_Activity_Weekly_Header,HL$42)</f>
        <v>20.933351264120493</v>
      </c>
      <c r="KA71" s="6">
        <f ca="1">SUMIFS(INDEX(CapacityCore_Activity_Weekly,ROW(ED29),0),Demand_Activity_Weekly_Header,HM$42)</f>
        <v>0</v>
      </c>
      <c r="KB71" s="6">
        <f ca="1">SUMIFS(INDEX(CapacityCore_Activity_Weekly,ROW(EE29),0),Demand_Activity_Weekly_Header,HN$42)</f>
        <v>0</v>
      </c>
      <c r="KC71" s="6">
        <f ca="1">SUMIFS(INDEX(CapacityCore_Activity_Weekly,ROW(EF29),0),Demand_Activity_Weekly_Header,HO$42)</f>
        <v>0</v>
      </c>
      <c r="KD71" s="6">
        <f ca="1">SUMIFS(INDEX(CapacityCore_Activity_Weekly,ROW(EG29),0),Demand_Activity_Weekly_Header,HP$42)</f>
        <v>0</v>
      </c>
      <c r="KF71" s="6">
        <f>SUMIFS('Time based aggregation (hide)'!$J:$J,'Time based aggregation (hide)'!$E:$E,1,'Time based aggregation (hide)'!$F:$F,1,'Time based aggregation (hide)'!$A:$A,ROW(A29))</f>
        <v>0</v>
      </c>
      <c r="KG71" s="6">
        <f>SUMIFS('Time based aggregation (hide)'!$J:$J,'Time based aggregation (hide)'!$E:$E,1,'Time based aggregation (hide)'!$F:$F,2,'Time based aggregation (hide)'!$A:$A,ROW(A29))</f>
        <v>0</v>
      </c>
      <c r="KH71" s="6">
        <f>SUMIFS('Time based aggregation (hide)'!$J:$J,'Time based aggregation (hide)'!$E:$E,1,'Time based aggregation (hide)'!$F:$F,3,'Time based aggregation (hide)'!$A:$A,ROW(A29))</f>
        <v>0</v>
      </c>
      <c r="KI71" s="6">
        <f>SUMIFS('Time based aggregation (hide)'!$J:$J,'Time based aggregation (hide)'!$E:$E,2,'Time based aggregation (hide)'!$F:$F,1,'Time based aggregation (hide)'!$A:$A,ROW(A29))</f>
        <v>0</v>
      </c>
      <c r="KJ71" s="6">
        <f>SUMIFS('Time based aggregation (hide)'!$J:$J,'Time based aggregation (hide)'!$E:$E,2,'Time based aggregation (hide)'!$F:$F,2,'Time based aggregation (hide)'!$A:$A,ROW(A29))</f>
        <v>0</v>
      </c>
      <c r="KK71" s="6">
        <f>SUMIFS('Time based aggregation (hide)'!$J:$J,'Time based aggregation (hide)'!$E:$E,2,'Time based aggregation (hide)'!$F:$F,3,'Time based aggregation (hide)'!$A:$A,ROW(A29))</f>
        <v>0</v>
      </c>
      <c r="KL71" s="6">
        <f>SUMIFS('Time based aggregation (hide)'!$J:$J,'Time based aggregation (hide)'!$E:$E,3,'Time based aggregation (hide)'!$F:$F,1,'Time based aggregation (hide)'!$A:$A,ROW(A29))</f>
        <v>0</v>
      </c>
      <c r="KM71" s="6">
        <f>SUMIFS('Time based aggregation (hide)'!$J:$J,'Time based aggregation (hide)'!$E:$E,3,'Time based aggregation (hide)'!$F:$F,2,'Time based aggregation (hide)'!$A:$A,ROW(A29))</f>
        <v>0</v>
      </c>
      <c r="KN71" s="6">
        <f>SUMIFS('Time based aggregation (hide)'!$J:$J,'Time based aggregation (hide)'!$E:$E,3,'Time based aggregation (hide)'!$F:$F,3,'Time based aggregation (hide)'!$A:$A,ROW(A29))</f>
        <v>0</v>
      </c>
      <c r="KO71" s="6">
        <f>SUMIFS('Time based aggregation (hide)'!$J:$J,'Time based aggregation (hide)'!$E:$E,4,'Time based aggregation (hide)'!$F:$F,1,'Time based aggregation (hide)'!$A:$A,ROW(A29))</f>
        <v>0</v>
      </c>
      <c r="KP71" s="6">
        <f>SUMIFS('Time based aggregation (hide)'!$J:$J,'Time based aggregation (hide)'!$E:$E,4,'Time based aggregation (hide)'!$F:$F,2,'Time based aggregation (hide)'!$A:$A,ROW(A29))</f>
        <v>0</v>
      </c>
      <c r="KQ71" s="6">
        <f>SUMIFS('Time based aggregation (hide)'!$J:$J,'Time based aggregation (hide)'!$E:$E,4,'Time based aggregation (hide)'!$F:$F,3,'Time based aggregation (hide)'!$A:$A,ROW(A29))</f>
        <v>0</v>
      </c>
      <c r="KR71" s="6">
        <f>SUMIFS('Time based aggregation (hide)'!$J:$J,'Time based aggregation (hide)'!$E:$E,5,'Time based aggregation (hide)'!$F:$F,1,'Time based aggregation (hide)'!$A:$A,ROW(A29))</f>
        <v>0</v>
      </c>
      <c r="KS71" s="6">
        <f>SUMIFS('Time based aggregation (hide)'!$J:$J,'Time based aggregation (hide)'!$E:$E,5,'Time based aggregation (hide)'!$F:$F,2,'Time based aggregation (hide)'!$A:$A,ROW(A29))</f>
        <v>0</v>
      </c>
      <c r="KT71" s="6">
        <f>SUMIFS('Time based aggregation (hide)'!$J:$J,'Time based aggregation (hide)'!$E:$E,5,'Time based aggregation (hide)'!$F:$F,3,'Time based aggregation (hide)'!$A:$A,ROW(A29))</f>
        <v>0</v>
      </c>
      <c r="KU71" s="6">
        <f>SUMIFS('Time based aggregation (hide)'!$J:$J,'Time based aggregation (hide)'!$E:$E,6,'Time based aggregation (hide)'!$F:$F,1,'Time based aggregation (hide)'!$A:$A,ROW(A29))</f>
        <v>0</v>
      </c>
      <c r="KV71" s="6">
        <f>SUMIFS('Time based aggregation (hide)'!$J:$J,'Time based aggregation (hide)'!$E:$E,6,'Time based aggregation (hide)'!$F:$F,2,'Time based aggregation (hide)'!$A:$A,ROW(A29))</f>
        <v>0</v>
      </c>
      <c r="KW71" s="6">
        <f>SUMIFS('Time based aggregation (hide)'!$J:$J,'Time based aggregation (hide)'!$E:$E,6,'Time based aggregation (hide)'!$F:$F,3,'Time based aggregation (hide)'!$A:$A,ROW(A29))</f>
        <v>0</v>
      </c>
      <c r="KX71" s="6">
        <f>SUMIFS('Time based aggregation (hide)'!$J:$J,'Time based aggregation (hide)'!$E:$E,7,'Time based aggregation (hide)'!$F:$F,1,'Time based aggregation (hide)'!$A:$A,ROW(A29))</f>
        <v>0</v>
      </c>
      <c r="KY71" s="6">
        <f>SUMIFS('Time based aggregation (hide)'!$J:$J,'Time based aggregation (hide)'!$E:$E,7,'Time based aggregation (hide)'!$F:$F,2,'Time based aggregation (hide)'!$A:$A,ROW(A29))</f>
        <v>0</v>
      </c>
      <c r="KZ71" s="6">
        <f>SUMIFS('Time based aggregation (hide)'!$J:$J,'Time based aggregation (hide)'!$E:$E,7,'Time based aggregation (hide)'!$F:$F,3,'Time based aggregation (hide)'!$A:$A,ROW(A29))</f>
        <v>0</v>
      </c>
      <c r="LA71" s="6">
        <f>SUMIFS('Time based aggregation (hide)'!$J:$J,'Time based aggregation (hide)'!$E:$E,8,'Time based aggregation (hide)'!$F:$F,1,'Time based aggregation (hide)'!$A:$A,ROW(A29))</f>
        <v>0</v>
      </c>
      <c r="LB71" s="6">
        <f>SUMIFS('Time based aggregation (hide)'!$J:$J,'Time based aggregation (hide)'!$E:$E,8,'Time based aggregation (hide)'!$F:$F,2,'Time based aggregation (hide)'!$A:$A,ROW(A29))</f>
        <v>0</v>
      </c>
      <c r="LC71" s="6">
        <f>SUMIFS('Time based aggregation (hide)'!$J:$J,'Time based aggregation (hide)'!$E:$E,8,'Time based aggregation (hide)'!$F:$F,3,'Time based aggregation (hide)'!$A:$A,ROW(A29))</f>
        <v>0</v>
      </c>
      <c r="LD71" s="6">
        <f>SUMIFS('Time based aggregation (hide)'!$J:$J,'Time based aggregation (hide)'!$E:$E,9,'Time based aggregation (hide)'!$F:$F,1,'Time based aggregation (hide)'!$A:$A,ROW(A29))</f>
        <v>0</v>
      </c>
      <c r="LE71" s="6">
        <f>SUMIFS('Time based aggregation (hide)'!$J:$J,'Time based aggregation (hide)'!$E:$E,9,'Time based aggregation (hide)'!$F:$F,2,'Time based aggregation (hide)'!$A:$A,ROW(A29))</f>
        <v>0</v>
      </c>
      <c r="LF71" s="6">
        <f>SUMIFS('Time based aggregation (hide)'!$J:$J,'Time based aggregation (hide)'!$E:$E,9,'Time based aggregation (hide)'!$F:$F,3,'Time based aggregation (hide)'!$A:$A,ROW(A29))</f>
        <v>0</v>
      </c>
      <c r="LG71" s="6">
        <f>SUMIFS('Time based aggregation (hide)'!$J:$J,'Time based aggregation (hide)'!$E:$E,10,'Time based aggregation (hide)'!$F:$F,1,'Time based aggregation (hide)'!$A:$A,ROW(A29))</f>
        <v>0</v>
      </c>
      <c r="LH71" s="6">
        <f>SUMIFS('Time based aggregation (hide)'!$J:$J,'Time based aggregation (hide)'!$E:$E,10,'Time based aggregation (hide)'!$F:$F,2,'Time based aggregation (hide)'!$A:$A,ROW(A29))</f>
        <v>0</v>
      </c>
      <c r="LI71" s="6">
        <f>SUMIFS('Time based aggregation (hide)'!$J:$J,'Time based aggregation (hide)'!$E:$E,10,'Time based aggregation (hide)'!$F:$F,3,'Time based aggregation (hide)'!$A:$A,ROW(A29))</f>
        <v>0</v>
      </c>
      <c r="LJ71" s="6">
        <f>SUMIFS('Time based aggregation (hide)'!$J:$J,'Time based aggregation (hide)'!$E:$E,11,'Time based aggregation (hide)'!$F:$F,1,'Time based aggregation (hide)'!$A:$A,ROW(A29))</f>
        <v>0</v>
      </c>
      <c r="LK71" s="6">
        <f>SUMIFS('Time based aggregation (hide)'!$J:$J,'Time based aggregation (hide)'!$E:$E,11,'Time based aggregation (hide)'!$F:$F,2,'Time based aggregation (hide)'!$A:$A,ROW(A29))</f>
        <v>0</v>
      </c>
      <c r="LL71" s="6">
        <f>SUMIFS('Time based aggregation (hide)'!$J:$J,'Time based aggregation (hide)'!$E:$E,11,'Time based aggregation (hide)'!$F:$F,3,'Time based aggregation (hide)'!$A:$A,ROW(A29))</f>
        <v>0</v>
      </c>
      <c r="LM71" s="6">
        <f>SUMIFS('Time based aggregation (hide)'!$J:$J,'Time based aggregation (hide)'!$E:$E,12,'Time based aggregation (hide)'!$F:$F,1,'Time based aggregation (hide)'!$A:$A,ROW(A29))</f>
        <v>0</v>
      </c>
      <c r="LN71" s="6">
        <f>SUMIFS('Time based aggregation (hide)'!$J:$J,'Time based aggregation (hide)'!$E:$E,12,'Time based aggregation (hide)'!$F:$F,2,'Time based aggregation (hide)'!$A:$A,ROW(A29))</f>
        <v>0</v>
      </c>
      <c r="LO71" s="6">
        <f>SUMIFS('Time based aggregation (hide)'!$J:$J,'Time based aggregation (hide)'!$E:$E,12,'Time based aggregation (hide)'!$F:$F,3,'Time based aggregation (hide)'!$A:$A,ROW(A29))</f>
        <v>0</v>
      </c>
      <c r="LP71" s="6">
        <f>SUMIFS('Time based aggregation (hide)'!$J:$J,'Time based aggregation (hide)'!$E:$E,13,'Time based aggregation (hide)'!$F:$F,1,'Time based aggregation (hide)'!$A:$A,ROW(A29))</f>
        <v>0</v>
      </c>
      <c r="LQ71" s="6">
        <f>SUMIFS('Time based aggregation (hide)'!$J:$J,'Time based aggregation (hide)'!$E:$E,13,'Time based aggregation (hide)'!$F:$F,2,'Time based aggregation (hide)'!$A:$A,ROW(A29))</f>
        <v>0</v>
      </c>
      <c r="LR71" s="6">
        <f>SUMIFS('Time based aggregation (hide)'!$J:$J,'Time based aggregation (hide)'!$E:$E,13,'Time based aggregation (hide)'!$F:$F,3,'Time based aggregation (hide)'!$A:$A,ROW(A29))</f>
        <v>0</v>
      </c>
      <c r="LS71" s="6">
        <f>SUMIFS('Time based aggregation (hide)'!$J:$J,'Time based aggregation (hide)'!$E:$E,14,'Time based aggregation (hide)'!$F:$F,1,'Time based aggregation (hide)'!$A:$A,ROW(A29))</f>
        <v>0</v>
      </c>
      <c r="LT71" s="6">
        <f>SUMIFS('Time based aggregation (hide)'!$J:$J,'Time based aggregation (hide)'!$E:$E,14,'Time based aggregation (hide)'!$F:$F,2,'Time based aggregation (hide)'!$A:$A,ROW(A29))</f>
        <v>0</v>
      </c>
      <c r="LU71" s="6">
        <f>SUMIFS('Time based aggregation (hide)'!$J:$J,'Time based aggregation (hide)'!$E:$E,14,'Time based aggregation (hide)'!$F:$F,3,'Time based aggregation (hide)'!$A:$A,ROW(A29))</f>
        <v>0</v>
      </c>
      <c r="LV71" s="6">
        <f>SUMIFS('Time based aggregation (hide)'!$J:$J,'Time based aggregation (hide)'!$E:$E,15,'Time based aggregation (hide)'!$F:$F,1,'Time based aggregation (hide)'!$A:$A,ROW(A29))</f>
        <v>0</v>
      </c>
      <c r="LW71" s="6">
        <f>SUMIFS('Time based aggregation (hide)'!$J:$J,'Time based aggregation (hide)'!$E:$E,15,'Time based aggregation (hide)'!$F:$F,2,'Time based aggregation (hide)'!$A:$A,ROW(A29))</f>
        <v>0</v>
      </c>
      <c r="LX71" s="6">
        <f>SUMIFS('Time based aggregation (hide)'!$J:$J,'Time based aggregation (hide)'!$E:$E,15,'Time based aggregation (hide)'!$F:$F,3,'Time based aggregation (hide)'!$A:$A,ROW(A29))</f>
        <v>0</v>
      </c>
      <c r="LY71" s="6">
        <f>SUMIFS('Time based aggregation (hide)'!$J:$J,'Time based aggregation (hide)'!$E:$E,16,'Time based aggregation (hide)'!$F:$F,1,'Time based aggregation (hide)'!$A:$A,ROW(A29))</f>
        <v>0</v>
      </c>
      <c r="LZ71" s="6">
        <f>SUMIFS('Time based aggregation (hide)'!$J:$J,'Time based aggregation (hide)'!$E:$E,16,'Time based aggregation (hide)'!$F:$F,2,'Time based aggregation (hide)'!$A:$A,ROW(A29))</f>
        <v>0</v>
      </c>
      <c r="MA71" s="6">
        <f>SUMIFS('Time based aggregation (hide)'!$J:$J,'Time based aggregation (hide)'!$E:$E,16,'Time based aggregation (hide)'!$F:$F,3,'Time based aggregation (hide)'!$A:$A,ROW(A29))</f>
        <v>0</v>
      </c>
      <c r="MB71" s="6">
        <f>SUMIFS('Time based aggregation (hide)'!$J:$J,'Time based aggregation (hide)'!$E:$E,17,'Time based aggregation (hide)'!$F:$F,1,'Time based aggregation (hide)'!$A:$A,ROW(A29))</f>
        <v>0</v>
      </c>
      <c r="MC71" s="6">
        <f>SUMIFS('Time based aggregation (hide)'!$J:$J,'Time based aggregation (hide)'!$E:$E,17,'Time based aggregation (hide)'!$F:$F,2,'Time based aggregation (hide)'!$A:$A,ROW(A29))</f>
        <v>0</v>
      </c>
      <c r="MD71" s="6">
        <f>SUMIFS('Time based aggregation (hide)'!$J:$J,'Time based aggregation (hide)'!$E:$E,17,'Time based aggregation (hide)'!$F:$F,3,'Time based aggregation (hide)'!$A:$A,ROW(A29))</f>
        <v>0</v>
      </c>
      <c r="ME71" s="6">
        <f>SUMIFS('Time based aggregation (hide)'!$J:$J,'Time based aggregation (hide)'!$E:$E,18,'Time based aggregation (hide)'!$F:$F,1,'Time based aggregation (hide)'!$A:$A,ROW(A29))</f>
        <v>0</v>
      </c>
      <c r="MF71" s="6">
        <f>SUMIFS('Time based aggregation (hide)'!$J:$J,'Time based aggregation (hide)'!$E:$E,18,'Time based aggregation (hide)'!$F:$F,2,'Time based aggregation (hide)'!$A:$A,ROW(A29))</f>
        <v>0</v>
      </c>
      <c r="MG71" s="6">
        <f>SUMIFS('Time based aggregation (hide)'!$J:$J,'Time based aggregation (hide)'!$E:$E,18,'Time based aggregation (hide)'!$F:$F,3,'Time based aggregation (hide)'!$A:$A,ROW(A29))</f>
        <v>0</v>
      </c>
      <c r="MH71" s="6">
        <f>SUMIFS('Time based aggregation (hide)'!$J:$J,'Time based aggregation (hide)'!$E:$E,19,'Time based aggregation (hide)'!$F:$F,1,'Time based aggregation (hide)'!$A:$A,ROW(A29))</f>
        <v>0</v>
      </c>
      <c r="MI71" s="6">
        <f>SUMIFS('Time based aggregation (hide)'!$J:$J,'Time based aggregation (hide)'!$E:$E,19,'Time based aggregation (hide)'!$F:$F,2,'Time based aggregation (hide)'!$A:$A,ROW(A29))</f>
        <v>0</v>
      </c>
      <c r="MJ71" s="6">
        <f>SUMIFS('Time based aggregation (hide)'!$J:$J,'Time based aggregation (hide)'!$E:$E,19,'Time based aggregation (hide)'!$F:$F,3,'Time based aggregation (hide)'!$A:$A,ROW(A29))</f>
        <v>0</v>
      </c>
      <c r="MK71" s="6">
        <f>SUMIFS('Time based aggregation (hide)'!$J:$J,'Time based aggregation (hide)'!$E:$E,20,'Time based aggregation (hide)'!$F:$F,1,'Time based aggregation (hide)'!$A:$A,ROW(A29))</f>
        <v>0</v>
      </c>
      <c r="ML71" s="6">
        <f>SUMIFS('Time based aggregation (hide)'!$J:$J,'Time based aggregation (hide)'!$E:$E,20,'Time based aggregation (hide)'!$F:$F,2,'Time based aggregation (hide)'!$A:$A,ROW(A29))</f>
        <v>0</v>
      </c>
      <c r="MM71" s="6">
        <f>SUMIFS('Time based aggregation (hide)'!$J:$J,'Time based aggregation (hide)'!$E:$E,20,'Time based aggregation (hide)'!$F:$F,3,'Time based aggregation (hide)'!$A:$A,ROW(A29))</f>
        <v>0</v>
      </c>
      <c r="MN71" s="7">
        <f t="shared" ca="1" si="41"/>
        <v>0</v>
      </c>
      <c r="MO71" s="7">
        <f t="shared" ca="1" si="41"/>
        <v>0</v>
      </c>
      <c r="MP71" s="7">
        <f t="shared" ca="1" si="41"/>
        <v>0</v>
      </c>
      <c r="MQ71" s="7">
        <f t="shared" ca="1" si="41"/>
        <v>0</v>
      </c>
      <c r="MR71" s="7">
        <f t="shared" ca="1" si="41"/>
        <v>0</v>
      </c>
    </row>
    <row r="72" spans="1:356" x14ac:dyDescent="0.25">
      <c r="A72">
        <f>1</f>
        <v>1</v>
      </c>
      <c r="B72" s="85">
        <f t="shared" si="37"/>
        <v>43860</v>
      </c>
      <c r="C72" s="85">
        <f t="shared" si="25"/>
        <v>43857</v>
      </c>
      <c r="D72">
        <f t="shared" ca="1" si="26"/>
        <v>1</v>
      </c>
      <c r="E72" s="85">
        <f t="shared" si="27"/>
        <v>43831</v>
      </c>
      <c r="F72">
        <f t="shared" si="33"/>
        <v>5</v>
      </c>
      <c r="H72">
        <f t="shared" si="34"/>
        <v>30</v>
      </c>
      <c r="I72" s="85">
        <f t="shared" si="38"/>
        <v>44032</v>
      </c>
      <c r="J72">
        <f t="shared" ca="1" si="28"/>
        <v>5</v>
      </c>
      <c r="K72">
        <f t="shared" ca="1" si="29"/>
        <v>1.968503937007874E-2</v>
      </c>
      <c r="L72" s="114"/>
      <c r="N72" s="85">
        <f t="shared" si="35"/>
        <v>44032</v>
      </c>
      <c r="O72" s="122">
        <f t="shared" ca="1" si="42"/>
        <v>0</v>
      </c>
      <c r="P72" s="122">
        <f t="shared" ca="1" si="42"/>
        <v>0</v>
      </c>
      <c r="Q72" s="122">
        <f t="shared" ca="1" si="42"/>
        <v>0</v>
      </c>
      <c r="R72" s="122">
        <f t="shared" ca="1" si="42"/>
        <v>0</v>
      </c>
      <c r="S72" s="122">
        <f t="shared" ca="1" si="42"/>
        <v>0</v>
      </c>
      <c r="T72" s="122">
        <f t="shared" ca="1" si="42"/>
        <v>0</v>
      </c>
      <c r="U72" s="122">
        <f t="shared" ca="1" si="42"/>
        <v>1</v>
      </c>
      <c r="V72" s="122">
        <f t="shared" ca="1" si="42"/>
        <v>0</v>
      </c>
      <c r="W72" s="122">
        <f t="shared" ca="1" si="42"/>
        <v>0</v>
      </c>
      <c r="X72" s="122">
        <f t="shared" ca="1" si="42"/>
        <v>0</v>
      </c>
      <c r="Y72" s="122">
        <f t="shared" ca="1" si="42"/>
        <v>0</v>
      </c>
      <c r="Z72" s="122">
        <f t="shared" ca="1" si="42"/>
        <v>0</v>
      </c>
      <c r="AA72" s="122"/>
      <c r="AB72" s="140">
        <f>INDEX('File 1'!Weekly_Adjusted,30,1)</f>
        <v>388.17143954725253</v>
      </c>
      <c r="AC72" s="140">
        <f>INDEX('File 1'!Weekly_Adjusted,30,2)</f>
        <v>0</v>
      </c>
      <c r="AD72" s="140">
        <f>INDEX('File 1'!Weekly_Adjusted,30,3)</f>
        <v>0</v>
      </c>
      <c r="AE72" s="141">
        <f>INDEX('File 2'!Weekly_Adjusted,30,1)</f>
        <v>0</v>
      </c>
      <c r="AF72" s="141">
        <f>INDEX('File 2'!Weekly_Adjusted,30,2)</f>
        <v>0</v>
      </c>
      <c r="AG72" s="141">
        <f>INDEX('File 2'!Weekly_Adjusted,30,3)</f>
        <v>0</v>
      </c>
      <c r="AH72" s="140">
        <f>INDEX('File 3'!Weekly_Adjusted,30,1)</f>
        <v>0</v>
      </c>
      <c r="AI72" s="140">
        <f>INDEX('File 3'!Weekly_Adjusted,30,2)</f>
        <v>0</v>
      </c>
      <c r="AJ72" s="140">
        <f>INDEX('File 3'!Weekly_Adjusted,30,3)</f>
        <v>0</v>
      </c>
      <c r="AK72" s="141">
        <f>INDEX('File 4'!Weekly_Adjusted,30,1)</f>
        <v>0</v>
      </c>
      <c r="AL72" s="141">
        <f>INDEX('File 4'!Weekly_Adjusted,30,2)</f>
        <v>0</v>
      </c>
      <c r="AM72" s="141">
        <f>INDEX('File 4'!Weekly_Adjusted,30,3)</f>
        <v>0</v>
      </c>
      <c r="AN72" s="140">
        <f>INDEX('File 5'!Weekly_Adjusted,30,1)</f>
        <v>0</v>
      </c>
      <c r="AO72" s="140">
        <f>INDEX('File 5'!Weekly_Adjusted,30,2)</f>
        <v>0</v>
      </c>
      <c r="AP72" s="140">
        <f>INDEX('File 5'!Weekly_Adjusted,30,3)</f>
        <v>0</v>
      </c>
      <c r="AQ72" s="141">
        <f>INDEX('File 6'!Weekly_Adjusted,30,1)</f>
        <v>0</v>
      </c>
      <c r="AR72" s="141">
        <f>INDEX('File 6'!Weekly_Adjusted,30,2)</f>
        <v>0</v>
      </c>
      <c r="AS72" s="141">
        <f>INDEX('File 6'!Weekly_Adjusted,30,3)</f>
        <v>0</v>
      </c>
      <c r="AT72" s="140">
        <f>INDEX('File 7'!Weekly_Adjusted,30,1)</f>
        <v>0</v>
      </c>
      <c r="AU72" s="140">
        <f>INDEX('File 7'!Weekly_Adjusted,30,2)</f>
        <v>0</v>
      </c>
      <c r="AV72" s="140">
        <f>INDEX('File 7'!Weekly_Adjusted,30,3)</f>
        <v>0</v>
      </c>
      <c r="AW72" s="141">
        <f>INDEX('File 8'!Weekly_Adjusted,30,1)</f>
        <v>0</v>
      </c>
      <c r="AX72" s="141">
        <f>INDEX('File 8'!Weekly_Adjusted,30,2)</f>
        <v>0</v>
      </c>
      <c r="AY72" s="141">
        <f>INDEX('File 8'!Weekly_Adjusted,30,3)</f>
        <v>0</v>
      </c>
      <c r="AZ72" s="140">
        <f>INDEX('File 9'!Weekly_Adjusted,30,1)</f>
        <v>0</v>
      </c>
      <c r="BA72" s="140">
        <f>INDEX('File 9'!Weekly_Adjusted,30,2)</f>
        <v>0</v>
      </c>
      <c r="BB72" s="140">
        <f>INDEX('File 9'!Weekly_Adjusted,30,3)</f>
        <v>0</v>
      </c>
      <c r="BC72" s="141">
        <f>INDEX('File 10'!Weekly_Adjusted,30,1)</f>
        <v>0</v>
      </c>
      <c r="BD72" s="141">
        <f>INDEX('File 10'!Weekly_Adjusted,30,2)</f>
        <v>0</v>
      </c>
      <c r="BE72" s="141">
        <f>INDEX('File 10'!Weekly_Adjusted,30,3)</f>
        <v>0</v>
      </c>
      <c r="BF72" s="140">
        <f>INDEX('File 11'!Weekly_Adjusted,30,1)</f>
        <v>0</v>
      </c>
      <c r="BG72" s="140">
        <f>INDEX('File 11'!Weekly_Adjusted,30,2)</f>
        <v>0</v>
      </c>
      <c r="BH72" s="140">
        <f>INDEX('File 11'!Weekly_Adjusted,30,3)</f>
        <v>0</v>
      </c>
      <c r="BI72" s="141">
        <f>INDEX('File 12'!Weekly_Adjusted,30,1)</f>
        <v>0</v>
      </c>
      <c r="BJ72" s="141">
        <f>INDEX('File 12'!Weekly_Adjusted,30,2)</f>
        <v>0</v>
      </c>
      <c r="BK72" s="141">
        <f>INDEX('File 12'!Weekly_Adjusted,30,3)</f>
        <v>0</v>
      </c>
      <c r="BL72" s="140">
        <f>INDEX('File 13'!Weekly_Adjusted,30,1)</f>
        <v>0</v>
      </c>
      <c r="BM72" s="140">
        <f>INDEX('File 13'!Weekly_Adjusted,30,2)</f>
        <v>0</v>
      </c>
      <c r="BN72" s="140">
        <f>INDEX('File 13'!Weekly_Adjusted,30,3)</f>
        <v>0</v>
      </c>
      <c r="BO72" s="141">
        <f>INDEX('File 14'!Weekly_Adjusted,30,1)</f>
        <v>0</v>
      </c>
      <c r="BP72" s="141">
        <f>INDEX('File 14'!Weekly_Adjusted,30,2)</f>
        <v>0</v>
      </c>
      <c r="BQ72" s="141">
        <f>INDEX('File 14'!Weekly_Adjusted,30,3)</f>
        <v>0</v>
      </c>
      <c r="BR72" s="140">
        <f>INDEX('File 15'!Weekly_Adjusted,30,1)</f>
        <v>0</v>
      </c>
      <c r="BS72" s="140">
        <f>INDEX('File 15'!Weekly_Adjusted,30,2)</f>
        <v>0</v>
      </c>
      <c r="BT72" s="140">
        <f>INDEX('File 15'!Weekly_Adjusted,30,3)</f>
        <v>0</v>
      </c>
      <c r="BU72" s="141">
        <f>INDEX('File 16'!Weekly_Adjusted,30,1)</f>
        <v>0</v>
      </c>
      <c r="BV72" s="141">
        <f>INDEX('File 16'!Weekly_Adjusted,30,2)</f>
        <v>0</v>
      </c>
      <c r="BW72" s="141">
        <f>INDEX('File 16'!Weekly_Adjusted,30,3)</f>
        <v>0</v>
      </c>
      <c r="BX72" s="140">
        <f>INDEX('File 17'!Weekly_Adjusted,30,1)</f>
        <v>0</v>
      </c>
      <c r="BY72" s="140">
        <f>INDEX('File 17'!Weekly_Adjusted,30,2)</f>
        <v>0</v>
      </c>
      <c r="BZ72" s="140">
        <f>INDEX('File 17'!Weekly_Adjusted,30,3)</f>
        <v>0</v>
      </c>
      <c r="CA72" s="141">
        <f>INDEX('File 18'!Weekly_Adjusted,30,1)</f>
        <v>0</v>
      </c>
      <c r="CB72" s="141">
        <f>INDEX('File 18'!Weekly_Adjusted,30,2)</f>
        <v>0</v>
      </c>
      <c r="CC72" s="141">
        <f>INDEX('File 18'!Weekly_Adjusted,30,3)</f>
        <v>0</v>
      </c>
      <c r="CD72" s="140">
        <f>INDEX('File 19'!Weekly_Adjusted,30,1)</f>
        <v>0</v>
      </c>
      <c r="CE72" s="140">
        <f>INDEX('File 19'!Weekly_Adjusted,30,2)</f>
        <v>0</v>
      </c>
      <c r="CF72" s="140">
        <f>INDEX('File 19'!Weekly_Adjusted,30,3)</f>
        <v>0</v>
      </c>
      <c r="CG72" s="141">
        <f>INDEX('File 20'!Weekly_Adjusted,30,1)</f>
        <v>0</v>
      </c>
      <c r="CH72" s="141">
        <f>INDEX('File 20'!Weekly_Adjusted,30,2)</f>
        <v>0</v>
      </c>
      <c r="CI72" s="141">
        <f>INDEX('File 20'!Weekly_Adjusted,30,3)</f>
        <v>0</v>
      </c>
      <c r="CJ72" s="6">
        <f ca="1">SUMIFS(INDEX(Demand_Activity_Weekly,ROW(A30),0),Demand_Activity_Weekly_Header,CJ$42)</f>
        <v>388.17143954725253</v>
      </c>
      <c r="CK72" s="6">
        <f ca="1">SUMIFS(INDEX(Demand_Activity_Weekly,ROW(B30),0),Demand_Activity_Weekly_Header,CK$42)</f>
        <v>0</v>
      </c>
      <c r="CL72" s="6">
        <f ca="1">SUMIFS(INDEX(Demand_Activity_Weekly,ROW(C30),0),Demand_Activity_Weekly_Header,CL$42)</f>
        <v>0</v>
      </c>
      <c r="CM72" s="6">
        <f ca="1">SUMIFS(INDEX(Demand_Activity_Weekly,ROW(D30),0),Demand_Activity_Weekly_Header,CM$42)</f>
        <v>0</v>
      </c>
      <c r="CN72" s="6">
        <f ca="1">SUMIFS(INDEX(Demand_Activity_Weekly,ROW(E30),0),Demand_Activity_Weekly_Header,CN$42)</f>
        <v>0</v>
      </c>
      <c r="CP72" s="142">
        <f>INDEX('File 1'!Weekly_Adjusted,30,10)</f>
        <v>24.344712210866053</v>
      </c>
      <c r="CQ72" s="142">
        <f>INDEX('File 1'!Weekly_Adjusted,30,11)</f>
        <v>0</v>
      </c>
      <c r="CR72" s="142">
        <f>INDEX('File 1'!Weekly_Adjusted,30,12)</f>
        <v>0</v>
      </c>
      <c r="CS72" s="143">
        <f>INDEX('File 2'!Weekly_Adjusted,30,10)</f>
        <v>0</v>
      </c>
      <c r="CT72" s="143">
        <f>INDEX('File 2'!Weekly_Adjusted,30,11)</f>
        <v>0</v>
      </c>
      <c r="CU72" s="143">
        <f>INDEX('File 2'!Weekly_Adjusted,30,12)</f>
        <v>0</v>
      </c>
      <c r="CV72" s="142">
        <f>INDEX('File 3'!Weekly_Adjusted,30,10)</f>
        <v>0</v>
      </c>
      <c r="CW72" s="142">
        <f>INDEX('File 3'!Weekly_Adjusted,30,11)</f>
        <v>0</v>
      </c>
      <c r="CX72" s="142">
        <f>INDEX('File 3'!Weekly_Adjusted,30,12)</f>
        <v>0</v>
      </c>
      <c r="CY72" s="143">
        <f>INDEX('File 4'!Weekly_Adjusted,30,10)</f>
        <v>0</v>
      </c>
      <c r="CZ72" s="143">
        <f>INDEX('File 4'!Weekly_Adjusted,30,11)</f>
        <v>0</v>
      </c>
      <c r="DA72" s="143">
        <f>INDEX('File 4'!Weekly_Adjusted,30,12)</f>
        <v>0</v>
      </c>
      <c r="DB72" s="142">
        <f>INDEX('File 5'!Weekly_Adjusted,30,10)</f>
        <v>0</v>
      </c>
      <c r="DC72" s="142">
        <f>INDEX('File 5'!Weekly_Adjusted,30,11)</f>
        <v>0</v>
      </c>
      <c r="DD72" s="142">
        <f>INDEX('File 5'!Weekly_Adjusted,30,12)</f>
        <v>0</v>
      </c>
      <c r="DE72" s="143">
        <f>INDEX('File 6'!Weekly_Adjusted,30,10)</f>
        <v>0</v>
      </c>
      <c r="DF72" s="143">
        <f>INDEX('File 6'!Weekly_Adjusted,30,11)</f>
        <v>0</v>
      </c>
      <c r="DG72" s="143">
        <f>INDEX('File 6'!Weekly_Adjusted,30,12)</f>
        <v>0</v>
      </c>
      <c r="DH72" s="142">
        <f>INDEX('File 7'!Weekly_Adjusted,30,10)</f>
        <v>0</v>
      </c>
      <c r="DI72" s="142">
        <f>INDEX('File 7'!Weekly_Adjusted,30,11)</f>
        <v>0</v>
      </c>
      <c r="DJ72" s="142">
        <f>INDEX('File 7'!Weekly_Adjusted,30,12)</f>
        <v>0</v>
      </c>
      <c r="DK72" s="143">
        <f>INDEX('File 8'!Weekly_Adjusted,30,10)</f>
        <v>0</v>
      </c>
      <c r="DL72" s="143">
        <f>INDEX('File 8'!Weekly_Adjusted,30,11)</f>
        <v>0</v>
      </c>
      <c r="DM72" s="143">
        <f>INDEX('File 8'!Weekly_Adjusted,30,12)</f>
        <v>0</v>
      </c>
      <c r="DN72" s="142">
        <f>INDEX('File 9'!Weekly_Adjusted,30,10)</f>
        <v>0</v>
      </c>
      <c r="DO72" s="142">
        <f>INDEX('File 9'!Weekly_Adjusted,30,11)</f>
        <v>0</v>
      </c>
      <c r="DP72" s="142">
        <f>INDEX('File 9'!Weekly_Adjusted,30,12)</f>
        <v>0</v>
      </c>
      <c r="DQ72" s="143">
        <f>INDEX('File 10'!Weekly_Adjusted,30,10)</f>
        <v>0</v>
      </c>
      <c r="DR72" s="143">
        <f>INDEX('File 10'!Weekly_Adjusted,30,11)</f>
        <v>0</v>
      </c>
      <c r="DS72" s="143">
        <f>INDEX('File 10'!Weekly_Adjusted,30,12)</f>
        <v>0</v>
      </c>
      <c r="DT72" s="142">
        <f>INDEX('File 11'!Weekly_Adjusted,30,10)</f>
        <v>0</v>
      </c>
      <c r="DU72" s="142">
        <f>INDEX('File 11'!Weekly_Adjusted,30,11)</f>
        <v>0</v>
      </c>
      <c r="DV72" s="142">
        <f>INDEX('File 11'!Weekly_Adjusted,30,12)</f>
        <v>0</v>
      </c>
      <c r="DW72" s="143">
        <f>INDEX('File 12'!Weekly_Adjusted,30,10)</f>
        <v>0</v>
      </c>
      <c r="DX72" s="143">
        <f>INDEX('File 12'!Weekly_Adjusted,30,11)</f>
        <v>0</v>
      </c>
      <c r="DY72" s="143">
        <f>INDEX('File 12'!Weekly_Adjusted,30,12)</f>
        <v>0</v>
      </c>
      <c r="DZ72" s="142">
        <f>INDEX('File 13'!Weekly_Adjusted,30,10)</f>
        <v>0</v>
      </c>
      <c r="EA72" s="142">
        <f>INDEX('File 13'!Weekly_Adjusted,30,11)</f>
        <v>0</v>
      </c>
      <c r="EB72" s="142">
        <f>INDEX('File 13'!Weekly_Adjusted,30,12)</f>
        <v>0</v>
      </c>
      <c r="EC72" s="143">
        <f>INDEX('File 14'!Weekly_Adjusted,30,10)</f>
        <v>0</v>
      </c>
      <c r="ED72" s="143">
        <f>INDEX('File 14'!Weekly_Adjusted,30,11)</f>
        <v>0</v>
      </c>
      <c r="EE72" s="143">
        <f>INDEX('File 14'!Weekly_Adjusted,30,12)</f>
        <v>0</v>
      </c>
      <c r="EF72" s="142">
        <f>INDEX('File 15'!Weekly_Adjusted,30,10)</f>
        <v>0</v>
      </c>
      <c r="EG72" s="142">
        <f>INDEX('File 15'!Weekly_Adjusted,30,11)</f>
        <v>0</v>
      </c>
      <c r="EH72" s="142">
        <f>INDEX('File 15'!Weekly_Adjusted,30,12)</f>
        <v>0</v>
      </c>
      <c r="EI72" s="143">
        <f>INDEX('File 16'!Weekly_Adjusted,30,10)</f>
        <v>0</v>
      </c>
      <c r="EJ72" s="143">
        <f>INDEX('File 16'!Weekly_Adjusted,30,11)</f>
        <v>0</v>
      </c>
      <c r="EK72" s="143">
        <f>INDEX('File 16'!Weekly_Adjusted,30,12)</f>
        <v>0</v>
      </c>
      <c r="EL72" s="142">
        <f>INDEX('File 17'!Weekly_Adjusted,30,10)</f>
        <v>0</v>
      </c>
      <c r="EM72" s="142">
        <f>INDEX('File 17'!Weekly_Adjusted,30,11)</f>
        <v>0</v>
      </c>
      <c r="EN72" s="142">
        <f>INDEX('File 17'!Weekly_Adjusted,30,12)</f>
        <v>0</v>
      </c>
      <c r="EO72" s="143">
        <f>INDEX('File 18'!Weekly_Adjusted,30,10)</f>
        <v>0</v>
      </c>
      <c r="EP72" s="143">
        <f>INDEX('File 18'!Weekly_Adjusted,30,11)</f>
        <v>0</v>
      </c>
      <c r="EQ72" s="143">
        <f>INDEX('File 18'!Weekly_Adjusted,30,12)</f>
        <v>0</v>
      </c>
      <c r="ER72" s="142">
        <f>INDEX('File 19'!Weekly_Adjusted,30,10)</f>
        <v>0</v>
      </c>
      <c r="ES72" s="142">
        <f>INDEX('File 19'!Weekly_Adjusted,30,11)</f>
        <v>0</v>
      </c>
      <c r="ET72" s="142">
        <f>INDEX('File 19'!Weekly_Adjusted,30,12)</f>
        <v>0</v>
      </c>
      <c r="EU72" s="143">
        <f>INDEX('File 20'!Weekly_Adjusted,30,10)</f>
        <v>0</v>
      </c>
      <c r="EV72" s="143">
        <f>INDEX('File 20'!Weekly_Adjusted,30,11)</f>
        <v>0</v>
      </c>
      <c r="EW72" s="143">
        <f>INDEX('File 20'!Weekly_Adjusted,30,12)</f>
        <v>0</v>
      </c>
      <c r="EX72" s="6">
        <f ca="1">SUMIFS(INDEX(Capacity_Activity_Weekly,ROW(A30),0),Demand_Activity_Weekly_Header,CJ$42)</f>
        <v>24.344712210866053</v>
      </c>
      <c r="EY72" s="6">
        <f ca="1">SUMIFS(INDEX(Capacity_Activity_Weekly,ROW(B30),0),Demand_Activity_Weekly_Header,CK$42)</f>
        <v>0</v>
      </c>
      <c r="EZ72" s="6">
        <f ca="1">SUMIFS(INDEX(Capacity_Activity_Weekly,ROW(C30),0),Demand_Activity_Weekly_Header,CL$42)</f>
        <v>0</v>
      </c>
      <c r="FA72" s="6">
        <f ca="1">SUMIFS(INDEX(Capacity_Activity_Weekly,ROW(D30),0),Demand_Activity_Weekly_Header,CM$42)</f>
        <v>0</v>
      </c>
      <c r="FB72" s="6">
        <f ca="1">SUMIFS(INDEX(Capacity_Activity_Weekly,ROW(E30),0),Demand_Activity_Weekly_Header,CN$42)</f>
        <v>0</v>
      </c>
      <c r="FD72" s="7">
        <f>'File 1'!$Q$54*'Time based aggregation (hide)'!$Q34</f>
        <v>0</v>
      </c>
      <c r="FE72" s="7">
        <f>'File 1'!$R$54*'Time based aggregation (hide)'!$R34</f>
        <v>0</v>
      </c>
      <c r="FF72" s="7">
        <f>'File 1'!$S$54*'Time based aggregation (hide)'!$S34</f>
        <v>0</v>
      </c>
      <c r="FG72" s="7">
        <f>'File 2'!$Q$54*'Time based aggregation (hide)'!$T34</f>
        <v>0</v>
      </c>
      <c r="FH72" s="7">
        <f>'File 2'!$R$54*'Time based aggregation (hide)'!$U34</f>
        <v>0</v>
      </c>
      <c r="FI72" s="7">
        <f>'File 2'!$S$54*'Time based aggregation (hide)'!$V34</f>
        <v>0</v>
      </c>
      <c r="FJ72" s="7">
        <f>'File 3'!$Q$54*'Time based aggregation (hide)'!$W34</f>
        <v>0</v>
      </c>
      <c r="FK72" s="7">
        <f>'File 3'!$R$54*'Time based aggregation (hide)'!$X34</f>
        <v>0</v>
      </c>
      <c r="FL72" s="7">
        <f>'File 3'!$S$54*'Time based aggregation (hide)'!$Y34</f>
        <v>0</v>
      </c>
      <c r="FM72" s="7">
        <f>'File 4'!$Q$54*'Time based aggregation (hide)'!$Z34</f>
        <v>0</v>
      </c>
      <c r="FN72" s="7">
        <f>'File 4'!$R$54*'Time based aggregation (hide)'!$AA34</f>
        <v>0</v>
      </c>
      <c r="FO72" s="7">
        <f>'File 4'!$S$54*'Time based aggregation (hide)'!$AB34</f>
        <v>0</v>
      </c>
      <c r="FP72" s="7">
        <f>'File 5'!$Q$54*'Time based aggregation (hide)'!$AC34</f>
        <v>0</v>
      </c>
      <c r="FQ72" s="7">
        <f>'File 5'!$R$54*'Time based aggregation (hide)'!$AD34</f>
        <v>0</v>
      </c>
      <c r="FR72" s="7">
        <f>'File 5'!$S$54*'Time based aggregation (hide)'!$AE34</f>
        <v>0</v>
      </c>
      <c r="FS72" s="7">
        <f>'File 6'!$Q$54*'Time based aggregation (hide)'!$AF34</f>
        <v>0</v>
      </c>
      <c r="FT72" s="7">
        <f>'File 6'!$R$54*'Time based aggregation (hide)'!$AG34</f>
        <v>0</v>
      </c>
      <c r="FU72" s="7">
        <f>'File 6'!$S$54*'Time based aggregation (hide)'!$AH34</f>
        <v>0</v>
      </c>
      <c r="FV72" s="7">
        <f>'File 7'!$Q$54*'Time based aggregation (hide)'!$AI34</f>
        <v>0</v>
      </c>
      <c r="FW72" s="7">
        <f>'File 7'!$R$54*'Time based aggregation (hide)'!$AJ34</f>
        <v>0</v>
      </c>
      <c r="FX72" s="7">
        <f>'File 7'!$S$54*'Time based aggregation (hide)'!$AK34</f>
        <v>0</v>
      </c>
      <c r="FY72" s="7">
        <f>'File 8'!$Q$54*'Time based aggregation (hide)'!$AL34</f>
        <v>0</v>
      </c>
      <c r="FZ72" s="7">
        <f>'File 8'!$R$54*'Time based aggregation (hide)'!$AM34</f>
        <v>0</v>
      </c>
      <c r="GA72" s="7">
        <f>'File 8'!$S$54*'Time based aggregation (hide)'!$AN34</f>
        <v>0</v>
      </c>
      <c r="GB72" s="7">
        <f>'File 9'!$Q$54*'Time based aggregation (hide)'!$AO34</f>
        <v>0</v>
      </c>
      <c r="GC72" s="7">
        <f>'File 9'!$R$54*'Time based aggregation (hide)'!$AP34</f>
        <v>0</v>
      </c>
      <c r="GD72" s="7">
        <f>'File 9'!$S$54*'Time based aggregation (hide)'!$AQ34</f>
        <v>0</v>
      </c>
      <c r="GE72" s="7">
        <f>'File 10'!$Q$54*'Time based aggregation (hide)'!$AR34</f>
        <v>0</v>
      </c>
      <c r="GF72" s="7">
        <f>'File 10'!$R$54*'Time based aggregation (hide)'!$AS34</f>
        <v>0</v>
      </c>
      <c r="GG72" s="7">
        <f>'File 10'!$S$54*'Time based aggregation (hide)'!$AT34</f>
        <v>0</v>
      </c>
      <c r="GH72" s="7">
        <f>'File 11'!$Q$54*'Time based aggregation (hide)'!$AU34</f>
        <v>0</v>
      </c>
      <c r="GI72" s="7">
        <f>'File 11'!$R$54*'Time based aggregation (hide)'!$AV34</f>
        <v>0</v>
      </c>
      <c r="GJ72" s="7">
        <f>'File 11'!$S$54*'Time based aggregation (hide)'!$AW34</f>
        <v>0</v>
      </c>
      <c r="GK72" s="7">
        <f>'File 12'!$Q$54*'Time based aggregation (hide)'!$AX34</f>
        <v>0</v>
      </c>
      <c r="GL72" s="7">
        <f>'File 12'!$R$54*'Time based aggregation (hide)'!$AY34</f>
        <v>0</v>
      </c>
      <c r="GM72" s="7">
        <f>'File 12'!$S$54*'Time based aggregation (hide)'!$AZ34</f>
        <v>0</v>
      </c>
      <c r="GN72" s="7">
        <f>'File 13'!$Q$54*'Time based aggregation (hide)'!$BA34</f>
        <v>0</v>
      </c>
      <c r="GO72" s="7">
        <f>'File 13'!$R$54*'Time based aggregation (hide)'!$BB34</f>
        <v>0</v>
      </c>
      <c r="GP72" s="7">
        <f>'File 13'!$S$54*'Time based aggregation (hide)'!$BC34</f>
        <v>0</v>
      </c>
      <c r="GQ72" s="7">
        <f>'File 14'!$Q$54*'Time based aggregation (hide)'!$BD34</f>
        <v>0</v>
      </c>
      <c r="GR72" s="7">
        <f>'File 14'!$R$54*'Time based aggregation (hide)'!$BE34</f>
        <v>0</v>
      </c>
      <c r="GS72" s="7">
        <f>'File 14'!$S$54*'Time based aggregation (hide)'!$BF34</f>
        <v>0</v>
      </c>
      <c r="GT72" s="7">
        <f>'File 15'!$Q$54*'Time based aggregation (hide)'!$BG34</f>
        <v>0</v>
      </c>
      <c r="GU72" s="7">
        <f>'File 15'!$R$54*'Time based aggregation (hide)'!$BH34</f>
        <v>0</v>
      </c>
      <c r="GV72" s="7">
        <f>'File 15'!$S$54*'Time based aggregation (hide)'!$BI34</f>
        <v>0</v>
      </c>
      <c r="GW72" s="7">
        <f>'File 16'!$Q$54*'Time based aggregation (hide)'!$BJ34</f>
        <v>0</v>
      </c>
      <c r="GX72" s="7">
        <f>'File 16'!$R$54*'Time based aggregation (hide)'!$BK34</f>
        <v>0</v>
      </c>
      <c r="GY72" s="7">
        <f>'File 16'!$S$54*'Time based aggregation (hide)'!$BL34</f>
        <v>0</v>
      </c>
      <c r="GZ72" s="7">
        <f>'File 17'!$Q$54*'Time based aggregation (hide)'!$BM34</f>
        <v>0</v>
      </c>
      <c r="HA72" s="7">
        <f>'File 17'!$R$54*'Time based aggregation (hide)'!$BN34</f>
        <v>0</v>
      </c>
      <c r="HB72" s="7">
        <f>'File 17'!$S$54*'Time based aggregation (hide)'!$BO34</f>
        <v>0</v>
      </c>
      <c r="HC72" s="7">
        <f>'File 18'!$Q$54*'Time based aggregation (hide)'!$BP34</f>
        <v>0</v>
      </c>
      <c r="HD72" s="7">
        <f>'File 18'!$R$54*'Time based aggregation (hide)'!$BQ34</f>
        <v>0</v>
      </c>
      <c r="HE72" s="7">
        <f>'File 18'!$S$54*'Time based aggregation (hide)'!$BR34</f>
        <v>0</v>
      </c>
      <c r="HF72" s="7">
        <f>'File 19'!$Q$54*'Time based aggregation (hide)'!$BS34</f>
        <v>0</v>
      </c>
      <c r="HG72" s="7">
        <f>'File 19'!$R$54*'Time based aggregation (hide)'!$BT34</f>
        <v>0</v>
      </c>
      <c r="HH72" s="7">
        <f>'File 19'!$S$54*'Time based aggregation (hide)'!$BU34</f>
        <v>0</v>
      </c>
      <c r="HI72" s="7">
        <f>'File 20'!$Q$54*'Time based aggregation (hide)'!$BV34</f>
        <v>0</v>
      </c>
      <c r="HJ72" s="7">
        <f>'File 20'!$R$54*'Time based aggregation (hide)'!$BW34</f>
        <v>0</v>
      </c>
      <c r="HK72" s="7">
        <f>'File 20'!$S$54*'Time based aggregation (hide)'!$BX34</f>
        <v>0</v>
      </c>
      <c r="HL72" s="7">
        <f t="shared" ca="1" si="43"/>
        <v>0</v>
      </c>
      <c r="HM72" s="7">
        <f t="shared" ca="1" si="43"/>
        <v>0</v>
      </c>
      <c r="HN72" s="7">
        <f t="shared" ca="1" si="43"/>
        <v>0</v>
      </c>
      <c r="HO72" s="7">
        <f t="shared" ca="1" si="43"/>
        <v>0</v>
      </c>
      <c r="HP72" s="7">
        <f t="shared" ca="1" si="43"/>
        <v>0</v>
      </c>
      <c r="HR72" s="142">
        <f>INDEX('File 1'!Weekly_Adjusted,30,16)</f>
        <v>20.933351264120493</v>
      </c>
      <c r="HS72" s="142">
        <f>INDEX('File 1'!Weekly_Adjusted,30,17)</f>
        <v>0</v>
      </c>
      <c r="HT72" s="142">
        <f>INDEX('File 1'!Weekly_Adjusted,30,18)</f>
        <v>0</v>
      </c>
      <c r="HU72" s="143">
        <f>INDEX('File 2'!Weekly_Adjusted,30,16)</f>
        <v>0</v>
      </c>
      <c r="HV72" s="143">
        <f>INDEX('File 2'!Weekly_Adjusted,30,17)</f>
        <v>0</v>
      </c>
      <c r="HW72" s="143">
        <f>INDEX('File 2'!Weekly_Adjusted,30,18)</f>
        <v>0</v>
      </c>
      <c r="HX72" s="142">
        <f>INDEX('File 3'!Weekly_Adjusted,30,16)</f>
        <v>0</v>
      </c>
      <c r="HY72" s="142">
        <f>INDEX('File 3'!Weekly_Adjusted,30,17)</f>
        <v>0</v>
      </c>
      <c r="HZ72" s="142">
        <f>INDEX('File 3'!Weekly_Adjusted,30,18)</f>
        <v>0</v>
      </c>
      <c r="IA72" s="143">
        <f>INDEX('File 4'!Weekly_Adjusted,30,16)</f>
        <v>0</v>
      </c>
      <c r="IB72" s="143">
        <f>INDEX('File 4'!Weekly_Adjusted,30,17)</f>
        <v>0</v>
      </c>
      <c r="IC72" s="143">
        <f>INDEX('File 4'!Weekly_Adjusted,30,18)</f>
        <v>0</v>
      </c>
      <c r="ID72" s="142">
        <f>INDEX('File 5'!Weekly_Adjusted,30,16)</f>
        <v>0</v>
      </c>
      <c r="IE72" s="142">
        <f>INDEX('File 5'!Weekly_Adjusted,30,17)</f>
        <v>0</v>
      </c>
      <c r="IF72" s="142">
        <f>INDEX('File 5'!Weekly_Adjusted,30,18)</f>
        <v>0</v>
      </c>
      <c r="IG72" s="143">
        <f>INDEX('File 6'!Weekly_Adjusted,30,16)</f>
        <v>0</v>
      </c>
      <c r="IH72" s="143">
        <f>INDEX('File 6'!Weekly_Adjusted,30,17)</f>
        <v>0</v>
      </c>
      <c r="II72" s="143">
        <f>INDEX('File 6'!Weekly_Adjusted,30,18)</f>
        <v>0</v>
      </c>
      <c r="IJ72" s="142">
        <f>INDEX('File 7'!Weekly_Adjusted,30,16)</f>
        <v>0</v>
      </c>
      <c r="IK72" s="142">
        <f>INDEX('File 7'!Weekly_Adjusted,30,17)</f>
        <v>0</v>
      </c>
      <c r="IL72" s="142">
        <f>INDEX('File 7'!Weekly_Adjusted,30,18)</f>
        <v>0</v>
      </c>
      <c r="IM72" s="143">
        <f>INDEX('File 8'!Weekly_Adjusted,30,16)</f>
        <v>0</v>
      </c>
      <c r="IN72" s="143">
        <f>INDEX('File 8'!Weekly_Adjusted,30,17)</f>
        <v>0</v>
      </c>
      <c r="IO72" s="143">
        <f>INDEX('File 8'!Weekly_Adjusted,30,18)</f>
        <v>0</v>
      </c>
      <c r="IP72" s="142">
        <f>INDEX('File 9'!Weekly_Adjusted,30,16)</f>
        <v>0</v>
      </c>
      <c r="IQ72" s="142">
        <f>INDEX('File 9'!Weekly_Adjusted,30,17)</f>
        <v>0</v>
      </c>
      <c r="IR72" s="142">
        <f>INDEX('File 9'!Weekly_Adjusted,30,18)</f>
        <v>0</v>
      </c>
      <c r="IS72" s="143">
        <f>INDEX('File 10'!Weekly_Adjusted,30,16)</f>
        <v>0</v>
      </c>
      <c r="IT72" s="143">
        <f>INDEX('File 10'!Weekly_Adjusted,30,17)</f>
        <v>0</v>
      </c>
      <c r="IU72" s="143">
        <f>INDEX('File 10'!Weekly_Adjusted,30,18)</f>
        <v>0</v>
      </c>
      <c r="IV72" s="142">
        <f>INDEX('File 11'!Weekly_Adjusted,30,16)</f>
        <v>0</v>
      </c>
      <c r="IW72" s="142">
        <f>INDEX('File 11'!Weekly_Adjusted,30,17)</f>
        <v>0</v>
      </c>
      <c r="IX72" s="142">
        <f>INDEX('File 11'!Weekly_Adjusted,30,18)</f>
        <v>0</v>
      </c>
      <c r="IY72" s="143">
        <f>INDEX('File 12'!Weekly_Adjusted,30,16)</f>
        <v>0</v>
      </c>
      <c r="IZ72" s="143">
        <f>INDEX('File 12'!Weekly_Adjusted,30,17)</f>
        <v>0</v>
      </c>
      <c r="JA72" s="143">
        <f>INDEX('File 12'!Weekly_Adjusted,30,18)</f>
        <v>0</v>
      </c>
      <c r="JB72" s="142">
        <f>INDEX('File 13'!Weekly_Adjusted,30,16)</f>
        <v>0</v>
      </c>
      <c r="JC72" s="142">
        <f>INDEX('File 13'!Weekly_Adjusted,30,17)</f>
        <v>0</v>
      </c>
      <c r="JD72" s="142">
        <f>INDEX('File 13'!Weekly_Adjusted,30,18)</f>
        <v>0</v>
      </c>
      <c r="JE72" s="143">
        <f>INDEX('File 14'!Weekly_Adjusted,30,16)</f>
        <v>0</v>
      </c>
      <c r="JF72" s="143">
        <f>INDEX('File 14'!Weekly_Adjusted,30,17)</f>
        <v>0</v>
      </c>
      <c r="JG72" s="143">
        <f>INDEX('File 14'!Weekly_Adjusted,30,18)</f>
        <v>0</v>
      </c>
      <c r="JH72" s="142">
        <f>INDEX('File 15'!Weekly_Adjusted,30,16)</f>
        <v>0</v>
      </c>
      <c r="JI72" s="142">
        <f>INDEX('File 15'!Weekly_Adjusted,30,17)</f>
        <v>0</v>
      </c>
      <c r="JJ72" s="142">
        <f>INDEX('File 15'!Weekly_Adjusted,30,18)</f>
        <v>0</v>
      </c>
      <c r="JK72" s="143">
        <f>INDEX('File 16'!Weekly_Adjusted,30,16)</f>
        <v>0</v>
      </c>
      <c r="JL72" s="143">
        <f>INDEX('File 16'!Weekly_Adjusted,30,17)</f>
        <v>0</v>
      </c>
      <c r="JM72" s="143">
        <f>INDEX('File 16'!Weekly_Adjusted,30,18)</f>
        <v>0</v>
      </c>
      <c r="JN72" s="142">
        <f>INDEX('File 17'!Weekly_Adjusted,30,16)</f>
        <v>0</v>
      </c>
      <c r="JO72" s="142">
        <f>INDEX('File 17'!Weekly_Adjusted,30,17)</f>
        <v>0</v>
      </c>
      <c r="JP72" s="142">
        <f>INDEX('File 17'!Weekly_Adjusted,30,18)</f>
        <v>0</v>
      </c>
      <c r="JQ72" s="143">
        <f>INDEX('File 18'!Weekly_Adjusted,30,16)</f>
        <v>0</v>
      </c>
      <c r="JR72" s="143">
        <f>INDEX('File 18'!Weekly_Adjusted,30,17)</f>
        <v>0</v>
      </c>
      <c r="JS72" s="143">
        <f>INDEX('File 18'!Weekly_Adjusted,30,18)</f>
        <v>0</v>
      </c>
      <c r="JT72" s="142">
        <f>INDEX('File 19'!Weekly_Adjusted,30,16)</f>
        <v>0</v>
      </c>
      <c r="JU72" s="142">
        <f>INDEX('File 19'!Weekly_Adjusted,30,17)</f>
        <v>0</v>
      </c>
      <c r="JV72" s="142">
        <f>INDEX('File 19'!Weekly_Adjusted,30,18)</f>
        <v>0</v>
      </c>
      <c r="JW72" s="143">
        <f>INDEX('File 20'!Weekly_Adjusted,30,16)</f>
        <v>0</v>
      </c>
      <c r="JX72" s="143">
        <f>INDEX('File 20'!Weekly_Adjusted,30,17)</f>
        <v>0</v>
      </c>
      <c r="JY72" s="143">
        <f>INDEX('File 20'!Weekly_Adjusted,30,18)</f>
        <v>0</v>
      </c>
      <c r="JZ72" s="6">
        <f ca="1">SUMIFS(INDEX(CapacityCore_Activity_Weekly,ROW(EC30),0),Demand_Activity_Weekly_Header,HL$42)</f>
        <v>20.933351264120493</v>
      </c>
      <c r="KA72" s="6">
        <f ca="1">SUMIFS(INDEX(CapacityCore_Activity_Weekly,ROW(ED30),0),Demand_Activity_Weekly_Header,HM$42)</f>
        <v>0</v>
      </c>
      <c r="KB72" s="6">
        <f ca="1">SUMIFS(INDEX(CapacityCore_Activity_Weekly,ROW(EE30),0),Demand_Activity_Weekly_Header,HN$42)</f>
        <v>0</v>
      </c>
      <c r="KC72" s="6">
        <f ca="1">SUMIFS(INDEX(CapacityCore_Activity_Weekly,ROW(EF30),0),Demand_Activity_Weekly_Header,HO$42)</f>
        <v>0</v>
      </c>
      <c r="KD72" s="6">
        <f ca="1">SUMIFS(INDEX(CapacityCore_Activity_Weekly,ROW(EG30),0),Demand_Activity_Weekly_Header,HP$42)</f>
        <v>0</v>
      </c>
      <c r="KF72" s="6">
        <f>SUMIFS('Time based aggregation (hide)'!$J:$J,'Time based aggregation (hide)'!$E:$E,1,'Time based aggregation (hide)'!$F:$F,1,'Time based aggregation (hide)'!$A:$A,ROW(A30))</f>
        <v>0</v>
      </c>
      <c r="KG72" s="6">
        <f>SUMIFS('Time based aggregation (hide)'!$J:$J,'Time based aggregation (hide)'!$E:$E,1,'Time based aggregation (hide)'!$F:$F,2,'Time based aggregation (hide)'!$A:$A,ROW(A30))</f>
        <v>0</v>
      </c>
      <c r="KH72" s="6">
        <f>SUMIFS('Time based aggregation (hide)'!$J:$J,'Time based aggregation (hide)'!$E:$E,1,'Time based aggregation (hide)'!$F:$F,3,'Time based aggregation (hide)'!$A:$A,ROW(A30))</f>
        <v>0</v>
      </c>
      <c r="KI72" s="6">
        <f>SUMIFS('Time based aggregation (hide)'!$J:$J,'Time based aggregation (hide)'!$E:$E,2,'Time based aggregation (hide)'!$F:$F,1,'Time based aggregation (hide)'!$A:$A,ROW(A30))</f>
        <v>0</v>
      </c>
      <c r="KJ72" s="6">
        <f>SUMIFS('Time based aggregation (hide)'!$J:$J,'Time based aggregation (hide)'!$E:$E,2,'Time based aggregation (hide)'!$F:$F,2,'Time based aggregation (hide)'!$A:$A,ROW(A30))</f>
        <v>0</v>
      </c>
      <c r="KK72" s="6">
        <f>SUMIFS('Time based aggregation (hide)'!$J:$J,'Time based aggregation (hide)'!$E:$E,2,'Time based aggregation (hide)'!$F:$F,3,'Time based aggregation (hide)'!$A:$A,ROW(A30))</f>
        <v>0</v>
      </c>
      <c r="KL72" s="6">
        <f>SUMIFS('Time based aggregation (hide)'!$J:$J,'Time based aggregation (hide)'!$E:$E,3,'Time based aggregation (hide)'!$F:$F,1,'Time based aggregation (hide)'!$A:$A,ROW(A30))</f>
        <v>0</v>
      </c>
      <c r="KM72" s="6">
        <f>SUMIFS('Time based aggregation (hide)'!$J:$J,'Time based aggregation (hide)'!$E:$E,3,'Time based aggregation (hide)'!$F:$F,2,'Time based aggregation (hide)'!$A:$A,ROW(A30))</f>
        <v>0</v>
      </c>
      <c r="KN72" s="6">
        <f>SUMIFS('Time based aggregation (hide)'!$J:$J,'Time based aggregation (hide)'!$E:$E,3,'Time based aggregation (hide)'!$F:$F,3,'Time based aggregation (hide)'!$A:$A,ROW(A30))</f>
        <v>0</v>
      </c>
      <c r="KO72" s="6">
        <f>SUMIFS('Time based aggregation (hide)'!$J:$J,'Time based aggregation (hide)'!$E:$E,4,'Time based aggregation (hide)'!$F:$F,1,'Time based aggregation (hide)'!$A:$A,ROW(A30))</f>
        <v>0</v>
      </c>
      <c r="KP72" s="6">
        <f>SUMIFS('Time based aggregation (hide)'!$J:$J,'Time based aggregation (hide)'!$E:$E,4,'Time based aggregation (hide)'!$F:$F,2,'Time based aggregation (hide)'!$A:$A,ROW(A30))</f>
        <v>0</v>
      </c>
      <c r="KQ72" s="6">
        <f>SUMIFS('Time based aggregation (hide)'!$J:$J,'Time based aggregation (hide)'!$E:$E,4,'Time based aggregation (hide)'!$F:$F,3,'Time based aggregation (hide)'!$A:$A,ROW(A30))</f>
        <v>0</v>
      </c>
      <c r="KR72" s="6">
        <f>SUMIFS('Time based aggregation (hide)'!$J:$J,'Time based aggregation (hide)'!$E:$E,5,'Time based aggregation (hide)'!$F:$F,1,'Time based aggregation (hide)'!$A:$A,ROW(A30))</f>
        <v>0</v>
      </c>
      <c r="KS72" s="6">
        <f>SUMIFS('Time based aggregation (hide)'!$J:$J,'Time based aggregation (hide)'!$E:$E,5,'Time based aggregation (hide)'!$F:$F,2,'Time based aggregation (hide)'!$A:$A,ROW(A30))</f>
        <v>0</v>
      </c>
      <c r="KT72" s="6">
        <f>SUMIFS('Time based aggregation (hide)'!$J:$J,'Time based aggregation (hide)'!$E:$E,5,'Time based aggregation (hide)'!$F:$F,3,'Time based aggregation (hide)'!$A:$A,ROW(A30))</f>
        <v>0</v>
      </c>
      <c r="KU72" s="6">
        <f>SUMIFS('Time based aggregation (hide)'!$J:$J,'Time based aggregation (hide)'!$E:$E,6,'Time based aggregation (hide)'!$F:$F,1,'Time based aggregation (hide)'!$A:$A,ROW(A30))</f>
        <v>0</v>
      </c>
      <c r="KV72" s="6">
        <f>SUMIFS('Time based aggregation (hide)'!$J:$J,'Time based aggregation (hide)'!$E:$E,6,'Time based aggregation (hide)'!$F:$F,2,'Time based aggregation (hide)'!$A:$A,ROW(A30))</f>
        <v>0</v>
      </c>
      <c r="KW72" s="6">
        <f>SUMIFS('Time based aggregation (hide)'!$J:$J,'Time based aggregation (hide)'!$E:$E,6,'Time based aggregation (hide)'!$F:$F,3,'Time based aggregation (hide)'!$A:$A,ROW(A30))</f>
        <v>0</v>
      </c>
      <c r="KX72" s="6">
        <f>SUMIFS('Time based aggregation (hide)'!$J:$J,'Time based aggregation (hide)'!$E:$E,7,'Time based aggregation (hide)'!$F:$F,1,'Time based aggregation (hide)'!$A:$A,ROW(A30))</f>
        <v>0</v>
      </c>
      <c r="KY72" s="6">
        <f>SUMIFS('Time based aggregation (hide)'!$J:$J,'Time based aggregation (hide)'!$E:$E,7,'Time based aggregation (hide)'!$F:$F,2,'Time based aggregation (hide)'!$A:$A,ROW(A30))</f>
        <v>0</v>
      </c>
      <c r="KZ72" s="6">
        <f>SUMIFS('Time based aggregation (hide)'!$J:$J,'Time based aggregation (hide)'!$E:$E,7,'Time based aggregation (hide)'!$F:$F,3,'Time based aggregation (hide)'!$A:$A,ROW(A30))</f>
        <v>0</v>
      </c>
      <c r="LA72" s="6">
        <f>SUMIFS('Time based aggregation (hide)'!$J:$J,'Time based aggregation (hide)'!$E:$E,8,'Time based aggregation (hide)'!$F:$F,1,'Time based aggregation (hide)'!$A:$A,ROW(A30))</f>
        <v>0</v>
      </c>
      <c r="LB72" s="6">
        <f>SUMIFS('Time based aggregation (hide)'!$J:$J,'Time based aggregation (hide)'!$E:$E,8,'Time based aggregation (hide)'!$F:$F,2,'Time based aggregation (hide)'!$A:$A,ROW(A30))</f>
        <v>0</v>
      </c>
      <c r="LC72" s="6">
        <f>SUMIFS('Time based aggregation (hide)'!$J:$J,'Time based aggregation (hide)'!$E:$E,8,'Time based aggregation (hide)'!$F:$F,3,'Time based aggregation (hide)'!$A:$A,ROW(A30))</f>
        <v>0</v>
      </c>
      <c r="LD72" s="6">
        <f>SUMIFS('Time based aggregation (hide)'!$J:$J,'Time based aggregation (hide)'!$E:$E,9,'Time based aggregation (hide)'!$F:$F,1,'Time based aggregation (hide)'!$A:$A,ROW(A30))</f>
        <v>0</v>
      </c>
      <c r="LE72" s="6">
        <f>SUMIFS('Time based aggregation (hide)'!$J:$J,'Time based aggregation (hide)'!$E:$E,9,'Time based aggregation (hide)'!$F:$F,2,'Time based aggregation (hide)'!$A:$A,ROW(A30))</f>
        <v>0</v>
      </c>
      <c r="LF72" s="6">
        <f>SUMIFS('Time based aggregation (hide)'!$J:$J,'Time based aggregation (hide)'!$E:$E,9,'Time based aggregation (hide)'!$F:$F,3,'Time based aggregation (hide)'!$A:$A,ROW(A30))</f>
        <v>0</v>
      </c>
      <c r="LG72" s="6">
        <f>SUMIFS('Time based aggregation (hide)'!$J:$J,'Time based aggregation (hide)'!$E:$E,10,'Time based aggregation (hide)'!$F:$F,1,'Time based aggregation (hide)'!$A:$A,ROW(A30))</f>
        <v>0</v>
      </c>
      <c r="LH72" s="6">
        <f>SUMIFS('Time based aggregation (hide)'!$J:$J,'Time based aggregation (hide)'!$E:$E,10,'Time based aggregation (hide)'!$F:$F,2,'Time based aggregation (hide)'!$A:$A,ROW(A30))</f>
        <v>0</v>
      </c>
      <c r="LI72" s="6">
        <f>SUMIFS('Time based aggregation (hide)'!$J:$J,'Time based aggregation (hide)'!$E:$E,10,'Time based aggregation (hide)'!$F:$F,3,'Time based aggregation (hide)'!$A:$A,ROW(A30))</f>
        <v>0</v>
      </c>
      <c r="LJ72" s="6">
        <f>SUMIFS('Time based aggregation (hide)'!$J:$J,'Time based aggregation (hide)'!$E:$E,11,'Time based aggregation (hide)'!$F:$F,1,'Time based aggregation (hide)'!$A:$A,ROW(A30))</f>
        <v>0</v>
      </c>
      <c r="LK72" s="6">
        <f>SUMIFS('Time based aggregation (hide)'!$J:$J,'Time based aggregation (hide)'!$E:$E,11,'Time based aggregation (hide)'!$F:$F,2,'Time based aggregation (hide)'!$A:$A,ROW(A30))</f>
        <v>0</v>
      </c>
      <c r="LL72" s="6">
        <f>SUMIFS('Time based aggregation (hide)'!$J:$J,'Time based aggregation (hide)'!$E:$E,11,'Time based aggregation (hide)'!$F:$F,3,'Time based aggregation (hide)'!$A:$A,ROW(A30))</f>
        <v>0</v>
      </c>
      <c r="LM72" s="6">
        <f>SUMIFS('Time based aggregation (hide)'!$J:$J,'Time based aggregation (hide)'!$E:$E,12,'Time based aggregation (hide)'!$F:$F,1,'Time based aggregation (hide)'!$A:$A,ROW(A30))</f>
        <v>0</v>
      </c>
      <c r="LN72" s="6">
        <f>SUMIFS('Time based aggregation (hide)'!$J:$J,'Time based aggregation (hide)'!$E:$E,12,'Time based aggregation (hide)'!$F:$F,2,'Time based aggregation (hide)'!$A:$A,ROW(A30))</f>
        <v>0</v>
      </c>
      <c r="LO72" s="6">
        <f>SUMIFS('Time based aggregation (hide)'!$J:$J,'Time based aggregation (hide)'!$E:$E,12,'Time based aggregation (hide)'!$F:$F,3,'Time based aggregation (hide)'!$A:$A,ROW(A30))</f>
        <v>0</v>
      </c>
      <c r="LP72" s="6">
        <f>SUMIFS('Time based aggregation (hide)'!$J:$J,'Time based aggregation (hide)'!$E:$E,13,'Time based aggregation (hide)'!$F:$F,1,'Time based aggregation (hide)'!$A:$A,ROW(A30))</f>
        <v>0</v>
      </c>
      <c r="LQ72" s="6">
        <f>SUMIFS('Time based aggregation (hide)'!$J:$J,'Time based aggregation (hide)'!$E:$E,13,'Time based aggregation (hide)'!$F:$F,2,'Time based aggregation (hide)'!$A:$A,ROW(A30))</f>
        <v>0</v>
      </c>
      <c r="LR72" s="6">
        <f>SUMIFS('Time based aggregation (hide)'!$J:$J,'Time based aggregation (hide)'!$E:$E,13,'Time based aggregation (hide)'!$F:$F,3,'Time based aggregation (hide)'!$A:$A,ROW(A30))</f>
        <v>0</v>
      </c>
      <c r="LS72" s="6">
        <f>SUMIFS('Time based aggregation (hide)'!$J:$J,'Time based aggregation (hide)'!$E:$E,14,'Time based aggregation (hide)'!$F:$F,1,'Time based aggregation (hide)'!$A:$A,ROW(A30))</f>
        <v>0</v>
      </c>
      <c r="LT72" s="6">
        <f>SUMIFS('Time based aggregation (hide)'!$J:$J,'Time based aggregation (hide)'!$E:$E,14,'Time based aggregation (hide)'!$F:$F,2,'Time based aggregation (hide)'!$A:$A,ROW(A30))</f>
        <v>0</v>
      </c>
      <c r="LU72" s="6">
        <f>SUMIFS('Time based aggregation (hide)'!$J:$J,'Time based aggregation (hide)'!$E:$E,14,'Time based aggregation (hide)'!$F:$F,3,'Time based aggregation (hide)'!$A:$A,ROW(A30))</f>
        <v>0</v>
      </c>
      <c r="LV72" s="6">
        <f>SUMIFS('Time based aggregation (hide)'!$J:$J,'Time based aggregation (hide)'!$E:$E,15,'Time based aggregation (hide)'!$F:$F,1,'Time based aggregation (hide)'!$A:$A,ROW(A30))</f>
        <v>0</v>
      </c>
      <c r="LW72" s="6">
        <f>SUMIFS('Time based aggregation (hide)'!$J:$J,'Time based aggregation (hide)'!$E:$E,15,'Time based aggregation (hide)'!$F:$F,2,'Time based aggregation (hide)'!$A:$A,ROW(A30))</f>
        <v>0</v>
      </c>
      <c r="LX72" s="6">
        <f>SUMIFS('Time based aggregation (hide)'!$J:$J,'Time based aggregation (hide)'!$E:$E,15,'Time based aggregation (hide)'!$F:$F,3,'Time based aggregation (hide)'!$A:$A,ROW(A30))</f>
        <v>0</v>
      </c>
      <c r="LY72" s="6">
        <f>SUMIFS('Time based aggregation (hide)'!$J:$J,'Time based aggregation (hide)'!$E:$E,16,'Time based aggregation (hide)'!$F:$F,1,'Time based aggregation (hide)'!$A:$A,ROW(A30))</f>
        <v>0</v>
      </c>
      <c r="LZ72" s="6">
        <f>SUMIFS('Time based aggregation (hide)'!$J:$J,'Time based aggregation (hide)'!$E:$E,16,'Time based aggregation (hide)'!$F:$F,2,'Time based aggregation (hide)'!$A:$A,ROW(A30))</f>
        <v>0</v>
      </c>
      <c r="MA72" s="6">
        <f>SUMIFS('Time based aggregation (hide)'!$J:$J,'Time based aggregation (hide)'!$E:$E,16,'Time based aggregation (hide)'!$F:$F,3,'Time based aggregation (hide)'!$A:$A,ROW(A30))</f>
        <v>0</v>
      </c>
      <c r="MB72" s="6">
        <f>SUMIFS('Time based aggregation (hide)'!$J:$J,'Time based aggregation (hide)'!$E:$E,17,'Time based aggregation (hide)'!$F:$F,1,'Time based aggregation (hide)'!$A:$A,ROW(A30))</f>
        <v>0</v>
      </c>
      <c r="MC72" s="6">
        <f>SUMIFS('Time based aggregation (hide)'!$J:$J,'Time based aggregation (hide)'!$E:$E,17,'Time based aggregation (hide)'!$F:$F,2,'Time based aggregation (hide)'!$A:$A,ROW(A30))</f>
        <v>0</v>
      </c>
      <c r="MD72" s="6">
        <f>SUMIFS('Time based aggregation (hide)'!$J:$J,'Time based aggregation (hide)'!$E:$E,17,'Time based aggregation (hide)'!$F:$F,3,'Time based aggregation (hide)'!$A:$A,ROW(A30))</f>
        <v>0</v>
      </c>
      <c r="ME72" s="6">
        <f>SUMIFS('Time based aggregation (hide)'!$J:$J,'Time based aggregation (hide)'!$E:$E,18,'Time based aggregation (hide)'!$F:$F,1,'Time based aggregation (hide)'!$A:$A,ROW(A30))</f>
        <v>0</v>
      </c>
      <c r="MF72" s="6">
        <f>SUMIFS('Time based aggregation (hide)'!$J:$J,'Time based aggregation (hide)'!$E:$E,18,'Time based aggregation (hide)'!$F:$F,2,'Time based aggregation (hide)'!$A:$A,ROW(A30))</f>
        <v>0</v>
      </c>
      <c r="MG72" s="6">
        <f>SUMIFS('Time based aggregation (hide)'!$J:$J,'Time based aggregation (hide)'!$E:$E,18,'Time based aggregation (hide)'!$F:$F,3,'Time based aggregation (hide)'!$A:$A,ROW(A30))</f>
        <v>0</v>
      </c>
      <c r="MH72" s="6">
        <f>SUMIFS('Time based aggregation (hide)'!$J:$J,'Time based aggregation (hide)'!$E:$E,19,'Time based aggregation (hide)'!$F:$F,1,'Time based aggregation (hide)'!$A:$A,ROW(A30))</f>
        <v>0</v>
      </c>
      <c r="MI72" s="6">
        <f>SUMIFS('Time based aggregation (hide)'!$J:$J,'Time based aggregation (hide)'!$E:$E,19,'Time based aggregation (hide)'!$F:$F,2,'Time based aggregation (hide)'!$A:$A,ROW(A30))</f>
        <v>0</v>
      </c>
      <c r="MJ72" s="6">
        <f>SUMIFS('Time based aggregation (hide)'!$J:$J,'Time based aggregation (hide)'!$E:$E,19,'Time based aggregation (hide)'!$F:$F,3,'Time based aggregation (hide)'!$A:$A,ROW(A30))</f>
        <v>0</v>
      </c>
      <c r="MK72" s="6">
        <f>SUMIFS('Time based aggregation (hide)'!$J:$J,'Time based aggregation (hide)'!$E:$E,20,'Time based aggregation (hide)'!$F:$F,1,'Time based aggregation (hide)'!$A:$A,ROW(A30))</f>
        <v>0</v>
      </c>
      <c r="ML72" s="6">
        <f>SUMIFS('Time based aggregation (hide)'!$J:$J,'Time based aggregation (hide)'!$E:$E,20,'Time based aggregation (hide)'!$F:$F,2,'Time based aggregation (hide)'!$A:$A,ROW(A30))</f>
        <v>0</v>
      </c>
      <c r="MM72" s="6">
        <f>SUMIFS('Time based aggregation (hide)'!$J:$J,'Time based aggregation (hide)'!$E:$E,20,'Time based aggregation (hide)'!$F:$F,3,'Time based aggregation (hide)'!$A:$A,ROW(A30))</f>
        <v>0</v>
      </c>
      <c r="MN72" s="7">
        <f t="shared" ca="1" si="41"/>
        <v>0</v>
      </c>
      <c r="MO72" s="7">
        <f t="shared" ca="1" si="41"/>
        <v>0</v>
      </c>
      <c r="MP72" s="7">
        <f t="shared" ca="1" si="41"/>
        <v>0</v>
      </c>
      <c r="MQ72" s="7">
        <f t="shared" ca="1" si="41"/>
        <v>0</v>
      </c>
      <c r="MR72" s="7">
        <f t="shared" ca="1" si="41"/>
        <v>0</v>
      </c>
    </row>
    <row r="73" spans="1:356" x14ac:dyDescent="0.25">
      <c r="A73">
        <f>1</f>
        <v>1</v>
      </c>
      <c r="B73" s="85">
        <f t="shared" si="37"/>
        <v>43861</v>
      </c>
      <c r="C73" s="85">
        <f t="shared" si="25"/>
        <v>43857</v>
      </c>
      <c r="D73">
        <f t="shared" ca="1" si="26"/>
        <v>1</v>
      </c>
      <c r="E73" s="85">
        <f t="shared" si="27"/>
        <v>43831</v>
      </c>
      <c r="F73">
        <f t="shared" si="33"/>
        <v>5</v>
      </c>
      <c r="H73">
        <f t="shared" si="34"/>
        <v>31</v>
      </c>
      <c r="I73" s="85">
        <f t="shared" si="38"/>
        <v>44039</v>
      </c>
      <c r="J73">
        <f t="shared" ca="1" si="28"/>
        <v>5</v>
      </c>
      <c r="K73">
        <f t="shared" ca="1" si="29"/>
        <v>1.968503937007874E-2</v>
      </c>
      <c r="L73" s="114"/>
      <c r="N73" s="85">
        <f t="shared" si="35"/>
        <v>44039</v>
      </c>
      <c r="O73" s="122">
        <f t="shared" ref="O73:Z82" ca="1" si="44">SUMIFS($D$43:$D$408,$C$43:$C$408,$N73,$E$43:$E$408,O$42)/$J73</f>
        <v>0</v>
      </c>
      <c r="P73" s="122">
        <f t="shared" ca="1" si="44"/>
        <v>0</v>
      </c>
      <c r="Q73" s="122">
        <f t="shared" ca="1" si="44"/>
        <v>0</v>
      </c>
      <c r="R73" s="122">
        <f t="shared" ca="1" si="44"/>
        <v>0</v>
      </c>
      <c r="S73" s="122">
        <f t="shared" ca="1" si="44"/>
        <v>0</v>
      </c>
      <c r="T73" s="122">
        <f t="shared" ca="1" si="44"/>
        <v>0</v>
      </c>
      <c r="U73" s="122">
        <f t="shared" ca="1" si="44"/>
        <v>1</v>
      </c>
      <c r="V73" s="122">
        <f t="shared" ca="1" si="44"/>
        <v>0</v>
      </c>
      <c r="W73" s="122">
        <f t="shared" ca="1" si="44"/>
        <v>0</v>
      </c>
      <c r="X73" s="122">
        <f t="shared" ca="1" si="44"/>
        <v>0</v>
      </c>
      <c r="Y73" s="122">
        <f t="shared" ca="1" si="44"/>
        <v>0</v>
      </c>
      <c r="Z73" s="122">
        <f t="shared" ca="1" si="44"/>
        <v>0</v>
      </c>
      <c r="AA73" s="122"/>
      <c r="AB73" s="140">
        <f>INDEX('File 1'!Weekly_Adjusted,31,1)</f>
        <v>388.17143954725253</v>
      </c>
      <c r="AC73" s="140">
        <f>INDEX('File 1'!Weekly_Adjusted,31,2)</f>
        <v>0</v>
      </c>
      <c r="AD73" s="140">
        <f>INDEX('File 1'!Weekly_Adjusted,31,3)</f>
        <v>0</v>
      </c>
      <c r="AE73" s="141">
        <f>INDEX('File 2'!Weekly_Adjusted,31,1)</f>
        <v>0</v>
      </c>
      <c r="AF73" s="141">
        <f>INDEX('File 2'!Weekly_Adjusted,31,2)</f>
        <v>0</v>
      </c>
      <c r="AG73" s="141">
        <f>INDEX('File 2'!Weekly_Adjusted,31,3)</f>
        <v>0</v>
      </c>
      <c r="AH73" s="140">
        <f>INDEX('File 3'!Weekly_Adjusted,31,1)</f>
        <v>0</v>
      </c>
      <c r="AI73" s="140">
        <f>INDEX('File 3'!Weekly_Adjusted,31,2)</f>
        <v>0</v>
      </c>
      <c r="AJ73" s="140">
        <f>INDEX('File 3'!Weekly_Adjusted,31,3)</f>
        <v>0</v>
      </c>
      <c r="AK73" s="141">
        <f>INDEX('File 4'!Weekly_Adjusted,31,1)</f>
        <v>0</v>
      </c>
      <c r="AL73" s="141">
        <f>INDEX('File 4'!Weekly_Adjusted,31,2)</f>
        <v>0</v>
      </c>
      <c r="AM73" s="141">
        <f>INDEX('File 4'!Weekly_Adjusted,31,3)</f>
        <v>0</v>
      </c>
      <c r="AN73" s="140">
        <f>INDEX('File 5'!Weekly_Adjusted,31,1)</f>
        <v>0</v>
      </c>
      <c r="AO73" s="140">
        <f>INDEX('File 5'!Weekly_Adjusted,31,2)</f>
        <v>0</v>
      </c>
      <c r="AP73" s="140">
        <f>INDEX('File 5'!Weekly_Adjusted,31,3)</f>
        <v>0</v>
      </c>
      <c r="AQ73" s="141">
        <f>INDEX('File 6'!Weekly_Adjusted,31,1)</f>
        <v>0</v>
      </c>
      <c r="AR73" s="141">
        <f>INDEX('File 6'!Weekly_Adjusted,31,2)</f>
        <v>0</v>
      </c>
      <c r="AS73" s="141">
        <f>INDEX('File 6'!Weekly_Adjusted,31,3)</f>
        <v>0</v>
      </c>
      <c r="AT73" s="140">
        <f>INDEX('File 7'!Weekly_Adjusted,31,1)</f>
        <v>0</v>
      </c>
      <c r="AU73" s="140">
        <f>INDEX('File 7'!Weekly_Adjusted,31,2)</f>
        <v>0</v>
      </c>
      <c r="AV73" s="140">
        <f>INDEX('File 7'!Weekly_Adjusted,31,3)</f>
        <v>0</v>
      </c>
      <c r="AW73" s="141">
        <f>INDEX('File 8'!Weekly_Adjusted,31,1)</f>
        <v>0</v>
      </c>
      <c r="AX73" s="141">
        <f>INDEX('File 8'!Weekly_Adjusted,31,2)</f>
        <v>0</v>
      </c>
      <c r="AY73" s="141">
        <f>INDEX('File 8'!Weekly_Adjusted,31,3)</f>
        <v>0</v>
      </c>
      <c r="AZ73" s="140">
        <f>INDEX('File 9'!Weekly_Adjusted,31,1)</f>
        <v>0</v>
      </c>
      <c r="BA73" s="140">
        <f>INDEX('File 9'!Weekly_Adjusted,31,2)</f>
        <v>0</v>
      </c>
      <c r="BB73" s="140">
        <f>INDEX('File 9'!Weekly_Adjusted,31,3)</f>
        <v>0</v>
      </c>
      <c r="BC73" s="141">
        <f>INDEX('File 10'!Weekly_Adjusted,31,1)</f>
        <v>0</v>
      </c>
      <c r="BD73" s="141">
        <f>INDEX('File 10'!Weekly_Adjusted,31,2)</f>
        <v>0</v>
      </c>
      <c r="BE73" s="141">
        <f>INDEX('File 10'!Weekly_Adjusted,31,3)</f>
        <v>0</v>
      </c>
      <c r="BF73" s="140">
        <f>INDEX('File 11'!Weekly_Adjusted,31,1)</f>
        <v>0</v>
      </c>
      <c r="BG73" s="140">
        <f>INDEX('File 11'!Weekly_Adjusted,31,2)</f>
        <v>0</v>
      </c>
      <c r="BH73" s="140">
        <f>INDEX('File 11'!Weekly_Adjusted,31,3)</f>
        <v>0</v>
      </c>
      <c r="BI73" s="141">
        <f>INDEX('File 12'!Weekly_Adjusted,31,1)</f>
        <v>0</v>
      </c>
      <c r="BJ73" s="141">
        <f>INDEX('File 12'!Weekly_Adjusted,31,2)</f>
        <v>0</v>
      </c>
      <c r="BK73" s="141">
        <f>INDEX('File 12'!Weekly_Adjusted,31,3)</f>
        <v>0</v>
      </c>
      <c r="BL73" s="140">
        <f>INDEX('File 13'!Weekly_Adjusted,31,1)</f>
        <v>0</v>
      </c>
      <c r="BM73" s="140">
        <f>INDEX('File 13'!Weekly_Adjusted,31,2)</f>
        <v>0</v>
      </c>
      <c r="BN73" s="140">
        <f>INDEX('File 13'!Weekly_Adjusted,31,3)</f>
        <v>0</v>
      </c>
      <c r="BO73" s="141">
        <f>INDEX('File 14'!Weekly_Adjusted,31,1)</f>
        <v>0</v>
      </c>
      <c r="BP73" s="141">
        <f>INDEX('File 14'!Weekly_Adjusted,31,2)</f>
        <v>0</v>
      </c>
      <c r="BQ73" s="141">
        <f>INDEX('File 14'!Weekly_Adjusted,31,3)</f>
        <v>0</v>
      </c>
      <c r="BR73" s="140">
        <f>INDEX('File 15'!Weekly_Adjusted,31,1)</f>
        <v>0</v>
      </c>
      <c r="BS73" s="140">
        <f>INDEX('File 15'!Weekly_Adjusted,31,2)</f>
        <v>0</v>
      </c>
      <c r="BT73" s="140">
        <f>INDEX('File 15'!Weekly_Adjusted,31,3)</f>
        <v>0</v>
      </c>
      <c r="BU73" s="141">
        <f>INDEX('File 16'!Weekly_Adjusted,31,1)</f>
        <v>0</v>
      </c>
      <c r="BV73" s="141">
        <f>INDEX('File 16'!Weekly_Adjusted,31,2)</f>
        <v>0</v>
      </c>
      <c r="BW73" s="141">
        <f>INDEX('File 16'!Weekly_Adjusted,31,3)</f>
        <v>0</v>
      </c>
      <c r="BX73" s="140">
        <f>INDEX('File 17'!Weekly_Adjusted,31,1)</f>
        <v>0</v>
      </c>
      <c r="BY73" s="140">
        <f>INDEX('File 17'!Weekly_Adjusted,31,2)</f>
        <v>0</v>
      </c>
      <c r="BZ73" s="140">
        <f>INDEX('File 17'!Weekly_Adjusted,31,3)</f>
        <v>0</v>
      </c>
      <c r="CA73" s="141">
        <f>INDEX('File 18'!Weekly_Adjusted,31,1)</f>
        <v>0</v>
      </c>
      <c r="CB73" s="141">
        <f>INDEX('File 18'!Weekly_Adjusted,31,2)</f>
        <v>0</v>
      </c>
      <c r="CC73" s="141">
        <f>INDEX('File 18'!Weekly_Adjusted,31,3)</f>
        <v>0</v>
      </c>
      <c r="CD73" s="140">
        <f>INDEX('File 19'!Weekly_Adjusted,31,1)</f>
        <v>0</v>
      </c>
      <c r="CE73" s="140">
        <f>INDEX('File 19'!Weekly_Adjusted,31,2)</f>
        <v>0</v>
      </c>
      <c r="CF73" s="140">
        <f>INDEX('File 19'!Weekly_Adjusted,31,3)</f>
        <v>0</v>
      </c>
      <c r="CG73" s="141">
        <f>INDEX('File 20'!Weekly_Adjusted,31,1)</f>
        <v>0</v>
      </c>
      <c r="CH73" s="141">
        <f>INDEX('File 20'!Weekly_Adjusted,31,2)</f>
        <v>0</v>
      </c>
      <c r="CI73" s="141">
        <f>INDEX('File 20'!Weekly_Adjusted,31,3)</f>
        <v>0</v>
      </c>
      <c r="CJ73" s="6">
        <f ca="1">SUMIFS(INDEX(Demand_Activity_Weekly,ROW(A31),0),Demand_Activity_Weekly_Header,CJ$42)</f>
        <v>388.17143954725253</v>
      </c>
      <c r="CK73" s="6">
        <f ca="1">SUMIFS(INDEX(Demand_Activity_Weekly,ROW(B31),0),Demand_Activity_Weekly_Header,CK$42)</f>
        <v>0</v>
      </c>
      <c r="CL73" s="6">
        <f ca="1">SUMIFS(INDEX(Demand_Activity_Weekly,ROW(C31),0),Demand_Activity_Weekly_Header,CL$42)</f>
        <v>0</v>
      </c>
      <c r="CM73" s="6">
        <f ca="1">SUMIFS(INDEX(Demand_Activity_Weekly,ROW(D31),0),Demand_Activity_Weekly_Header,CM$42)</f>
        <v>0</v>
      </c>
      <c r="CN73" s="6">
        <f ca="1">SUMIFS(INDEX(Demand_Activity_Weekly,ROW(E31),0),Demand_Activity_Weekly_Header,CN$42)</f>
        <v>0</v>
      </c>
      <c r="CP73" s="142">
        <f>INDEX('File 1'!Weekly_Adjusted,31,10)</f>
        <v>24.344712210866053</v>
      </c>
      <c r="CQ73" s="142">
        <f>INDEX('File 1'!Weekly_Adjusted,31,11)</f>
        <v>0</v>
      </c>
      <c r="CR73" s="142">
        <f>INDEX('File 1'!Weekly_Adjusted,31,12)</f>
        <v>0</v>
      </c>
      <c r="CS73" s="143">
        <f>INDEX('File 2'!Weekly_Adjusted,31,10)</f>
        <v>0</v>
      </c>
      <c r="CT73" s="143">
        <f>INDEX('File 2'!Weekly_Adjusted,31,11)</f>
        <v>0</v>
      </c>
      <c r="CU73" s="143">
        <f>INDEX('File 2'!Weekly_Adjusted,31,12)</f>
        <v>0</v>
      </c>
      <c r="CV73" s="142">
        <f>INDEX('File 3'!Weekly_Adjusted,31,10)</f>
        <v>0</v>
      </c>
      <c r="CW73" s="142">
        <f>INDEX('File 3'!Weekly_Adjusted,31,11)</f>
        <v>0</v>
      </c>
      <c r="CX73" s="142">
        <f>INDEX('File 3'!Weekly_Adjusted,31,12)</f>
        <v>0</v>
      </c>
      <c r="CY73" s="143">
        <f>INDEX('File 4'!Weekly_Adjusted,31,10)</f>
        <v>0</v>
      </c>
      <c r="CZ73" s="143">
        <f>INDEX('File 4'!Weekly_Adjusted,31,11)</f>
        <v>0</v>
      </c>
      <c r="DA73" s="143">
        <f>INDEX('File 4'!Weekly_Adjusted,31,12)</f>
        <v>0</v>
      </c>
      <c r="DB73" s="142">
        <f>INDEX('File 5'!Weekly_Adjusted,31,10)</f>
        <v>0</v>
      </c>
      <c r="DC73" s="142">
        <f>INDEX('File 5'!Weekly_Adjusted,31,11)</f>
        <v>0</v>
      </c>
      <c r="DD73" s="142">
        <f>INDEX('File 5'!Weekly_Adjusted,31,12)</f>
        <v>0</v>
      </c>
      <c r="DE73" s="143">
        <f>INDEX('File 6'!Weekly_Adjusted,31,10)</f>
        <v>0</v>
      </c>
      <c r="DF73" s="143">
        <f>INDEX('File 6'!Weekly_Adjusted,31,11)</f>
        <v>0</v>
      </c>
      <c r="DG73" s="143">
        <f>INDEX('File 6'!Weekly_Adjusted,31,12)</f>
        <v>0</v>
      </c>
      <c r="DH73" s="142">
        <f>INDEX('File 7'!Weekly_Adjusted,31,10)</f>
        <v>0</v>
      </c>
      <c r="DI73" s="142">
        <f>INDEX('File 7'!Weekly_Adjusted,31,11)</f>
        <v>0</v>
      </c>
      <c r="DJ73" s="142">
        <f>INDEX('File 7'!Weekly_Adjusted,31,12)</f>
        <v>0</v>
      </c>
      <c r="DK73" s="143">
        <f>INDEX('File 8'!Weekly_Adjusted,31,10)</f>
        <v>0</v>
      </c>
      <c r="DL73" s="143">
        <f>INDEX('File 8'!Weekly_Adjusted,31,11)</f>
        <v>0</v>
      </c>
      <c r="DM73" s="143">
        <f>INDEX('File 8'!Weekly_Adjusted,31,12)</f>
        <v>0</v>
      </c>
      <c r="DN73" s="142">
        <f>INDEX('File 9'!Weekly_Adjusted,31,10)</f>
        <v>0</v>
      </c>
      <c r="DO73" s="142">
        <f>INDEX('File 9'!Weekly_Adjusted,31,11)</f>
        <v>0</v>
      </c>
      <c r="DP73" s="142">
        <f>INDEX('File 9'!Weekly_Adjusted,31,12)</f>
        <v>0</v>
      </c>
      <c r="DQ73" s="143">
        <f>INDEX('File 10'!Weekly_Adjusted,31,10)</f>
        <v>0</v>
      </c>
      <c r="DR73" s="143">
        <f>INDEX('File 10'!Weekly_Adjusted,31,11)</f>
        <v>0</v>
      </c>
      <c r="DS73" s="143">
        <f>INDEX('File 10'!Weekly_Adjusted,31,12)</f>
        <v>0</v>
      </c>
      <c r="DT73" s="142">
        <f>INDEX('File 11'!Weekly_Adjusted,31,10)</f>
        <v>0</v>
      </c>
      <c r="DU73" s="142">
        <f>INDEX('File 11'!Weekly_Adjusted,31,11)</f>
        <v>0</v>
      </c>
      <c r="DV73" s="142">
        <f>INDEX('File 11'!Weekly_Adjusted,31,12)</f>
        <v>0</v>
      </c>
      <c r="DW73" s="143">
        <f>INDEX('File 12'!Weekly_Adjusted,31,10)</f>
        <v>0</v>
      </c>
      <c r="DX73" s="143">
        <f>INDEX('File 12'!Weekly_Adjusted,31,11)</f>
        <v>0</v>
      </c>
      <c r="DY73" s="143">
        <f>INDEX('File 12'!Weekly_Adjusted,31,12)</f>
        <v>0</v>
      </c>
      <c r="DZ73" s="142">
        <f>INDEX('File 13'!Weekly_Adjusted,31,10)</f>
        <v>0</v>
      </c>
      <c r="EA73" s="142">
        <f>INDEX('File 13'!Weekly_Adjusted,31,11)</f>
        <v>0</v>
      </c>
      <c r="EB73" s="142">
        <f>INDEX('File 13'!Weekly_Adjusted,31,12)</f>
        <v>0</v>
      </c>
      <c r="EC73" s="143">
        <f>INDEX('File 14'!Weekly_Adjusted,31,10)</f>
        <v>0</v>
      </c>
      <c r="ED73" s="143">
        <f>INDEX('File 14'!Weekly_Adjusted,31,11)</f>
        <v>0</v>
      </c>
      <c r="EE73" s="143">
        <f>INDEX('File 14'!Weekly_Adjusted,31,12)</f>
        <v>0</v>
      </c>
      <c r="EF73" s="142">
        <f>INDEX('File 15'!Weekly_Adjusted,31,10)</f>
        <v>0</v>
      </c>
      <c r="EG73" s="142">
        <f>INDEX('File 15'!Weekly_Adjusted,31,11)</f>
        <v>0</v>
      </c>
      <c r="EH73" s="142">
        <f>INDEX('File 15'!Weekly_Adjusted,31,12)</f>
        <v>0</v>
      </c>
      <c r="EI73" s="143">
        <f>INDEX('File 16'!Weekly_Adjusted,31,10)</f>
        <v>0</v>
      </c>
      <c r="EJ73" s="143">
        <f>INDEX('File 16'!Weekly_Adjusted,31,11)</f>
        <v>0</v>
      </c>
      <c r="EK73" s="143">
        <f>INDEX('File 16'!Weekly_Adjusted,31,12)</f>
        <v>0</v>
      </c>
      <c r="EL73" s="142">
        <f>INDEX('File 17'!Weekly_Adjusted,31,10)</f>
        <v>0</v>
      </c>
      <c r="EM73" s="142">
        <f>INDEX('File 17'!Weekly_Adjusted,31,11)</f>
        <v>0</v>
      </c>
      <c r="EN73" s="142">
        <f>INDEX('File 17'!Weekly_Adjusted,31,12)</f>
        <v>0</v>
      </c>
      <c r="EO73" s="143">
        <f>INDEX('File 18'!Weekly_Adjusted,31,10)</f>
        <v>0</v>
      </c>
      <c r="EP73" s="143">
        <f>INDEX('File 18'!Weekly_Adjusted,31,11)</f>
        <v>0</v>
      </c>
      <c r="EQ73" s="143">
        <f>INDEX('File 18'!Weekly_Adjusted,31,12)</f>
        <v>0</v>
      </c>
      <c r="ER73" s="142">
        <f>INDEX('File 19'!Weekly_Adjusted,31,10)</f>
        <v>0</v>
      </c>
      <c r="ES73" s="142">
        <f>INDEX('File 19'!Weekly_Adjusted,31,11)</f>
        <v>0</v>
      </c>
      <c r="ET73" s="142">
        <f>INDEX('File 19'!Weekly_Adjusted,31,12)</f>
        <v>0</v>
      </c>
      <c r="EU73" s="143">
        <f>INDEX('File 20'!Weekly_Adjusted,31,10)</f>
        <v>0</v>
      </c>
      <c r="EV73" s="143">
        <f>INDEX('File 20'!Weekly_Adjusted,31,11)</f>
        <v>0</v>
      </c>
      <c r="EW73" s="143">
        <f>INDEX('File 20'!Weekly_Adjusted,31,12)</f>
        <v>0</v>
      </c>
      <c r="EX73" s="6">
        <f ca="1">SUMIFS(INDEX(Capacity_Activity_Weekly,ROW(A31),0),Demand_Activity_Weekly_Header,CJ$42)</f>
        <v>24.344712210866053</v>
      </c>
      <c r="EY73" s="6">
        <f ca="1">SUMIFS(INDEX(Capacity_Activity_Weekly,ROW(B31),0),Demand_Activity_Weekly_Header,CK$42)</f>
        <v>0</v>
      </c>
      <c r="EZ73" s="6">
        <f ca="1">SUMIFS(INDEX(Capacity_Activity_Weekly,ROW(C31),0),Demand_Activity_Weekly_Header,CL$42)</f>
        <v>0</v>
      </c>
      <c r="FA73" s="6">
        <f ca="1">SUMIFS(INDEX(Capacity_Activity_Weekly,ROW(D31),0),Demand_Activity_Weekly_Header,CM$42)</f>
        <v>0</v>
      </c>
      <c r="FB73" s="6">
        <f ca="1">SUMIFS(INDEX(Capacity_Activity_Weekly,ROW(E31),0),Demand_Activity_Weekly_Header,CN$42)</f>
        <v>0</v>
      </c>
      <c r="FD73" s="7">
        <f>'File 1'!$Q$54*'Time based aggregation (hide)'!$Q35</f>
        <v>0</v>
      </c>
      <c r="FE73" s="7">
        <f>'File 1'!$R$54*'Time based aggregation (hide)'!$R35</f>
        <v>0</v>
      </c>
      <c r="FF73" s="7">
        <f>'File 1'!$S$54*'Time based aggregation (hide)'!$S35</f>
        <v>0</v>
      </c>
      <c r="FG73" s="7">
        <f>'File 2'!$Q$54*'Time based aggregation (hide)'!$T35</f>
        <v>0</v>
      </c>
      <c r="FH73" s="7">
        <f>'File 2'!$R$54*'Time based aggregation (hide)'!$U35</f>
        <v>0</v>
      </c>
      <c r="FI73" s="7">
        <f>'File 2'!$S$54*'Time based aggregation (hide)'!$V35</f>
        <v>0</v>
      </c>
      <c r="FJ73" s="7">
        <f>'File 3'!$Q$54*'Time based aggregation (hide)'!$W35</f>
        <v>0</v>
      </c>
      <c r="FK73" s="7">
        <f>'File 3'!$R$54*'Time based aggregation (hide)'!$X35</f>
        <v>0</v>
      </c>
      <c r="FL73" s="7">
        <f>'File 3'!$S$54*'Time based aggregation (hide)'!$Y35</f>
        <v>0</v>
      </c>
      <c r="FM73" s="7">
        <f>'File 4'!$Q$54*'Time based aggregation (hide)'!$Z35</f>
        <v>0</v>
      </c>
      <c r="FN73" s="7">
        <f>'File 4'!$R$54*'Time based aggregation (hide)'!$AA35</f>
        <v>0</v>
      </c>
      <c r="FO73" s="7">
        <f>'File 4'!$S$54*'Time based aggregation (hide)'!$AB35</f>
        <v>0</v>
      </c>
      <c r="FP73" s="7">
        <f>'File 5'!$Q$54*'Time based aggregation (hide)'!$AC35</f>
        <v>0</v>
      </c>
      <c r="FQ73" s="7">
        <f>'File 5'!$R$54*'Time based aggregation (hide)'!$AD35</f>
        <v>0</v>
      </c>
      <c r="FR73" s="7">
        <f>'File 5'!$S$54*'Time based aggregation (hide)'!$AE35</f>
        <v>0</v>
      </c>
      <c r="FS73" s="7">
        <f>'File 6'!$Q$54*'Time based aggregation (hide)'!$AF35</f>
        <v>0</v>
      </c>
      <c r="FT73" s="7">
        <f>'File 6'!$R$54*'Time based aggregation (hide)'!$AG35</f>
        <v>0</v>
      </c>
      <c r="FU73" s="7">
        <f>'File 6'!$S$54*'Time based aggregation (hide)'!$AH35</f>
        <v>0</v>
      </c>
      <c r="FV73" s="7">
        <f>'File 7'!$Q$54*'Time based aggregation (hide)'!$AI35</f>
        <v>0</v>
      </c>
      <c r="FW73" s="7">
        <f>'File 7'!$R$54*'Time based aggregation (hide)'!$AJ35</f>
        <v>0</v>
      </c>
      <c r="FX73" s="7">
        <f>'File 7'!$S$54*'Time based aggregation (hide)'!$AK35</f>
        <v>0</v>
      </c>
      <c r="FY73" s="7">
        <f>'File 8'!$Q$54*'Time based aggregation (hide)'!$AL35</f>
        <v>0</v>
      </c>
      <c r="FZ73" s="7">
        <f>'File 8'!$R$54*'Time based aggregation (hide)'!$AM35</f>
        <v>0</v>
      </c>
      <c r="GA73" s="7">
        <f>'File 8'!$S$54*'Time based aggregation (hide)'!$AN35</f>
        <v>0</v>
      </c>
      <c r="GB73" s="7">
        <f>'File 9'!$Q$54*'Time based aggregation (hide)'!$AO35</f>
        <v>0</v>
      </c>
      <c r="GC73" s="7">
        <f>'File 9'!$R$54*'Time based aggregation (hide)'!$AP35</f>
        <v>0</v>
      </c>
      <c r="GD73" s="7">
        <f>'File 9'!$S$54*'Time based aggregation (hide)'!$AQ35</f>
        <v>0</v>
      </c>
      <c r="GE73" s="7">
        <f>'File 10'!$Q$54*'Time based aggregation (hide)'!$AR35</f>
        <v>0</v>
      </c>
      <c r="GF73" s="7">
        <f>'File 10'!$R$54*'Time based aggregation (hide)'!$AS35</f>
        <v>0</v>
      </c>
      <c r="GG73" s="7">
        <f>'File 10'!$S$54*'Time based aggregation (hide)'!$AT35</f>
        <v>0</v>
      </c>
      <c r="GH73" s="7">
        <f>'File 11'!$Q$54*'Time based aggregation (hide)'!$AU35</f>
        <v>0</v>
      </c>
      <c r="GI73" s="7">
        <f>'File 11'!$R$54*'Time based aggregation (hide)'!$AV35</f>
        <v>0</v>
      </c>
      <c r="GJ73" s="7">
        <f>'File 11'!$S$54*'Time based aggregation (hide)'!$AW35</f>
        <v>0</v>
      </c>
      <c r="GK73" s="7">
        <f>'File 12'!$Q$54*'Time based aggregation (hide)'!$AX35</f>
        <v>0</v>
      </c>
      <c r="GL73" s="7">
        <f>'File 12'!$R$54*'Time based aggregation (hide)'!$AY35</f>
        <v>0</v>
      </c>
      <c r="GM73" s="7">
        <f>'File 12'!$S$54*'Time based aggregation (hide)'!$AZ35</f>
        <v>0</v>
      </c>
      <c r="GN73" s="7">
        <f>'File 13'!$Q$54*'Time based aggregation (hide)'!$BA35</f>
        <v>0</v>
      </c>
      <c r="GO73" s="7">
        <f>'File 13'!$R$54*'Time based aggregation (hide)'!$BB35</f>
        <v>0</v>
      </c>
      <c r="GP73" s="7">
        <f>'File 13'!$S$54*'Time based aggregation (hide)'!$BC35</f>
        <v>0</v>
      </c>
      <c r="GQ73" s="7">
        <f>'File 14'!$Q$54*'Time based aggregation (hide)'!$BD35</f>
        <v>0</v>
      </c>
      <c r="GR73" s="7">
        <f>'File 14'!$R$54*'Time based aggregation (hide)'!$BE35</f>
        <v>0</v>
      </c>
      <c r="GS73" s="7">
        <f>'File 14'!$S$54*'Time based aggregation (hide)'!$BF35</f>
        <v>0</v>
      </c>
      <c r="GT73" s="7">
        <f>'File 15'!$Q$54*'Time based aggregation (hide)'!$BG35</f>
        <v>0</v>
      </c>
      <c r="GU73" s="7">
        <f>'File 15'!$R$54*'Time based aggregation (hide)'!$BH35</f>
        <v>0</v>
      </c>
      <c r="GV73" s="7">
        <f>'File 15'!$S$54*'Time based aggregation (hide)'!$BI35</f>
        <v>0</v>
      </c>
      <c r="GW73" s="7">
        <f>'File 16'!$Q$54*'Time based aggregation (hide)'!$BJ35</f>
        <v>0</v>
      </c>
      <c r="GX73" s="7">
        <f>'File 16'!$R$54*'Time based aggregation (hide)'!$BK35</f>
        <v>0</v>
      </c>
      <c r="GY73" s="7">
        <f>'File 16'!$S$54*'Time based aggregation (hide)'!$BL35</f>
        <v>0</v>
      </c>
      <c r="GZ73" s="7">
        <f>'File 17'!$Q$54*'Time based aggregation (hide)'!$BM35</f>
        <v>0</v>
      </c>
      <c r="HA73" s="7">
        <f>'File 17'!$R$54*'Time based aggregation (hide)'!$BN35</f>
        <v>0</v>
      </c>
      <c r="HB73" s="7">
        <f>'File 17'!$S$54*'Time based aggregation (hide)'!$BO35</f>
        <v>0</v>
      </c>
      <c r="HC73" s="7">
        <f>'File 18'!$Q$54*'Time based aggregation (hide)'!$BP35</f>
        <v>0</v>
      </c>
      <c r="HD73" s="7">
        <f>'File 18'!$R$54*'Time based aggregation (hide)'!$BQ35</f>
        <v>0</v>
      </c>
      <c r="HE73" s="7">
        <f>'File 18'!$S$54*'Time based aggregation (hide)'!$BR35</f>
        <v>0</v>
      </c>
      <c r="HF73" s="7">
        <f>'File 19'!$Q$54*'Time based aggregation (hide)'!$BS35</f>
        <v>0</v>
      </c>
      <c r="HG73" s="7">
        <f>'File 19'!$R$54*'Time based aggregation (hide)'!$BT35</f>
        <v>0</v>
      </c>
      <c r="HH73" s="7">
        <f>'File 19'!$S$54*'Time based aggregation (hide)'!$BU35</f>
        <v>0</v>
      </c>
      <c r="HI73" s="7">
        <f>'File 20'!$Q$54*'Time based aggregation (hide)'!$BV35</f>
        <v>0</v>
      </c>
      <c r="HJ73" s="7">
        <f>'File 20'!$R$54*'Time based aggregation (hide)'!$BW35</f>
        <v>0</v>
      </c>
      <c r="HK73" s="7">
        <f>'File 20'!$S$54*'Time based aggregation (hide)'!$BX35</f>
        <v>0</v>
      </c>
      <c r="HL73" s="7">
        <f t="shared" ref="HL73:HP82" ca="1" si="45">IF(OR($J$102=0,AND($J$102=0,$J$103=0)),SUMIFS($FD73:$HK73,$AB$42:$CI$42,HL$42),SUMIFS(OFFSET($FD73,0,($J$102-1)*3,1,3),OFFSET($FD$42,0,($J$102-1)*3,1,3),HL$42))</f>
        <v>0</v>
      </c>
      <c r="HM73" s="7">
        <f t="shared" ca="1" si="45"/>
        <v>0</v>
      </c>
      <c r="HN73" s="7">
        <f t="shared" ca="1" si="45"/>
        <v>0</v>
      </c>
      <c r="HO73" s="7">
        <f t="shared" ca="1" si="45"/>
        <v>0</v>
      </c>
      <c r="HP73" s="7">
        <f t="shared" ca="1" si="45"/>
        <v>0</v>
      </c>
      <c r="HR73" s="142">
        <f>INDEX('File 1'!Weekly_Adjusted,31,16)</f>
        <v>20.933351264120493</v>
      </c>
      <c r="HS73" s="142">
        <f>INDEX('File 1'!Weekly_Adjusted,31,17)</f>
        <v>0</v>
      </c>
      <c r="HT73" s="142">
        <f>INDEX('File 1'!Weekly_Adjusted,31,18)</f>
        <v>0</v>
      </c>
      <c r="HU73" s="143">
        <f>INDEX('File 2'!Weekly_Adjusted,31,16)</f>
        <v>0</v>
      </c>
      <c r="HV73" s="143">
        <f>INDEX('File 2'!Weekly_Adjusted,31,17)</f>
        <v>0</v>
      </c>
      <c r="HW73" s="143">
        <f>INDEX('File 2'!Weekly_Adjusted,31,18)</f>
        <v>0</v>
      </c>
      <c r="HX73" s="142">
        <f>INDEX('File 3'!Weekly_Adjusted,31,16)</f>
        <v>0</v>
      </c>
      <c r="HY73" s="142">
        <f>INDEX('File 3'!Weekly_Adjusted,31,17)</f>
        <v>0</v>
      </c>
      <c r="HZ73" s="142">
        <f>INDEX('File 3'!Weekly_Adjusted,31,18)</f>
        <v>0</v>
      </c>
      <c r="IA73" s="143">
        <f>INDEX('File 4'!Weekly_Adjusted,31,16)</f>
        <v>0</v>
      </c>
      <c r="IB73" s="143">
        <f>INDEX('File 4'!Weekly_Adjusted,31,17)</f>
        <v>0</v>
      </c>
      <c r="IC73" s="143">
        <f>INDEX('File 4'!Weekly_Adjusted,31,18)</f>
        <v>0</v>
      </c>
      <c r="ID73" s="142">
        <f>INDEX('File 5'!Weekly_Adjusted,31,16)</f>
        <v>0</v>
      </c>
      <c r="IE73" s="142">
        <f>INDEX('File 5'!Weekly_Adjusted,31,17)</f>
        <v>0</v>
      </c>
      <c r="IF73" s="142">
        <f>INDEX('File 5'!Weekly_Adjusted,31,18)</f>
        <v>0</v>
      </c>
      <c r="IG73" s="143">
        <f>INDEX('File 6'!Weekly_Adjusted,31,16)</f>
        <v>0</v>
      </c>
      <c r="IH73" s="143">
        <f>INDEX('File 6'!Weekly_Adjusted,31,17)</f>
        <v>0</v>
      </c>
      <c r="II73" s="143">
        <f>INDEX('File 6'!Weekly_Adjusted,31,18)</f>
        <v>0</v>
      </c>
      <c r="IJ73" s="142">
        <f>INDEX('File 7'!Weekly_Adjusted,31,16)</f>
        <v>0</v>
      </c>
      <c r="IK73" s="142">
        <f>INDEX('File 7'!Weekly_Adjusted,31,17)</f>
        <v>0</v>
      </c>
      <c r="IL73" s="142">
        <f>INDEX('File 7'!Weekly_Adjusted,31,18)</f>
        <v>0</v>
      </c>
      <c r="IM73" s="143">
        <f>INDEX('File 8'!Weekly_Adjusted,31,16)</f>
        <v>0</v>
      </c>
      <c r="IN73" s="143">
        <f>INDEX('File 8'!Weekly_Adjusted,31,17)</f>
        <v>0</v>
      </c>
      <c r="IO73" s="143">
        <f>INDEX('File 8'!Weekly_Adjusted,31,18)</f>
        <v>0</v>
      </c>
      <c r="IP73" s="142">
        <f>INDEX('File 9'!Weekly_Adjusted,31,16)</f>
        <v>0</v>
      </c>
      <c r="IQ73" s="142">
        <f>INDEX('File 9'!Weekly_Adjusted,31,17)</f>
        <v>0</v>
      </c>
      <c r="IR73" s="142">
        <f>INDEX('File 9'!Weekly_Adjusted,31,18)</f>
        <v>0</v>
      </c>
      <c r="IS73" s="143">
        <f>INDEX('File 10'!Weekly_Adjusted,31,16)</f>
        <v>0</v>
      </c>
      <c r="IT73" s="143">
        <f>INDEX('File 10'!Weekly_Adjusted,31,17)</f>
        <v>0</v>
      </c>
      <c r="IU73" s="143">
        <f>INDEX('File 10'!Weekly_Adjusted,31,18)</f>
        <v>0</v>
      </c>
      <c r="IV73" s="142">
        <f>INDEX('File 11'!Weekly_Adjusted,31,16)</f>
        <v>0</v>
      </c>
      <c r="IW73" s="142">
        <f>INDEX('File 11'!Weekly_Adjusted,31,17)</f>
        <v>0</v>
      </c>
      <c r="IX73" s="142">
        <f>INDEX('File 11'!Weekly_Adjusted,31,18)</f>
        <v>0</v>
      </c>
      <c r="IY73" s="143">
        <f>INDEX('File 12'!Weekly_Adjusted,31,16)</f>
        <v>0</v>
      </c>
      <c r="IZ73" s="143">
        <f>INDEX('File 12'!Weekly_Adjusted,31,17)</f>
        <v>0</v>
      </c>
      <c r="JA73" s="143">
        <f>INDEX('File 12'!Weekly_Adjusted,31,18)</f>
        <v>0</v>
      </c>
      <c r="JB73" s="142">
        <f>INDEX('File 13'!Weekly_Adjusted,31,16)</f>
        <v>0</v>
      </c>
      <c r="JC73" s="142">
        <f>INDEX('File 13'!Weekly_Adjusted,31,17)</f>
        <v>0</v>
      </c>
      <c r="JD73" s="142">
        <f>INDEX('File 13'!Weekly_Adjusted,31,18)</f>
        <v>0</v>
      </c>
      <c r="JE73" s="143">
        <f>INDEX('File 14'!Weekly_Adjusted,31,16)</f>
        <v>0</v>
      </c>
      <c r="JF73" s="143">
        <f>INDEX('File 14'!Weekly_Adjusted,31,17)</f>
        <v>0</v>
      </c>
      <c r="JG73" s="143">
        <f>INDEX('File 14'!Weekly_Adjusted,31,18)</f>
        <v>0</v>
      </c>
      <c r="JH73" s="142">
        <f>INDEX('File 15'!Weekly_Adjusted,31,16)</f>
        <v>0</v>
      </c>
      <c r="JI73" s="142">
        <f>INDEX('File 15'!Weekly_Adjusted,31,17)</f>
        <v>0</v>
      </c>
      <c r="JJ73" s="142">
        <f>INDEX('File 15'!Weekly_Adjusted,31,18)</f>
        <v>0</v>
      </c>
      <c r="JK73" s="143">
        <f>INDEX('File 16'!Weekly_Adjusted,31,16)</f>
        <v>0</v>
      </c>
      <c r="JL73" s="143">
        <f>INDEX('File 16'!Weekly_Adjusted,31,17)</f>
        <v>0</v>
      </c>
      <c r="JM73" s="143">
        <f>INDEX('File 16'!Weekly_Adjusted,31,18)</f>
        <v>0</v>
      </c>
      <c r="JN73" s="142">
        <f>INDEX('File 17'!Weekly_Adjusted,31,16)</f>
        <v>0</v>
      </c>
      <c r="JO73" s="142">
        <f>INDEX('File 17'!Weekly_Adjusted,31,17)</f>
        <v>0</v>
      </c>
      <c r="JP73" s="142">
        <f>INDEX('File 17'!Weekly_Adjusted,31,18)</f>
        <v>0</v>
      </c>
      <c r="JQ73" s="143">
        <f>INDEX('File 18'!Weekly_Adjusted,31,16)</f>
        <v>0</v>
      </c>
      <c r="JR73" s="143">
        <f>INDEX('File 18'!Weekly_Adjusted,31,17)</f>
        <v>0</v>
      </c>
      <c r="JS73" s="143">
        <f>INDEX('File 18'!Weekly_Adjusted,31,18)</f>
        <v>0</v>
      </c>
      <c r="JT73" s="142">
        <f>INDEX('File 19'!Weekly_Adjusted,31,16)</f>
        <v>0</v>
      </c>
      <c r="JU73" s="142">
        <f>INDEX('File 19'!Weekly_Adjusted,31,17)</f>
        <v>0</v>
      </c>
      <c r="JV73" s="142">
        <f>INDEX('File 19'!Weekly_Adjusted,31,18)</f>
        <v>0</v>
      </c>
      <c r="JW73" s="143">
        <f>INDEX('File 20'!Weekly_Adjusted,31,16)</f>
        <v>0</v>
      </c>
      <c r="JX73" s="143">
        <f>INDEX('File 20'!Weekly_Adjusted,31,17)</f>
        <v>0</v>
      </c>
      <c r="JY73" s="143">
        <f>INDEX('File 20'!Weekly_Adjusted,31,18)</f>
        <v>0</v>
      </c>
      <c r="JZ73" s="6">
        <f ca="1">SUMIFS(INDEX(CapacityCore_Activity_Weekly,ROW(EC31),0),Demand_Activity_Weekly_Header,HL$42)</f>
        <v>20.933351264120493</v>
      </c>
      <c r="KA73" s="6">
        <f ca="1">SUMIFS(INDEX(CapacityCore_Activity_Weekly,ROW(ED31),0),Demand_Activity_Weekly_Header,HM$42)</f>
        <v>0</v>
      </c>
      <c r="KB73" s="6">
        <f ca="1">SUMIFS(INDEX(CapacityCore_Activity_Weekly,ROW(EE31),0),Demand_Activity_Weekly_Header,HN$42)</f>
        <v>0</v>
      </c>
      <c r="KC73" s="6">
        <f ca="1">SUMIFS(INDEX(CapacityCore_Activity_Weekly,ROW(EF31),0),Demand_Activity_Weekly_Header,HO$42)</f>
        <v>0</v>
      </c>
      <c r="KD73" s="6">
        <f ca="1">SUMIFS(INDEX(CapacityCore_Activity_Weekly,ROW(EG31),0),Demand_Activity_Weekly_Header,HP$42)</f>
        <v>0</v>
      </c>
      <c r="KF73" s="6">
        <f>SUMIFS('Time based aggregation (hide)'!$J:$J,'Time based aggregation (hide)'!$E:$E,1,'Time based aggregation (hide)'!$F:$F,1,'Time based aggregation (hide)'!$A:$A,ROW(A31))</f>
        <v>0</v>
      </c>
      <c r="KG73" s="6">
        <f>SUMIFS('Time based aggregation (hide)'!$J:$J,'Time based aggregation (hide)'!$E:$E,1,'Time based aggregation (hide)'!$F:$F,2,'Time based aggregation (hide)'!$A:$A,ROW(A31))</f>
        <v>0</v>
      </c>
      <c r="KH73" s="6">
        <f>SUMIFS('Time based aggregation (hide)'!$J:$J,'Time based aggregation (hide)'!$E:$E,1,'Time based aggregation (hide)'!$F:$F,3,'Time based aggregation (hide)'!$A:$A,ROW(A31))</f>
        <v>0</v>
      </c>
      <c r="KI73" s="6">
        <f>SUMIFS('Time based aggregation (hide)'!$J:$J,'Time based aggregation (hide)'!$E:$E,2,'Time based aggregation (hide)'!$F:$F,1,'Time based aggregation (hide)'!$A:$A,ROW(A31))</f>
        <v>0</v>
      </c>
      <c r="KJ73" s="6">
        <f>SUMIFS('Time based aggregation (hide)'!$J:$J,'Time based aggregation (hide)'!$E:$E,2,'Time based aggregation (hide)'!$F:$F,2,'Time based aggregation (hide)'!$A:$A,ROW(A31))</f>
        <v>0</v>
      </c>
      <c r="KK73" s="6">
        <f>SUMIFS('Time based aggregation (hide)'!$J:$J,'Time based aggregation (hide)'!$E:$E,2,'Time based aggregation (hide)'!$F:$F,3,'Time based aggregation (hide)'!$A:$A,ROW(A31))</f>
        <v>0</v>
      </c>
      <c r="KL73" s="6">
        <f>SUMIFS('Time based aggregation (hide)'!$J:$J,'Time based aggregation (hide)'!$E:$E,3,'Time based aggregation (hide)'!$F:$F,1,'Time based aggregation (hide)'!$A:$A,ROW(A31))</f>
        <v>0</v>
      </c>
      <c r="KM73" s="6">
        <f>SUMIFS('Time based aggregation (hide)'!$J:$J,'Time based aggregation (hide)'!$E:$E,3,'Time based aggregation (hide)'!$F:$F,2,'Time based aggregation (hide)'!$A:$A,ROW(A31))</f>
        <v>0</v>
      </c>
      <c r="KN73" s="6">
        <f>SUMIFS('Time based aggregation (hide)'!$J:$J,'Time based aggregation (hide)'!$E:$E,3,'Time based aggregation (hide)'!$F:$F,3,'Time based aggregation (hide)'!$A:$A,ROW(A31))</f>
        <v>0</v>
      </c>
      <c r="KO73" s="6">
        <f>SUMIFS('Time based aggregation (hide)'!$J:$J,'Time based aggregation (hide)'!$E:$E,4,'Time based aggregation (hide)'!$F:$F,1,'Time based aggregation (hide)'!$A:$A,ROW(A31))</f>
        <v>0</v>
      </c>
      <c r="KP73" s="6">
        <f>SUMIFS('Time based aggregation (hide)'!$J:$J,'Time based aggregation (hide)'!$E:$E,4,'Time based aggregation (hide)'!$F:$F,2,'Time based aggregation (hide)'!$A:$A,ROW(A31))</f>
        <v>0</v>
      </c>
      <c r="KQ73" s="6">
        <f>SUMIFS('Time based aggregation (hide)'!$J:$J,'Time based aggregation (hide)'!$E:$E,4,'Time based aggregation (hide)'!$F:$F,3,'Time based aggregation (hide)'!$A:$A,ROW(A31))</f>
        <v>0</v>
      </c>
      <c r="KR73" s="6">
        <f>SUMIFS('Time based aggregation (hide)'!$J:$J,'Time based aggregation (hide)'!$E:$E,5,'Time based aggregation (hide)'!$F:$F,1,'Time based aggregation (hide)'!$A:$A,ROW(A31))</f>
        <v>0</v>
      </c>
      <c r="KS73" s="6">
        <f>SUMIFS('Time based aggregation (hide)'!$J:$J,'Time based aggregation (hide)'!$E:$E,5,'Time based aggregation (hide)'!$F:$F,2,'Time based aggregation (hide)'!$A:$A,ROW(A31))</f>
        <v>0</v>
      </c>
      <c r="KT73" s="6">
        <f>SUMIFS('Time based aggregation (hide)'!$J:$J,'Time based aggregation (hide)'!$E:$E,5,'Time based aggregation (hide)'!$F:$F,3,'Time based aggregation (hide)'!$A:$A,ROW(A31))</f>
        <v>0</v>
      </c>
      <c r="KU73" s="6">
        <f>SUMIFS('Time based aggregation (hide)'!$J:$J,'Time based aggregation (hide)'!$E:$E,6,'Time based aggregation (hide)'!$F:$F,1,'Time based aggregation (hide)'!$A:$A,ROW(A31))</f>
        <v>0</v>
      </c>
      <c r="KV73" s="6">
        <f>SUMIFS('Time based aggregation (hide)'!$J:$J,'Time based aggregation (hide)'!$E:$E,6,'Time based aggregation (hide)'!$F:$F,2,'Time based aggregation (hide)'!$A:$A,ROW(A31))</f>
        <v>0</v>
      </c>
      <c r="KW73" s="6">
        <f>SUMIFS('Time based aggregation (hide)'!$J:$J,'Time based aggregation (hide)'!$E:$E,6,'Time based aggregation (hide)'!$F:$F,3,'Time based aggregation (hide)'!$A:$A,ROW(A31))</f>
        <v>0</v>
      </c>
      <c r="KX73" s="6">
        <f>SUMIFS('Time based aggregation (hide)'!$J:$J,'Time based aggregation (hide)'!$E:$E,7,'Time based aggregation (hide)'!$F:$F,1,'Time based aggregation (hide)'!$A:$A,ROW(A31))</f>
        <v>0</v>
      </c>
      <c r="KY73" s="6">
        <f>SUMIFS('Time based aggregation (hide)'!$J:$J,'Time based aggregation (hide)'!$E:$E,7,'Time based aggregation (hide)'!$F:$F,2,'Time based aggregation (hide)'!$A:$A,ROW(A31))</f>
        <v>0</v>
      </c>
      <c r="KZ73" s="6">
        <f>SUMIFS('Time based aggregation (hide)'!$J:$J,'Time based aggregation (hide)'!$E:$E,7,'Time based aggregation (hide)'!$F:$F,3,'Time based aggregation (hide)'!$A:$A,ROW(A31))</f>
        <v>0</v>
      </c>
      <c r="LA73" s="6">
        <f>SUMIFS('Time based aggregation (hide)'!$J:$J,'Time based aggregation (hide)'!$E:$E,8,'Time based aggregation (hide)'!$F:$F,1,'Time based aggregation (hide)'!$A:$A,ROW(A31))</f>
        <v>0</v>
      </c>
      <c r="LB73" s="6">
        <f>SUMIFS('Time based aggregation (hide)'!$J:$J,'Time based aggregation (hide)'!$E:$E,8,'Time based aggregation (hide)'!$F:$F,2,'Time based aggregation (hide)'!$A:$A,ROW(A31))</f>
        <v>0</v>
      </c>
      <c r="LC73" s="6">
        <f>SUMIFS('Time based aggregation (hide)'!$J:$J,'Time based aggregation (hide)'!$E:$E,8,'Time based aggregation (hide)'!$F:$F,3,'Time based aggregation (hide)'!$A:$A,ROW(A31))</f>
        <v>0</v>
      </c>
      <c r="LD73" s="6">
        <f>SUMIFS('Time based aggregation (hide)'!$J:$J,'Time based aggregation (hide)'!$E:$E,9,'Time based aggregation (hide)'!$F:$F,1,'Time based aggregation (hide)'!$A:$A,ROW(A31))</f>
        <v>0</v>
      </c>
      <c r="LE73" s="6">
        <f>SUMIFS('Time based aggregation (hide)'!$J:$J,'Time based aggregation (hide)'!$E:$E,9,'Time based aggregation (hide)'!$F:$F,2,'Time based aggregation (hide)'!$A:$A,ROW(A31))</f>
        <v>0</v>
      </c>
      <c r="LF73" s="6">
        <f>SUMIFS('Time based aggregation (hide)'!$J:$J,'Time based aggregation (hide)'!$E:$E,9,'Time based aggregation (hide)'!$F:$F,3,'Time based aggregation (hide)'!$A:$A,ROW(A31))</f>
        <v>0</v>
      </c>
      <c r="LG73" s="6">
        <f>SUMIFS('Time based aggregation (hide)'!$J:$J,'Time based aggregation (hide)'!$E:$E,10,'Time based aggregation (hide)'!$F:$F,1,'Time based aggregation (hide)'!$A:$A,ROW(A31))</f>
        <v>0</v>
      </c>
      <c r="LH73" s="6">
        <f>SUMIFS('Time based aggregation (hide)'!$J:$J,'Time based aggregation (hide)'!$E:$E,10,'Time based aggregation (hide)'!$F:$F,2,'Time based aggregation (hide)'!$A:$A,ROW(A31))</f>
        <v>0</v>
      </c>
      <c r="LI73" s="6">
        <f>SUMIFS('Time based aggregation (hide)'!$J:$J,'Time based aggregation (hide)'!$E:$E,10,'Time based aggregation (hide)'!$F:$F,3,'Time based aggregation (hide)'!$A:$A,ROW(A31))</f>
        <v>0</v>
      </c>
      <c r="LJ73" s="6">
        <f>SUMIFS('Time based aggregation (hide)'!$J:$J,'Time based aggregation (hide)'!$E:$E,11,'Time based aggregation (hide)'!$F:$F,1,'Time based aggregation (hide)'!$A:$A,ROW(A31))</f>
        <v>0</v>
      </c>
      <c r="LK73" s="6">
        <f>SUMIFS('Time based aggregation (hide)'!$J:$J,'Time based aggregation (hide)'!$E:$E,11,'Time based aggregation (hide)'!$F:$F,2,'Time based aggregation (hide)'!$A:$A,ROW(A31))</f>
        <v>0</v>
      </c>
      <c r="LL73" s="6">
        <f>SUMIFS('Time based aggregation (hide)'!$J:$J,'Time based aggregation (hide)'!$E:$E,11,'Time based aggregation (hide)'!$F:$F,3,'Time based aggregation (hide)'!$A:$A,ROW(A31))</f>
        <v>0</v>
      </c>
      <c r="LM73" s="6">
        <f>SUMIFS('Time based aggregation (hide)'!$J:$J,'Time based aggregation (hide)'!$E:$E,12,'Time based aggregation (hide)'!$F:$F,1,'Time based aggregation (hide)'!$A:$A,ROW(A31))</f>
        <v>0</v>
      </c>
      <c r="LN73" s="6">
        <f>SUMIFS('Time based aggregation (hide)'!$J:$J,'Time based aggregation (hide)'!$E:$E,12,'Time based aggregation (hide)'!$F:$F,2,'Time based aggregation (hide)'!$A:$A,ROW(A31))</f>
        <v>0</v>
      </c>
      <c r="LO73" s="6">
        <f>SUMIFS('Time based aggregation (hide)'!$J:$J,'Time based aggregation (hide)'!$E:$E,12,'Time based aggregation (hide)'!$F:$F,3,'Time based aggregation (hide)'!$A:$A,ROW(A31))</f>
        <v>0</v>
      </c>
      <c r="LP73" s="6">
        <f>SUMIFS('Time based aggregation (hide)'!$J:$J,'Time based aggregation (hide)'!$E:$E,13,'Time based aggregation (hide)'!$F:$F,1,'Time based aggregation (hide)'!$A:$A,ROW(A31))</f>
        <v>0</v>
      </c>
      <c r="LQ73" s="6">
        <f>SUMIFS('Time based aggregation (hide)'!$J:$J,'Time based aggregation (hide)'!$E:$E,13,'Time based aggregation (hide)'!$F:$F,2,'Time based aggregation (hide)'!$A:$A,ROW(A31))</f>
        <v>0</v>
      </c>
      <c r="LR73" s="6">
        <f>SUMIFS('Time based aggregation (hide)'!$J:$J,'Time based aggregation (hide)'!$E:$E,13,'Time based aggregation (hide)'!$F:$F,3,'Time based aggregation (hide)'!$A:$A,ROW(A31))</f>
        <v>0</v>
      </c>
      <c r="LS73" s="6">
        <f>SUMIFS('Time based aggregation (hide)'!$J:$J,'Time based aggregation (hide)'!$E:$E,14,'Time based aggregation (hide)'!$F:$F,1,'Time based aggregation (hide)'!$A:$A,ROW(A31))</f>
        <v>0</v>
      </c>
      <c r="LT73" s="6">
        <f>SUMIFS('Time based aggregation (hide)'!$J:$J,'Time based aggregation (hide)'!$E:$E,14,'Time based aggregation (hide)'!$F:$F,2,'Time based aggregation (hide)'!$A:$A,ROW(A31))</f>
        <v>0</v>
      </c>
      <c r="LU73" s="6">
        <f>SUMIFS('Time based aggregation (hide)'!$J:$J,'Time based aggregation (hide)'!$E:$E,14,'Time based aggregation (hide)'!$F:$F,3,'Time based aggregation (hide)'!$A:$A,ROW(A31))</f>
        <v>0</v>
      </c>
      <c r="LV73" s="6">
        <f>SUMIFS('Time based aggregation (hide)'!$J:$J,'Time based aggregation (hide)'!$E:$E,15,'Time based aggregation (hide)'!$F:$F,1,'Time based aggregation (hide)'!$A:$A,ROW(A31))</f>
        <v>0</v>
      </c>
      <c r="LW73" s="6">
        <f>SUMIFS('Time based aggregation (hide)'!$J:$J,'Time based aggregation (hide)'!$E:$E,15,'Time based aggregation (hide)'!$F:$F,2,'Time based aggregation (hide)'!$A:$A,ROW(A31))</f>
        <v>0</v>
      </c>
      <c r="LX73" s="6">
        <f>SUMIFS('Time based aggregation (hide)'!$J:$J,'Time based aggregation (hide)'!$E:$E,15,'Time based aggregation (hide)'!$F:$F,3,'Time based aggregation (hide)'!$A:$A,ROW(A31))</f>
        <v>0</v>
      </c>
      <c r="LY73" s="6">
        <f>SUMIFS('Time based aggregation (hide)'!$J:$J,'Time based aggregation (hide)'!$E:$E,16,'Time based aggregation (hide)'!$F:$F,1,'Time based aggregation (hide)'!$A:$A,ROW(A31))</f>
        <v>0</v>
      </c>
      <c r="LZ73" s="6">
        <f>SUMIFS('Time based aggregation (hide)'!$J:$J,'Time based aggregation (hide)'!$E:$E,16,'Time based aggregation (hide)'!$F:$F,2,'Time based aggregation (hide)'!$A:$A,ROW(A31))</f>
        <v>0</v>
      </c>
      <c r="MA73" s="6">
        <f>SUMIFS('Time based aggregation (hide)'!$J:$J,'Time based aggregation (hide)'!$E:$E,16,'Time based aggregation (hide)'!$F:$F,3,'Time based aggregation (hide)'!$A:$A,ROW(A31))</f>
        <v>0</v>
      </c>
      <c r="MB73" s="6">
        <f>SUMIFS('Time based aggregation (hide)'!$J:$J,'Time based aggregation (hide)'!$E:$E,17,'Time based aggregation (hide)'!$F:$F,1,'Time based aggregation (hide)'!$A:$A,ROW(A31))</f>
        <v>0</v>
      </c>
      <c r="MC73" s="6">
        <f>SUMIFS('Time based aggregation (hide)'!$J:$J,'Time based aggregation (hide)'!$E:$E,17,'Time based aggregation (hide)'!$F:$F,2,'Time based aggregation (hide)'!$A:$A,ROW(A31))</f>
        <v>0</v>
      </c>
      <c r="MD73" s="6">
        <f>SUMIFS('Time based aggregation (hide)'!$J:$J,'Time based aggregation (hide)'!$E:$E,17,'Time based aggregation (hide)'!$F:$F,3,'Time based aggregation (hide)'!$A:$A,ROW(A31))</f>
        <v>0</v>
      </c>
      <c r="ME73" s="6">
        <f>SUMIFS('Time based aggregation (hide)'!$J:$J,'Time based aggregation (hide)'!$E:$E,18,'Time based aggregation (hide)'!$F:$F,1,'Time based aggregation (hide)'!$A:$A,ROW(A31))</f>
        <v>0</v>
      </c>
      <c r="MF73" s="6">
        <f>SUMIFS('Time based aggregation (hide)'!$J:$J,'Time based aggregation (hide)'!$E:$E,18,'Time based aggregation (hide)'!$F:$F,2,'Time based aggregation (hide)'!$A:$A,ROW(A31))</f>
        <v>0</v>
      </c>
      <c r="MG73" s="6">
        <f>SUMIFS('Time based aggregation (hide)'!$J:$J,'Time based aggregation (hide)'!$E:$E,18,'Time based aggregation (hide)'!$F:$F,3,'Time based aggregation (hide)'!$A:$A,ROW(A31))</f>
        <v>0</v>
      </c>
      <c r="MH73" s="6">
        <f>SUMIFS('Time based aggregation (hide)'!$J:$J,'Time based aggregation (hide)'!$E:$E,19,'Time based aggregation (hide)'!$F:$F,1,'Time based aggregation (hide)'!$A:$A,ROW(A31))</f>
        <v>0</v>
      </c>
      <c r="MI73" s="6">
        <f>SUMIFS('Time based aggregation (hide)'!$J:$J,'Time based aggregation (hide)'!$E:$E,19,'Time based aggregation (hide)'!$F:$F,2,'Time based aggregation (hide)'!$A:$A,ROW(A31))</f>
        <v>0</v>
      </c>
      <c r="MJ73" s="6">
        <f>SUMIFS('Time based aggregation (hide)'!$J:$J,'Time based aggregation (hide)'!$E:$E,19,'Time based aggregation (hide)'!$F:$F,3,'Time based aggregation (hide)'!$A:$A,ROW(A31))</f>
        <v>0</v>
      </c>
      <c r="MK73" s="6">
        <f>SUMIFS('Time based aggregation (hide)'!$J:$J,'Time based aggregation (hide)'!$E:$E,20,'Time based aggregation (hide)'!$F:$F,1,'Time based aggregation (hide)'!$A:$A,ROW(A31))</f>
        <v>0</v>
      </c>
      <c r="ML73" s="6">
        <f>SUMIFS('Time based aggregation (hide)'!$J:$J,'Time based aggregation (hide)'!$E:$E,20,'Time based aggregation (hide)'!$F:$F,2,'Time based aggregation (hide)'!$A:$A,ROW(A31))</f>
        <v>0</v>
      </c>
      <c r="MM73" s="6">
        <f>SUMIFS('Time based aggregation (hide)'!$J:$J,'Time based aggregation (hide)'!$E:$E,20,'Time based aggregation (hide)'!$F:$F,3,'Time based aggregation (hide)'!$A:$A,ROW(A31))</f>
        <v>0</v>
      </c>
      <c r="MN73" s="7">
        <f t="shared" ca="1" si="41"/>
        <v>0</v>
      </c>
      <c r="MO73" s="7">
        <f t="shared" ca="1" si="41"/>
        <v>0</v>
      </c>
      <c r="MP73" s="7">
        <f t="shared" ca="1" si="41"/>
        <v>0</v>
      </c>
      <c r="MQ73" s="7">
        <f t="shared" ca="1" si="41"/>
        <v>0</v>
      </c>
      <c r="MR73" s="7">
        <f t="shared" ca="1" si="41"/>
        <v>0</v>
      </c>
    </row>
    <row r="74" spans="1:356" x14ac:dyDescent="0.25">
      <c r="A74">
        <f>1</f>
        <v>1</v>
      </c>
      <c r="B74" s="85">
        <f t="shared" si="37"/>
        <v>43862</v>
      </c>
      <c r="C74" s="85">
        <f t="shared" si="25"/>
        <v>43857</v>
      </c>
      <c r="D74">
        <f t="shared" ca="1" si="26"/>
        <v>0</v>
      </c>
      <c r="E74" s="85">
        <f t="shared" si="27"/>
        <v>43862</v>
      </c>
      <c r="F74">
        <f t="shared" si="33"/>
        <v>5</v>
      </c>
      <c r="H74">
        <f t="shared" si="34"/>
        <v>32</v>
      </c>
      <c r="I74" s="85">
        <f t="shared" si="38"/>
        <v>44046</v>
      </c>
      <c r="J74">
        <f t="shared" ca="1" si="28"/>
        <v>5</v>
      </c>
      <c r="K74">
        <f t="shared" ca="1" si="29"/>
        <v>1.968503937007874E-2</v>
      </c>
      <c r="L74" s="114"/>
      <c r="N74" s="85">
        <f t="shared" si="35"/>
        <v>44046</v>
      </c>
      <c r="O74" s="122">
        <f t="shared" ca="1" si="44"/>
        <v>0</v>
      </c>
      <c r="P74" s="122">
        <f t="shared" ca="1" si="44"/>
        <v>0</v>
      </c>
      <c r="Q74" s="122">
        <f t="shared" ca="1" si="44"/>
        <v>0</v>
      </c>
      <c r="R74" s="122">
        <f t="shared" ca="1" si="44"/>
        <v>0</v>
      </c>
      <c r="S74" s="122">
        <f t="shared" ca="1" si="44"/>
        <v>0</v>
      </c>
      <c r="T74" s="122">
        <f t="shared" ca="1" si="44"/>
        <v>0</v>
      </c>
      <c r="U74" s="122">
        <f t="shared" ca="1" si="44"/>
        <v>0</v>
      </c>
      <c r="V74" s="122">
        <f t="shared" ca="1" si="44"/>
        <v>1</v>
      </c>
      <c r="W74" s="122">
        <f t="shared" ca="1" si="44"/>
        <v>0</v>
      </c>
      <c r="X74" s="122">
        <f t="shared" ca="1" si="44"/>
        <v>0</v>
      </c>
      <c r="Y74" s="122">
        <f t="shared" ca="1" si="44"/>
        <v>0</v>
      </c>
      <c r="Z74" s="122">
        <f t="shared" ca="1" si="44"/>
        <v>0</v>
      </c>
      <c r="AA74" s="122"/>
      <c r="AB74" s="140">
        <f>INDEX('File 1'!Weekly_Adjusted,32,1)</f>
        <v>388.17143954725253</v>
      </c>
      <c r="AC74" s="140">
        <f>INDEX('File 1'!Weekly_Adjusted,32,2)</f>
        <v>0</v>
      </c>
      <c r="AD74" s="140">
        <f>INDEX('File 1'!Weekly_Adjusted,32,3)</f>
        <v>0</v>
      </c>
      <c r="AE74" s="141">
        <f>INDEX('File 2'!Weekly_Adjusted,32,1)</f>
        <v>0</v>
      </c>
      <c r="AF74" s="141">
        <f>INDEX('File 2'!Weekly_Adjusted,32,2)</f>
        <v>0</v>
      </c>
      <c r="AG74" s="141">
        <f>INDEX('File 2'!Weekly_Adjusted,32,3)</f>
        <v>0</v>
      </c>
      <c r="AH74" s="140">
        <f>INDEX('File 3'!Weekly_Adjusted,32,1)</f>
        <v>0</v>
      </c>
      <c r="AI74" s="140">
        <f>INDEX('File 3'!Weekly_Adjusted,32,2)</f>
        <v>0</v>
      </c>
      <c r="AJ74" s="140">
        <f>INDEX('File 3'!Weekly_Adjusted,32,3)</f>
        <v>0</v>
      </c>
      <c r="AK74" s="141">
        <f>INDEX('File 4'!Weekly_Adjusted,32,1)</f>
        <v>0</v>
      </c>
      <c r="AL74" s="141">
        <f>INDEX('File 4'!Weekly_Adjusted,32,2)</f>
        <v>0</v>
      </c>
      <c r="AM74" s="141">
        <f>INDEX('File 4'!Weekly_Adjusted,32,3)</f>
        <v>0</v>
      </c>
      <c r="AN74" s="140">
        <f>INDEX('File 5'!Weekly_Adjusted,32,1)</f>
        <v>0</v>
      </c>
      <c r="AO74" s="140">
        <f>INDEX('File 5'!Weekly_Adjusted,32,2)</f>
        <v>0</v>
      </c>
      <c r="AP74" s="140">
        <f>INDEX('File 5'!Weekly_Adjusted,32,3)</f>
        <v>0</v>
      </c>
      <c r="AQ74" s="141">
        <f>INDEX('File 6'!Weekly_Adjusted,32,1)</f>
        <v>0</v>
      </c>
      <c r="AR74" s="141">
        <f>INDEX('File 6'!Weekly_Adjusted,32,2)</f>
        <v>0</v>
      </c>
      <c r="AS74" s="141">
        <f>INDEX('File 6'!Weekly_Adjusted,32,3)</f>
        <v>0</v>
      </c>
      <c r="AT74" s="140">
        <f>INDEX('File 7'!Weekly_Adjusted,32,1)</f>
        <v>0</v>
      </c>
      <c r="AU74" s="140">
        <f>INDEX('File 7'!Weekly_Adjusted,32,2)</f>
        <v>0</v>
      </c>
      <c r="AV74" s="140">
        <f>INDEX('File 7'!Weekly_Adjusted,32,3)</f>
        <v>0</v>
      </c>
      <c r="AW74" s="141">
        <f>INDEX('File 8'!Weekly_Adjusted,32,1)</f>
        <v>0</v>
      </c>
      <c r="AX74" s="141">
        <f>INDEX('File 8'!Weekly_Adjusted,32,2)</f>
        <v>0</v>
      </c>
      <c r="AY74" s="141">
        <f>INDEX('File 8'!Weekly_Adjusted,32,3)</f>
        <v>0</v>
      </c>
      <c r="AZ74" s="140">
        <f>INDEX('File 9'!Weekly_Adjusted,32,1)</f>
        <v>0</v>
      </c>
      <c r="BA74" s="140">
        <f>INDEX('File 9'!Weekly_Adjusted,32,2)</f>
        <v>0</v>
      </c>
      <c r="BB74" s="140">
        <f>INDEX('File 9'!Weekly_Adjusted,32,3)</f>
        <v>0</v>
      </c>
      <c r="BC74" s="141">
        <f>INDEX('File 10'!Weekly_Adjusted,32,1)</f>
        <v>0</v>
      </c>
      <c r="BD74" s="141">
        <f>INDEX('File 10'!Weekly_Adjusted,32,2)</f>
        <v>0</v>
      </c>
      <c r="BE74" s="141">
        <f>INDEX('File 10'!Weekly_Adjusted,32,3)</f>
        <v>0</v>
      </c>
      <c r="BF74" s="140">
        <f>INDEX('File 11'!Weekly_Adjusted,32,1)</f>
        <v>0</v>
      </c>
      <c r="BG74" s="140">
        <f>INDEX('File 11'!Weekly_Adjusted,32,2)</f>
        <v>0</v>
      </c>
      <c r="BH74" s="140">
        <f>INDEX('File 11'!Weekly_Adjusted,32,3)</f>
        <v>0</v>
      </c>
      <c r="BI74" s="141">
        <f>INDEX('File 12'!Weekly_Adjusted,32,1)</f>
        <v>0</v>
      </c>
      <c r="BJ74" s="141">
        <f>INDEX('File 12'!Weekly_Adjusted,32,2)</f>
        <v>0</v>
      </c>
      <c r="BK74" s="141">
        <f>INDEX('File 12'!Weekly_Adjusted,32,3)</f>
        <v>0</v>
      </c>
      <c r="BL74" s="140">
        <f>INDEX('File 13'!Weekly_Adjusted,32,1)</f>
        <v>0</v>
      </c>
      <c r="BM74" s="140">
        <f>INDEX('File 13'!Weekly_Adjusted,32,2)</f>
        <v>0</v>
      </c>
      <c r="BN74" s="140">
        <f>INDEX('File 13'!Weekly_Adjusted,32,3)</f>
        <v>0</v>
      </c>
      <c r="BO74" s="141">
        <f>INDEX('File 14'!Weekly_Adjusted,32,1)</f>
        <v>0</v>
      </c>
      <c r="BP74" s="141">
        <f>INDEX('File 14'!Weekly_Adjusted,32,2)</f>
        <v>0</v>
      </c>
      <c r="BQ74" s="141">
        <f>INDEX('File 14'!Weekly_Adjusted,32,3)</f>
        <v>0</v>
      </c>
      <c r="BR74" s="140">
        <f>INDEX('File 15'!Weekly_Adjusted,32,1)</f>
        <v>0</v>
      </c>
      <c r="BS74" s="140">
        <f>INDEX('File 15'!Weekly_Adjusted,32,2)</f>
        <v>0</v>
      </c>
      <c r="BT74" s="140">
        <f>INDEX('File 15'!Weekly_Adjusted,32,3)</f>
        <v>0</v>
      </c>
      <c r="BU74" s="141">
        <f>INDEX('File 16'!Weekly_Adjusted,32,1)</f>
        <v>0</v>
      </c>
      <c r="BV74" s="141">
        <f>INDEX('File 16'!Weekly_Adjusted,32,2)</f>
        <v>0</v>
      </c>
      <c r="BW74" s="141">
        <f>INDEX('File 16'!Weekly_Adjusted,32,3)</f>
        <v>0</v>
      </c>
      <c r="BX74" s="140">
        <f>INDEX('File 17'!Weekly_Adjusted,32,1)</f>
        <v>0</v>
      </c>
      <c r="BY74" s="140">
        <f>INDEX('File 17'!Weekly_Adjusted,32,2)</f>
        <v>0</v>
      </c>
      <c r="BZ74" s="140">
        <f>INDEX('File 17'!Weekly_Adjusted,32,3)</f>
        <v>0</v>
      </c>
      <c r="CA74" s="141">
        <f>INDEX('File 18'!Weekly_Adjusted,32,1)</f>
        <v>0</v>
      </c>
      <c r="CB74" s="141">
        <f>INDEX('File 18'!Weekly_Adjusted,32,2)</f>
        <v>0</v>
      </c>
      <c r="CC74" s="141">
        <f>INDEX('File 18'!Weekly_Adjusted,32,3)</f>
        <v>0</v>
      </c>
      <c r="CD74" s="140">
        <f>INDEX('File 19'!Weekly_Adjusted,32,1)</f>
        <v>0</v>
      </c>
      <c r="CE74" s="140">
        <f>INDEX('File 19'!Weekly_Adjusted,32,2)</f>
        <v>0</v>
      </c>
      <c r="CF74" s="140">
        <f>INDEX('File 19'!Weekly_Adjusted,32,3)</f>
        <v>0</v>
      </c>
      <c r="CG74" s="141">
        <f>INDEX('File 20'!Weekly_Adjusted,32,1)</f>
        <v>0</v>
      </c>
      <c r="CH74" s="141">
        <f>INDEX('File 20'!Weekly_Adjusted,32,2)</f>
        <v>0</v>
      </c>
      <c r="CI74" s="141">
        <f>INDEX('File 20'!Weekly_Adjusted,32,3)</f>
        <v>0</v>
      </c>
      <c r="CJ74" s="6">
        <f ca="1">SUMIFS(INDEX(Demand_Activity_Weekly,ROW(A32),0),Demand_Activity_Weekly_Header,CJ$42)</f>
        <v>388.17143954725253</v>
      </c>
      <c r="CK74" s="6">
        <f ca="1">SUMIFS(INDEX(Demand_Activity_Weekly,ROW(B32),0),Demand_Activity_Weekly_Header,CK$42)</f>
        <v>0</v>
      </c>
      <c r="CL74" s="6">
        <f ca="1">SUMIFS(INDEX(Demand_Activity_Weekly,ROW(C32),0),Demand_Activity_Weekly_Header,CL$42)</f>
        <v>0</v>
      </c>
      <c r="CM74" s="6">
        <f ca="1">SUMIFS(INDEX(Demand_Activity_Weekly,ROW(D32),0),Demand_Activity_Weekly_Header,CM$42)</f>
        <v>0</v>
      </c>
      <c r="CN74" s="6">
        <f ca="1">SUMIFS(INDEX(Demand_Activity_Weekly,ROW(E32),0),Demand_Activity_Weekly_Header,CN$42)</f>
        <v>0</v>
      </c>
      <c r="CP74" s="142">
        <f>INDEX('File 1'!Weekly_Adjusted,32,10)</f>
        <v>24.344712210866053</v>
      </c>
      <c r="CQ74" s="142">
        <f>INDEX('File 1'!Weekly_Adjusted,32,11)</f>
        <v>0</v>
      </c>
      <c r="CR74" s="142">
        <f>INDEX('File 1'!Weekly_Adjusted,32,12)</f>
        <v>0</v>
      </c>
      <c r="CS74" s="143">
        <f>INDEX('File 2'!Weekly_Adjusted,32,10)</f>
        <v>0</v>
      </c>
      <c r="CT74" s="143">
        <f>INDEX('File 2'!Weekly_Adjusted,32,11)</f>
        <v>0</v>
      </c>
      <c r="CU74" s="143">
        <f>INDEX('File 2'!Weekly_Adjusted,32,12)</f>
        <v>0</v>
      </c>
      <c r="CV74" s="142">
        <f>INDEX('File 3'!Weekly_Adjusted,32,10)</f>
        <v>0</v>
      </c>
      <c r="CW74" s="142">
        <f>INDEX('File 3'!Weekly_Adjusted,32,11)</f>
        <v>0</v>
      </c>
      <c r="CX74" s="142">
        <f>INDEX('File 3'!Weekly_Adjusted,32,12)</f>
        <v>0</v>
      </c>
      <c r="CY74" s="143">
        <f>INDEX('File 4'!Weekly_Adjusted,32,10)</f>
        <v>0</v>
      </c>
      <c r="CZ74" s="143">
        <f>INDEX('File 4'!Weekly_Adjusted,32,11)</f>
        <v>0</v>
      </c>
      <c r="DA74" s="143">
        <f>INDEX('File 4'!Weekly_Adjusted,32,12)</f>
        <v>0</v>
      </c>
      <c r="DB74" s="142">
        <f>INDEX('File 5'!Weekly_Adjusted,32,10)</f>
        <v>0</v>
      </c>
      <c r="DC74" s="142">
        <f>INDEX('File 5'!Weekly_Adjusted,32,11)</f>
        <v>0</v>
      </c>
      <c r="DD74" s="142">
        <f>INDEX('File 5'!Weekly_Adjusted,32,12)</f>
        <v>0</v>
      </c>
      <c r="DE74" s="143">
        <f>INDEX('File 6'!Weekly_Adjusted,32,10)</f>
        <v>0</v>
      </c>
      <c r="DF74" s="143">
        <f>INDEX('File 6'!Weekly_Adjusted,32,11)</f>
        <v>0</v>
      </c>
      <c r="DG74" s="143">
        <f>INDEX('File 6'!Weekly_Adjusted,32,12)</f>
        <v>0</v>
      </c>
      <c r="DH74" s="142">
        <f>INDEX('File 7'!Weekly_Adjusted,32,10)</f>
        <v>0</v>
      </c>
      <c r="DI74" s="142">
        <f>INDEX('File 7'!Weekly_Adjusted,32,11)</f>
        <v>0</v>
      </c>
      <c r="DJ74" s="142">
        <f>INDEX('File 7'!Weekly_Adjusted,32,12)</f>
        <v>0</v>
      </c>
      <c r="DK74" s="143">
        <f>INDEX('File 8'!Weekly_Adjusted,32,10)</f>
        <v>0</v>
      </c>
      <c r="DL74" s="143">
        <f>INDEX('File 8'!Weekly_Adjusted,32,11)</f>
        <v>0</v>
      </c>
      <c r="DM74" s="143">
        <f>INDEX('File 8'!Weekly_Adjusted,32,12)</f>
        <v>0</v>
      </c>
      <c r="DN74" s="142">
        <f>INDEX('File 9'!Weekly_Adjusted,32,10)</f>
        <v>0</v>
      </c>
      <c r="DO74" s="142">
        <f>INDEX('File 9'!Weekly_Adjusted,32,11)</f>
        <v>0</v>
      </c>
      <c r="DP74" s="142">
        <f>INDEX('File 9'!Weekly_Adjusted,32,12)</f>
        <v>0</v>
      </c>
      <c r="DQ74" s="143">
        <f>INDEX('File 10'!Weekly_Adjusted,32,10)</f>
        <v>0</v>
      </c>
      <c r="DR74" s="143">
        <f>INDEX('File 10'!Weekly_Adjusted,32,11)</f>
        <v>0</v>
      </c>
      <c r="DS74" s="143">
        <f>INDEX('File 10'!Weekly_Adjusted,32,12)</f>
        <v>0</v>
      </c>
      <c r="DT74" s="142">
        <f>INDEX('File 11'!Weekly_Adjusted,32,10)</f>
        <v>0</v>
      </c>
      <c r="DU74" s="142">
        <f>INDEX('File 11'!Weekly_Adjusted,32,11)</f>
        <v>0</v>
      </c>
      <c r="DV74" s="142">
        <f>INDEX('File 11'!Weekly_Adjusted,32,12)</f>
        <v>0</v>
      </c>
      <c r="DW74" s="143">
        <f>INDEX('File 12'!Weekly_Adjusted,32,10)</f>
        <v>0</v>
      </c>
      <c r="DX74" s="143">
        <f>INDEX('File 12'!Weekly_Adjusted,32,11)</f>
        <v>0</v>
      </c>
      <c r="DY74" s="143">
        <f>INDEX('File 12'!Weekly_Adjusted,32,12)</f>
        <v>0</v>
      </c>
      <c r="DZ74" s="142">
        <f>INDEX('File 13'!Weekly_Adjusted,32,10)</f>
        <v>0</v>
      </c>
      <c r="EA74" s="142">
        <f>INDEX('File 13'!Weekly_Adjusted,32,11)</f>
        <v>0</v>
      </c>
      <c r="EB74" s="142">
        <f>INDEX('File 13'!Weekly_Adjusted,32,12)</f>
        <v>0</v>
      </c>
      <c r="EC74" s="143">
        <f>INDEX('File 14'!Weekly_Adjusted,32,10)</f>
        <v>0</v>
      </c>
      <c r="ED74" s="143">
        <f>INDEX('File 14'!Weekly_Adjusted,32,11)</f>
        <v>0</v>
      </c>
      <c r="EE74" s="143">
        <f>INDEX('File 14'!Weekly_Adjusted,32,12)</f>
        <v>0</v>
      </c>
      <c r="EF74" s="142">
        <f>INDEX('File 15'!Weekly_Adjusted,32,10)</f>
        <v>0</v>
      </c>
      <c r="EG74" s="142">
        <f>INDEX('File 15'!Weekly_Adjusted,32,11)</f>
        <v>0</v>
      </c>
      <c r="EH74" s="142">
        <f>INDEX('File 15'!Weekly_Adjusted,32,12)</f>
        <v>0</v>
      </c>
      <c r="EI74" s="143">
        <f>INDEX('File 16'!Weekly_Adjusted,32,10)</f>
        <v>0</v>
      </c>
      <c r="EJ74" s="143">
        <f>INDEX('File 16'!Weekly_Adjusted,32,11)</f>
        <v>0</v>
      </c>
      <c r="EK74" s="143">
        <f>INDEX('File 16'!Weekly_Adjusted,32,12)</f>
        <v>0</v>
      </c>
      <c r="EL74" s="142">
        <f>INDEX('File 17'!Weekly_Adjusted,32,10)</f>
        <v>0</v>
      </c>
      <c r="EM74" s="142">
        <f>INDEX('File 17'!Weekly_Adjusted,32,11)</f>
        <v>0</v>
      </c>
      <c r="EN74" s="142">
        <f>INDEX('File 17'!Weekly_Adjusted,32,12)</f>
        <v>0</v>
      </c>
      <c r="EO74" s="143">
        <f>INDEX('File 18'!Weekly_Adjusted,32,10)</f>
        <v>0</v>
      </c>
      <c r="EP74" s="143">
        <f>INDEX('File 18'!Weekly_Adjusted,32,11)</f>
        <v>0</v>
      </c>
      <c r="EQ74" s="143">
        <f>INDEX('File 18'!Weekly_Adjusted,32,12)</f>
        <v>0</v>
      </c>
      <c r="ER74" s="142">
        <f>INDEX('File 19'!Weekly_Adjusted,32,10)</f>
        <v>0</v>
      </c>
      <c r="ES74" s="142">
        <f>INDEX('File 19'!Weekly_Adjusted,32,11)</f>
        <v>0</v>
      </c>
      <c r="ET74" s="142">
        <f>INDEX('File 19'!Weekly_Adjusted,32,12)</f>
        <v>0</v>
      </c>
      <c r="EU74" s="143">
        <f>INDEX('File 20'!Weekly_Adjusted,32,10)</f>
        <v>0</v>
      </c>
      <c r="EV74" s="143">
        <f>INDEX('File 20'!Weekly_Adjusted,32,11)</f>
        <v>0</v>
      </c>
      <c r="EW74" s="143">
        <f>INDEX('File 20'!Weekly_Adjusted,32,12)</f>
        <v>0</v>
      </c>
      <c r="EX74" s="6">
        <f ca="1">SUMIFS(INDEX(Capacity_Activity_Weekly,ROW(A32),0),Demand_Activity_Weekly_Header,CJ$42)</f>
        <v>24.344712210866053</v>
      </c>
      <c r="EY74" s="6">
        <f ca="1">SUMIFS(INDEX(Capacity_Activity_Weekly,ROW(B32),0),Demand_Activity_Weekly_Header,CK$42)</f>
        <v>0</v>
      </c>
      <c r="EZ74" s="6">
        <f ca="1">SUMIFS(INDEX(Capacity_Activity_Weekly,ROW(C32),0),Demand_Activity_Weekly_Header,CL$42)</f>
        <v>0</v>
      </c>
      <c r="FA74" s="6">
        <f ca="1">SUMIFS(INDEX(Capacity_Activity_Weekly,ROW(D32),0),Demand_Activity_Weekly_Header,CM$42)</f>
        <v>0</v>
      </c>
      <c r="FB74" s="6">
        <f ca="1">SUMIFS(INDEX(Capacity_Activity_Weekly,ROW(E32),0),Demand_Activity_Weekly_Header,CN$42)</f>
        <v>0</v>
      </c>
      <c r="FD74" s="7">
        <f>'File 1'!$Q$54*'Time based aggregation (hide)'!$Q36</f>
        <v>0</v>
      </c>
      <c r="FE74" s="7">
        <f>'File 1'!$R$54*'Time based aggregation (hide)'!$R36</f>
        <v>0</v>
      </c>
      <c r="FF74" s="7">
        <f>'File 1'!$S$54*'Time based aggregation (hide)'!$S36</f>
        <v>0</v>
      </c>
      <c r="FG74" s="7">
        <f>'File 2'!$Q$54*'Time based aggregation (hide)'!$T36</f>
        <v>0</v>
      </c>
      <c r="FH74" s="7">
        <f>'File 2'!$R$54*'Time based aggregation (hide)'!$U36</f>
        <v>0</v>
      </c>
      <c r="FI74" s="7">
        <f>'File 2'!$S$54*'Time based aggregation (hide)'!$V36</f>
        <v>0</v>
      </c>
      <c r="FJ74" s="7">
        <f>'File 3'!$Q$54*'Time based aggregation (hide)'!$W36</f>
        <v>0</v>
      </c>
      <c r="FK74" s="7">
        <f>'File 3'!$R$54*'Time based aggregation (hide)'!$X36</f>
        <v>0</v>
      </c>
      <c r="FL74" s="7">
        <f>'File 3'!$S$54*'Time based aggregation (hide)'!$Y36</f>
        <v>0</v>
      </c>
      <c r="FM74" s="7">
        <f>'File 4'!$Q$54*'Time based aggregation (hide)'!$Z36</f>
        <v>0</v>
      </c>
      <c r="FN74" s="7">
        <f>'File 4'!$R$54*'Time based aggregation (hide)'!$AA36</f>
        <v>0</v>
      </c>
      <c r="FO74" s="7">
        <f>'File 4'!$S$54*'Time based aggregation (hide)'!$AB36</f>
        <v>0</v>
      </c>
      <c r="FP74" s="7">
        <f>'File 5'!$Q$54*'Time based aggregation (hide)'!$AC36</f>
        <v>0</v>
      </c>
      <c r="FQ74" s="7">
        <f>'File 5'!$R$54*'Time based aggregation (hide)'!$AD36</f>
        <v>0</v>
      </c>
      <c r="FR74" s="7">
        <f>'File 5'!$S$54*'Time based aggregation (hide)'!$AE36</f>
        <v>0</v>
      </c>
      <c r="FS74" s="7">
        <f>'File 6'!$Q$54*'Time based aggregation (hide)'!$AF36</f>
        <v>0</v>
      </c>
      <c r="FT74" s="7">
        <f>'File 6'!$R$54*'Time based aggregation (hide)'!$AG36</f>
        <v>0</v>
      </c>
      <c r="FU74" s="7">
        <f>'File 6'!$S$54*'Time based aggregation (hide)'!$AH36</f>
        <v>0</v>
      </c>
      <c r="FV74" s="7">
        <f>'File 7'!$Q$54*'Time based aggregation (hide)'!$AI36</f>
        <v>0</v>
      </c>
      <c r="FW74" s="7">
        <f>'File 7'!$R$54*'Time based aggregation (hide)'!$AJ36</f>
        <v>0</v>
      </c>
      <c r="FX74" s="7">
        <f>'File 7'!$S$54*'Time based aggregation (hide)'!$AK36</f>
        <v>0</v>
      </c>
      <c r="FY74" s="7">
        <f>'File 8'!$Q$54*'Time based aggregation (hide)'!$AL36</f>
        <v>0</v>
      </c>
      <c r="FZ74" s="7">
        <f>'File 8'!$R$54*'Time based aggregation (hide)'!$AM36</f>
        <v>0</v>
      </c>
      <c r="GA74" s="7">
        <f>'File 8'!$S$54*'Time based aggregation (hide)'!$AN36</f>
        <v>0</v>
      </c>
      <c r="GB74" s="7">
        <f>'File 9'!$Q$54*'Time based aggregation (hide)'!$AO36</f>
        <v>0</v>
      </c>
      <c r="GC74" s="7">
        <f>'File 9'!$R$54*'Time based aggregation (hide)'!$AP36</f>
        <v>0</v>
      </c>
      <c r="GD74" s="7">
        <f>'File 9'!$S$54*'Time based aggregation (hide)'!$AQ36</f>
        <v>0</v>
      </c>
      <c r="GE74" s="7">
        <f>'File 10'!$Q$54*'Time based aggregation (hide)'!$AR36</f>
        <v>0</v>
      </c>
      <c r="GF74" s="7">
        <f>'File 10'!$R$54*'Time based aggregation (hide)'!$AS36</f>
        <v>0</v>
      </c>
      <c r="GG74" s="7">
        <f>'File 10'!$S$54*'Time based aggregation (hide)'!$AT36</f>
        <v>0</v>
      </c>
      <c r="GH74" s="7">
        <f>'File 11'!$Q$54*'Time based aggregation (hide)'!$AU36</f>
        <v>0</v>
      </c>
      <c r="GI74" s="7">
        <f>'File 11'!$R$54*'Time based aggregation (hide)'!$AV36</f>
        <v>0</v>
      </c>
      <c r="GJ74" s="7">
        <f>'File 11'!$S$54*'Time based aggregation (hide)'!$AW36</f>
        <v>0</v>
      </c>
      <c r="GK74" s="7">
        <f>'File 12'!$Q$54*'Time based aggregation (hide)'!$AX36</f>
        <v>0</v>
      </c>
      <c r="GL74" s="7">
        <f>'File 12'!$R$54*'Time based aggregation (hide)'!$AY36</f>
        <v>0</v>
      </c>
      <c r="GM74" s="7">
        <f>'File 12'!$S$54*'Time based aggregation (hide)'!$AZ36</f>
        <v>0</v>
      </c>
      <c r="GN74" s="7">
        <f>'File 13'!$Q$54*'Time based aggregation (hide)'!$BA36</f>
        <v>0</v>
      </c>
      <c r="GO74" s="7">
        <f>'File 13'!$R$54*'Time based aggregation (hide)'!$BB36</f>
        <v>0</v>
      </c>
      <c r="GP74" s="7">
        <f>'File 13'!$S$54*'Time based aggregation (hide)'!$BC36</f>
        <v>0</v>
      </c>
      <c r="GQ74" s="7">
        <f>'File 14'!$Q$54*'Time based aggregation (hide)'!$BD36</f>
        <v>0</v>
      </c>
      <c r="GR74" s="7">
        <f>'File 14'!$R$54*'Time based aggregation (hide)'!$BE36</f>
        <v>0</v>
      </c>
      <c r="GS74" s="7">
        <f>'File 14'!$S$54*'Time based aggregation (hide)'!$BF36</f>
        <v>0</v>
      </c>
      <c r="GT74" s="7">
        <f>'File 15'!$Q$54*'Time based aggregation (hide)'!$BG36</f>
        <v>0</v>
      </c>
      <c r="GU74" s="7">
        <f>'File 15'!$R$54*'Time based aggregation (hide)'!$BH36</f>
        <v>0</v>
      </c>
      <c r="GV74" s="7">
        <f>'File 15'!$S$54*'Time based aggregation (hide)'!$BI36</f>
        <v>0</v>
      </c>
      <c r="GW74" s="7">
        <f>'File 16'!$Q$54*'Time based aggregation (hide)'!$BJ36</f>
        <v>0</v>
      </c>
      <c r="GX74" s="7">
        <f>'File 16'!$R$54*'Time based aggregation (hide)'!$BK36</f>
        <v>0</v>
      </c>
      <c r="GY74" s="7">
        <f>'File 16'!$S$54*'Time based aggregation (hide)'!$BL36</f>
        <v>0</v>
      </c>
      <c r="GZ74" s="7">
        <f>'File 17'!$Q$54*'Time based aggregation (hide)'!$BM36</f>
        <v>0</v>
      </c>
      <c r="HA74" s="7">
        <f>'File 17'!$R$54*'Time based aggregation (hide)'!$BN36</f>
        <v>0</v>
      </c>
      <c r="HB74" s="7">
        <f>'File 17'!$S$54*'Time based aggregation (hide)'!$BO36</f>
        <v>0</v>
      </c>
      <c r="HC74" s="7">
        <f>'File 18'!$Q$54*'Time based aggregation (hide)'!$BP36</f>
        <v>0</v>
      </c>
      <c r="HD74" s="7">
        <f>'File 18'!$R$54*'Time based aggregation (hide)'!$BQ36</f>
        <v>0</v>
      </c>
      <c r="HE74" s="7">
        <f>'File 18'!$S$54*'Time based aggregation (hide)'!$BR36</f>
        <v>0</v>
      </c>
      <c r="HF74" s="7">
        <f>'File 19'!$Q$54*'Time based aggregation (hide)'!$BS36</f>
        <v>0</v>
      </c>
      <c r="HG74" s="7">
        <f>'File 19'!$R$54*'Time based aggregation (hide)'!$BT36</f>
        <v>0</v>
      </c>
      <c r="HH74" s="7">
        <f>'File 19'!$S$54*'Time based aggregation (hide)'!$BU36</f>
        <v>0</v>
      </c>
      <c r="HI74" s="7">
        <f>'File 20'!$Q$54*'Time based aggregation (hide)'!$BV36</f>
        <v>0</v>
      </c>
      <c r="HJ74" s="7">
        <f>'File 20'!$R$54*'Time based aggregation (hide)'!$BW36</f>
        <v>0</v>
      </c>
      <c r="HK74" s="7">
        <f>'File 20'!$S$54*'Time based aggregation (hide)'!$BX36</f>
        <v>0</v>
      </c>
      <c r="HL74" s="7">
        <f t="shared" ca="1" si="45"/>
        <v>0</v>
      </c>
      <c r="HM74" s="7">
        <f t="shared" ca="1" si="45"/>
        <v>0</v>
      </c>
      <c r="HN74" s="7">
        <f t="shared" ca="1" si="45"/>
        <v>0</v>
      </c>
      <c r="HO74" s="7">
        <f t="shared" ca="1" si="45"/>
        <v>0</v>
      </c>
      <c r="HP74" s="7">
        <f t="shared" ca="1" si="45"/>
        <v>0</v>
      </c>
      <c r="HR74" s="142">
        <f>INDEX('File 1'!Weekly_Adjusted,32,16)</f>
        <v>20.933351264120493</v>
      </c>
      <c r="HS74" s="142">
        <f>INDEX('File 1'!Weekly_Adjusted,32,17)</f>
        <v>0</v>
      </c>
      <c r="HT74" s="142">
        <f>INDEX('File 1'!Weekly_Adjusted,32,18)</f>
        <v>0</v>
      </c>
      <c r="HU74" s="143">
        <f>INDEX('File 2'!Weekly_Adjusted,32,16)</f>
        <v>0</v>
      </c>
      <c r="HV74" s="143">
        <f>INDEX('File 2'!Weekly_Adjusted,32,17)</f>
        <v>0</v>
      </c>
      <c r="HW74" s="143">
        <f>INDEX('File 2'!Weekly_Adjusted,32,18)</f>
        <v>0</v>
      </c>
      <c r="HX74" s="142">
        <f>INDEX('File 3'!Weekly_Adjusted,32,16)</f>
        <v>0</v>
      </c>
      <c r="HY74" s="142">
        <f>INDEX('File 3'!Weekly_Adjusted,32,17)</f>
        <v>0</v>
      </c>
      <c r="HZ74" s="142">
        <f>INDEX('File 3'!Weekly_Adjusted,32,18)</f>
        <v>0</v>
      </c>
      <c r="IA74" s="143">
        <f>INDEX('File 4'!Weekly_Adjusted,32,16)</f>
        <v>0</v>
      </c>
      <c r="IB74" s="143">
        <f>INDEX('File 4'!Weekly_Adjusted,32,17)</f>
        <v>0</v>
      </c>
      <c r="IC74" s="143">
        <f>INDEX('File 4'!Weekly_Adjusted,32,18)</f>
        <v>0</v>
      </c>
      <c r="ID74" s="142">
        <f>INDEX('File 5'!Weekly_Adjusted,32,16)</f>
        <v>0</v>
      </c>
      <c r="IE74" s="142">
        <f>INDEX('File 5'!Weekly_Adjusted,32,17)</f>
        <v>0</v>
      </c>
      <c r="IF74" s="142">
        <f>INDEX('File 5'!Weekly_Adjusted,32,18)</f>
        <v>0</v>
      </c>
      <c r="IG74" s="143">
        <f>INDEX('File 6'!Weekly_Adjusted,32,16)</f>
        <v>0</v>
      </c>
      <c r="IH74" s="143">
        <f>INDEX('File 6'!Weekly_Adjusted,32,17)</f>
        <v>0</v>
      </c>
      <c r="II74" s="143">
        <f>INDEX('File 6'!Weekly_Adjusted,32,18)</f>
        <v>0</v>
      </c>
      <c r="IJ74" s="142">
        <f>INDEX('File 7'!Weekly_Adjusted,32,16)</f>
        <v>0</v>
      </c>
      <c r="IK74" s="142">
        <f>INDEX('File 7'!Weekly_Adjusted,32,17)</f>
        <v>0</v>
      </c>
      <c r="IL74" s="142">
        <f>INDEX('File 7'!Weekly_Adjusted,32,18)</f>
        <v>0</v>
      </c>
      <c r="IM74" s="143">
        <f>INDEX('File 8'!Weekly_Adjusted,32,16)</f>
        <v>0</v>
      </c>
      <c r="IN74" s="143">
        <f>INDEX('File 8'!Weekly_Adjusted,32,17)</f>
        <v>0</v>
      </c>
      <c r="IO74" s="143">
        <f>INDEX('File 8'!Weekly_Adjusted,32,18)</f>
        <v>0</v>
      </c>
      <c r="IP74" s="142">
        <f>INDEX('File 9'!Weekly_Adjusted,32,16)</f>
        <v>0</v>
      </c>
      <c r="IQ74" s="142">
        <f>INDEX('File 9'!Weekly_Adjusted,32,17)</f>
        <v>0</v>
      </c>
      <c r="IR74" s="142">
        <f>INDEX('File 9'!Weekly_Adjusted,32,18)</f>
        <v>0</v>
      </c>
      <c r="IS74" s="143">
        <f>INDEX('File 10'!Weekly_Adjusted,32,16)</f>
        <v>0</v>
      </c>
      <c r="IT74" s="143">
        <f>INDEX('File 10'!Weekly_Adjusted,32,17)</f>
        <v>0</v>
      </c>
      <c r="IU74" s="143">
        <f>INDEX('File 10'!Weekly_Adjusted,32,18)</f>
        <v>0</v>
      </c>
      <c r="IV74" s="142">
        <f>INDEX('File 11'!Weekly_Adjusted,32,16)</f>
        <v>0</v>
      </c>
      <c r="IW74" s="142">
        <f>INDEX('File 11'!Weekly_Adjusted,32,17)</f>
        <v>0</v>
      </c>
      <c r="IX74" s="142">
        <f>INDEX('File 11'!Weekly_Adjusted,32,18)</f>
        <v>0</v>
      </c>
      <c r="IY74" s="143">
        <f>INDEX('File 12'!Weekly_Adjusted,32,16)</f>
        <v>0</v>
      </c>
      <c r="IZ74" s="143">
        <f>INDEX('File 12'!Weekly_Adjusted,32,17)</f>
        <v>0</v>
      </c>
      <c r="JA74" s="143">
        <f>INDEX('File 12'!Weekly_Adjusted,32,18)</f>
        <v>0</v>
      </c>
      <c r="JB74" s="142">
        <f>INDEX('File 13'!Weekly_Adjusted,32,16)</f>
        <v>0</v>
      </c>
      <c r="JC74" s="142">
        <f>INDEX('File 13'!Weekly_Adjusted,32,17)</f>
        <v>0</v>
      </c>
      <c r="JD74" s="142">
        <f>INDEX('File 13'!Weekly_Adjusted,32,18)</f>
        <v>0</v>
      </c>
      <c r="JE74" s="143">
        <f>INDEX('File 14'!Weekly_Adjusted,32,16)</f>
        <v>0</v>
      </c>
      <c r="JF74" s="143">
        <f>INDEX('File 14'!Weekly_Adjusted,32,17)</f>
        <v>0</v>
      </c>
      <c r="JG74" s="143">
        <f>INDEX('File 14'!Weekly_Adjusted,32,18)</f>
        <v>0</v>
      </c>
      <c r="JH74" s="142">
        <f>INDEX('File 15'!Weekly_Adjusted,32,16)</f>
        <v>0</v>
      </c>
      <c r="JI74" s="142">
        <f>INDEX('File 15'!Weekly_Adjusted,32,17)</f>
        <v>0</v>
      </c>
      <c r="JJ74" s="142">
        <f>INDEX('File 15'!Weekly_Adjusted,32,18)</f>
        <v>0</v>
      </c>
      <c r="JK74" s="143">
        <f>INDEX('File 16'!Weekly_Adjusted,32,16)</f>
        <v>0</v>
      </c>
      <c r="JL74" s="143">
        <f>INDEX('File 16'!Weekly_Adjusted,32,17)</f>
        <v>0</v>
      </c>
      <c r="JM74" s="143">
        <f>INDEX('File 16'!Weekly_Adjusted,32,18)</f>
        <v>0</v>
      </c>
      <c r="JN74" s="142">
        <f>INDEX('File 17'!Weekly_Adjusted,32,16)</f>
        <v>0</v>
      </c>
      <c r="JO74" s="142">
        <f>INDEX('File 17'!Weekly_Adjusted,32,17)</f>
        <v>0</v>
      </c>
      <c r="JP74" s="142">
        <f>INDEX('File 17'!Weekly_Adjusted,32,18)</f>
        <v>0</v>
      </c>
      <c r="JQ74" s="143">
        <f>INDEX('File 18'!Weekly_Adjusted,32,16)</f>
        <v>0</v>
      </c>
      <c r="JR74" s="143">
        <f>INDEX('File 18'!Weekly_Adjusted,32,17)</f>
        <v>0</v>
      </c>
      <c r="JS74" s="143">
        <f>INDEX('File 18'!Weekly_Adjusted,32,18)</f>
        <v>0</v>
      </c>
      <c r="JT74" s="142">
        <f>INDEX('File 19'!Weekly_Adjusted,32,16)</f>
        <v>0</v>
      </c>
      <c r="JU74" s="142">
        <f>INDEX('File 19'!Weekly_Adjusted,32,17)</f>
        <v>0</v>
      </c>
      <c r="JV74" s="142">
        <f>INDEX('File 19'!Weekly_Adjusted,32,18)</f>
        <v>0</v>
      </c>
      <c r="JW74" s="143">
        <f>INDEX('File 20'!Weekly_Adjusted,32,16)</f>
        <v>0</v>
      </c>
      <c r="JX74" s="143">
        <f>INDEX('File 20'!Weekly_Adjusted,32,17)</f>
        <v>0</v>
      </c>
      <c r="JY74" s="143">
        <f>INDEX('File 20'!Weekly_Adjusted,32,18)</f>
        <v>0</v>
      </c>
      <c r="JZ74" s="6">
        <f ca="1">SUMIFS(INDEX(CapacityCore_Activity_Weekly,ROW(EC32),0),Demand_Activity_Weekly_Header,HL$42)</f>
        <v>20.933351264120493</v>
      </c>
      <c r="KA74" s="6">
        <f ca="1">SUMIFS(INDEX(CapacityCore_Activity_Weekly,ROW(ED32),0),Demand_Activity_Weekly_Header,HM$42)</f>
        <v>0</v>
      </c>
      <c r="KB74" s="6">
        <f ca="1">SUMIFS(INDEX(CapacityCore_Activity_Weekly,ROW(EE32),0),Demand_Activity_Weekly_Header,HN$42)</f>
        <v>0</v>
      </c>
      <c r="KC74" s="6">
        <f ca="1">SUMIFS(INDEX(CapacityCore_Activity_Weekly,ROW(EF32),0),Demand_Activity_Weekly_Header,HO$42)</f>
        <v>0</v>
      </c>
      <c r="KD74" s="6">
        <f ca="1">SUMIFS(INDEX(CapacityCore_Activity_Weekly,ROW(EG32),0),Demand_Activity_Weekly_Header,HP$42)</f>
        <v>0</v>
      </c>
      <c r="KF74" s="6">
        <f>SUMIFS('Time based aggregation (hide)'!$J:$J,'Time based aggregation (hide)'!$E:$E,1,'Time based aggregation (hide)'!$F:$F,1,'Time based aggregation (hide)'!$A:$A,ROW(A32))</f>
        <v>0</v>
      </c>
      <c r="KG74" s="6">
        <f>SUMIFS('Time based aggregation (hide)'!$J:$J,'Time based aggregation (hide)'!$E:$E,1,'Time based aggregation (hide)'!$F:$F,2,'Time based aggregation (hide)'!$A:$A,ROW(A32))</f>
        <v>0</v>
      </c>
      <c r="KH74" s="6">
        <f>SUMIFS('Time based aggregation (hide)'!$J:$J,'Time based aggregation (hide)'!$E:$E,1,'Time based aggregation (hide)'!$F:$F,3,'Time based aggregation (hide)'!$A:$A,ROW(A32))</f>
        <v>0</v>
      </c>
      <c r="KI74" s="6">
        <f>SUMIFS('Time based aggregation (hide)'!$J:$J,'Time based aggregation (hide)'!$E:$E,2,'Time based aggregation (hide)'!$F:$F,1,'Time based aggregation (hide)'!$A:$A,ROW(A32))</f>
        <v>0</v>
      </c>
      <c r="KJ74" s="6">
        <f>SUMIFS('Time based aggregation (hide)'!$J:$J,'Time based aggregation (hide)'!$E:$E,2,'Time based aggregation (hide)'!$F:$F,2,'Time based aggregation (hide)'!$A:$A,ROW(A32))</f>
        <v>0</v>
      </c>
      <c r="KK74" s="6">
        <f>SUMIFS('Time based aggregation (hide)'!$J:$J,'Time based aggregation (hide)'!$E:$E,2,'Time based aggregation (hide)'!$F:$F,3,'Time based aggregation (hide)'!$A:$A,ROW(A32))</f>
        <v>0</v>
      </c>
      <c r="KL74" s="6">
        <f>SUMIFS('Time based aggregation (hide)'!$J:$J,'Time based aggregation (hide)'!$E:$E,3,'Time based aggregation (hide)'!$F:$F,1,'Time based aggregation (hide)'!$A:$A,ROW(A32))</f>
        <v>0</v>
      </c>
      <c r="KM74" s="6">
        <f>SUMIFS('Time based aggregation (hide)'!$J:$J,'Time based aggregation (hide)'!$E:$E,3,'Time based aggregation (hide)'!$F:$F,2,'Time based aggregation (hide)'!$A:$A,ROW(A32))</f>
        <v>0</v>
      </c>
      <c r="KN74" s="6">
        <f>SUMIFS('Time based aggregation (hide)'!$J:$J,'Time based aggregation (hide)'!$E:$E,3,'Time based aggregation (hide)'!$F:$F,3,'Time based aggregation (hide)'!$A:$A,ROW(A32))</f>
        <v>0</v>
      </c>
      <c r="KO74" s="6">
        <f>SUMIFS('Time based aggregation (hide)'!$J:$J,'Time based aggregation (hide)'!$E:$E,4,'Time based aggregation (hide)'!$F:$F,1,'Time based aggregation (hide)'!$A:$A,ROW(A32))</f>
        <v>0</v>
      </c>
      <c r="KP74" s="6">
        <f>SUMIFS('Time based aggregation (hide)'!$J:$J,'Time based aggregation (hide)'!$E:$E,4,'Time based aggregation (hide)'!$F:$F,2,'Time based aggregation (hide)'!$A:$A,ROW(A32))</f>
        <v>0</v>
      </c>
      <c r="KQ74" s="6">
        <f>SUMIFS('Time based aggregation (hide)'!$J:$J,'Time based aggregation (hide)'!$E:$E,4,'Time based aggregation (hide)'!$F:$F,3,'Time based aggregation (hide)'!$A:$A,ROW(A32))</f>
        <v>0</v>
      </c>
      <c r="KR74" s="6">
        <f>SUMIFS('Time based aggregation (hide)'!$J:$J,'Time based aggregation (hide)'!$E:$E,5,'Time based aggregation (hide)'!$F:$F,1,'Time based aggregation (hide)'!$A:$A,ROW(A32))</f>
        <v>0</v>
      </c>
      <c r="KS74" s="6">
        <f>SUMIFS('Time based aggregation (hide)'!$J:$J,'Time based aggregation (hide)'!$E:$E,5,'Time based aggregation (hide)'!$F:$F,2,'Time based aggregation (hide)'!$A:$A,ROW(A32))</f>
        <v>0</v>
      </c>
      <c r="KT74" s="6">
        <f>SUMIFS('Time based aggregation (hide)'!$J:$J,'Time based aggregation (hide)'!$E:$E,5,'Time based aggregation (hide)'!$F:$F,3,'Time based aggregation (hide)'!$A:$A,ROW(A32))</f>
        <v>0</v>
      </c>
      <c r="KU74" s="6">
        <f>SUMIFS('Time based aggregation (hide)'!$J:$J,'Time based aggregation (hide)'!$E:$E,6,'Time based aggregation (hide)'!$F:$F,1,'Time based aggregation (hide)'!$A:$A,ROW(A32))</f>
        <v>0</v>
      </c>
      <c r="KV74" s="6">
        <f>SUMIFS('Time based aggregation (hide)'!$J:$J,'Time based aggregation (hide)'!$E:$E,6,'Time based aggregation (hide)'!$F:$F,2,'Time based aggregation (hide)'!$A:$A,ROW(A32))</f>
        <v>0</v>
      </c>
      <c r="KW74" s="6">
        <f>SUMIFS('Time based aggregation (hide)'!$J:$J,'Time based aggregation (hide)'!$E:$E,6,'Time based aggregation (hide)'!$F:$F,3,'Time based aggregation (hide)'!$A:$A,ROW(A32))</f>
        <v>0</v>
      </c>
      <c r="KX74" s="6">
        <f>SUMIFS('Time based aggregation (hide)'!$J:$J,'Time based aggregation (hide)'!$E:$E,7,'Time based aggregation (hide)'!$F:$F,1,'Time based aggregation (hide)'!$A:$A,ROW(A32))</f>
        <v>0</v>
      </c>
      <c r="KY74" s="6">
        <f>SUMIFS('Time based aggregation (hide)'!$J:$J,'Time based aggregation (hide)'!$E:$E,7,'Time based aggregation (hide)'!$F:$F,2,'Time based aggregation (hide)'!$A:$A,ROW(A32))</f>
        <v>0</v>
      </c>
      <c r="KZ74" s="6">
        <f>SUMIFS('Time based aggregation (hide)'!$J:$J,'Time based aggregation (hide)'!$E:$E,7,'Time based aggregation (hide)'!$F:$F,3,'Time based aggregation (hide)'!$A:$A,ROW(A32))</f>
        <v>0</v>
      </c>
      <c r="LA74" s="6">
        <f>SUMIFS('Time based aggregation (hide)'!$J:$J,'Time based aggregation (hide)'!$E:$E,8,'Time based aggregation (hide)'!$F:$F,1,'Time based aggregation (hide)'!$A:$A,ROW(A32))</f>
        <v>0</v>
      </c>
      <c r="LB74" s="6">
        <f>SUMIFS('Time based aggregation (hide)'!$J:$J,'Time based aggregation (hide)'!$E:$E,8,'Time based aggregation (hide)'!$F:$F,2,'Time based aggregation (hide)'!$A:$A,ROW(A32))</f>
        <v>0</v>
      </c>
      <c r="LC74" s="6">
        <f>SUMIFS('Time based aggregation (hide)'!$J:$J,'Time based aggregation (hide)'!$E:$E,8,'Time based aggregation (hide)'!$F:$F,3,'Time based aggregation (hide)'!$A:$A,ROW(A32))</f>
        <v>0</v>
      </c>
      <c r="LD74" s="6">
        <f>SUMIFS('Time based aggregation (hide)'!$J:$J,'Time based aggregation (hide)'!$E:$E,9,'Time based aggregation (hide)'!$F:$F,1,'Time based aggregation (hide)'!$A:$A,ROW(A32))</f>
        <v>0</v>
      </c>
      <c r="LE74" s="6">
        <f>SUMIFS('Time based aggregation (hide)'!$J:$J,'Time based aggregation (hide)'!$E:$E,9,'Time based aggregation (hide)'!$F:$F,2,'Time based aggregation (hide)'!$A:$A,ROW(A32))</f>
        <v>0</v>
      </c>
      <c r="LF74" s="6">
        <f>SUMIFS('Time based aggregation (hide)'!$J:$J,'Time based aggregation (hide)'!$E:$E,9,'Time based aggregation (hide)'!$F:$F,3,'Time based aggregation (hide)'!$A:$A,ROW(A32))</f>
        <v>0</v>
      </c>
      <c r="LG74" s="6">
        <f>SUMIFS('Time based aggregation (hide)'!$J:$J,'Time based aggregation (hide)'!$E:$E,10,'Time based aggregation (hide)'!$F:$F,1,'Time based aggregation (hide)'!$A:$A,ROW(A32))</f>
        <v>0</v>
      </c>
      <c r="LH74" s="6">
        <f>SUMIFS('Time based aggregation (hide)'!$J:$J,'Time based aggregation (hide)'!$E:$E,10,'Time based aggregation (hide)'!$F:$F,2,'Time based aggregation (hide)'!$A:$A,ROW(A32))</f>
        <v>0</v>
      </c>
      <c r="LI74" s="6">
        <f>SUMIFS('Time based aggregation (hide)'!$J:$J,'Time based aggregation (hide)'!$E:$E,10,'Time based aggregation (hide)'!$F:$F,3,'Time based aggregation (hide)'!$A:$A,ROW(A32))</f>
        <v>0</v>
      </c>
      <c r="LJ74" s="6">
        <f>SUMIFS('Time based aggregation (hide)'!$J:$J,'Time based aggregation (hide)'!$E:$E,11,'Time based aggregation (hide)'!$F:$F,1,'Time based aggregation (hide)'!$A:$A,ROW(A32))</f>
        <v>0</v>
      </c>
      <c r="LK74" s="6">
        <f>SUMIFS('Time based aggregation (hide)'!$J:$J,'Time based aggregation (hide)'!$E:$E,11,'Time based aggregation (hide)'!$F:$F,2,'Time based aggregation (hide)'!$A:$A,ROW(A32))</f>
        <v>0</v>
      </c>
      <c r="LL74" s="6">
        <f>SUMIFS('Time based aggregation (hide)'!$J:$J,'Time based aggregation (hide)'!$E:$E,11,'Time based aggregation (hide)'!$F:$F,3,'Time based aggregation (hide)'!$A:$A,ROW(A32))</f>
        <v>0</v>
      </c>
      <c r="LM74" s="6">
        <f>SUMIFS('Time based aggregation (hide)'!$J:$J,'Time based aggregation (hide)'!$E:$E,12,'Time based aggregation (hide)'!$F:$F,1,'Time based aggregation (hide)'!$A:$A,ROW(A32))</f>
        <v>0</v>
      </c>
      <c r="LN74" s="6">
        <f>SUMIFS('Time based aggregation (hide)'!$J:$J,'Time based aggregation (hide)'!$E:$E,12,'Time based aggregation (hide)'!$F:$F,2,'Time based aggregation (hide)'!$A:$A,ROW(A32))</f>
        <v>0</v>
      </c>
      <c r="LO74" s="6">
        <f>SUMIFS('Time based aggregation (hide)'!$J:$J,'Time based aggregation (hide)'!$E:$E,12,'Time based aggregation (hide)'!$F:$F,3,'Time based aggregation (hide)'!$A:$A,ROW(A32))</f>
        <v>0</v>
      </c>
      <c r="LP74" s="6">
        <f>SUMIFS('Time based aggregation (hide)'!$J:$J,'Time based aggregation (hide)'!$E:$E,13,'Time based aggregation (hide)'!$F:$F,1,'Time based aggregation (hide)'!$A:$A,ROW(A32))</f>
        <v>0</v>
      </c>
      <c r="LQ74" s="6">
        <f>SUMIFS('Time based aggregation (hide)'!$J:$J,'Time based aggregation (hide)'!$E:$E,13,'Time based aggregation (hide)'!$F:$F,2,'Time based aggregation (hide)'!$A:$A,ROW(A32))</f>
        <v>0</v>
      </c>
      <c r="LR74" s="6">
        <f>SUMIFS('Time based aggregation (hide)'!$J:$J,'Time based aggregation (hide)'!$E:$E,13,'Time based aggregation (hide)'!$F:$F,3,'Time based aggregation (hide)'!$A:$A,ROW(A32))</f>
        <v>0</v>
      </c>
      <c r="LS74" s="6">
        <f>SUMIFS('Time based aggregation (hide)'!$J:$J,'Time based aggregation (hide)'!$E:$E,14,'Time based aggregation (hide)'!$F:$F,1,'Time based aggregation (hide)'!$A:$A,ROW(A32))</f>
        <v>0</v>
      </c>
      <c r="LT74" s="6">
        <f>SUMIFS('Time based aggregation (hide)'!$J:$J,'Time based aggregation (hide)'!$E:$E,14,'Time based aggregation (hide)'!$F:$F,2,'Time based aggregation (hide)'!$A:$A,ROW(A32))</f>
        <v>0</v>
      </c>
      <c r="LU74" s="6">
        <f>SUMIFS('Time based aggregation (hide)'!$J:$J,'Time based aggregation (hide)'!$E:$E,14,'Time based aggregation (hide)'!$F:$F,3,'Time based aggregation (hide)'!$A:$A,ROW(A32))</f>
        <v>0</v>
      </c>
      <c r="LV74" s="6">
        <f>SUMIFS('Time based aggregation (hide)'!$J:$J,'Time based aggregation (hide)'!$E:$E,15,'Time based aggregation (hide)'!$F:$F,1,'Time based aggregation (hide)'!$A:$A,ROW(A32))</f>
        <v>0</v>
      </c>
      <c r="LW74" s="6">
        <f>SUMIFS('Time based aggregation (hide)'!$J:$J,'Time based aggregation (hide)'!$E:$E,15,'Time based aggregation (hide)'!$F:$F,2,'Time based aggregation (hide)'!$A:$A,ROW(A32))</f>
        <v>0</v>
      </c>
      <c r="LX74" s="6">
        <f>SUMIFS('Time based aggregation (hide)'!$J:$J,'Time based aggregation (hide)'!$E:$E,15,'Time based aggregation (hide)'!$F:$F,3,'Time based aggregation (hide)'!$A:$A,ROW(A32))</f>
        <v>0</v>
      </c>
      <c r="LY74" s="6">
        <f>SUMIFS('Time based aggregation (hide)'!$J:$J,'Time based aggregation (hide)'!$E:$E,16,'Time based aggregation (hide)'!$F:$F,1,'Time based aggregation (hide)'!$A:$A,ROW(A32))</f>
        <v>0</v>
      </c>
      <c r="LZ74" s="6">
        <f>SUMIFS('Time based aggregation (hide)'!$J:$J,'Time based aggregation (hide)'!$E:$E,16,'Time based aggregation (hide)'!$F:$F,2,'Time based aggregation (hide)'!$A:$A,ROW(A32))</f>
        <v>0</v>
      </c>
      <c r="MA74" s="6">
        <f>SUMIFS('Time based aggregation (hide)'!$J:$J,'Time based aggregation (hide)'!$E:$E,16,'Time based aggregation (hide)'!$F:$F,3,'Time based aggregation (hide)'!$A:$A,ROW(A32))</f>
        <v>0</v>
      </c>
      <c r="MB74" s="6">
        <f>SUMIFS('Time based aggregation (hide)'!$J:$J,'Time based aggregation (hide)'!$E:$E,17,'Time based aggregation (hide)'!$F:$F,1,'Time based aggregation (hide)'!$A:$A,ROW(A32))</f>
        <v>0</v>
      </c>
      <c r="MC74" s="6">
        <f>SUMIFS('Time based aggregation (hide)'!$J:$J,'Time based aggregation (hide)'!$E:$E,17,'Time based aggregation (hide)'!$F:$F,2,'Time based aggregation (hide)'!$A:$A,ROW(A32))</f>
        <v>0</v>
      </c>
      <c r="MD74" s="6">
        <f>SUMIFS('Time based aggregation (hide)'!$J:$J,'Time based aggregation (hide)'!$E:$E,17,'Time based aggregation (hide)'!$F:$F,3,'Time based aggregation (hide)'!$A:$A,ROW(A32))</f>
        <v>0</v>
      </c>
      <c r="ME74" s="6">
        <f>SUMIFS('Time based aggregation (hide)'!$J:$J,'Time based aggregation (hide)'!$E:$E,18,'Time based aggregation (hide)'!$F:$F,1,'Time based aggregation (hide)'!$A:$A,ROW(A32))</f>
        <v>0</v>
      </c>
      <c r="MF74" s="6">
        <f>SUMIFS('Time based aggregation (hide)'!$J:$J,'Time based aggregation (hide)'!$E:$E,18,'Time based aggregation (hide)'!$F:$F,2,'Time based aggregation (hide)'!$A:$A,ROW(A32))</f>
        <v>0</v>
      </c>
      <c r="MG74" s="6">
        <f>SUMIFS('Time based aggregation (hide)'!$J:$J,'Time based aggregation (hide)'!$E:$E,18,'Time based aggregation (hide)'!$F:$F,3,'Time based aggregation (hide)'!$A:$A,ROW(A32))</f>
        <v>0</v>
      </c>
      <c r="MH74" s="6">
        <f>SUMIFS('Time based aggregation (hide)'!$J:$J,'Time based aggregation (hide)'!$E:$E,19,'Time based aggregation (hide)'!$F:$F,1,'Time based aggregation (hide)'!$A:$A,ROW(A32))</f>
        <v>0</v>
      </c>
      <c r="MI74" s="6">
        <f>SUMIFS('Time based aggregation (hide)'!$J:$J,'Time based aggregation (hide)'!$E:$E,19,'Time based aggregation (hide)'!$F:$F,2,'Time based aggregation (hide)'!$A:$A,ROW(A32))</f>
        <v>0</v>
      </c>
      <c r="MJ74" s="6">
        <f>SUMIFS('Time based aggregation (hide)'!$J:$J,'Time based aggregation (hide)'!$E:$E,19,'Time based aggregation (hide)'!$F:$F,3,'Time based aggregation (hide)'!$A:$A,ROW(A32))</f>
        <v>0</v>
      </c>
      <c r="MK74" s="6">
        <f>SUMIFS('Time based aggregation (hide)'!$J:$J,'Time based aggregation (hide)'!$E:$E,20,'Time based aggregation (hide)'!$F:$F,1,'Time based aggregation (hide)'!$A:$A,ROW(A32))</f>
        <v>0</v>
      </c>
      <c r="ML74" s="6">
        <f>SUMIFS('Time based aggregation (hide)'!$J:$J,'Time based aggregation (hide)'!$E:$E,20,'Time based aggregation (hide)'!$F:$F,2,'Time based aggregation (hide)'!$A:$A,ROW(A32))</f>
        <v>0</v>
      </c>
      <c r="MM74" s="6">
        <f>SUMIFS('Time based aggregation (hide)'!$J:$J,'Time based aggregation (hide)'!$E:$E,20,'Time based aggregation (hide)'!$F:$F,3,'Time based aggregation (hide)'!$A:$A,ROW(A32))</f>
        <v>0</v>
      </c>
      <c r="MN74" s="7">
        <f t="shared" ca="1" si="41"/>
        <v>0</v>
      </c>
      <c r="MO74" s="7">
        <f t="shared" ca="1" si="41"/>
        <v>0</v>
      </c>
      <c r="MP74" s="7">
        <f t="shared" ca="1" si="41"/>
        <v>0</v>
      </c>
      <c r="MQ74" s="7">
        <f t="shared" ca="1" si="41"/>
        <v>0</v>
      </c>
      <c r="MR74" s="7">
        <f t="shared" ca="1" si="41"/>
        <v>0</v>
      </c>
    </row>
    <row r="75" spans="1:356" x14ac:dyDescent="0.25">
      <c r="A75">
        <f>1</f>
        <v>1</v>
      </c>
      <c r="B75" s="85">
        <f t="shared" si="37"/>
        <v>43863</v>
      </c>
      <c r="C75" s="85">
        <f t="shared" si="25"/>
        <v>43857</v>
      </c>
      <c r="D75">
        <f t="shared" ca="1" si="26"/>
        <v>0</v>
      </c>
      <c r="E75" s="85">
        <f t="shared" si="27"/>
        <v>43862</v>
      </c>
      <c r="F75">
        <f t="shared" si="33"/>
        <v>5</v>
      </c>
      <c r="H75">
        <f t="shared" si="34"/>
        <v>33</v>
      </c>
      <c r="I75" s="85">
        <f t="shared" si="38"/>
        <v>44053</v>
      </c>
      <c r="J75">
        <f t="shared" ref="J75:J95" ca="1" si="46">SUMIFS($D$43:$D$408,$C$43:$C$408,I75,$A$43:$A$408,1)</f>
        <v>5</v>
      </c>
      <c r="K75">
        <f t="shared" ref="K75:K95" ca="1" si="47">J75/$J$96</f>
        <v>1.968503937007874E-2</v>
      </c>
      <c r="L75" s="114"/>
      <c r="N75" s="85">
        <f t="shared" si="35"/>
        <v>44053</v>
      </c>
      <c r="O75" s="122">
        <f t="shared" ca="1" si="44"/>
        <v>0</v>
      </c>
      <c r="P75" s="122">
        <f t="shared" ca="1" si="44"/>
        <v>0</v>
      </c>
      <c r="Q75" s="122">
        <f t="shared" ca="1" si="44"/>
        <v>0</v>
      </c>
      <c r="R75" s="122">
        <f t="shared" ca="1" si="44"/>
        <v>0</v>
      </c>
      <c r="S75" s="122">
        <f t="shared" ca="1" si="44"/>
        <v>0</v>
      </c>
      <c r="T75" s="122">
        <f t="shared" ca="1" si="44"/>
        <v>0</v>
      </c>
      <c r="U75" s="122">
        <f t="shared" ca="1" si="44"/>
        <v>0</v>
      </c>
      <c r="V75" s="122">
        <f t="shared" ca="1" si="44"/>
        <v>1</v>
      </c>
      <c r="W75" s="122">
        <f t="shared" ca="1" si="44"/>
        <v>0</v>
      </c>
      <c r="X75" s="122">
        <f t="shared" ca="1" si="44"/>
        <v>0</v>
      </c>
      <c r="Y75" s="122">
        <f t="shared" ca="1" si="44"/>
        <v>0</v>
      </c>
      <c r="Z75" s="122">
        <f t="shared" ca="1" si="44"/>
        <v>0</v>
      </c>
      <c r="AA75" s="122"/>
      <c r="AB75" s="140">
        <f>INDEX('File 1'!Weekly_Adjusted,33,1)</f>
        <v>388.17143954725253</v>
      </c>
      <c r="AC75" s="140">
        <f>INDEX('File 1'!Weekly_Adjusted,33,2)</f>
        <v>0</v>
      </c>
      <c r="AD75" s="140">
        <f>INDEX('File 1'!Weekly_Adjusted,33,3)</f>
        <v>0</v>
      </c>
      <c r="AE75" s="141">
        <f>INDEX('File 2'!Weekly_Adjusted,33,1)</f>
        <v>0</v>
      </c>
      <c r="AF75" s="141">
        <f>INDEX('File 2'!Weekly_Adjusted,33,2)</f>
        <v>0</v>
      </c>
      <c r="AG75" s="141">
        <f>INDEX('File 2'!Weekly_Adjusted,33,3)</f>
        <v>0</v>
      </c>
      <c r="AH75" s="140">
        <f>INDEX('File 3'!Weekly_Adjusted,33,1)</f>
        <v>0</v>
      </c>
      <c r="AI75" s="140">
        <f>INDEX('File 3'!Weekly_Adjusted,33,2)</f>
        <v>0</v>
      </c>
      <c r="AJ75" s="140">
        <f>INDEX('File 3'!Weekly_Adjusted,33,3)</f>
        <v>0</v>
      </c>
      <c r="AK75" s="141">
        <f>INDEX('File 4'!Weekly_Adjusted,33,1)</f>
        <v>0</v>
      </c>
      <c r="AL75" s="141">
        <f>INDEX('File 4'!Weekly_Adjusted,33,2)</f>
        <v>0</v>
      </c>
      <c r="AM75" s="141">
        <f>INDEX('File 4'!Weekly_Adjusted,33,3)</f>
        <v>0</v>
      </c>
      <c r="AN75" s="140">
        <f>INDEX('File 5'!Weekly_Adjusted,33,1)</f>
        <v>0</v>
      </c>
      <c r="AO75" s="140">
        <f>INDEX('File 5'!Weekly_Adjusted,33,2)</f>
        <v>0</v>
      </c>
      <c r="AP75" s="140">
        <f>INDEX('File 5'!Weekly_Adjusted,33,3)</f>
        <v>0</v>
      </c>
      <c r="AQ75" s="141">
        <f>INDEX('File 6'!Weekly_Adjusted,33,1)</f>
        <v>0</v>
      </c>
      <c r="AR75" s="141">
        <f>INDEX('File 6'!Weekly_Adjusted,33,2)</f>
        <v>0</v>
      </c>
      <c r="AS75" s="141">
        <f>INDEX('File 6'!Weekly_Adjusted,33,3)</f>
        <v>0</v>
      </c>
      <c r="AT75" s="140">
        <f>INDEX('File 7'!Weekly_Adjusted,33,1)</f>
        <v>0</v>
      </c>
      <c r="AU75" s="140">
        <f>INDEX('File 7'!Weekly_Adjusted,33,2)</f>
        <v>0</v>
      </c>
      <c r="AV75" s="140">
        <f>INDEX('File 7'!Weekly_Adjusted,33,3)</f>
        <v>0</v>
      </c>
      <c r="AW75" s="141">
        <f>INDEX('File 8'!Weekly_Adjusted,33,1)</f>
        <v>0</v>
      </c>
      <c r="AX75" s="141">
        <f>INDEX('File 8'!Weekly_Adjusted,33,2)</f>
        <v>0</v>
      </c>
      <c r="AY75" s="141">
        <f>INDEX('File 8'!Weekly_Adjusted,33,3)</f>
        <v>0</v>
      </c>
      <c r="AZ75" s="140">
        <f>INDEX('File 9'!Weekly_Adjusted,33,1)</f>
        <v>0</v>
      </c>
      <c r="BA75" s="140">
        <f>INDEX('File 9'!Weekly_Adjusted,33,2)</f>
        <v>0</v>
      </c>
      <c r="BB75" s="140">
        <f>INDEX('File 9'!Weekly_Adjusted,33,3)</f>
        <v>0</v>
      </c>
      <c r="BC75" s="141">
        <f>INDEX('File 10'!Weekly_Adjusted,33,1)</f>
        <v>0</v>
      </c>
      <c r="BD75" s="141">
        <f>INDEX('File 10'!Weekly_Adjusted,33,2)</f>
        <v>0</v>
      </c>
      <c r="BE75" s="141">
        <f>INDEX('File 10'!Weekly_Adjusted,33,3)</f>
        <v>0</v>
      </c>
      <c r="BF75" s="140">
        <f>INDEX('File 11'!Weekly_Adjusted,33,1)</f>
        <v>0</v>
      </c>
      <c r="BG75" s="140">
        <f>INDEX('File 11'!Weekly_Adjusted,33,2)</f>
        <v>0</v>
      </c>
      <c r="BH75" s="140">
        <f>INDEX('File 11'!Weekly_Adjusted,33,3)</f>
        <v>0</v>
      </c>
      <c r="BI75" s="141">
        <f>INDEX('File 12'!Weekly_Adjusted,33,1)</f>
        <v>0</v>
      </c>
      <c r="BJ75" s="141">
        <f>INDEX('File 12'!Weekly_Adjusted,33,2)</f>
        <v>0</v>
      </c>
      <c r="BK75" s="141">
        <f>INDEX('File 12'!Weekly_Adjusted,33,3)</f>
        <v>0</v>
      </c>
      <c r="BL75" s="140">
        <f>INDEX('File 13'!Weekly_Adjusted,33,1)</f>
        <v>0</v>
      </c>
      <c r="BM75" s="140">
        <f>INDEX('File 13'!Weekly_Adjusted,33,2)</f>
        <v>0</v>
      </c>
      <c r="BN75" s="140">
        <f>INDEX('File 13'!Weekly_Adjusted,33,3)</f>
        <v>0</v>
      </c>
      <c r="BO75" s="141">
        <f>INDEX('File 14'!Weekly_Adjusted,33,1)</f>
        <v>0</v>
      </c>
      <c r="BP75" s="141">
        <f>INDEX('File 14'!Weekly_Adjusted,33,2)</f>
        <v>0</v>
      </c>
      <c r="BQ75" s="141">
        <f>INDEX('File 14'!Weekly_Adjusted,33,3)</f>
        <v>0</v>
      </c>
      <c r="BR75" s="140">
        <f>INDEX('File 15'!Weekly_Adjusted,33,1)</f>
        <v>0</v>
      </c>
      <c r="BS75" s="140">
        <f>INDEX('File 15'!Weekly_Adjusted,33,2)</f>
        <v>0</v>
      </c>
      <c r="BT75" s="140">
        <f>INDEX('File 15'!Weekly_Adjusted,33,3)</f>
        <v>0</v>
      </c>
      <c r="BU75" s="141">
        <f>INDEX('File 16'!Weekly_Adjusted,33,1)</f>
        <v>0</v>
      </c>
      <c r="BV75" s="141">
        <f>INDEX('File 16'!Weekly_Adjusted,33,2)</f>
        <v>0</v>
      </c>
      <c r="BW75" s="141">
        <f>INDEX('File 16'!Weekly_Adjusted,33,3)</f>
        <v>0</v>
      </c>
      <c r="BX75" s="140">
        <f>INDEX('File 17'!Weekly_Adjusted,33,1)</f>
        <v>0</v>
      </c>
      <c r="BY75" s="140">
        <f>INDEX('File 17'!Weekly_Adjusted,33,2)</f>
        <v>0</v>
      </c>
      <c r="BZ75" s="140">
        <f>INDEX('File 17'!Weekly_Adjusted,33,3)</f>
        <v>0</v>
      </c>
      <c r="CA75" s="141">
        <f>INDEX('File 18'!Weekly_Adjusted,33,1)</f>
        <v>0</v>
      </c>
      <c r="CB75" s="141">
        <f>INDEX('File 18'!Weekly_Adjusted,33,2)</f>
        <v>0</v>
      </c>
      <c r="CC75" s="141">
        <f>INDEX('File 18'!Weekly_Adjusted,33,3)</f>
        <v>0</v>
      </c>
      <c r="CD75" s="140">
        <f>INDEX('File 19'!Weekly_Adjusted,33,1)</f>
        <v>0</v>
      </c>
      <c r="CE75" s="140">
        <f>INDEX('File 19'!Weekly_Adjusted,33,2)</f>
        <v>0</v>
      </c>
      <c r="CF75" s="140">
        <f>INDEX('File 19'!Weekly_Adjusted,33,3)</f>
        <v>0</v>
      </c>
      <c r="CG75" s="141">
        <f>INDEX('File 20'!Weekly_Adjusted,33,1)</f>
        <v>0</v>
      </c>
      <c r="CH75" s="141">
        <f>INDEX('File 20'!Weekly_Adjusted,33,2)</f>
        <v>0</v>
      </c>
      <c r="CI75" s="141">
        <f>INDEX('File 20'!Weekly_Adjusted,33,3)</f>
        <v>0</v>
      </c>
      <c r="CJ75" s="6">
        <f ca="1">SUMIFS(INDEX(Demand_Activity_Weekly,ROW(A33),0),Demand_Activity_Weekly_Header,CJ$42)</f>
        <v>388.17143954725253</v>
      </c>
      <c r="CK75" s="6">
        <f ca="1">SUMIFS(INDEX(Demand_Activity_Weekly,ROW(B33),0),Demand_Activity_Weekly_Header,CK$42)</f>
        <v>0</v>
      </c>
      <c r="CL75" s="6">
        <f ca="1">SUMIFS(INDEX(Demand_Activity_Weekly,ROW(C33),0),Demand_Activity_Weekly_Header,CL$42)</f>
        <v>0</v>
      </c>
      <c r="CM75" s="6">
        <f ca="1">SUMIFS(INDEX(Demand_Activity_Weekly,ROW(D33),0),Demand_Activity_Weekly_Header,CM$42)</f>
        <v>0</v>
      </c>
      <c r="CN75" s="6">
        <f ca="1">SUMIFS(INDEX(Demand_Activity_Weekly,ROW(E33),0),Demand_Activity_Weekly_Header,CN$42)</f>
        <v>0</v>
      </c>
      <c r="CP75" s="142">
        <f>INDEX('File 1'!Weekly_Adjusted,33,10)</f>
        <v>24.344712210866053</v>
      </c>
      <c r="CQ75" s="142">
        <f>INDEX('File 1'!Weekly_Adjusted,33,11)</f>
        <v>0</v>
      </c>
      <c r="CR75" s="142">
        <f>INDEX('File 1'!Weekly_Adjusted,33,12)</f>
        <v>0</v>
      </c>
      <c r="CS75" s="143">
        <f>INDEX('File 2'!Weekly_Adjusted,33,10)</f>
        <v>0</v>
      </c>
      <c r="CT75" s="143">
        <f>INDEX('File 2'!Weekly_Adjusted,33,11)</f>
        <v>0</v>
      </c>
      <c r="CU75" s="143">
        <f>INDEX('File 2'!Weekly_Adjusted,33,12)</f>
        <v>0</v>
      </c>
      <c r="CV75" s="142">
        <f>INDEX('File 3'!Weekly_Adjusted,33,10)</f>
        <v>0</v>
      </c>
      <c r="CW75" s="142">
        <f>INDEX('File 3'!Weekly_Adjusted,33,11)</f>
        <v>0</v>
      </c>
      <c r="CX75" s="142">
        <f>INDEX('File 3'!Weekly_Adjusted,33,12)</f>
        <v>0</v>
      </c>
      <c r="CY75" s="143">
        <f>INDEX('File 4'!Weekly_Adjusted,33,10)</f>
        <v>0</v>
      </c>
      <c r="CZ75" s="143">
        <f>INDEX('File 4'!Weekly_Adjusted,33,11)</f>
        <v>0</v>
      </c>
      <c r="DA75" s="143">
        <f>INDEX('File 4'!Weekly_Adjusted,33,12)</f>
        <v>0</v>
      </c>
      <c r="DB75" s="142">
        <f>INDEX('File 5'!Weekly_Adjusted,33,10)</f>
        <v>0</v>
      </c>
      <c r="DC75" s="142">
        <f>INDEX('File 5'!Weekly_Adjusted,33,11)</f>
        <v>0</v>
      </c>
      <c r="DD75" s="142">
        <f>INDEX('File 5'!Weekly_Adjusted,33,12)</f>
        <v>0</v>
      </c>
      <c r="DE75" s="143">
        <f>INDEX('File 6'!Weekly_Adjusted,33,10)</f>
        <v>0</v>
      </c>
      <c r="DF75" s="143">
        <f>INDEX('File 6'!Weekly_Adjusted,33,11)</f>
        <v>0</v>
      </c>
      <c r="DG75" s="143">
        <f>INDEX('File 6'!Weekly_Adjusted,33,12)</f>
        <v>0</v>
      </c>
      <c r="DH75" s="142">
        <f>INDEX('File 7'!Weekly_Adjusted,33,10)</f>
        <v>0</v>
      </c>
      <c r="DI75" s="142">
        <f>INDEX('File 7'!Weekly_Adjusted,33,11)</f>
        <v>0</v>
      </c>
      <c r="DJ75" s="142">
        <f>INDEX('File 7'!Weekly_Adjusted,33,12)</f>
        <v>0</v>
      </c>
      <c r="DK75" s="143">
        <f>INDEX('File 8'!Weekly_Adjusted,33,10)</f>
        <v>0</v>
      </c>
      <c r="DL75" s="143">
        <f>INDEX('File 8'!Weekly_Adjusted,33,11)</f>
        <v>0</v>
      </c>
      <c r="DM75" s="143">
        <f>INDEX('File 8'!Weekly_Adjusted,33,12)</f>
        <v>0</v>
      </c>
      <c r="DN75" s="142">
        <f>INDEX('File 9'!Weekly_Adjusted,33,10)</f>
        <v>0</v>
      </c>
      <c r="DO75" s="142">
        <f>INDEX('File 9'!Weekly_Adjusted,33,11)</f>
        <v>0</v>
      </c>
      <c r="DP75" s="142">
        <f>INDEX('File 9'!Weekly_Adjusted,33,12)</f>
        <v>0</v>
      </c>
      <c r="DQ75" s="143">
        <f>INDEX('File 10'!Weekly_Adjusted,33,10)</f>
        <v>0</v>
      </c>
      <c r="DR75" s="143">
        <f>INDEX('File 10'!Weekly_Adjusted,33,11)</f>
        <v>0</v>
      </c>
      <c r="DS75" s="143">
        <f>INDEX('File 10'!Weekly_Adjusted,33,12)</f>
        <v>0</v>
      </c>
      <c r="DT75" s="142">
        <f>INDEX('File 11'!Weekly_Adjusted,33,10)</f>
        <v>0</v>
      </c>
      <c r="DU75" s="142">
        <f>INDEX('File 11'!Weekly_Adjusted,33,11)</f>
        <v>0</v>
      </c>
      <c r="DV75" s="142">
        <f>INDEX('File 11'!Weekly_Adjusted,33,12)</f>
        <v>0</v>
      </c>
      <c r="DW75" s="143">
        <f>INDEX('File 12'!Weekly_Adjusted,33,10)</f>
        <v>0</v>
      </c>
      <c r="DX75" s="143">
        <f>INDEX('File 12'!Weekly_Adjusted,33,11)</f>
        <v>0</v>
      </c>
      <c r="DY75" s="143">
        <f>INDEX('File 12'!Weekly_Adjusted,33,12)</f>
        <v>0</v>
      </c>
      <c r="DZ75" s="142">
        <f>INDEX('File 13'!Weekly_Adjusted,33,10)</f>
        <v>0</v>
      </c>
      <c r="EA75" s="142">
        <f>INDEX('File 13'!Weekly_Adjusted,33,11)</f>
        <v>0</v>
      </c>
      <c r="EB75" s="142">
        <f>INDEX('File 13'!Weekly_Adjusted,33,12)</f>
        <v>0</v>
      </c>
      <c r="EC75" s="143">
        <f>INDEX('File 14'!Weekly_Adjusted,33,10)</f>
        <v>0</v>
      </c>
      <c r="ED75" s="143">
        <f>INDEX('File 14'!Weekly_Adjusted,33,11)</f>
        <v>0</v>
      </c>
      <c r="EE75" s="143">
        <f>INDEX('File 14'!Weekly_Adjusted,33,12)</f>
        <v>0</v>
      </c>
      <c r="EF75" s="142">
        <f>INDEX('File 15'!Weekly_Adjusted,33,10)</f>
        <v>0</v>
      </c>
      <c r="EG75" s="142">
        <f>INDEX('File 15'!Weekly_Adjusted,33,11)</f>
        <v>0</v>
      </c>
      <c r="EH75" s="142">
        <f>INDEX('File 15'!Weekly_Adjusted,33,12)</f>
        <v>0</v>
      </c>
      <c r="EI75" s="143">
        <f>INDEX('File 16'!Weekly_Adjusted,33,10)</f>
        <v>0</v>
      </c>
      <c r="EJ75" s="143">
        <f>INDEX('File 16'!Weekly_Adjusted,33,11)</f>
        <v>0</v>
      </c>
      <c r="EK75" s="143">
        <f>INDEX('File 16'!Weekly_Adjusted,33,12)</f>
        <v>0</v>
      </c>
      <c r="EL75" s="142">
        <f>INDEX('File 17'!Weekly_Adjusted,33,10)</f>
        <v>0</v>
      </c>
      <c r="EM75" s="142">
        <f>INDEX('File 17'!Weekly_Adjusted,33,11)</f>
        <v>0</v>
      </c>
      <c r="EN75" s="142">
        <f>INDEX('File 17'!Weekly_Adjusted,33,12)</f>
        <v>0</v>
      </c>
      <c r="EO75" s="143">
        <f>INDEX('File 18'!Weekly_Adjusted,33,10)</f>
        <v>0</v>
      </c>
      <c r="EP75" s="143">
        <f>INDEX('File 18'!Weekly_Adjusted,33,11)</f>
        <v>0</v>
      </c>
      <c r="EQ75" s="143">
        <f>INDEX('File 18'!Weekly_Adjusted,33,12)</f>
        <v>0</v>
      </c>
      <c r="ER75" s="142">
        <f>INDEX('File 19'!Weekly_Adjusted,33,10)</f>
        <v>0</v>
      </c>
      <c r="ES75" s="142">
        <f>INDEX('File 19'!Weekly_Adjusted,33,11)</f>
        <v>0</v>
      </c>
      <c r="ET75" s="142">
        <f>INDEX('File 19'!Weekly_Adjusted,33,12)</f>
        <v>0</v>
      </c>
      <c r="EU75" s="143">
        <f>INDEX('File 20'!Weekly_Adjusted,33,10)</f>
        <v>0</v>
      </c>
      <c r="EV75" s="143">
        <f>INDEX('File 20'!Weekly_Adjusted,33,11)</f>
        <v>0</v>
      </c>
      <c r="EW75" s="143">
        <f>INDEX('File 20'!Weekly_Adjusted,33,12)</f>
        <v>0</v>
      </c>
      <c r="EX75" s="6">
        <f ca="1">SUMIFS(INDEX(Capacity_Activity_Weekly,ROW(A33),0),Demand_Activity_Weekly_Header,CJ$42)</f>
        <v>24.344712210866053</v>
      </c>
      <c r="EY75" s="6">
        <f ca="1">SUMIFS(INDEX(Capacity_Activity_Weekly,ROW(B33),0),Demand_Activity_Weekly_Header,CK$42)</f>
        <v>0</v>
      </c>
      <c r="EZ75" s="6">
        <f ca="1">SUMIFS(INDEX(Capacity_Activity_Weekly,ROW(C33),0),Demand_Activity_Weekly_Header,CL$42)</f>
        <v>0</v>
      </c>
      <c r="FA75" s="6">
        <f ca="1">SUMIFS(INDEX(Capacity_Activity_Weekly,ROW(D33),0),Demand_Activity_Weekly_Header,CM$42)</f>
        <v>0</v>
      </c>
      <c r="FB75" s="6">
        <f ca="1">SUMIFS(INDEX(Capacity_Activity_Weekly,ROW(E33),0),Demand_Activity_Weekly_Header,CN$42)</f>
        <v>0</v>
      </c>
      <c r="FD75" s="7">
        <f>'File 1'!$Q$54*'Time based aggregation (hide)'!$Q37</f>
        <v>0</v>
      </c>
      <c r="FE75" s="7">
        <f>'File 1'!$R$54*'Time based aggregation (hide)'!$R37</f>
        <v>0</v>
      </c>
      <c r="FF75" s="7">
        <f>'File 1'!$S$54*'Time based aggregation (hide)'!$S37</f>
        <v>0</v>
      </c>
      <c r="FG75" s="7">
        <f>'File 2'!$Q$54*'Time based aggregation (hide)'!$T37</f>
        <v>0</v>
      </c>
      <c r="FH75" s="7">
        <f>'File 2'!$R$54*'Time based aggregation (hide)'!$U37</f>
        <v>0</v>
      </c>
      <c r="FI75" s="7">
        <f>'File 2'!$S$54*'Time based aggregation (hide)'!$V37</f>
        <v>0</v>
      </c>
      <c r="FJ75" s="7">
        <f>'File 3'!$Q$54*'Time based aggregation (hide)'!$W37</f>
        <v>0</v>
      </c>
      <c r="FK75" s="7">
        <f>'File 3'!$R$54*'Time based aggregation (hide)'!$X37</f>
        <v>0</v>
      </c>
      <c r="FL75" s="7">
        <f>'File 3'!$S$54*'Time based aggregation (hide)'!$Y37</f>
        <v>0</v>
      </c>
      <c r="FM75" s="7">
        <f>'File 4'!$Q$54*'Time based aggregation (hide)'!$Z37</f>
        <v>0</v>
      </c>
      <c r="FN75" s="7">
        <f>'File 4'!$R$54*'Time based aggregation (hide)'!$AA37</f>
        <v>0</v>
      </c>
      <c r="FO75" s="7">
        <f>'File 4'!$S$54*'Time based aggregation (hide)'!$AB37</f>
        <v>0</v>
      </c>
      <c r="FP75" s="7">
        <f>'File 5'!$Q$54*'Time based aggregation (hide)'!$AC37</f>
        <v>0</v>
      </c>
      <c r="FQ75" s="7">
        <f>'File 5'!$R$54*'Time based aggregation (hide)'!$AD37</f>
        <v>0</v>
      </c>
      <c r="FR75" s="7">
        <f>'File 5'!$S$54*'Time based aggregation (hide)'!$AE37</f>
        <v>0</v>
      </c>
      <c r="FS75" s="7">
        <f>'File 6'!$Q$54*'Time based aggregation (hide)'!$AF37</f>
        <v>0</v>
      </c>
      <c r="FT75" s="7">
        <f>'File 6'!$R$54*'Time based aggregation (hide)'!$AG37</f>
        <v>0</v>
      </c>
      <c r="FU75" s="7">
        <f>'File 6'!$S$54*'Time based aggregation (hide)'!$AH37</f>
        <v>0</v>
      </c>
      <c r="FV75" s="7">
        <f>'File 7'!$Q$54*'Time based aggregation (hide)'!$AI37</f>
        <v>0</v>
      </c>
      <c r="FW75" s="7">
        <f>'File 7'!$R$54*'Time based aggregation (hide)'!$AJ37</f>
        <v>0</v>
      </c>
      <c r="FX75" s="7">
        <f>'File 7'!$S$54*'Time based aggregation (hide)'!$AK37</f>
        <v>0</v>
      </c>
      <c r="FY75" s="7">
        <f>'File 8'!$Q$54*'Time based aggregation (hide)'!$AL37</f>
        <v>0</v>
      </c>
      <c r="FZ75" s="7">
        <f>'File 8'!$R$54*'Time based aggregation (hide)'!$AM37</f>
        <v>0</v>
      </c>
      <c r="GA75" s="7">
        <f>'File 8'!$S$54*'Time based aggregation (hide)'!$AN37</f>
        <v>0</v>
      </c>
      <c r="GB75" s="7">
        <f>'File 9'!$Q$54*'Time based aggregation (hide)'!$AO37</f>
        <v>0</v>
      </c>
      <c r="GC75" s="7">
        <f>'File 9'!$R$54*'Time based aggregation (hide)'!$AP37</f>
        <v>0</v>
      </c>
      <c r="GD75" s="7">
        <f>'File 9'!$S$54*'Time based aggregation (hide)'!$AQ37</f>
        <v>0</v>
      </c>
      <c r="GE75" s="7">
        <f>'File 10'!$Q$54*'Time based aggregation (hide)'!$AR37</f>
        <v>0</v>
      </c>
      <c r="GF75" s="7">
        <f>'File 10'!$R$54*'Time based aggregation (hide)'!$AS37</f>
        <v>0</v>
      </c>
      <c r="GG75" s="7">
        <f>'File 10'!$S$54*'Time based aggregation (hide)'!$AT37</f>
        <v>0</v>
      </c>
      <c r="GH75" s="7">
        <f>'File 11'!$Q$54*'Time based aggregation (hide)'!$AU37</f>
        <v>0</v>
      </c>
      <c r="GI75" s="7">
        <f>'File 11'!$R$54*'Time based aggregation (hide)'!$AV37</f>
        <v>0</v>
      </c>
      <c r="GJ75" s="7">
        <f>'File 11'!$S$54*'Time based aggregation (hide)'!$AW37</f>
        <v>0</v>
      </c>
      <c r="GK75" s="7">
        <f>'File 12'!$Q$54*'Time based aggregation (hide)'!$AX37</f>
        <v>0</v>
      </c>
      <c r="GL75" s="7">
        <f>'File 12'!$R$54*'Time based aggregation (hide)'!$AY37</f>
        <v>0</v>
      </c>
      <c r="GM75" s="7">
        <f>'File 12'!$S$54*'Time based aggregation (hide)'!$AZ37</f>
        <v>0</v>
      </c>
      <c r="GN75" s="7">
        <f>'File 13'!$Q$54*'Time based aggregation (hide)'!$BA37</f>
        <v>0</v>
      </c>
      <c r="GO75" s="7">
        <f>'File 13'!$R$54*'Time based aggregation (hide)'!$BB37</f>
        <v>0</v>
      </c>
      <c r="GP75" s="7">
        <f>'File 13'!$S$54*'Time based aggregation (hide)'!$BC37</f>
        <v>0</v>
      </c>
      <c r="GQ75" s="7">
        <f>'File 14'!$Q$54*'Time based aggregation (hide)'!$BD37</f>
        <v>0</v>
      </c>
      <c r="GR75" s="7">
        <f>'File 14'!$R$54*'Time based aggregation (hide)'!$BE37</f>
        <v>0</v>
      </c>
      <c r="GS75" s="7">
        <f>'File 14'!$S$54*'Time based aggregation (hide)'!$BF37</f>
        <v>0</v>
      </c>
      <c r="GT75" s="7">
        <f>'File 15'!$Q$54*'Time based aggregation (hide)'!$BG37</f>
        <v>0</v>
      </c>
      <c r="GU75" s="7">
        <f>'File 15'!$R$54*'Time based aggregation (hide)'!$BH37</f>
        <v>0</v>
      </c>
      <c r="GV75" s="7">
        <f>'File 15'!$S$54*'Time based aggregation (hide)'!$BI37</f>
        <v>0</v>
      </c>
      <c r="GW75" s="7">
        <f>'File 16'!$Q$54*'Time based aggregation (hide)'!$BJ37</f>
        <v>0</v>
      </c>
      <c r="GX75" s="7">
        <f>'File 16'!$R$54*'Time based aggregation (hide)'!$BK37</f>
        <v>0</v>
      </c>
      <c r="GY75" s="7">
        <f>'File 16'!$S$54*'Time based aggregation (hide)'!$BL37</f>
        <v>0</v>
      </c>
      <c r="GZ75" s="7">
        <f>'File 17'!$Q$54*'Time based aggregation (hide)'!$BM37</f>
        <v>0</v>
      </c>
      <c r="HA75" s="7">
        <f>'File 17'!$R$54*'Time based aggregation (hide)'!$BN37</f>
        <v>0</v>
      </c>
      <c r="HB75" s="7">
        <f>'File 17'!$S$54*'Time based aggregation (hide)'!$BO37</f>
        <v>0</v>
      </c>
      <c r="HC75" s="7">
        <f>'File 18'!$Q$54*'Time based aggregation (hide)'!$BP37</f>
        <v>0</v>
      </c>
      <c r="HD75" s="7">
        <f>'File 18'!$R$54*'Time based aggregation (hide)'!$BQ37</f>
        <v>0</v>
      </c>
      <c r="HE75" s="7">
        <f>'File 18'!$S$54*'Time based aggregation (hide)'!$BR37</f>
        <v>0</v>
      </c>
      <c r="HF75" s="7">
        <f>'File 19'!$Q$54*'Time based aggregation (hide)'!$BS37</f>
        <v>0</v>
      </c>
      <c r="HG75" s="7">
        <f>'File 19'!$R$54*'Time based aggregation (hide)'!$BT37</f>
        <v>0</v>
      </c>
      <c r="HH75" s="7">
        <f>'File 19'!$S$54*'Time based aggregation (hide)'!$BU37</f>
        <v>0</v>
      </c>
      <c r="HI75" s="7">
        <f>'File 20'!$Q$54*'Time based aggregation (hide)'!$BV37</f>
        <v>0</v>
      </c>
      <c r="HJ75" s="7">
        <f>'File 20'!$R$54*'Time based aggregation (hide)'!$BW37</f>
        <v>0</v>
      </c>
      <c r="HK75" s="7">
        <f>'File 20'!$S$54*'Time based aggregation (hide)'!$BX37</f>
        <v>0</v>
      </c>
      <c r="HL75" s="7">
        <f t="shared" ca="1" si="45"/>
        <v>0</v>
      </c>
      <c r="HM75" s="7">
        <f t="shared" ca="1" si="45"/>
        <v>0</v>
      </c>
      <c r="HN75" s="7">
        <f t="shared" ca="1" si="45"/>
        <v>0</v>
      </c>
      <c r="HO75" s="7">
        <f t="shared" ca="1" si="45"/>
        <v>0</v>
      </c>
      <c r="HP75" s="7">
        <f t="shared" ca="1" si="45"/>
        <v>0</v>
      </c>
      <c r="HR75" s="142">
        <f>INDEX('File 1'!Weekly_Adjusted,33,16)</f>
        <v>20.933351264120493</v>
      </c>
      <c r="HS75" s="142">
        <f>INDEX('File 1'!Weekly_Adjusted,33,17)</f>
        <v>0</v>
      </c>
      <c r="HT75" s="142">
        <f>INDEX('File 1'!Weekly_Adjusted,33,18)</f>
        <v>0</v>
      </c>
      <c r="HU75" s="143">
        <f>INDEX('File 2'!Weekly_Adjusted,33,16)</f>
        <v>0</v>
      </c>
      <c r="HV75" s="143">
        <f>INDEX('File 2'!Weekly_Adjusted,33,17)</f>
        <v>0</v>
      </c>
      <c r="HW75" s="143">
        <f>INDEX('File 2'!Weekly_Adjusted,33,18)</f>
        <v>0</v>
      </c>
      <c r="HX75" s="142">
        <f>INDEX('File 3'!Weekly_Adjusted,33,16)</f>
        <v>0</v>
      </c>
      <c r="HY75" s="142">
        <f>INDEX('File 3'!Weekly_Adjusted,33,17)</f>
        <v>0</v>
      </c>
      <c r="HZ75" s="142">
        <f>INDEX('File 3'!Weekly_Adjusted,33,18)</f>
        <v>0</v>
      </c>
      <c r="IA75" s="143">
        <f>INDEX('File 4'!Weekly_Adjusted,33,16)</f>
        <v>0</v>
      </c>
      <c r="IB75" s="143">
        <f>INDEX('File 4'!Weekly_Adjusted,33,17)</f>
        <v>0</v>
      </c>
      <c r="IC75" s="143">
        <f>INDEX('File 4'!Weekly_Adjusted,33,18)</f>
        <v>0</v>
      </c>
      <c r="ID75" s="142">
        <f>INDEX('File 5'!Weekly_Adjusted,33,16)</f>
        <v>0</v>
      </c>
      <c r="IE75" s="142">
        <f>INDEX('File 5'!Weekly_Adjusted,33,17)</f>
        <v>0</v>
      </c>
      <c r="IF75" s="142">
        <f>INDEX('File 5'!Weekly_Adjusted,33,18)</f>
        <v>0</v>
      </c>
      <c r="IG75" s="143">
        <f>INDEX('File 6'!Weekly_Adjusted,33,16)</f>
        <v>0</v>
      </c>
      <c r="IH75" s="143">
        <f>INDEX('File 6'!Weekly_Adjusted,33,17)</f>
        <v>0</v>
      </c>
      <c r="II75" s="143">
        <f>INDEX('File 6'!Weekly_Adjusted,33,18)</f>
        <v>0</v>
      </c>
      <c r="IJ75" s="142">
        <f>INDEX('File 7'!Weekly_Adjusted,33,16)</f>
        <v>0</v>
      </c>
      <c r="IK75" s="142">
        <f>INDEX('File 7'!Weekly_Adjusted,33,17)</f>
        <v>0</v>
      </c>
      <c r="IL75" s="142">
        <f>INDEX('File 7'!Weekly_Adjusted,33,18)</f>
        <v>0</v>
      </c>
      <c r="IM75" s="143">
        <f>INDEX('File 8'!Weekly_Adjusted,33,16)</f>
        <v>0</v>
      </c>
      <c r="IN75" s="143">
        <f>INDEX('File 8'!Weekly_Adjusted,33,17)</f>
        <v>0</v>
      </c>
      <c r="IO75" s="143">
        <f>INDEX('File 8'!Weekly_Adjusted,33,18)</f>
        <v>0</v>
      </c>
      <c r="IP75" s="142">
        <f>INDEX('File 9'!Weekly_Adjusted,33,16)</f>
        <v>0</v>
      </c>
      <c r="IQ75" s="142">
        <f>INDEX('File 9'!Weekly_Adjusted,33,17)</f>
        <v>0</v>
      </c>
      <c r="IR75" s="142">
        <f>INDEX('File 9'!Weekly_Adjusted,33,18)</f>
        <v>0</v>
      </c>
      <c r="IS75" s="143">
        <f>INDEX('File 10'!Weekly_Adjusted,33,16)</f>
        <v>0</v>
      </c>
      <c r="IT75" s="143">
        <f>INDEX('File 10'!Weekly_Adjusted,33,17)</f>
        <v>0</v>
      </c>
      <c r="IU75" s="143">
        <f>INDEX('File 10'!Weekly_Adjusted,33,18)</f>
        <v>0</v>
      </c>
      <c r="IV75" s="142">
        <f>INDEX('File 11'!Weekly_Adjusted,33,16)</f>
        <v>0</v>
      </c>
      <c r="IW75" s="142">
        <f>INDEX('File 11'!Weekly_Adjusted,33,17)</f>
        <v>0</v>
      </c>
      <c r="IX75" s="142">
        <f>INDEX('File 11'!Weekly_Adjusted,33,18)</f>
        <v>0</v>
      </c>
      <c r="IY75" s="143">
        <f>INDEX('File 12'!Weekly_Adjusted,33,16)</f>
        <v>0</v>
      </c>
      <c r="IZ75" s="143">
        <f>INDEX('File 12'!Weekly_Adjusted,33,17)</f>
        <v>0</v>
      </c>
      <c r="JA75" s="143">
        <f>INDEX('File 12'!Weekly_Adjusted,33,18)</f>
        <v>0</v>
      </c>
      <c r="JB75" s="142">
        <f>INDEX('File 13'!Weekly_Adjusted,33,16)</f>
        <v>0</v>
      </c>
      <c r="JC75" s="142">
        <f>INDEX('File 13'!Weekly_Adjusted,33,17)</f>
        <v>0</v>
      </c>
      <c r="JD75" s="142">
        <f>INDEX('File 13'!Weekly_Adjusted,33,18)</f>
        <v>0</v>
      </c>
      <c r="JE75" s="143">
        <f>INDEX('File 14'!Weekly_Adjusted,33,16)</f>
        <v>0</v>
      </c>
      <c r="JF75" s="143">
        <f>INDEX('File 14'!Weekly_Adjusted,33,17)</f>
        <v>0</v>
      </c>
      <c r="JG75" s="143">
        <f>INDEX('File 14'!Weekly_Adjusted,33,18)</f>
        <v>0</v>
      </c>
      <c r="JH75" s="142">
        <f>INDEX('File 15'!Weekly_Adjusted,33,16)</f>
        <v>0</v>
      </c>
      <c r="JI75" s="142">
        <f>INDEX('File 15'!Weekly_Adjusted,33,17)</f>
        <v>0</v>
      </c>
      <c r="JJ75" s="142">
        <f>INDEX('File 15'!Weekly_Adjusted,33,18)</f>
        <v>0</v>
      </c>
      <c r="JK75" s="143">
        <f>INDEX('File 16'!Weekly_Adjusted,33,16)</f>
        <v>0</v>
      </c>
      <c r="JL75" s="143">
        <f>INDEX('File 16'!Weekly_Adjusted,33,17)</f>
        <v>0</v>
      </c>
      <c r="JM75" s="143">
        <f>INDEX('File 16'!Weekly_Adjusted,33,18)</f>
        <v>0</v>
      </c>
      <c r="JN75" s="142">
        <f>INDEX('File 17'!Weekly_Adjusted,33,16)</f>
        <v>0</v>
      </c>
      <c r="JO75" s="142">
        <f>INDEX('File 17'!Weekly_Adjusted,33,17)</f>
        <v>0</v>
      </c>
      <c r="JP75" s="142">
        <f>INDEX('File 17'!Weekly_Adjusted,33,18)</f>
        <v>0</v>
      </c>
      <c r="JQ75" s="143">
        <f>INDEX('File 18'!Weekly_Adjusted,33,16)</f>
        <v>0</v>
      </c>
      <c r="JR75" s="143">
        <f>INDEX('File 18'!Weekly_Adjusted,33,17)</f>
        <v>0</v>
      </c>
      <c r="JS75" s="143">
        <f>INDEX('File 18'!Weekly_Adjusted,33,18)</f>
        <v>0</v>
      </c>
      <c r="JT75" s="142">
        <f>INDEX('File 19'!Weekly_Adjusted,33,16)</f>
        <v>0</v>
      </c>
      <c r="JU75" s="142">
        <f>INDEX('File 19'!Weekly_Adjusted,33,17)</f>
        <v>0</v>
      </c>
      <c r="JV75" s="142">
        <f>INDEX('File 19'!Weekly_Adjusted,33,18)</f>
        <v>0</v>
      </c>
      <c r="JW75" s="143">
        <f>INDEX('File 20'!Weekly_Adjusted,33,16)</f>
        <v>0</v>
      </c>
      <c r="JX75" s="143">
        <f>INDEX('File 20'!Weekly_Adjusted,33,17)</f>
        <v>0</v>
      </c>
      <c r="JY75" s="143">
        <f>INDEX('File 20'!Weekly_Adjusted,33,18)</f>
        <v>0</v>
      </c>
      <c r="JZ75" s="6">
        <f ca="1">SUMIFS(INDEX(CapacityCore_Activity_Weekly,ROW(EC33),0),Demand_Activity_Weekly_Header,HL$42)</f>
        <v>20.933351264120493</v>
      </c>
      <c r="KA75" s="6">
        <f ca="1">SUMIFS(INDEX(CapacityCore_Activity_Weekly,ROW(ED33),0),Demand_Activity_Weekly_Header,HM$42)</f>
        <v>0</v>
      </c>
      <c r="KB75" s="6">
        <f ca="1">SUMIFS(INDEX(CapacityCore_Activity_Weekly,ROW(EE33),0),Demand_Activity_Weekly_Header,HN$42)</f>
        <v>0</v>
      </c>
      <c r="KC75" s="6">
        <f ca="1">SUMIFS(INDEX(CapacityCore_Activity_Weekly,ROW(EF33),0),Demand_Activity_Weekly_Header,HO$42)</f>
        <v>0</v>
      </c>
      <c r="KD75" s="6">
        <f ca="1">SUMIFS(INDEX(CapacityCore_Activity_Weekly,ROW(EG33),0),Demand_Activity_Weekly_Header,HP$42)</f>
        <v>0</v>
      </c>
      <c r="KF75" s="6">
        <f>SUMIFS('Time based aggregation (hide)'!$J:$J,'Time based aggregation (hide)'!$E:$E,1,'Time based aggregation (hide)'!$F:$F,1,'Time based aggregation (hide)'!$A:$A,ROW(A33))</f>
        <v>0</v>
      </c>
      <c r="KG75" s="6">
        <f>SUMIFS('Time based aggregation (hide)'!$J:$J,'Time based aggregation (hide)'!$E:$E,1,'Time based aggregation (hide)'!$F:$F,2,'Time based aggregation (hide)'!$A:$A,ROW(A33))</f>
        <v>0</v>
      </c>
      <c r="KH75" s="6">
        <f>SUMIFS('Time based aggregation (hide)'!$J:$J,'Time based aggregation (hide)'!$E:$E,1,'Time based aggregation (hide)'!$F:$F,3,'Time based aggregation (hide)'!$A:$A,ROW(A33))</f>
        <v>0</v>
      </c>
      <c r="KI75" s="6">
        <f>SUMIFS('Time based aggregation (hide)'!$J:$J,'Time based aggregation (hide)'!$E:$E,2,'Time based aggregation (hide)'!$F:$F,1,'Time based aggregation (hide)'!$A:$A,ROW(A33))</f>
        <v>0</v>
      </c>
      <c r="KJ75" s="6">
        <f>SUMIFS('Time based aggregation (hide)'!$J:$J,'Time based aggregation (hide)'!$E:$E,2,'Time based aggregation (hide)'!$F:$F,2,'Time based aggregation (hide)'!$A:$A,ROW(A33))</f>
        <v>0</v>
      </c>
      <c r="KK75" s="6">
        <f>SUMIFS('Time based aggregation (hide)'!$J:$J,'Time based aggregation (hide)'!$E:$E,2,'Time based aggregation (hide)'!$F:$F,3,'Time based aggregation (hide)'!$A:$A,ROW(A33))</f>
        <v>0</v>
      </c>
      <c r="KL75" s="6">
        <f>SUMIFS('Time based aggregation (hide)'!$J:$J,'Time based aggregation (hide)'!$E:$E,3,'Time based aggregation (hide)'!$F:$F,1,'Time based aggregation (hide)'!$A:$A,ROW(A33))</f>
        <v>0</v>
      </c>
      <c r="KM75" s="6">
        <f>SUMIFS('Time based aggregation (hide)'!$J:$J,'Time based aggregation (hide)'!$E:$E,3,'Time based aggregation (hide)'!$F:$F,2,'Time based aggregation (hide)'!$A:$A,ROW(A33))</f>
        <v>0</v>
      </c>
      <c r="KN75" s="6">
        <f>SUMIFS('Time based aggregation (hide)'!$J:$J,'Time based aggregation (hide)'!$E:$E,3,'Time based aggregation (hide)'!$F:$F,3,'Time based aggregation (hide)'!$A:$A,ROW(A33))</f>
        <v>0</v>
      </c>
      <c r="KO75" s="6">
        <f>SUMIFS('Time based aggregation (hide)'!$J:$J,'Time based aggregation (hide)'!$E:$E,4,'Time based aggregation (hide)'!$F:$F,1,'Time based aggregation (hide)'!$A:$A,ROW(A33))</f>
        <v>0</v>
      </c>
      <c r="KP75" s="6">
        <f>SUMIFS('Time based aggregation (hide)'!$J:$J,'Time based aggregation (hide)'!$E:$E,4,'Time based aggregation (hide)'!$F:$F,2,'Time based aggregation (hide)'!$A:$A,ROW(A33))</f>
        <v>0</v>
      </c>
      <c r="KQ75" s="6">
        <f>SUMIFS('Time based aggregation (hide)'!$J:$J,'Time based aggregation (hide)'!$E:$E,4,'Time based aggregation (hide)'!$F:$F,3,'Time based aggregation (hide)'!$A:$A,ROW(A33))</f>
        <v>0</v>
      </c>
      <c r="KR75" s="6">
        <f>SUMIFS('Time based aggregation (hide)'!$J:$J,'Time based aggregation (hide)'!$E:$E,5,'Time based aggregation (hide)'!$F:$F,1,'Time based aggregation (hide)'!$A:$A,ROW(A33))</f>
        <v>0</v>
      </c>
      <c r="KS75" s="6">
        <f>SUMIFS('Time based aggregation (hide)'!$J:$J,'Time based aggregation (hide)'!$E:$E,5,'Time based aggregation (hide)'!$F:$F,2,'Time based aggregation (hide)'!$A:$A,ROW(A33))</f>
        <v>0</v>
      </c>
      <c r="KT75" s="6">
        <f>SUMIFS('Time based aggregation (hide)'!$J:$J,'Time based aggregation (hide)'!$E:$E,5,'Time based aggregation (hide)'!$F:$F,3,'Time based aggregation (hide)'!$A:$A,ROW(A33))</f>
        <v>0</v>
      </c>
      <c r="KU75" s="6">
        <f>SUMIFS('Time based aggregation (hide)'!$J:$J,'Time based aggregation (hide)'!$E:$E,6,'Time based aggregation (hide)'!$F:$F,1,'Time based aggregation (hide)'!$A:$A,ROW(A33))</f>
        <v>0</v>
      </c>
      <c r="KV75" s="6">
        <f>SUMIFS('Time based aggregation (hide)'!$J:$J,'Time based aggregation (hide)'!$E:$E,6,'Time based aggregation (hide)'!$F:$F,2,'Time based aggregation (hide)'!$A:$A,ROW(A33))</f>
        <v>0</v>
      </c>
      <c r="KW75" s="6">
        <f>SUMIFS('Time based aggregation (hide)'!$J:$J,'Time based aggregation (hide)'!$E:$E,6,'Time based aggregation (hide)'!$F:$F,3,'Time based aggregation (hide)'!$A:$A,ROW(A33))</f>
        <v>0</v>
      </c>
      <c r="KX75" s="6">
        <f>SUMIFS('Time based aggregation (hide)'!$J:$J,'Time based aggregation (hide)'!$E:$E,7,'Time based aggregation (hide)'!$F:$F,1,'Time based aggregation (hide)'!$A:$A,ROW(A33))</f>
        <v>0</v>
      </c>
      <c r="KY75" s="6">
        <f>SUMIFS('Time based aggregation (hide)'!$J:$J,'Time based aggregation (hide)'!$E:$E,7,'Time based aggregation (hide)'!$F:$F,2,'Time based aggregation (hide)'!$A:$A,ROW(A33))</f>
        <v>0</v>
      </c>
      <c r="KZ75" s="6">
        <f>SUMIFS('Time based aggregation (hide)'!$J:$J,'Time based aggregation (hide)'!$E:$E,7,'Time based aggregation (hide)'!$F:$F,3,'Time based aggregation (hide)'!$A:$A,ROW(A33))</f>
        <v>0</v>
      </c>
      <c r="LA75" s="6">
        <f>SUMIFS('Time based aggregation (hide)'!$J:$J,'Time based aggregation (hide)'!$E:$E,8,'Time based aggregation (hide)'!$F:$F,1,'Time based aggregation (hide)'!$A:$A,ROW(A33))</f>
        <v>0</v>
      </c>
      <c r="LB75" s="6">
        <f>SUMIFS('Time based aggregation (hide)'!$J:$J,'Time based aggregation (hide)'!$E:$E,8,'Time based aggregation (hide)'!$F:$F,2,'Time based aggregation (hide)'!$A:$A,ROW(A33))</f>
        <v>0</v>
      </c>
      <c r="LC75" s="6">
        <f>SUMIFS('Time based aggregation (hide)'!$J:$J,'Time based aggregation (hide)'!$E:$E,8,'Time based aggregation (hide)'!$F:$F,3,'Time based aggregation (hide)'!$A:$A,ROW(A33))</f>
        <v>0</v>
      </c>
      <c r="LD75" s="6">
        <f>SUMIFS('Time based aggregation (hide)'!$J:$J,'Time based aggregation (hide)'!$E:$E,9,'Time based aggregation (hide)'!$F:$F,1,'Time based aggregation (hide)'!$A:$A,ROW(A33))</f>
        <v>0</v>
      </c>
      <c r="LE75" s="6">
        <f>SUMIFS('Time based aggregation (hide)'!$J:$J,'Time based aggregation (hide)'!$E:$E,9,'Time based aggregation (hide)'!$F:$F,2,'Time based aggregation (hide)'!$A:$A,ROW(A33))</f>
        <v>0</v>
      </c>
      <c r="LF75" s="6">
        <f>SUMIFS('Time based aggregation (hide)'!$J:$J,'Time based aggregation (hide)'!$E:$E,9,'Time based aggregation (hide)'!$F:$F,3,'Time based aggregation (hide)'!$A:$A,ROW(A33))</f>
        <v>0</v>
      </c>
      <c r="LG75" s="6">
        <f>SUMIFS('Time based aggregation (hide)'!$J:$J,'Time based aggregation (hide)'!$E:$E,10,'Time based aggregation (hide)'!$F:$F,1,'Time based aggregation (hide)'!$A:$A,ROW(A33))</f>
        <v>0</v>
      </c>
      <c r="LH75" s="6">
        <f>SUMIFS('Time based aggregation (hide)'!$J:$J,'Time based aggregation (hide)'!$E:$E,10,'Time based aggregation (hide)'!$F:$F,2,'Time based aggregation (hide)'!$A:$A,ROW(A33))</f>
        <v>0</v>
      </c>
      <c r="LI75" s="6">
        <f>SUMIFS('Time based aggregation (hide)'!$J:$J,'Time based aggregation (hide)'!$E:$E,10,'Time based aggregation (hide)'!$F:$F,3,'Time based aggregation (hide)'!$A:$A,ROW(A33))</f>
        <v>0</v>
      </c>
      <c r="LJ75" s="6">
        <f>SUMIFS('Time based aggregation (hide)'!$J:$J,'Time based aggregation (hide)'!$E:$E,11,'Time based aggregation (hide)'!$F:$F,1,'Time based aggregation (hide)'!$A:$A,ROW(A33))</f>
        <v>0</v>
      </c>
      <c r="LK75" s="6">
        <f>SUMIFS('Time based aggregation (hide)'!$J:$J,'Time based aggregation (hide)'!$E:$E,11,'Time based aggregation (hide)'!$F:$F,2,'Time based aggregation (hide)'!$A:$A,ROW(A33))</f>
        <v>0</v>
      </c>
      <c r="LL75" s="6">
        <f>SUMIFS('Time based aggregation (hide)'!$J:$J,'Time based aggregation (hide)'!$E:$E,11,'Time based aggregation (hide)'!$F:$F,3,'Time based aggregation (hide)'!$A:$A,ROW(A33))</f>
        <v>0</v>
      </c>
      <c r="LM75" s="6">
        <f>SUMIFS('Time based aggregation (hide)'!$J:$J,'Time based aggregation (hide)'!$E:$E,12,'Time based aggregation (hide)'!$F:$F,1,'Time based aggregation (hide)'!$A:$A,ROW(A33))</f>
        <v>0</v>
      </c>
      <c r="LN75" s="6">
        <f>SUMIFS('Time based aggregation (hide)'!$J:$J,'Time based aggregation (hide)'!$E:$E,12,'Time based aggregation (hide)'!$F:$F,2,'Time based aggregation (hide)'!$A:$A,ROW(A33))</f>
        <v>0</v>
      </c>
      <c r="LO75" s="6">
        <f>SUMIFS('Time based aggregation (hide)'!$J:$J,'Time based aggregation (hide)'!$E:$E,12,'Time based aggregation (hide)'!$F:$F,3,'Time based aggregation (hide)'!$A:$A,ROW(A33))</f>
        <v>0</v>
      </c>
      <c r="LP75" s="6">
        <f>SUMIFS('Time based aggregation (hide)'!$J:$J,'Time based aggregation (hide)'!$E:$E,13,'Time based aggregation (hide)'!$F:$F,1,'Time based aggregation (hide)'!$A:$A,ROW(A33))</f>
        <v>0</v>
      </c>
      <c r="LQ75" s="6">
        <f>SUMIFS('Time based aggregation (hide)'!$J:$J,'Time based aggregation (hide)'!$E:$E,13,'Time based aggregation (hide)'!$F:$F,2,'Time based aggregation (hide)'!$A:$A,ROW(A33))</f>
        <v>0</v>
      </c>
      <c r="LR75" s="6">
        <f>SUMIFS('Time based aggregation (hide)'!$J:$J,'Time based aggregation (hide)'!$E:$E,13,'Time based aggregation (hide)'!$F:$F,3,'Time based aggregation (hide)'!$A:$A,ROW(A33))</f>
        <v>0</v>
      </c>
      <c r="LS75" s="6">
        <f>SUMIFS('Time based aggregation (hide)'!$J:$J,'Time based aggregation (hide)'!$E:$E,14,'Time based aggregation (hide)'!$F:$F,1,'Time based aggregation (hide)'!$A:$A,ROW(A33))</f>
        <v>0</v>
      </c>
      <c r="LT75" s="6">
        <f>SUMIFS('Time based aggregation (hide)'!$J:$J,'Time based aggregation (hide)'!$E:$E,14,'Time based aggregation (hide)'!$F:$F,2,'Time based aggregation (hide)'!$A:$A,ROW(A33))</f>
        <v>0</v>
      </c>
      <c r="LU75" s="6">
        <f>SUMIFS('Time based aggregation (hide)'!$J:$J,'Time based aggregation (hide)'!$E:$E,14,'Time based aggregation (hide)'!$F:$F,3,'Time based aggregation (hide)'!$A:$A,ROW(A33))</f>
        <v>0</v>
      </c>
      <c r="LV75" s="6">
        <f>SUMIFS('Time based aggregation (hide)'!$J:$J,'Time based aggregation (hide)'!$E:$E,15,'Time based aggregation (hide)'!$F:$F,1,'Time based aggregation (hide)'!$A:$A,ROW(A33))</f>
        <v>0</v>
      </c>
      <c r="LW75" s="6">
        <f>SUMIFS('Time based aggregation (hide)'!$J:$J,'Time based aggregation (hide)'!$E:$E,15,'Time based aggregation (hide)'!$F:$F,2,'Time based aggregation (hide)'!$A:$A,ROW(A33))</f>
        <v>0</v>
      </c>
      <c r="LX75" s="6">
        <f>SUMIFS('Time based aggregation (hide)'!$J:$J,'Time based aggregation (hide)'!$E:$E,15,'Time based aggregation (hide)'!$F:$F,3,'Time based aggregation (hide)'!$A:$A,ROW(A33))</f>
        <v>0</v>
      </c>
      <c r="LY75" s="6">
        <f>SUMIFS('Time based aggregation (hide)'!$J:$J,'Time based aggregation (hide)'!$E:$E,16,'Time based aggregation (hide)'!$F:$F,1,'Time based aggregation (hide)'!$A:$A,ROW(A33))</f>
        <v>0</v>
      </c>
      <c r="LZ75" s="6">
        <f>SUMIFS('Time based aggregation (hide)'!$J:$J,'Time based aggregation (hide)'!$E:$E,16,'Time based aggregation (hide)'!$F:$F,2,'Time based aggregation (hide)'!$A:$A,ROW(A33))</f>
        <v>0</v>
      </c>
      <c r="MA75" s="6">
        <f>SUMIFS('Time based aggregation (hide)'!$J:$J,'Time based aggregation (hide)'!$E:$E,16,'Time based aggregation (hide)'!$F:$F,3,'Time based aggregation (hide)'!$A:$A,ROW(A33))</f>
        <v>0</v>
      </c>
      <c r="MB75" s="6">
        <f>SUMIFS('Time based aggregation (hide)'!$J:$J,'Time based aggregation (hide)'!$E:$E,17,'Time based aggregation (hide)'!$F:$F,1,'Time based aggregation (hide)'!$A:$A,ROW(A33))</f>
        <v>0</v>
      </c>
      <c r="MC75" s="6">
        <f>SUMIFS('Time based aggregation (hide)'!$J:$J,'Time based aggregation (hide)'!$E:$E,17,'Time based aggregation (hide)'!$F:$F,2,'Time based aggregation (hide)'!$A:$A,ROW(A33))</f>
        <v>0</v>
      </c>
      <c r="MD75" s="6">
        <f>SUMIFS('Time based aggregation (hide)'!$J:$J,'Time based aggregation (hide)'!$E:$E,17,'Time based aggregation (hide)'!$F:$F,3,'Time based aggregation (hide)'!$A:$A,ROW(A33))</f>
        <v>0</v>
      </c>
      <c r="ME75" s="6">
        <f>SUMIFS('Time based aggregation (hide)'!$J:$J,'Time based aggregation (hide)'!$E:$E,18,'Time based aggregation (hide)'!$F:$F,1,'Time based aggregation (hide)'!$A:$A,ROW(A33))</f>
        <v>0</v>
      </c>
      <c r="MF75" s="6">
        <f>SUMIFS('Time based aggregation (hide)'!$J:$J,'Time based aggregation (hide)'!$E:$E,18,'Time based aggregation (hide)'!$F:$F,2,'Time based aggregation (hide)'!$A:$A,ROW(A33))</f>
        <v>0</v>
      </c>
      <c r="MG75" s="6">
        <f>SUMIFS('Time based aggregation (hide)'!$J:$J,'Time based aggregation (hide)'!$E:$E,18,'Time based aggregation (hide)'!$F:$F,3,'Time based aggregation (hide)'!$A:$A,ROW(A33))</f>
        <v>0</v>
      </c>
      <c r="MH75" s="6">
        <f>SUMIFS('Time based aggregation (hide)'!$J:$J,'Time based aggregation (hide)'!$E:$E,19,'Time based aggregation (hide)'!$F:$F,1,'Time based aggregation (hide)'!$A:$A,ROW(A33))</f>
        <v>0</v>
      </c>
      <c r="MI75" s="6">
        <f>SUMIFS('Time based aggregation (hide)'!$J:$J,'Time based aggregation (hide)'!$E:$E,19,'Time based aggregation (hide)'!$F:$F,2,'Time based aggregation (hide)'!$A:$A,ROW(A33))</f>
        <v>0</v>
      </c>
      <c r="MJ75" s="6">
        <f>SUMIFS('Time based aggregation (hide)'!$J:$J,'Time based aggregation (hide)'!$E:$E,19,'Time based aggregation (hide)'!$F:$F,3,'Time based aggregation (hide)'!$A:$A,ROW(A33))</f>
        <v>0</v>
      </c>
      <c r="MK75" s="6">
        <f>SUMIFS('Time based aggregation (hide)'!$J:$J,'Time based aggregation (hide)'!$E:$E,20,'Time based aggregation (hide)'!$F:$F,1,'Time based aggregation (hide)'!$A:$A,ROW(A33))</f>
        <v>0</v>
      </c>
      <c r="ML75" s="6">
        <f>SUMIFS('Time based aggregation (hide)'!$J:$J,'Time based aggregation (hide)'!$E:$E,20,'Time based aggregation (hide)'!$F:$F,2,'Time based aggregation (hide)'!$A:$A,ROW(A33))</f>
        <v>0</v>
      </c>
      <c r="MM75" s="6">
        <f>SUMIFS('Time based aggregation (hide)'!$J:$J,'Time based aggregation (hide)'!$E:$E,20,'Time based aggregation (hide)'!$F:$F,3,'Time based aggregation (hide)'!$A:$A,ROW(A33))</f>
        <v>0</v>
      </c>
      <c r="MN75" s="7">
        <f t="shared" ca="1" si="41"/>
        <v>0</v>
      </c>
      <c r="MO75" s="7">
        <f t="shared" ca="1" si="41"/>
        <v>0</v>
      </c>
      <c r="MP75" s="7">
        <f t="shared" ca="1" si="41"/>
        <v>0</v>
      </c>
      <c r="MQ75" s="7">
        <f t="shared" ca="1" si="41"/>
        <v>0</v>
      </c>
      <c r="MR75" s="7">
        <f t="shared" ca="1" si="41"/>
        <v>0</v>
      </c>
    </row>
    <row r="76" spans="1:356" x14ac:dyDescent="0.25">
      <c r="A76">
        <f>1</f>
        <v>1</v>
      </c>
      <c r="B76" s="85">
        <f t="shared" si="37"/>
        <v>43864</v>
      </c>
      <c r="C76" s="85">
        <f t="shared" si="25"/>
        <v>43864</v>
      </c>
      <c r="D76">
        <f t="shared" ca="1" si="26"/>
        <v>1</v>
      </c>
      <c r="E76" s="85">
        <f t="shared" si="27"/>
        <v>43862</v>
      </c>
      <c r="F76">
        <f t="shared" si="33"/>
        <v>6</v>
      </c>
      <c r="H76">
        <f t="shared" si="34"/>
        <v>34</v>
      </c>
      <c r="I76" s="85">
        <f t="shared" si="38"/>
        <v>44060</v>
      </c>
      <c r="J76">
        <f t="shared" ca="1" si="46"/>
        <v>5</v>
      </c>
      <c r="K76">
        <f t="shared" ca="1" si="47"/>
        <v>1.968503937007874E-2</v>
      </c>
      <c r="L76" s="114"/>
      <c r="N76" s="85">
        <f t="shared" si="35"/>
        <v>44060</v>
      </c>
      <c r="O76" s="122">
        <f t="shared" ca="1" si="44"/>
        <v>0</v>
      </c>
      <c r="P76" s="122">
        <f t="shared" ca="1" si="44"/>
        <v>0</v>
      </c>
      <c r="Q76" s="122">
        <f t="shared" ca="1" si="44"/>
        <v>0</v>
      </c>
      <c r="R76" s="122">
        <f t="shared" ca="1" si="44"/>
        <v>0</v>
      </c>
      <c r="S76" s="122">
        <f t="shared" ca="1" si="44"/>
        <v>0</v>
      </c>
      <c r="T76" s="122">
        <f t="shared" ca="1" si="44"/>
        <v>0</v>
      </c>
      <c r="U76" s="122">
        <f t="shared" ca="1" si="44"/>
        <v>0</v>
      </c>
      <c r="V76" s="122">
        <f t="shared" ca="1" si="44"/>
        <v>1</v>
      </c>
      <c r="W76" s="122">
        <f t="shared" ca="1" si="44"/>
        <v>0</v>
      </c>
      <c r="X76" s="122">
        <f t="shared" ca="1" si="44"/>
        <v>0</v>
      </c>
      <c r="Y76" s="122">
        <f t="shared" ca="1" si="44"/>
        <v>0</v>
      </c>
      <c r="Z76" s="122">
        <f t="shared" ca="1" si="44"/>
        <v>0</v>
      </c>
      <c r="AA76" s="122"/>
      <c r="AB76" s="140">
        <f>INDEX('File 1'!Weekly_Adjusted,34,1)</f>
        <v>388.17143954725253</v>
      </c>
      <c r="AC76" s="140">
        <f>INDEX('File 1'!Weekly_Adjusted,34,2)</f>
        <v>0</v>
      </c>
      <c r="AD76" s="140">
        <f>INDEX('File 1'!Weekly_Adjusted,34,3)</f>
        <v>0</v>
      </c>
      <c r="AE76" s="141">
        <f>INDEX('File 2'!Weekly_Adjusted,34,1)</f>
        <v>0</v>
      </c>
      <c r="AF76" s="141">
        <f>INDEX('File 2'!Weekly_Adjusted,34,2)</f>
        <v>0</v>
      </c>
      <c r="AG76" s="141">
        <f>INDEX('File 2'!Weekly_Adjusted,34,3)</f>
        <v>0</v>
      </c>
      <c r="AH76" s="140">
        <f>INDEX('File 3'!Weekly_Adjusted,34,1)</f>
        <v>0</v>
      </c>
      <c r="AI76" s="140">
        <f>INDEX('File 3'!Weekly_Adjusted,34,2)</f>
        <v>0</v>
      </c>
      <c r="AJ76" s="140">
        <f>INDEX('File 3'!Weekly_Adjusted,34,3)</f>
        <v>0</v>
      </c>
      <c r="AK76" s="141">
        <f>INDEX('File 4'!Weekly_Adjusted,34,1)</f>
        <v>0</v>
      </c>
      <c r="AL76" s="141">
        <f>INDEX('File 4'!Weekly_Adjusted,34,2)</f>
        <v>0</v>
      </c>
      <c r="AM76" s="141">
        <f>INDEX('File 4'!Weekly_Adjusted,34,3)</f>
        <v>0</v>
      </c>
      <c r="AN76" s="140">
        <f>INDEX('File 5'!Weekly_Adjusted,34,1)</f>
        <v>0</v>
      </c>
      <c r="AO76" s="140">
        <f>INDEX('File 5'!Weekly_Adjusted,34,2)</f>
        <v>0</v>
      </c>
      <c r="AP76" s="140">
        <f>INDEX('File 5'!Weekly_Adjusted,34,3)</f>
        <v>0</v>
      </c>
      <c r="AQ76" s="141">
        <f>INDEX('File 6'!Weekly_Adjusted,34,1)</f>
        <v>0</v>
      </c>
      <c r="AR76" s="141">
        <f>INDEX('File 6'!Weekly_Adjusted,34,2)</f>
        <v>0</v>
      </c>
      <c r="AS76" s="141">
        <f>INDEX('File 6'!Weekly_Adjusted,34,3)</f>
        <v>0</v>
      </c>
      <c r="AT76" s="140">
        <f>INDEX('File 7'!Weekly_Adjusted,34,1)</f>
        <v>0</v>
      </c>
      <c r="AU76" s="140">
        <f>INDEX('File 7'!Weekly_Adjusted,34,2)</f>
        <v>0</v>
      </c>
      <c r="AV76" s="140">
        <f>INDEX('File 7'!Weekly_Adjusted,34,3)</f>
        <v>0</v>
      </c>
      <c r="AW76" s="141">
        <f>INDEX('File 8'!Weekly_Adjusted,34,1)</f>
        <v>0</v>
      </c>
      <c r="AX76" s="141">
        <f>INDEX('File 8'!Weekly_Adjusted,34,2)</f>
        <v>0</v>
      </c>
      <c r="AY76" s="141">
        <f>INDEX('File 8'!Weekly_Adjusted,34,3)</f>
        <v>0</v>
      </c>
      <c r="AZ76" s="140">
        <f>INDEX('File 9'!Weekly_Adjusted,34,1)</f>
        <v>0</v>
      </c>
      <c r="BA76" s="140">
        <f>INDEX('File 9'!Weekly_Adjusted,34,2)</f>
        <v>0</v>
      </c>
      <c r="BB76" s="140">
        <f>INDEX('File 9'!Weekly_Adjusted,34,3)</f>
        <v>0</v>
      </c>
      <c r="BC76" s="141">
        <f>INDEX('File 10'!Weekly_Adjusted,34,1)</f>
        <v>0</v>
      </c>
      <c r="BD76" s="141">
        <f>INDEX('File 10'!Weekly_Adjusted,34,2)</f>
        <v>0</v>
      </c>
      <c r="BE76" s="141">
        <f>INDEX('File 10'!Weekly_Adjusted,34,3)</f>
        <v>0</v>
      </c>
      <c r="BF76" s="140">
        <f>INDEX('File 11'!Weekly_Adjusted,34,1)</f>
        <v>0</v>
      </c>
      <c r="BG76" s="140">
        <f>INDEX('File 11'!Weekly_Adjusted,34,2)</f>
        <v>0</v>
      </c>
      <c r="BH76" s="140">
        <f>INDEX('File 11'!Weekly_Adjusted,34,3)</f>
        <v>0</v>
      </c>
      <c r="BI76" s="141">
        <f>INDEX('File 12'!Weekly_Adjusted,34,1)</f>
        <v>0</v>
      </c>
      <c r="BJ76" s="141">
        <f>INDEX('File 12'!Weekly_Adjusted,34,2)</f>
        <v>0</v>
      </c>
      <c r="BK76" s="141">
        <f>INDEX('File 12'!Weekly_Adjusted,34,3)</f>
        <v>0</v>
      </c>
      <c r="BL76" s="140">
        <f>INDEX('File 13'!Weekly_Adjusted,34,1)</f>
        <v>0</v>
      </c>
      <c r="BM76" s="140">
        <f>INDEX('File 13'!Weekly_Adjusted,34,2)</f>
        <v>0</v>
      </c>
      <c r="BN76" s="140">
        <f>INDEX('File 13'!Weekly_Adjusted,34,3)</f>
        <v>0</v>
      </c>
      <c r="BO76" s="141">
        <f>INDEX('File 14'!Weekly_Adjusted,34,1)</f>
        <v>0</v>
      </c>
      <c r="BP76" s="141">
        <f>INDEX('File 14'!Weekly_Adjusted,34,2)</f>
        <v>0</v>
      </c>
      <c r="BQ76" s="141">
        <f>INDEX('File 14'!Weekly_Adjusted,34,3)</f>
        <v>0</v>
      </c>
      <c r="BR76" s="140">
        <f>INDEX('File 15'!Weekly_Adjusted,34,1)</f>
        <v>0</v>
      </c>
      <c r="BS76" s="140">
        <f>INDEX('File 15'!Weekly_Adjusted,34,2)</f>
        <v>0</v>
      </c>
      <c r="BT76" s="140">
        <f>INDEX('File 15'!Weekly_Adjusted,34,3)</f>
        <v>0</v>
      </c>
      <c r="BU76" s="141">
        <f>INDEX('File 16'!Weekly_Adjusted,34,1)</f>
        <v>0</v>
      </c>
      <c r="BV76" s="141">
        <f>INDEX('File 16'!Weekly_Adjusted,34,2)</f>
        <v>0</v>
      </c>
      <c r="BW76" s="141">
        <f>INDEX('File 16'!Weekly_Adjusted,34,3)</f>
        <v>0</v>
      </c>
      <c r="BX76" s="140">
        <f>INDEX('File 17'!Weekly_Adjusted,34,1)</f>
        <v>0</v>
      </c>
      <c r="BY76" s="140">
        <f>INDEX('File 17'!Weekly_Adjusted,34,2)</f>
        <v>0</v>
      </c>
      <c r="BZ76" s="140">
        <f>INDEX('File 17'!Weekly_Adjusted,34,3)</f>
        <v>0</v>
      </c>
      <c r="CA76" s="141">
        <f>INDEX('File 18'!Weekly_Adjusted,34,1)</f>
        <v>0</v>
      </c>
      <c r="CB76" s="141">
        <f>INDEX('File 18'!Weekly_Adjusted,34,2)</f>
        <v>0</v>
      </c>
      <c r="CC76" s="141">
        <f>INDEX('File 18'!Weekly_Adjusted,34,3)</f>
        <v>0</v>
      </c>
      <c r="CD76" s="140">
        <f>INDEX('File 19'!Weekly_Adjusted,34,1)</f>
        <v>0</v>
      </c>
      <c r="CE76" s="140">
        <f>INDEX('File 19'!Weekly_Adjusted,34,2)</f>
        <v>0</v>
      </c>
      <c r="CF76" s="140">
        <f>INDEX('File 19'!Weekly_Adjusted,34,3)</f>
        <v>0</v>
      </c>
      <c r="CG76" s="141">
        <f>INDEX('File 20'!Weekly_Adjusted,34,1)</f>
        <v>0</v>
      </c>
      <c r="CH76" s="141">
        <f>INDEX('File 20'!Weekly_Adjusted,34,2)</f>
        <v>0</v>
      </c>
      <c r="CI76" s="141">
        <f>INDEX('File 20'!Weekly_Adjusted,34,3)</f>
        <v>0</v>
      </c>
      <c r="CJ76" s="6">
        <f ca="1">SUMIFS(INDEX(Demand_Activity_Weekly,ROW(A34),0),Demand_Activity_Weekly_Header,CJ$42)</f>
        <v>388.17143954725253</v>
      </c>
      <c r="CK76" s="6">
        <f ca="1">SUMIFS(INDEX(Demand_Activity_Weekly,ROW(B34),0),Demand_Activity_Weekly_Header,CK$42)</f>
        <v>0</v>
      </c>
      <c r="CL76" s="6">
        <f ca="1">SUMIFS(INDEX(Demand_Activity_Weekly,ROW(C34),0),Demand_Activity_Weekly_Header,CL$42)</f>
        <v>0</v>
      </c>
      <c r="CM76" s="6">
        <f ca="1">SUMIFS(INDEX(Demand_Activity_Weekly,ROW(D34),0),Demand_Activity_Weekly_Header,CM$42)</f>
        <v>0</v>
      </c>
      <c r="CN76" s="6">
        <f ca="1">SUMIFS(INDEX(Demand_Activity_Weekly,ROW(E34),0),Demand_Activity_Weekly_Header,CN$42)</f>
        <v>0</v>
      </c>
      <c r="CP76" s="142">
        <f>INDEX('File 1'!Weekly_Adjusted,34,10)</f>
        <v>24.344712210866053</v>
      </c>
      <c r="CQ76" s="142">
        <f>INDEX('File 1'!Weekly_Adjusted,34,11)</f>
        <v>0</v>
      </c>
      <c r="CR76" s="142">
        <f>INDEX('File 1'!Weekly_Adjusted,34,12)</f>
        <v>0</v>
      </c>
      <c r="CS76" s="143">
        <f>INDEX('File 2'!Weekly_Adjusted,34,10)</f>
        <v>0</v>
      </c>
      <c r="CT76" s="143">
        <f>INDEX('File 2'!Weekly_Adjusted,34,11)</f>
        <v>0</v>
      </c>
      <c r="CU76" s="143">
        <f>INDEX('File 2'!Weekly_Adjusted,34,12)</f>
        <v>0</v>
      </c>
      <c r="CV76" s="142">
        <f>INDEX('File 3'!Weekly_Adjusted,34,10)</f>
        <v>0</v>
      </c>
      <c r="CW76" s="142">
        <f>INDEX('File 3'!Weekly_Adjusted,34,11)</f>
        <v>0</v>
      </c>
      <c r="CX76" s="142">
        <f>INDEX('File 3'!Weekly_Adjusted,34,12)</f>
        <v>0</v>
      </c>
      <c r="CY76" s="143">
        <f>INDEX('File 4'!Weekly_Adjusted,34,10)</f>
        <v>0</v>
      </c>
      <c r="CZ76" s="143">
        <f>INDEX('File 4'!Weekly_Adjusted,34,11)</f>
        <v>0</v>
      </c>
      <c r="DA76" s="143">
        <f>INDEX('File 4'!Weekly_Adjusted,34,12)</f>
        <v>0</v>
      </c>
      <c r="DB76" s="142">
        <f>INDEX('File 5'!Weekly_Adjusted,34,10)</f>
        <v>0</v>
      </c>
      <c r="DC76" s="142">
        <f>INDEX('File 5'!Weekly_Adjusted,34,11)</f>
        <v>0</v>
      </c>
      <c r="DD76" s="142">
        <f>INDEX('File 5'!Weekly_Adjusted,34,12)</f>
        <v>0</v>
      </c>
      <c r="DE76" s="143">
        <f>INDEX('File 6'!Weekly_Adjusted,34,10)</f>
        <v>0</v>
      </c>
      <c r="DF76" s="143">
        <f>INDEX('File 6'!Weekly_Adjusted,34,11)</f>
        <v>0</v>
      </c>
      <c r="DG76" s="143">
        <f>INDEX('File 6'!Weekly_Adjusted,34,12)</f>
        <v>0</v>
      </c>
      <c r="DH76" s="142">
        <f>INDEX('File 7'!Weekly_Adjusted,34,10)</f>
        <v>0</v>
      </c>
      <c r="DI76" s="142">
        <f>INDEX('File 7'!Weekly_Adjusted,34,11)</f>
        <v>0</v>
      </c>
      <c r="DJ76" s="142">
        <f>INDEX('File 7'!Weekly_Adjusted,34,12)</f>
        <v>0</v>
      </c>
      <c r="DK76" s="143">
        <f>INDEX('File 8'!Weekly_Adjusted,34,10)</f>
        <v>0</v>
      </c>
      <c r="DL76" s="143">
        <f>INDEX('File 8'!Weekly_Adjusted,34,11)</f>
        <v>0</v>
      </c>
      <c r="DM76" s="143">
        <f>INDEX('File 8'!Weekly_Adjusted,34,12)</f>
        <v>0</v>
      </c>
      <c r="DN76" s="142">
        <f>INDEX('File 9'!Weekly_Adjusted,34,10)</f>
        <v>0</v>
      </c>
      <c r="DO76" s="142">
        <f>INDEX('File 9'!Weekly_Adjusted,34,11)</f>
        <v>0</v>
      </c>
      <c r="DP76" s="142">
        <f>INDEX('File 9'!Weekly_Adjusted,34,12)</f>
        <v>0</v>
      </c>
      <c r="DQ76" s="143">
        <f>INDEX('File 10'!Weekly_Adjusted,34,10)</f>
        <v>0</v>
      </c>
      <c r="DR76" s="143">
        <f>INDEX('File 10'!Weekly_Adjusted,34,11)</f>
        <v>0</v>
      </c>
      <c r="DS76" s="143">
        <f>INDEX('File 10'!Weekly_Adjusted,34,12)</f>
        <v>0</v>
      </c>
      <c r="DT76" s="142">
        <f>INDEX('File 11'!Weekly_Adjusted,34,10)</f>
        <v>0</v>
      </c>
      <c r="DU76" s="142">
        <f>INDEX('File 11'!Weekly_Adjusted,34,11)</f>
        <v>0</v>
      </c>
      <c r="DV76" s="142">
        <f>INDEX('File 11'!Weekly_Adjusted,34,12)</f>
        <v>0</v>
      </c>
      <c r="DW76" s="143">
        <f>INDEX('File 12'!Weekly_Adjusted,34,10)</f>
        <v>0</v>
      </c>
      <c r="DX76" s="143">
        <f>INDEX('File 12'!Weekly_Adjusted,34,11)</f>
        <v>0</v>
      </c>
      <c r="DY76" s="143">
        <f>INDEX('File 12'!Weekly_Adjusted,34,12)</f>
        <v>0</v>
      </c>
      <c r="DZ76" s="142">
        <f>INDEX('File 13'!Weekly_Adjusted,34,10)</f>
        <v>0</v>
      </c>
      <c r="EA76" s="142">
        <f>INDEX('File 13'!Weekly_Adjusted,34,11)</f>
        <v>0</v>
      </c>
      <c r="EB76" s="142">
        <f>INDEX('File 13'!Weekly_Adjusted,34,12)</f>
        <v>0</v>
      </c>
      <c r="EC76" s="143">
        <f>INDEX('File 14'!Weekly_Adjusted,34,10)</f>
        <v>0</v>
      </c>
      <c r="ED76" s="143">
        <f>INDEX('File 14'!Weekly_Adjusted,34,11)</f>
        <v>0</v>
      </c>
      <c r="EE76" s="143">
        <f>INDEX('File 14'!Weekly_Adjusted,34,12)</f>
        <v>0</v>
      </c>
      <c r="EF76" s="142">
        <f>INDEX('File 15'!Weekly_Adjusted,34,10)</f>
        <v>0</v>
      </c>
      <c r="EG76" s="142">
        <f>INDEX('File 15'!Weekly_Adjusted,34,11)</f>
        <v>0</v>
      </c>
      <c r="EH76" s="142">
        <f>INDEX('File 15'!Weekly_Adjusted,34,12)</f>
        <v>0</v>
      </c>
      <c r="EI76" s="143">
        <f>INDEX('File 16'!Weekly_Adjusted,34,10)</f>
        <v>0</v>
      </c>
      <c r="EJ76" s="143">
        <f>INDEX('File 16'!Weekly_Adjusted,34,11)</f>
        <v>0</v>
      </c>
      <c r="EK76" s="143">
        <f>INDEX('File 16'!Weekly_Adjusted,34,12)</f>
        <v>0</v>
      </c>
      <c r="EL76" s="142">
        <f>INDEX('File 17'!Weekly_Adjusted,34,10)</f>
        <v>0</v>
      </c>
      <c r="EM76" s="142">
        <f>INDEX('File 17'!Weekly_Adjusted,34,11)</f>
        <v>0</v>
      </c>
      <c r="EN76" s="142">
        <f>INDEX('File 17'!Weekly_Adjusted,34,12)</f>
        <v>0</v>
      </c>
      <c r="EO76" s="143">
        <f>INDEX('File 18'!Weekly_Adjusted,34,10)</f>
        <v>0</v>
      </c>
      <c r="EP76" s="143">
        <f>INDEX('File 18'!Weekly_Adjusted,34,11)</f>
        <v>0</v>
      </c>
      <c r="EQ76" s="143">
        <f>INDEX('File 18'!Weekly_Adjusted,34,12)</f>
        <v>0</v>
      </c>
      <c r="ER76" s="142">
        <f>INDEX('File 19'!Weekly_Adjusted,34,10)</f>
        <v>0</v>
      </c>
      <c r="ES76" s="142">
        <f>INDEX('File 19'!Weekly_Adjusted,34,11)</f>
        <v>0</v>
      </c>
      <c r="ET76" s="142">
        <f>INDEX('File 19'!Weekly_Adjusted,34,12)</f>
        <v>0</v>
      </c>
      <c r="EU76" s="143">
        <f>INDEX('File 20'!Weekly_Adjusted,34,10)</f>
        <v>0</v>
      </c>
      <c r="EV76" s="143">
        <f>INDEX('File 20'!Weekly_Adjusted,34,11)</f>
        <v>0</v>
      </c>
      <c r="EW76" s="143">
        <f>INDEX('File 20'!Weekly_Adjusted,34,12)</f>
        <v>0</v>
      </c>
      <c r="EX76" s="6">
        <f ca="1">SUMIFS(INDEX(Capacity_Activity_Weekly,ROW(A34),0),Demand_Activity_Weekly_Header,CJ$42)</f>
        <v>24.344712210866053</v>
      </c>
      <c r="EY76" s="6">
        <f ca="1">SUMIFS(INDEX(Capacity_Activity_Weekly,ROW(B34),0),Demand_Activity_Weekly_Header,CK$42)</f>
        <v>0</v>
      </c>
      <c r="EZ76" s="6">
        <f ca="1">SUMIFS(INDEX(Capacity_Activity_Weekly,ROW(C34),0),Demand_Activity_Weekly_Header,CL$42)</f>
        <v>0</v>
      </c>
      <c r="FA76" s="6">
        <f ca="1">SUMIFS(INDEX(Capacity_Activity_Weekly,ROW(D34),0),Demand_Activity_Weekly_Header,CM$42)</f>
        <v>0</v>
      </c>
      <c r="FB76" s="6">
        <f ca="1">SUMIFS(INDEX(Capacity_Activity_Weekly,ROW(E34),0),Demand_Activity_Weekly_Header,CN$42)</f>
        <v>0</v>
      </c>
      <c r="FD76" s="7">
        <f>'File 1'!$Q$54*'Time based aggregation (hide)'!$Q38</f>
        <v>0</v>
      </c>
      <c r="FE76" s="7">
        <f>'File 1'!$R$54*'Time based aggregation (hide)'!$R38</f>
        <v>0</v>
      </c>
      <c r="FF76" s="7">
        <f>'File 1'!$S$54*'Time based aggregation (hide)'!$S38</f>
        <v>0</v>
      </c>
      <c r="FG76" s="7">
        <f>'File 2'!$Q$54*'Time based aggregation (hide)'!$T38</f>
        <v>0</v>
      </c>
      <c r="FH76" s="7">
        <f>'File 2'!$R$54*'Time based aggregation (hide)'!$U38</f>
        <v>0</v>
      </c>
      <c r="FI76" s="7">
        <f>'File 2'!$S$54*'Time based aggregation (hide)'!$V38</f>
        <v>0</v>
      </c>
      <c r="FJ76" s="7">
        <f>'File 3'!$Q$54*'Time based aggregation (hide)'!$W38</f>
        <v>0</v>
      </c>
      <c r="FK76" s="7">
        <f>'File 3'!$R$54*'Time based aggregation (hide)'!$X38</f>
        <v>0</v>
      </c>
      <c r="FL76" s="7">
        <f>'File 3'!$S$54*'Time based aggregation (hide)'!$Y38</f>
        <v>0</v>
      </c>
      <c r="FM76" s="7">
        <f>'File 4'!$Q$54*'Time based aggregation (hide)'!$Z38</f>
        <v>0</v>
      </c>
      <c r="FN76" s="7">
        <f>'File 4'!$R$54*'Time based aggregation (hide)'!$AA38</f>
        <v>0</v>
      </c>
      <c r="FO76" s="7">
        <f>'File 4'!$S$54*'Time based aggregation (hide)'!$AB38</f>
        <v>0</v>
      </c>
      <c r="FP76" s="7">
        <f>'File 5'!$Q$54*'Time based aggregation (hide)'!$AC38</f>
        <v>0</v>
      </c>
      <c r="FQ76" s="7">
        <f>'File 5'!$R$54*'Time based aggregation (hide)'!$AD38</f>
        <v>0</v>
      </c>
      <c r="FR76" s="7">
        <f>'File 5'!$S$54*'Time based aggregation (hide)'!$AE38</f>
        <v>0</v>
      </c>
      <c r="FS76" s="7">
        <f>'File 6'!$Q$54*'Time based aggregation (hide)'!$AF38</f>
        <v>0</v>
      </c>
      <c r="FT76" s="7">
        <f>'File 6'!$R$54*'Time based aggregation (hide)'!$AG38</f>
        <v>0</v>
      </c>
      <c r="FU76" s="7">
        <f>'File 6'!$S$54*'Time based aggregation (hide)'!$AH38</f>
        <v>0</v>
      </c>
      <c r="FV76" s="7">
        <f>'File 7'!$Q$54*'Time based aggregation (hide)'!$AI38</f>
        <v>0</v>
      </c>
      <c r="FW76" s="7">
        <f>'File 7'!$R$54*'Time based aggregation (hide)'!$AJ38</f>
        <v>0</v>
      </c>
      <c r="FX76" s="7">
        <f>'File 7'!$S$54*'Time based aggregation (hide)'!$AK38</f>
        <v>0</v>
      </c>
      <c r="FY76" s="7">
        <f>'File 8'!$Q$54*'Time based aggregation (hide)'!$AL38</f>
        <v>0</v>
      </c>
      <c r="FZ76" s="7">
        <f>'File 8'!$R$54*'Time based aggregation (hide)'!$AM38</f>
        <v>0</v>
      </c>
      <c r="GA76" s="7">
        <f>'File 8'!$S$54*'Time based aggregation (hide)'!$AN38</f>
        <v>0</v>
      </c>
      <c r="GB76" s="7">
        <f>'File 9'!$Q$54*'Time based aggregation (hide)'!$AO38</f>
        <v>0</v>
      </c>
      <c r="GC76" s="7">
        <f>'File 9'!$R$54*'Time based aggregation (hide)'!$AP38</f>
        <v>0</v>
      </c>
      <c r="GD76" s="7">
        <f>'File 9'!$S$54*'Time based aggregation (hide)'!$AQ38</f>
        <v>0</v>
      </c>
      <c r="GE76" s="7">
        <f>'File 10'!$Q$54*'Time based aggregation (hide)'!$AR38</f>
        <v>0</v>
      </c>
      <c r="GF76" s="7">
        <f>'File 10'!$R$54*'Time based aggregation (hide)'!$AS38</f>
        <v>0</v>
      </c>
      <c r="GG76" s="7">
        <f>'File 10'!$S$54*'Time based aggregation (hide)'!$AT38</f>
        <v>0</v>
      </c>
      <c r="GH76" s="7">
        <f>'File 11'!$Q$54*'Time based aggregation (hide)'!$AU38</f>
        <v>0</v>
      </c>
      <c r="GI76" s="7">
        <f>'File 11'!$R$54*'Time based aggregation (hide)'!$AV38</f>
        <v>0</v>
      </c>
      <c r="GJ76" s="7">
        <f>'File 11'!$S$54*'Time based aggregation (hide)'!$AW38</f>
        <v>0</v>
      </c>
      <c r="GK76" s="7">
        <f>'File 12'!$Q$54*'Time based aggregation (hide)'!$AX38</f>
        <v>0</v>
      </c>
      <c r="GL76" s="7">
        <f>'File 12'!$R$54*'Time based aggregation (hide)'!$AY38</f>
        <v>0</v>
      </c>
      <c r="GM76" s="7">
        <f>'File 12'!$S$54*'Time based aggregation (hide)'!$AZ38</f>
        <v>0</v>
      </c>
      <c r="GN76" s="7">
        <f>'File 13'!$Q$54*'Time based aggregation (hide)'!$BA38</f>
        <v>0</v>
      </c>
      <c r="GO76" s="7">
        <f>'File 13'!$R$54*'Time based aggregation (hide)'!$BB38</f>
        <v>0</v>
      </c>
      <c r="GP76" s="7">
        <f>'File 13'!$S$54*'Time based aggregation (hide)'!$BC38</f>
        <v>0</v>
      </c>
      <c r="GQ76" s="7">
        <f>'File 14'!$Q$54*'Time based aggregation (hide)'!$BD38</f>
        <v>0</v>
      </c>
      <c r="GR76" s="7">
        <f>'File 14'!$R$54*'Time based aggregation (hide)'!$BE38</f>
        <v>0</v>
      </c>
      <c r="GS76" s="7">
        <f>'File 14'!$S$54*'Time based aggregation (hide)'!$BF38</f>
        <v>0</v>
      </c>
      <c r="GT76" s="7">
        <f>'File 15'!$Q$54*'Time based aggregation (hide)'!$BG38</f>
        <v>0</v>
      </c>
      <c r="GU76" s="7">
        <f>'File 15'!$R$54*'Time based aggregation (hide)'!$BH38</f>
        <v>0</v>
      </c>
      <c r="GV76" s="7">
        <f>'File 15'!$S$54*'Time based aggregation (hide)'!$BI38</f>
        <v>0</v>
      </c>
      <c r="GW76" s="7">
        <f>'File 16'!$Q$54*'Time based aggregation (hide)'!$BJ38</f>
        <v>0</v>
      </c>
      <c r="GX76" s="7">
        <f>'File 16'!$R$54*'Time based aggregation (hide)'!$BK38</f>
        <v>0</v>
      </c>
      <c r="GY76" s="7">
        <f>'File 16'!$S$54*'Time based aggregation (hide)'!$BL38</f>
        <v>0</v>
      </c>
      <c r="GZ76" s="7">
        <f>'File 17'!$Q$54*'Time based aggregation (hide)'!$BM38</f>
        <v>0</v>
      </c>
      <c r="HA76" s="7">
        <f>'File 17'!$R$54*'Time based aggregation (hide)'!$BN38</f>
        <v>0</v>
      </c>
      <c r="HB76" s="7">
        <f>'File 17'!$S$54*'Time based aggregation (hide)'!$BO38</f>
        <v>0</v>
      </c>
      <c r="HC76" s="7">
        <f>'File 18'!$Q$54*'Time based aggregation (hide)'!$BP38</f>
        <v>0</v>
      </c>
      <c r="HD76" s="7">
        <f>'File 18'!$R$54*'Time based aggregation (hide)'!$BQ38</f>
        <v>0</v>
      </c>
      <c r="HE76" s="7">
        <f>'File 18'!$S$54*'Time based aggregation (hide)'!$BR38</f>
        <v>0</v>
      </c>
      <c r="HF76" s="7">
        <f>'File 19'!$Q$54*'Time based aggregation (hide)'!$BS38</f>
        <v>0</v>
      </c>
      <c r="HG76" s="7">
        <f>'File 19'!$R$54*'Time based aggregation (hide)'!$BT38</f>
        <v>0</v>
      </c>
      <c r="HH76" s="7">
        <f>'File 19'!$S$54*'Time based aggregation (hide)'!$BU38</f>
        <v>0</v>
      </c>
      <c r="HI76" s="7">
        <f>'File 20'!$Q$54*'Time based aggregation (hide)'!$BV38</f>
        <v>0</v>
      </c>
      <c r="HJ76" s="7">
        <f>'File 20'!$R$54*'Time based aggregation (hide)'!$BW38</f>
        <v>0</v>
      </c>
      <c r="HK76" s="7">
        <f>'File 20'!$S$54*'Time based aggregation (hide)'!$BX38</f>
        <v>0</v>
      </c>
      <c r="HL76" s="7">
        <f t="shared" ca="1" si="45"/>
        <v>0</v>
      </c>
      <c r="HM76" s="7">
        <f t="shared" ca="1" si="45"/>
        <v>0</v>
      </c>
      <c r="HN76" s="7">
        <f t="shared" ca="1" si="45"/>
        <v>0</v>
      </c>
      <c r="HO76" s="7">
        <f t="shared" ca="1" si="45"/>
        <v>0</v>
      </c>
      <c r="HP76" s="7">
        <f t="shared" ca="1" si="45"/>
        <v>0</v>
      </c>
      <c r="HR76" s="142">
        <f>INDEX('File 1'!Weekly_Adjusted,34,16)</f>
        <v>20.933351264120493</v>
      </c>
      <c r="HS76" s="142">
        <f>INDEX('File 1'!Weekly_Adjusted,34,17)</f>
        <v>0</v>
      </c>
      <c r="HT76" s="142">
        <f>INDEX('File 1'!Weekly_Adjusted,34,18)</f>
        <v>0</v>
      </c>
      <c r="HU76" s="143">
        <f>INDEX('File 2'!Weekly_Adjusted,34,16)</f>
        <v>0</v>
      </c>
      <c r="HV76" s="143">
        <f>INDEX('File 2'!Weekly_Adjusted,34,17)</f>
        <v>0</v>
      </c>
      <c r="HW76" s="143">
        <f>INDEX('File 2'!Weekly_Adjusted,34,18)</f>
        <v>0</v>
      </c>
      <c r="HX76" s="142">
        <f>INDEX('File 3'!Weekly_Adjusted,34,16)</f>
        <v>0</v>
      </c>
      <c r="HY76" s="142">
        <f>INDEX('File 3'!Weekly_Adjusted,34,17)</f>
        <v>0</v>
      </c>
      <c r="HZ76" s="142">
        <f>INDEX('File 3'!Weekly_Adjusted,34,18)</f>
        <v>0</v>
      </c>
      <c r="IA76" s="143">
        <f>INDEX('File 4'!Weekly_Adjusted,34,16)</f>
        <v>0</v>
      </c>
      <c r="IB76" s="143">
        <f>INDEX('File 4'!Weekly_Adjusted,34,17)</f>
        <v>0</v>
      </c>
      <c r="IC76" s="143">
        <f>INDEX('File 4'!Weekly_Adjusted,34,18)</f>
        <v>0</v>
      </c>
      <c r="ID76" s="142">
        <f>INDEX('File 5'!Weekly_Adjusted,34,16)</f>
        <v>0</v>
      </c>
      <c r="IE76" s="142">
        <f>INDEX('File 5'!Weekly_Adjusted,34,17)</f>
        <v>0</v>
      </c>
      <c r="IF76" s="142">
        <f>INDEX('File 5'!Weekly_Adjusted,34,18)</f>
        <v>0</v>
      </c>
      <c r="IG76" s="143">
        <f>INDEX('File 6'!Weekly_Adjusted,34,16)</f>
        <v>0</v>
      </c>
      <c r="IH76" s="143">
        <f>INDEX('File 6'!Weekly_Adjusted,34,17)</f>
        <v>0</v>
      </c>
      <c r="II76" s="143">
        <f>INDEX('File 6'!Weekly_Adjusted,34,18)</f>
        <v>0</v>
      </c>
      <c r="IJ76" s="142">
        <f>INDEX('File 7'!Weekly_Adjusted,34,16)</f>
        <v>0</v>
      </c>
      <c r="IK76" s="142">
        <f>INDEX('File 7'!Weekly_Adjusted,34,17)</f>
        <v>0</v>
      </c>
      <c r="IL76" s="142">
        <f>INDEX('File 7'!Weekly_Adjusted,34,18)</f>
        <v>0</v>
      </c>
      <c r="IM76" s="143">
        <f>INDEX('File 8'!Weekly_Adjusted,34,16)</f>
        <v>0</v>
      </c>
      <c r="IN76" s="143">
        <f>INDEX('File 8'!Weekly_Adjusted,34,17)</f>
        <v>0</v>
      </c>
      <c r="IO76" s="143">
        <f>INDEX('File 8'!Weekly_Adjusted,34,18)</f>
        <v>0</v>
      </c>
      <c r="IP76" s="142">
        <f>INDEX('File 9'!Weekly_Adjusted,34,16)</f>
        <v>0</v>
      </c>
      <c r="IQ76" s="142">
        <f>INDEX('File 9'!Weekly_Adjusted,34,17)</f>
        <v>0</v>
      </c>
      <c r="IR76" s="142">
        <f>INDEX('File 9'!Weekly_Adjusted,34,18)</f>
        <v>0</v>
      </c>
      <c r="IS76" s="143">
        <f>INDEX('File 10'!Weekly_Adjusted,34,16)</f>
        <v>0</v>
      </c>
      <c r="IT76" s="143">
        <f>INDEX('File 10'!Weekly_Adjusted,34,17)</f>
        <v>0</v>
      </c>
      <c r="IU76" s="143">
        <f>INDEX('File 10'!Weekly_Adjusted,34,18)</f>
        <v>0</v>
      </c>
      <c r="IV76" s="142">
        <f>INDEX('File 11'!Weekly_Adjusted,34,16)</f>
        <v>0</v>
      </c>
      <c r="IW76" s="142">
        <f>INDEX('File 11'!Weekly_Adjusted,34,17)</f>
        <v>0</v>
      </c>
      <c r="IX76" s="142">
        <f>INDEX('File 11'!Weekly_Adjusted,34,18)</f>
        <v>0</v>
      </c>
      <c r="IY76" s="143">
        <f>INDEX('File 12'!Weekly_Adjusted,34,16)</f>
        <v>0</v>
      </c>
      <c r="IZ76" s="143">
        <f>INDEX('File 12'!Weekly_Adjusted,34,17)</f>
        <v>0</v>
      </c>
      <c r="JA76" s="143">
        <f>INDEX('File 12'!Weekly_Adjusted,34,18)</f>
        <v>0</v>
      </c>
      <c r="JB76" s="142">
        <f>INDEX('File 13'!Weekly_Adjusted,34,16)</f>
        <v>0</v>
      </c>
      <c r="JC76" s="142">
        <f>INDEX('File 13'!Weekly_Adjusted,34,17)</f>
        <v>0</v>
      </c>
      <c r="JD76" s="142">
        <f>INDEX('File 13'!Weekly_Adjusted,34,18)</f>
        <v>0</v>
      </c>
      <c r="JE76" s="143">
        <f>INDEX('File 14'!Weekly_Adjusted,34,16)</f>
        <v>0</v>
      </c>
      <c r="JF76" s="143">
        <f>INDEX('File 14'!Weekly_Adjusted,34,17)</f>
        <v>0</v>
      </c>
      <c r="JG76" s="143">
        <f>INDEX('File 14'!Weekly_Adjusted,34,18)</f>
        <v>0</v>
      </c>
      <c r="JH76" s="142">
        <f>INDEX('File 15'!Weekly_Adjusted,34,16)</f>
        <v>0</v>
      </c>
      <c r="JI76" s="142">
        <f>INDEX('File 15'!Weekly_Adjusted,34,17)</f>
        <v>0</v>
      </c>
      <c r="JJ76" s="142">
        <f>INDEX('File 15'!Weekly_Adjusted,34,18)</f>
        <v>0</v>
      </c>
      <c r="JK76" s="143">
        <f>INDEX('File 16'!Weekly_Adjusted,34,16)</f>
        <v>0</v>
      </c>
      <c r="JL76" s="143">
        <f>INDEX('File 16'!Weekly_Adjusted,34,17)</f>
        <v>0</v>
      </c>
      <c r="JM76" s="143">
        <f>INDEX('File 16'!Weekly_Adjusted,34,18)</f>
        <v>0</v>
      </c>
      <c r="JN76" s="142">
        <f>INDEX('File 17'!Weekly_Adjusted,34,16)</f>
        <v>0</v>
      </c>
      <c r="JO76" s="142">
        <f>INDEX('File 17'!Weekly_Adjusted,34,17)</f>
        <v>0</v>
      </c>
      <c r="JP76" s="142">
        <f>INDEX('File 17'!Weekly_Adjusted,34,18)</f>
        <v>0</v>
      </c>
      <c r="JQ76" s="143">
        <f>INDEX('File 18'!Weekly_Adjusted,34,16)</f>
        <v>0</v>
      </c>
      <c r="JR76" s="143">
        <f>INDEX('File 18'!Weekly_Adjusted,34,17)</f>
        <v>0</v>
      </c>
      <c r="JS76" s="143">
        <f>INDEX('File 18'!Weekly_Adjusted,34,18)</f>
        <v>0</v>
      </c>
      <c r="JT76" s="142">
        <f>INDEX('File 19'!Weekly_Adjusted,34,16)</f>
        <v>0</v>
      </c>
      <c r="JU76" s="142">
        <f>INDEX('File 19'!Weekly_Adjusted,34,17)</f>
        <v>0</v>
      </c>
      <c r="JV76" s="142">
        <f>INDEX('File 19'!Weekly_Adjusted,34,18)</f>
        <v>0</v>
      </c>
      <c r="JW76" s="143">
        <f>INDEX('File 20'!Weekly_Adjusted,34,16)</f>
        <v>0</v>
      </c>
      <c r="JX76" s="143">
        <f>INDEX('File 20'!Weekly_Adjusted,34,17)</f>
        <v>0</v>
      </c>
      <c r="JY76" s="143">
        <f>INDEX('File 20'!Weekly_Adjusted,34,18)</f>
        <v>0</v>
      </c>
      <c r="JZ76" s="6">
        <f ca="1">SUMIFS(INDEX(CapacityCore_Activity_Weekly,ROW(EC34),0),Demand_Activity_Weekly_Header,HL$42)</f>
        <v>20.933351264120493</v>
      </c>
      <c r="KA76" s="6">
        <f ca="1">SUMIFS(INDEX(CapacityCore_Activity_Weekly,ROW(ED34),0),Demand_Activity_Weekly_Header,HM$42)</f>
        <v>0</v>
      </c>
      <c r="KB76" s="6">
        <f ca="1">SUMIFS(INDEX(CapacityCore_Activity_Weekly,ROW(EE34),0),Demand_Activity_Weekly_Header,HN$42)</f>
        <v>0</v>
      </c>
      <c r="KC76" s="6">
        <f ca="1">SUMIFS(INDEX(CapacityCore_Activity_Weekly,ROW(EF34),0),Demand_Activity_Weekly_Header,HO$42)</f>
        <v>0</v>
      </c>
      <c r="KD76" s="6">
        <f ca="1">SUMIFS(INDEX(CapacityCore_Activity_Weekly,ROW(EG34),0),Demand_Activity_Weekly_Header,HP$42)</f>
        <v>0</v>
      </c>
      <c r="KF76" s="6">
        <f>SUMIFS('Time based aggregation (hide)'!$J:$J,'Time based aggregation (hide)'!$E:$E,1,'Time based aggregation (hide)'!$F:$F,1,'Time based aggregation (hide)'!$A:$A,ROW(A34))</f>
        <v>0</v>
      </c>
      <c r="KG76" s="6">
        <f>SUMIFS('Time based aggregation (hide)'!$J:$J,'Time based aggregation (hide)'!$E:$E,1,'Time based aggregation (hide)'!$F:$F,2,'Time based aggregation (hide)'!$A:$A,ROW(A34))</f>
        <v>0</v>
      </c>
      <c r="KH76" s="6">
        <f>SUMIFS('Time based aggregation (hide)'!$J:$J,'Time based aggregation (hide)'!$E:$E,1,'Time based aggregation (hide)'!$F:$F,3,'Time based aggregation (hide)'!$A:$A,ROW(A34))</f>
        <v>0</v>
      </c>
      <c r="KI76" s="6">
        <f>SUMIFS('Time based aggregation (hide)'!$J:$J,'Time based aggregation (hide)'!$E:$E,2,'Time based aggregation (hide)'!$F:$F,1,'Time based aggregation (hide)'!$A:$A,ROW(A34))</f>
        <v>0</v>
      </c>
      <c r="KJ76" s="6">
        <f>SUMIFS('Time based aggregation (hide)'!$J:$J,'Time based aggregation (hide)'!$E:$E,2,'Time based aggregation (hide)'!$F:$F,2,'Time based aggregation (hide)'!$A:$A,ROW(A34))</f>
        <v>0</v>
      </c>
      <c r="KK76" s="6">
        <f>SUMIFS('Time based aggregation (hide)'!$J:$J,'Time based aggregation (hide)'!$E:$E,2,'Time based aggregation (hide)'!$F:$F,3,'Time based aggregation (hide)'!$A:$A,ROW(A34))</f>
        <v>0</v>
      </c>
      <c r="KL76" s="6">
        <f>SUMIFS('Time based aggregation (hide)'!$J:$J,'Time based aggregation (hide)'!$E:$E,3,'Time based aggregation (hide)'!$F:$F,1,'Time based aggregation (hide)'!$A:$A,ROW(A34))</f>
        <v>0</v>
      </c>
      <c r="KM76" s="6">
        <f>SUMIFS('Time based aggregation (hide)'!$J:$J,'Time based aggregation (hide)'!$E:$E,3,'Time based aggregation (hide)'!$F:$F,2,'Time based aggregation (hide)'!$A:$A,ROW(A34))</f>
        <v>0</v>
      </c>
      <c r="KN76" s="6">
        <f>SUMIFS('Time based aggregation (hide)'!$J:$J,'Time based aggregation (hide)'!$E:$E,3,'Time based aggregation (hide)'!$F:$F,3,'Time based aggregation (hide)'!$A:$A,ROW(A34))</f>
        <v>0</v>
      </c>
      <c r="KO76" s="6">
        <f>SUMIFS('Time based aggregation (hide)'!$J:$J,'Time based aggregation (hide)'!$E:$E,4,'Time based aggregation (hide)'!$F:$F,1,'Time based aggregation (hide)'!$A:$A,ROW(A34))</f>
        <v>0</v>
      </c>
      <c r="KP76" s="6">
        <f>SUMIFS('Time based aggregation (hide)'!$J:$J,'Time based aggregation (hide)'!$E:$E,4,'Time based aggregation (hide)'!$F:$F,2,'Time based aggregation (hide)'!$A:$A,ROW(A34))</f>
        <v>0</v>
      </c>
      <c r="KQ76" s="6">
        <f>SUMIFS('Time based aggregation (hide)'!$J:$J,'Time based aggregation (hide)'!$E:$E,4,'Time based aggregation (hide)'!$F:$F,3,'Time based aggregation (hide)'!$A:$A,ROW(A34))</f>
        <v>0</v>
      </c>
      <c r="KR76" s="6">
        <f>SUMIFS('Time based aggregation (hide)'!$J:$J,'Time based aggregation (hide)'!$E:$E,5,'Time based aggregation (hide)'!$F:$F,1,'Time based aggregation (hide)'!$A:$A,ROW(A34))</f>
        <v>0</v>
      </c>
      <c r="KS76" s="6">
        <f>SUMIFS('Time based aggregation (hide)'!$J:$J,'Time based aggregation (hide)'!$E:$E,5,'Time based aggregation (hide)'!$F:$F,2,'Time based aggregation (hide)'!$A:$A,ROW(A34))</f>
        <v>0</v>
      </c>
      <c r="KT76" s="6">
        <f>SUMIFS('Time based aggregation (hide)'!$J:$J,'Time based aggregation (hide)'!$E:$E,5,'Time based aggregation (hide)'!$F:$F,3,'Time based aggregation (hide)'!$A:$A,ROW(A34))</f>
        <v>0</v>
      </c>
      <c r="KU76" s="6">
        <f>SUMIFS('Time based aggregation (hide)'!$J:$J,'Time based aggregation (hide)'!$E:$E,6,'Time based aggregation (hide)'!$F:$F,1,'Time based aggregation (hide)'!$A:$A,ROW(A34))</f>
        <v>0</v>
      </c>
      <c r="KV76" s="6">
        <f>SUMIFS('Time based aggregation (hide)'!$J:$J,'Time based aggregation (hide)'!$E:$E,6,'Time based aggregation (hide)'!$F:$F,2,'Time based aggregation (hide)'!$A:$A,ROW(A34))</f>
        <v>0</v>
      </c>
      <c r="KW76" s="6">
        <f>SUMIFS('Time based aggregation (hide)'!$J:$J,'Time based aggregation (hide)'!$E:$E,6,'Time based aggregation (hide)'!$F:$F,3,'Time based aggregation (hide)'!$A:$A,ROW(A34))</f>
        <v>0</v>
      </c>
      <c r="KX76" s="6">
        <f>SUMIFS('Time based aggregation (hide)'!$J:$J,'Time based aggregation (hide)'!$E:$E,7,'Time based aggregation (hide)'!$F:$F,1,'Time based aggregation (hide)'!$A:$A,ROW(A34))</f>
        <v>0</v>
      </c>
      <c r="KY76" s="6">
        <f>SUMIFS('Time based aggregation (hide)'!$J:$J,'Time based aggregation (hide)'!$E:$E,7,'Time based aggregation (hide)'!$F:$F,2,'Time based aggregation (hide)'!$A:$A,ROW(A34))</f>
        <v>0</v>
      </c>
      <c r="KZ76" s="6">
        <f>SUMIFS('Time based aggregation (hide)'!$J:$J,'Time based aggregation (hide)'!$E:$E,7,'Time based aggregation (hide)'!$F:$F,3,'Time based aggregation (hide)'!$A:$A,ROW(A34))</f>
        <v>0</v>
      </c>
      <c r="LA76" s="6">
        <f>SUMIFS('Time based aggregation (hide)'!$J:$J,'Time based aggregation (hide)'!$E:$E,8,'Time based aggregation (hide)'!$F:$F,1,'Time based aggregation (hide)'!$A:$A,ROW(A34))</f>
        <v>0</v>
      </c>
      <c r="LB76" s="6">
        <f>SUMIFS('Time based aggregation (hide)'!$J:$J,'Time based aggregation (hide)'!$E:$E,8,'Time based aggregation (hide)'!$F:$F,2,'Time based aggregation (hide)'!$A:$A,ROW(A34))</f>
        <v>0</v>
      </c>
      <c r="LC76" s="6">
        <f>SUMIFS('Time based aggregation (hide)'!$J:$J,'Time based aggregation (hide)'!$E:$E,8,'Time based aggregation (hide)'!$F:$F,3,'Time based aggregation (hide)'!$A:$A,ROW(A34))</f>
        <v>0</v>
      </c>
      <c r="LD76" s="6">
        <f>SUMIFS('Time based aggregation (hide)'!$J:$J,'Time based aggregation (hide)'!$E:$E,9,'Time based aggregation (hide)'!$F:$F,1,'Time based aggregation (hide)'!$A:$A,ROW(A34))</f>
        <v>0</v>
      </c>
      <c r="LE76" s="6">
        <f>SUMIFS('Time based aggregation (hide)'!$J:$J,'Time based aggregation (hide)'!$E:$E,9,'Time based aggregation (hide)'!$F:$F,2,'Time based aggregation (hide)'!$A:$A,ROW(A34))</f>
        <v>0</v>
      </c>
      <c r="LF76" s="6">
        <f>SUMIFS('Time based aggregation (hide)'!$J:$J,'Time based aggregation (hide)'!$E:$E,9,'Time based aggregation (hide)'!$F:$F,3,'Time based aggregation (hide)'!$A:$A,ROW(A34))</f>
        <v>0</v>
      </c>
      <c r="LG76" s="6">
        <f>SUMIFS('Time based aggregation (hide)'!$J:$J,'Time based aggregation (hide)'!$E:$E,10,'Time based aggregation (hide)'!$F:$F,1,'Time based aggregation (hide)'!$A:$A,ROW(A34))</f>
        <v>0</v>
      </c>
      <c r="LH76" s="6">
        <f>SUMIFS('Time based aggregation (hide)'!$J:$J,'Time based aggregation (hide)'!$E:$E,10,'Time based aggregation (hide)'!$F:$F,2,'Time based aggregation (hide)'!$A:$A,ROW(A34))</f>
        <v>0</v>
      </c>
      <c r="LI76" s="6">
        <f>SUMIFS('Time based aggregation (hide)'!$J:$J,'Time based aggregation (hide)'!$E:$E,10,'Time based aggregation (hide)'!$F:$F,3,'Time based aggregation (hide)'!$A:$A,ROW(A34))</f>
        <v>0</v>
      </c>
      <c r="LJ76" s="6">
        <f>SUMIFS('Time based aggregation (hide)'!$J:$J,'Time based aggregation (hide)'!$E:$E,11,'Time based aggregation (hide)'!$F:$F,1,'Time based aggregation (hide)'!$A:$A,ROW(A34))</f>
        <v>0</v>
      </c>
      <c r="LK76" s="6">
        <f>SUMIFS('Time based aggregation (hide)'!$J:$J,'Time based aggregation (hide)'!$E:$E,11,'Time based aggregation (hide)'!$F:$F,2,'Time based aggregation (hide)'!$A:$A,ROW(A34))</f>
        <v>0</v>
      </c>
      <c r="LL76" s="6">
        <f>SUMIFS('Time based aggregation (hide)'!$J:$J,'Time based aggregation (hide)'!$E:$E,11,'Time based aggregation (hide)'!$F:$F,3,'Time based aggregation (hide)'!$A:$A,ROW(A34))</f>
        <v>0</v>
      </c>
      <c r="LM76" s="6">
        <f>SUMIFS('Time based aggregation (hide)'!$J:$J,'Time based aggregation (hide)'!$E:$E,12,'Time based aggregation (hide)'!$F:$F,1,'Time based aggregation (hide)'!$A:$A,ROW(A34))</f>
        <v>0</v>
      </c>
      <c r="LN76" s="6">
        <f>SUMIFS('Time based aggregation (hide)'!$J:$J,'Time based aggregation (hide)'!$E:$E,12,'Time based aggregation (hide)'!$F:$F,2,'Time based aggregation (hide)'!$A:$A,ROW(A34))</f>
        <v>0</v>
      </c>
      <c r="LO76" s="6">
        <f>SUMIFS('Time based aggregation (hide)'!$J:$J,'Time based aggregation (hide)'!$E:$E,12,'Time based aggregation (hide)'!$F:$F,3,'Time based aggregation (hide)'!$A:$A,ROW(A34))</f>
        <v>0</v>
      </c>
      <c r="LP76" s="6">
        <f>SUMIFS('Time based aggregation (hide)'!$J:$J,'Time based aggregation (hide)'!$E:$E,13,'Time based aggregation (hide)'!$F:$F,1,'Time based aggregation (hide)'!$A:$A,ROW(A34))</f>
        <v>0</v>
      </c>
      <c r="LQ76" s="6">
        <f>SUMIFS('Time based aggregation (hide)'!$J:$J,'Time based aggregation (hide)'!$E:$E,13,'Time based aggregation (hide)'!$F:$F,2,'Time based aggregation (hide)'!$A:$A,ROW(A34))</f>
        <v>0</v>
      </c>
      <c r="LR76" s="6">
        <f>SUMIFS('Time based aggregation (hide)'!$J:$J,'Time based aggregation (hide)'!$E:$E,13,'Time based aggregation (hide)'!$F:$F,3,'Time based aggregation (hide)'!$A:$A,ROW(A34))</f>
        <v>0</v>
      </c>
      <c r="LS76" s="6">
        <f>SUMIFS('Time based aggregation (hide)'!$J:$J,'Time based aggregation (hide)'!$E:$E,14,'Time based aggregation (hide)'!$F:$F,1,'Time based aggregation (hide)'!$A:$A,ROW(A34))</f>
        <v>0</v>
      </c>
      <c r="LT76" s="6">
        <f>SUMIFS('Time based aggregation (hide)'!$J:$J,'Time based aggregation (hide)'!$E:$E,14,'Time based aggregation (hide)'!$F:$F,2,'Time based aggregation (hide)'!$A:$A,ROW(A34))</f>
        <v>0</v>
      </c>
      <c r="LU76" s="6">
        <f>SUMIFS('Time based aggregation (hide)'!$J:$J,'Time based aggregation (hide)'!$E:$E,14,'Time based aggregation (hide)'!$F:$F,3,'Time based aggregation (hide)'!$A:$A,ROW(A34))</f>
        <v>0</v>
      </c>
      <c r="LV76" s="6">
        <f>SUMIFS('Time based aggregation (hide)'!$J:$J,'Time based aggregation (hide)'!$E:$E,15,'Time based aggregation (hide)'!$F:$F,1,'Time based aggregation (hide)'!$A:$A,ROW(A34))</f>
        <v>0</v>
      </c>
      <c r="LW76" s="6">
        <f>SUMIFS('Time based aggregation (hide)'!$J:$J,'Time based aggregation (hide)'!$E:$E,15,'Time based aggregation (hide)'!$F:$F,2,'Time based aggregation (hide)'!$A:$A,ROW(A34))</f>
        <v>0</v>
      </c>
      <c r="LX76" s="6">
        <f>SUMIFS('Time based aggregation (hide)'!$J:$J,'Time based aggregation (hide)'!$E:$E,15,'Time based aggregation (hide)'!$F:$F,3,'Time based aggregation (hide)'!$A:$A,ROW(A34))</f>
        <v>0</v>
      </c>
      <c r="LY76" s="6">
        <f>SUMIFS('Time based aggregation (hide)'!$J:$J,'Time based aggregation (hide)'!$E:$E,16,'Time based aggregation (hide)'!$F:$F,1,'Time based aggregation (hide)'!$A:$A,ROW(A34))</f>
        <v>0</v>
      </c>
      <c r="LZ76" s="6">
        <f>SUMIFS('Time based aggregation (hide)'!$J:$J,'Time based aggregation (hide)'!$E:$E,16,'Time based aggregation (hide)'!$F:$F,2,'Time based aggregation (hide)'!$A:$A,ROW(A34))</f>
        <v>0</v>
      </c>
      <c r="MA76" s="6">
        <f>SUMIFS('Time based aggregation (hide)'!$J:$J,'Time based aggregation (hide)'!$E:$E,16,'Time based aggregation (hide)'!$F:$F,3,'Time based aggregation (hide)'!$A:$A,ROW(A34))</f>
        <v>0</v>
      </c>
      <c r="MB76" s="6">
        <f>SUMIFS('Time based aggregation (hide)'!$J:$J,'Time based aggregation (hide)'!$E:$E,17,'Time based aggregation (hide)'!$F:$F,1,'Time based aggregation (hide)'!$A:$A,ROW(A34))</f>
        <v>0</v>
      </c>
      <c r="MC76" s="6">
        <f>SUMIFS('Time based aggregation (hide)'!$J:$J,'Time based aggregation (hide)'!$E:$E,17,'Time based aggregation (hide)'!$F:$F,2,'Time based aggregation (hide)'!$A:$A,ROW(A34))</f>
        <v>0</v>
      </c>
      <c r="MD76" s="6">
        <f>SUMIFS('Time based aggregation (hide)'!$J:$J,'Time based aggregation (hide)'!$E:$E,17,'Time based aggregation (hide)'!$F:$F,3,'Time based aggregation (hide)'!$A:$A,ROW(A34))</f>
        <v>0</v>
      </c>
      <c r="ME76" s="6">
        <f>SUMIFS('Time based aggregation (hide)'!$J:$J,'Time based aggregation (hide)'!$E:$E,18,'Time based aggregation (hide)'!$F:$F,1,'Time based aggregation (hide)'!$A:$A,ROW(A34))</f>
        <v>0</v>
      </c>
      <c r="MF76" s="6">
        <f>SUMIFS('Time based aggregation (hide)'!$J:$J,'Time based aggregation (hide)'!$E:$E,18,'Time based aggregation (hide)'!$F:$F,2,'Time based aggregation (hide)'!$A:$A,ROW(A34))</f>
        <v>0</v>
      </c>
      <c r="MG76" s="6">
        <f>SUMIFS('Time based aggregation (hide)'!$J:$J,'Time based aggregation (hide)'!$E:$E,18,'Time based aggregation (hide)'!$F:$F,3,'Time based aggregation (hide)'!$A:$A,ROW(A34))</f>
        <v>0</v>
      </c>
      <c r="MH76" s="6">
        <f>SUMIFS('Time based aggregation (hide)'!$J:$J,'Time based aggregation (hide)'!$E:$E,19,'Time based aggregation (hide)'!$F:$F,1,'Time based aggregation (hide)'!$A:$A,ROW(A34))</f>
        <v>0</v>
      </c>
      <c r="MI76" s="6">
        <f>SUMIFS('Time based aggregation (hide)'!$J:$J,'Time based aggregation (hide)'!$E:$E,19,'Time based aggregation (hide)'!$F:$F,2,'Time based aggregation (hide)'!$A:$A,ROW(A34))</f>
        <v>0</v>
      </c>
      <c r="MJ76" s="6">
        <f>SUMIFS('Time based aggregation (hide)'!$J:$J,'Time based aggregation (hide)'!$E:$E,19,'Time based aggregation (hide)'!$F:$F,3,'Time based aggregation (hide)'!$A:$A,ROW(A34))</f>
        <v>0</v>
      </c>
      <c r="MK76" s="6">
        <f>SUMIFS('Time based aggregation (hide)'!$J:$J,'Time based aggregation (hide)'!$E:$E,20,'Time based aggregation (hide)'!$F:$F,1,'Time based aggregation (hide)'!$A:$A,ROW(A34))</f>
        <v>0</v>
      </c>
      <c r="ML76" s="6">
        <f>SUMIFS('Time based aggregation (hide)'!$J:$J,'Time based aggregation (hide)'!$E:$E,20,'Time based aggregation (hide)'!$F:$F,2,'Time based aggregation (hide)'!$A:$A,ROW(A34))</f>
        <v>0</v>
      </c>
      <c r="MM76" s="6">
        <f>SUMIFS('Time based aggregation (hide)'!$J:$J,'Time based aggregation (hide)'!$E:$E,20,'Time based aggregation (hide)'!$F:$F,3,'Time based aggregation (hide)'!$A:$A,ROW(A34))</f>
        <v>0</v>
      </c>
      <c r="MN76" s="7">
        <f t="shared" ref="MN76:MR91" ca="1" si="48">IF(OR($J$102=0,AND($J$102=0,$J$103=0)),SUMIFS($KF76:$MM76,$AB$42:$CI$42,MN$42),SUMIFS(OFFSET($KF76,0,($J$102-1)*3,1,3),OFFSET($KF$42,0,($J$102-1)*3,1,3),MN$42))</f>
        <v>0</v>
      </c>
      <c r="MO76" s="7">
        <f t="shared" ca="1" si="48"/>
        <v>0</v>
      </c>
      <c r="MP76" s="7">
        <f t="shared" ca="1" si="48"/>
        <v>0</v>
      </c>
      <c r="MQ76" s="7">
        <f t="shared" ca="1" si="48"/>
        <v>0</v>
      </c>
      <c r="MR76" s="7">
        <f t="shared" ca="1" si="48"/>
        <v>0</v>
      </c>
    </row>
    <row r="77" spans="1:356" x14ac:dyDescent="0.25">
      <c r="A77">
        <f>1</f>
        <v>1</v>
      </c>
      <c r="B77" s="85">
        <f t="shared" si="37"/>
        <v>43865</v>
      </c>
      <c r="C77" s="85">
        <f t="shared" si="25"/>
        <v>43864</v>
      </c>
      <c r="D77">
        <f t="shared" ca="1" si="26"/>
        <v>1</v>
      </c>
      <c r="E77" s="85">
        <f t="shared" si="27"/>
        <v>43862</v>
      </c>
      <c r="F77">
        <f t="shared" si="33"/>
        <v>6</v>
      </c>
      <c r="H77">
        <f t="shared" si="34"/>
        <v>35</v>
      </c>
      <c r="I77" s="85">
        <f t="shared" si="38"/>
        <v>44067</v>
      </c>
      <c r="J77">
        <f t="shared" ca="1" si="46"/>
        <v>5</v>
      </c>
      <c r="K77">
        <f t="shared" ca="1" si="47"/>
        <v>1.968503937007874E-2</v>
      </c>
      <c r="L77" s="114"/>
      <c r="N77" s="85">
        <f t="shared" si="35"/>
        <v>44067</v>
      </c>
      <c r="O77" s="122">
        <f t="shared" ca="1" si="44"/>
        <v>0</v>
      </c>
      <c r="P77" s="122">
        <f t="shared" ca="1" si="44"/>
        <v>0</v>
      </c>
      <c r="Q77" s="122">
        <f t="shared" ca="1" si="44"/>
        <v>0</v>
      </c>
      <c r="R77" s="122">
        <f t="shared" ca="1" si="44"/>
        <v>0</v>
      </c>
      <c r="S77" s="122">
        <f t="shared" ca="1" si="44"/>
        <v>0</v>
      </c>
      <c r="T77" s="122">
        <f t="shared" ca="1" si="44"/>
        <v>0</v>
      </c>
      <c r="U77" s="122">
        <f t="shared" ca="1" si="44"/>
        <v>0</v>
      </c>
      <c r="V77" s="122">
        <f t="shared" ca="1" si="44"/>
        <v>1</v>
      </c>
      <c r="W77" s="122">
        <f t="shared" ca="1" si="44"/>
        <v>0</v>
      </c>
      <c r="X77" s="122">
        <f t="shared" ca="1" si="44"/>
        <v>0</v>
      </c>
      <c r="Y77" s="122">
        <f t="shared" ca="1" si="44"/>
        <v>0</v>
      </c>
      <c r="Z77" s="122">
        <f t="shared" ca="1" si="44"/>
        <v>0</v>
      </c>
      <c r="AA77" s="122"/>
      <c r="AB77" s="140">
        <f>INDEX('File 1'!Weekly_Adjusted,35,1)</f>
        <v>388.17143954725253</v>
      </c>
      <c r="AC77" s="140">
        <f>INDEX('File 1'!Weekly_Adjusted,35,2)</f>
        <v>0</v>
      </c>
      <c r="AD77" s="140">
        <f>INDEX('File 1'!Weekly_Adjusted,35,3)</f>
        <v>0</v>
      </c>
      <c r="AE77" s="141">
        <f>INDEX('File 2'!Weekly_Adjusted,35,1)</f>
        <v>0</v>
      </c>
      <c r="AF77" s="141">
        <f>INDEX('File 2'!Weekly_Adjusted,35,2)</f>
        <v>0</v>
      </c>
      <c r="AG77" s="141">
        <f>INDEX('File 2'!Weekly_Adjusted,35,3)</f>
        <v>0</v>
      </c>
      <c r="AH77" s="140">
        <f>INDEX('File 3'!Weekly_Adjusted,35,1)</f>
        <v>0</v>
      </c>
      <c r="AI77" s="140">
        <f>INDEX('File 3'!Weekly_Adjusted,35,2)</f>
        <v>0</v>
      </c>
      <c r="AJ77" s="140">
        <f>INDEX('File 3'!Weekly_Adjusted,35,3)</f>
        <v>0</v>
      </c>
      <c r="AK77" s="141">
        <f>INDEX('File 4'!Weekly_Adjusted,35,1)</f>
        <v>0</v>
      </c>
      <c r="AL77" s="141">
        <f>INDEX('File 4'!Weekly_Adjusted,35,2)</f>
        <v>0</v>
      </c>
      <c r="AM77" s="141">
        <f>INDEX('File 4'!Weekly_Adjusted,35,3)</f>
        <v>0</v>
      </c>
      <c r="AN77" s="140">
        <f>INDEX('File 5'!Weekly_Adjusted,35,1)</f>
        <v>0</v>
      </c>
      <c r="AO77" s="140">
        <f>INDEX('File 5'!Weekly_Adjusted,35,2)</f>
        <v>0</v>
      </c>
      <c r="AP77" s="140">
        <f>INDEX('File 5'!Weekly_Adjusted,35,3)</f>
        <v>0</v>
      </c>
      <c r="AQ77" s="141">
        <f>INDEX('File 6'!Weekly_Adjusted,35,1)</f>
        <v>0</v>
      </c>
      <c r="AR77" s="141">
        <f>INDEX('File 6'!Weekly_Adjusted,35,2)</f>
        <v>0</v>
      </c>
      <c r="AS77" s="141">
        <f>INDEX('File 6'!Weekly_Adjusted,35,3)</f>
        <v>0</v>
      </c>
      <c r="AT77" s="140">
        <f>INDEX('File 7'!Weekly_Adjusted,35,1)</f>
        <v>0</v>
      </c>
      <c r="AU77" s="140">
        <f>INDEX('File 7'!Weekly_Adjusted,35,2)</f>
        <v>0</v>
      </c>
      <c r="AV77" s="140">
        <f>INDEX('File 7'!Weekly_Adjusted,35,3)</f>
        <v>0</v>
      </c>
      <c r="AW77" s="141">
        <f>INDEX('File 8'!Weekly_Adjusted,35,1)</f>
        <v>0</v>
      </c>
      <c r="AX77" s="141">
        <f>INDEX('File 8'!Weekly_Adjusted,35,2)</f>
        <v>0</v>
      </c>
      <c r="AY77" s="141">
        <f>INDEX('File 8'!Weekly_Adjusted,35,3)</f>
        <v>0</v>
      </c>
      <c r="AZ77" s="140">
        <f>INDEX('File 9'!Weekly_Adjusted,35,1)</f>
        <v>0</v>
      </c>
      <c r="BA77" s="140">
        <f>INDEX('File 9'!Weekly_Adjusted,35,2)</f>
        <v>0</v>
      </c>
      <c r="BB77" s="140">
        <f>INDEX('File 9'!Weekly_Adjusted,35,3)</f>
        <v>0</v>
      </c>
      <c r="BC77" s="141">
        <f>INDEX('File 10'!Weekly_Adjusted,35,1)</f>
        <v>0</v>
      </c>
      <c r="BD77" s="141">
        <f>INDEX('File 10'!Weekly_Adjusted,35,2)</f>
        <v>0</v>
      </c>
      <c r="BE77" s="141">
        <f>INDEX('File 10'!Weekly_Adjusted,35,3)</f>
        <v>0</v>
      </c>
      <c r="BF77" s="140">
        <f>INDEX('File 11'!Weekly_Adjusted,35,1)</f>
        <v>0</v>
      </c>
      <c r="BG77" s="140">
        <f>INDEX('File 11'!Weekly_Adjusted,35,2)</f>
        <v>0</v>
      </c>
      <c r="BH77" s="140">
        <f>INDEX('File 11'!Weekly_Adjusted,35,3)</f>
        <v>0</v>
      </c>
      <c r="BI77" s="141">
        <f>INDEX('File 12'!Weekly_Adjusted,35,1)</f>
        <v>0</v>
      </c>
      <c r="BJ77" s="141">
        <f>INDEX('File 12'!Weekly_Adjusted,35,2)</f>
        <v>0</v>
      </c>
      <c r="BK77" s="141">
        <f>INDEX('File 12'!Weekly_Adjusted,35,3)</f>
        <v>0</v>
      </c>
      <c r="BL77" s="140">
        <f>INDEX('File 13'!Weekly_Adjusted,35,1)</f>
        <v>0</v>
      </c>
      <c r="BM77" s="140">
        <f>INDEX('File 13'!Weekly_Adjusted,35,2)</f>
        <v>0</v>
      </c>
      <c r="BN77" s="140">
        <f>INDEX('File 13'!Weekly_Adjusted,35,3)</f>
        <v>0</v>
      </c>
      <c r="BO77" s="141">
        <f>INDEX('File 14'!Weekly_Adjusted,35,1)</f>
        <v>0</v>
      </c>
      <c r="BP77" s="141">
        <f>INDEX('File 14'!Weekly_Adjusted,35,2)</f>
        <v>0</v>
      </c>
      <c r="BQ77" s="141">
        <f>INDEX('File 14'!Weekly_Adjusted,35,3)</f>
        <v>0</v>
      </c>
      <c r="BR77" s="140">
        <f>INDEX('File 15'!Weekly_Adjusted,35,1)</f>
        <v>0</v>
      </c>
      <c r="BS77" s="140">
        <f>INDEX('File 15'!Weekly_Adjusted,35,2)</f>
        <v>0</v>
      </c>
      <c r="BT77" s="140">
        <f>INDEX('File 15'!Weekly_Adjusted,35,3)</f>
        <v>0</v>
      </c>
      <c r="BU77" s="141">
        <f>INDEX('File 16'!Weekly_Adjusted,35,1)</f>
        <v>0</v>
      </c>
      <c r="BV77" s="141">
        <f>INDEX('File 16'!Weekly_Adjusted,35,2)</f>
        <v>0</v>
      </c>
      <c r="BW77" s="141">
        <f>INDEX('File 16'!Weekly_Adjusted,35,3)</f>
        <v>0</v>
      </c>
      <c r="BX77" s="140">
        <f>INDEX('File 17'!Weekly_Adjusted,35,1)</f>
        <v>0</v>
      </c>
      <c r="BY77" s="140">
        <f>INDEX('File 17'!Weekly_Adjusted,35,2)</f>
        <v>0</v>
      </c>
      <c r="BZ77" s="140">
        <f>INDEX('File 17'!Weekly_Adjusted,35,3)</f>
        <v>0</v>
      </c>
      <c r="CA77" s="141">
        <f>INDEX('File 18'!Weekly_Adjusted,35,1)</f>
        <v>0</v>
      </c>
      <c r="CB77" s="141">
        <f>INDEX('File 18'!Weekly_Adjusted,35,2)</f>
        <v>0</v>
      </c>
      <c r="CC77" s="141">
        <f>INDEX('File 18'!Weekly_Adjusted,35,3)</f>
        <v>0</v>
      </c>
      <c r="CD77" s="140">
        <f>INDEX('File 19'!Weekly_Adjusted,35,1)</f>
        <v>0</v>
      </c>
      <c r="CE77" s="140">
        <f>INDEX('File 19'!Weekly_Adjusted,35,2)</f>
        <v>0</v>
      </c>
      <c r="CF77" s="140">
        <f>INDEX('File 19'!Weekly_Adjusted,35,3)</f>
        <v>0</v>
      </c>
      <c r="CG77" s="141">
        <f>INDEX('File 20'!Weekly_Adjusted,35,1)</f>
        <v>0</v>
      </c>
      <c r="CH77" s="141">
        <f>INDEX('File 20'!Weekly_Adjusted,35,2)</f>
        <v>0</v>
      </c>
      <c r="CI77" s="141">
        <f>INDEX('File 20'!Weekly_Adjusted,35,3)</f>
        <v>0</v>
      </c>
      <c r="CJ77" s="6">
        <f ca="1">SUMIFS(INDEX(Demand_Activity_Weekly,ROW(A35),0),Demand_Activity_Weekly_Header,CJ$42)</f>
        <v>388.17143954725253</v>
      </c>
      <c r="CK77" s="6">
        <f ca="1">SUMIFS(INDEX(Demand_Activity_Weekly,ROW(B35),0),Demand_Activity_Weekly_Header,CK$42)</f>
        <v>0</v>
      </c>
      <c r="CL77" s="6">
        <f ca="1">SUMIFS(INDEX(Demand_Activity_Weekly,ROW(C35),0),Demand_Activity_Weekly_Header,CL$42)</f>
        <v>0</v>
      </c>
      <c r="CM77" s="6">
        <f ca="1">SUMIFS(INDEX(Demand_Activity_Weekly,ROW(D35),0),Demand_Activity_Weekly_Header,CM$42)</f>
        <v>0</v>
      </c>
      <c r="CN77" s="6">
        <f ca="1">SUMIFS(INDEX(Demand_Activity_Weekly,ROW(E35),0),Demand_Activity_Weekly_Header,CN$42)</f>
        <v>0</v>
      </c>
      <c r="CP77" s="142">
        <f>INDEX('File 1'!Weekly_Adjusted,35,10)</f>
        <v>24.344712210866053</v>
      </c>
      <c r="CQ77" s="142">
        <f>INDEX('File 1'!Weekly_Adjusted,35,11)</f>
        <v>0</v>
      </c>
      <c r="CR77" s="142">
        <f>INDEX('File 1'!Weekly_Adjusted,35,12)</f>
        <v>0</v>
      </c>
      <c r="CS77" s="143">
        <f>INDEX('File 2'!Weekly_Adjusted,35,10)</f>
        <v>0</v>
      </c>
      <c r="CT77" s="143">
        <f>INDEX('File 2'!Weekly_Adjusted,35,11)</f>
        <v>0</v>
      </c>
      <c r="CU77" s="143">
        <f>INDEX('File 2'!Weekly_Adjusted,35,12)</f>
        <v>0</v>
      </c>
      <c r="CV77" s="142">
        <f>INDEX('File 3'!Weekly_Adjusted,35,10)</f>
        <v>0</v>
      </c>
      <c r="CW77" s="142">
        <f>INDEX('File 3'!Weekly_Adjusted,35,11)</f>
        <v>0</v>
      </c>
      <c r="CX77" s="142">
        <f>INDEX('File 3'!Weekly_Adjusted,35,12)</f>
        <v>0</v>
      </c>
      <c r="CY77" s="143">
        <f>INDEX('File 4'!Weekly_Adjusted,35,10)</f>
        <v>0</v>
      </c>
      <c r="CZ77" s="143">
        <f>INDEX('File 4'!Weekly_Adjusted,35,11)</f>
        <v>0</v>
      </c>
      <c r="DA77" s="143">
        <f>INDEX('File 4'!Weekly_Adjusted,35,12)</f>
        <v>0</v>
      </c>
      <c r="DB77" s="142">
        <f>INDEX('File 5'!Weekly_Adjusted,35,10)</f>
        <v>0</v>
      </c>
      <c r="DC77" s="142">
        <f>INDEX('File 5'!Weekly_Adjusted,35,11)</f>
        <v>0</v>
      </c>
      <c r="DD77" s="142">
        <f>INDEX('File 5'!Weekly_Adjusted,35,12)</f>
        <v>0</v>
      </c>
      <c r="DE77" s="143">
        <f>INDEX('File 6'!Weekly_Adjusted,35,10)</f>
        <v>0</v>
      </c>
      <c r="DF77" s="143">
        <f>INDEX('File 6'!Weekly_Adjusted,35,11)</f>
        <v>0</v>
      </c>
      <c r="DG77" s="143">
        <f>INDEX('File 6'!Weekly_Adjusted,35,12)</f>
        <v>0</v>
      </c>
      <c r="DH77" s="142">
        <f>INDEX('File 7'!Weekly_Adjusted,35,10)</f>
        <v>0</v>
      </c>
      <c r="DI77" s="142">
        <f>INDEX('File 7'!Weekly_Adjusted,35,11)</f>
        <v>0</v>
      </c>
      <c r="DJ77" s="142">
        <f>INDEX('File 7'!Weekly_Adjusted,35,12)</f>
        <v>0</v>
      </c>
      <c r="DK77" s="143">
        <f>INDEX('File 8'!Weekly_Adjusted,35,10)</f>
        <v>0</v>
      </c>
      <c r="DL77" s="143">
        <f>INDEX('File 8'!Weekly_Adjusted,35,11)</f>
        <v>0</v>
      </c>
      <c r="DM77" s="143">
        <f>INDEX('File 8'!Weekly_Adjusted,35,12)</f>
        <v>0</v>
      </c>
      <c r="DN77" s="142">
        <f>INDEX('File 9'!Weekly_Adjusted,35,10)</f>
        <v>0</v>
      </c>
      <c r="DO77" s="142">
        <f>INDEX('File 9'!Weekly_Adjusted,35,11)</f>
        <v>0</v>
      </c>
      <c r="DP77" s="142">
        <f>INDEX('File 9'!Weekly_Adjusted,35,12)</f>
        <v>0</v>
      </c>
      <c r="DQ77" s="143">
        <f>INDEX('File 10'!Weekly_Adjusted,35,10)</f>
        <v>0</v>
      </c>
      <c r="DR77" s="143">
        <f>INDEX('File 10'!Weekly_Adjusted,35,11)</f>
        <v>0</v>
      </c>
      <c r="DS77" s="143">
        <f>INDEX('File 10'!Weekly_Adjusted,35,12)</f>
        <v>0</v>
      </c>
      <c r="DT77" s="142">
        <f>INDEX('File 11'!Weekly_Adjusted,35,10)</f>
        <v>0</v>
      </c>
      <c r="DU77" s="142">
        <f>INDEX('File 11'!Weekly_Adjusted,35,11)</f>
        <v>0</v>
      </c>
      <c r="DV77" s="142">
        <f>INDEX('File 11'!Weekly_Adjusted,35,12)</f>
        <v>0</v>
      </c>
      <c r="DW77" s="143">
        <f>INDEX('File 12'!Weekly_Adjusted,35,10)</f>
        <v>0</v>
      </c>
      <c r="DX77" s="143">
        <f>INDEX('File 12'!Weekly_Adjusted,35,11)</f>
        <v>0</v>
      </c>
      <c r="DY77" s="143">
        <f>INDEX('File 12'!Weekly_Adjusted,35,12)</f>
        <v>0</v>
      </c>
      <c r="DZ77" s="142">
        <f>INDEX('File 13'!Weekly_Adjusted,35,10)</f>
        <v>0</v>
      </c>
      <c r="EA77" s="142">
        <f>INDEX('File 13'!Weekly_Adjusted,35,11)</f>
        <v>0</v>
      </c>
      <c r="EB77" s="142">
        <f>INDEX('File 13'!Weekly_Adjusted,35,12)</f>
        <v>0</v>
      </c>
      <c r="EC77" s="143">
        <f>INDEX('File 14'!Weekly_Adjusted,35,10)</f>
        <v>0</v>
      </c>
      <c r="ED77" s="143">
        <f>INDEX('File 14'!Weekly_Adjusted,35,11)</f>
        <v>0</v>
      </c>
      <c r="EE77" s="143">
        <f>INDEX('File 14'!Weekly_Adjusted,35,12)</f>
        <v>0</v>
      </c>
      <c r="EF77" s="142">
        <f>INDEX('File 15'!Weekly_Adjusted,35,10)</f>
        <v>0</v>
      </c>
      <c r="EG77" s="142">
        <f>INDEX('File 15'!Weekly_Adjusted,35,11)</f>
        <v>0</v>
      </c>
      <c r="EH77" s="142">
        <f>INDEX('File 15'!Weekly_Adjusted,35,12)</f>
        <v>0</v>
      </c>
      <c r="EI77" s="143">
        <f>INDEX('File 16'!Weekly_Adjusted,35,10)</f>
        <v>0</v>
      </c>
      <c r="EJ77" s="143">
        <f>INDEX('File 16'!Weekly_Adjusted,35,11)</f>
        <v>0</v>
      </c>
      <c r="EK77" s="143">
        <f>INDEX('File 16'!Weekly_Adjusted,35,12)</f>
        <v>0</v>
      </c>
      <c r="EL77" s="142">
        <f>INDEX('File 17'!Weekly_Adjusted,35,10)</f>
        <v>0</v>
      </c>
      <c r="EM77" s="142">
        <f>INDEX('File 17'!Weekly_Adjusted,35,11)</f>
        <v>0</v>
      </c>
      <c r="EN77" s="142">
        <f>INDEX('File 17'!Weekly_Adjusted,35,12)</f>
        <v>0</v>
      </c>
      <c r="EO77" s="143">
        <f>INDEX('File 18'!Weekly_Adjusted,35,10)</f>
        <v>0</v>
      </c>
      <c r="EP77" s="143">
        <f>INDEX('File 18'!Weekly_Adjusted,35,11)</f>
        <v>0</v>
      </c>
      <c r="EQ77" s="143">
        <f>INDEX('File 18'!Weekly_Adjusted,35,12)</f>
        <v>0</v>
      </c>
      <c r="ER77" s="142">
        <f>INDEX('File 19'!Weekly_Adjusted,35,10)</f>
        <v>0</v>
      </c>
      <c r="ES77" s="142">
        <f>INDEX('File 19'!Weekly_Adjusted,35,11)</f>
        <v>0</v>
      </c>
      <c r="ET77" s="142">
        <f>INDEX('File 19'!Weekly_Adjusted,35,12)</f>
        <v>0</v>
      </c>
      <c r="EU77" s="143">
        <f>INDEX('File 20'!Weekly_Adjusted,35,10)</f>
        <v>0</v>
      </c>
      <c r="EV77" s="143">
        <f>INDEX('File 20'!Weekly_Adjusted,35,11)</f>
        <v>0</v>
      </c>
      <c r="EW77" s="143">
        <f>INDEX('File 20'!Weekly_Adjusted,35,12)</f>
        <v>0</v>
      </c>
      <c r="EX77" s="6">
        <f ca="1">SUMIFS(INDEX(Capacity_Activity_Weekly,ROW(A35),0),Demand_Activity_Weekly_Header,CJ$42)</f>
        <v>24.344712210866053</v>
      </c>
      <c r="EY77" s="6">
        <f ca="1">SUMIFS(INDEX(Capacity_Activity_Weekly,ROW(B35),0),Demand_Activity_Weekly_Header,CK$42)</f>
        <v>0</v>
      </c>
      <c r="EZ77" s="6">
        <f ca="1">SUMIFS(INDEX(Capacity_Activity_Weekly,ROW(C35),0),Demand_Activity_Weekly_Header,CL$42)</f>
        <v>0</v>
      </c>
      <c r="FA77" s="6">
        <f ca="1">SUMIFS(INDEX(Capacity_Activity_Weekly,ROW(D35),0),Demand_Activity_Weekly_Header,CM$42)</f>
        <v>0</v>
      </c>
      <c r="FB77" s="6">
        <f ca="1">SUMIFS(INDEX(Capacity_Activity_Weekly,ROW(E35),0),Demand_Activity_Weekly_Header,CN$42)</f>
        <v>0</v>
      </c>
      <c r="FD77" s="7">
        <f>'File 1'!$Q$54*'Time based aggregation (hide)'!$Q39</f>
        <v>0</v>
      </c>
      <c r="FE77" s="7">
        <f>'File 1'!$R$54*'Time based aggregation (hide)'!$R39</f>
        <v>0</v>
      </c>
      <c r="FF77" s="7">
        <f>'File 1'!$S$54*'Time based aggregation (hide)'!$S39</f>
        <v>0</v>
      </c>
      <c r="FG77" s="7">
        <f>'File 2'!$Q$54*'Time based aggregation (hide)'!$T39</f>
        <v>0</v>
      </c>
      <c r="FH77" s="7">
        <f>'File 2'!$R$54*'Time based aggregation (hide)'!$U39</f>
        <v>0</v>
      </c>
      <c r="FI77" s="7">
        <f>'File 2'!$S$54*'Time based aggregation (hide)'!$V39</f>
        <v>0</v>
      </c>
      <c r="FJ77" s="7">
        <f>'File 3'!$Q$54*'Time based aggregation (hide)'!$W39</f>
        <v>0</v>
      </c>
      <c r="FK77" s="7">
        <f>'File 3'!$R$54*'Time based aggregation (hide)'!$X39</f>
        <v>0</v>
      </c>
      <c r="FL77" s="7">
        <f>'File 3'!$S$54*'Time based aggregation (hide)'!$Y39</f>
        <v>0</v>
      </c>
      <c r="FM77" s="7">
        <f>'File 4'!$Q$54*'Time based aggregation (hide)'!$Z39</f>
        <v>0</v>
      </c>
      <c r="FN77" s="7">
        <f>'File 4'!$R$54*'Time based aggregation (hide)'!$AA39</f>
        <v>0</v>
      </c>
      <c r="FO77" s="7">
        <f>'File 4'!$S$54*'Time based aggregation (hide)'!$AB39</f>
        <v>0</v>
      </c>
      <c r="FP77" s="7">
        <f>'File 5'!$Q$54*'Time based aggregation (hide)'!$AC39</f>
        <v>0</v>
      </c>
      <c r="FQ77" s="7">
        <f>'File 5'!$R$54*'Time based aggregation (hide)'!$AD39</f>
        <v>0</v>
      </c>
      <c r="FR77" s="7">
        <f>'File 5'!$S$54*'Time based aggregation (hide)'!$AE39</f>
        <v>0</v>
      </c>
      <c r="FS77" s="7">
        <f>'File 6'!$Q$54*'Time based aggregation (hide)'!$AF39</f>
        <v>0</v>
      </c>
      <c r="FT77" s="7">
        <f>'File 6'!$R$54*'Time based aggregation (hide)'!$AG39</f>
        <v>0</v>
      </c>
      <c r="FU77" s="7">
        <f>'File 6'!$S$54*'Time based aggregation (hide)'!$AH39</f>
        <v>0</v>
      </c>
      <c r="FV77" s="7">
        <f>'File 7'!$Q$54*'Time based aggregation (hide)'!$AI39</f>
        <v>0</v>
      </c>
      <c r="FW77" s="7">
        <f>'File 7'!$R$54*'Time based aggregation (hide)'!$AJ39</f>
        <v>0</v>
      </c>
      <c r="FX77" s="7">
        <f>'File 7'!$S$54*'Time based aggregation (hide)'!$AK39</f>
        <v>0</v>
      </c>
      <c r="FY77" s="7">
        <f>'File 8'!$Q$54*'Time based aggregation (hide)'!$AL39</f>
        <v>0</v>
      </c>
      <c r="FZ77" s="7">
        <f>'File 8'!$R$54*'Time based aggregation (hide)'!$AM39</f>
        <v>0</v>
      </c>
      <c r="GA77" s="7">
        <f>'File 8'!$S$54*'Time based aggregation (hide)'!$AN39</f>
        <v>0</v>
      </c>
      <c r="GB77" s="7">
        <f>'File 9'!$Q$54*'Time based aggregation (hide)'!$AO39</f>
        <v>0</v>
      </c>
      <c r="GC77" s="7">
        <f>'File 9'!$R$54*'Time based aggregation (hide)'!$AP39</f>
        <v>0</v>
      </c>
      <c r="GD77" s="7">
        <f>'File 9'!$S$54*'Time based aggregation (hide)'!$AQ39</f>
        <v>0</v>
      </c>
      <c r="GE77" s="7">
        <f>'File 10'!$Q$54*'Time based aggregation (hide)'!$AR39</f>
        <v>0</v>
      </c>
      <c r="GF77" s="7">
        <f>'File 10'!$R$54*'Time based aggregation (hide)'!$AS39</f>
        <v>0</v>
      </c>
      <c r="GG77" s="7">
        <f>'File 10'!$S$54*'Time based aggregation (hide)'!$AT39</f>
        <v>0</v>
      </c>
      <c r="GH77" s="7">
        <f>'File 11'!$Q$54*'Time based aggregation (hide)'!$AU39</f>
        <v>0</v>
      </c>
      <c r="GI77" s="7">
        <f>'File 11'!$R$54*'Time based aggregation (hide)'!$AV39</f>
        <v>0</v>
      </c>
      <c r="GJ77" s="7">
        <f>'File 11'!$S$54*'Time based aggregation (hide)'!$AW39</f>
        <v>0</v>
      </c>
      <c r="GK77" s="7">
        <f>'File 12'!$Q$54*'Time based aggregation (hide)'!$AX39</f>
        <v>0</v>
      </c>
      <c r="GL77" s="7">
        <f>'File 12'!$R$54*'Time based aggregation (hide)'!$AY39</f>
        <v>0</v>
      </c>
      <c r="GM77" s="7">
        <f>'File 12'!$S$54*'Time based aggregation (hide)'!$AZ39</f>
        <v>0</v>
      </c>
      <c r="GN77" s="7">
        <f>'File 13'!$Q$54*'Time based aggregation (hide)'!$BA39</f>
        <v>0</v>
      </c>
      <c r="GO77" s="7">
        <f>'File 13'!$R$54*'Time based aggregation (hide)'!$BB39</f>
        <v>0</v>
      </c>
      <c r="GP77" s="7">
        <f>'File 13'!$S$54*'Time based aggregation (hide)'!$BC39</f>
        <v>0</v>
      </c>
      <c r="GQ77" s="7">
        <f>'File 14'!$Q$54*'Time based aggregation (hide)'!$BD39</f>
        <v>0</v>
      </c>
      <c r="GR77" s="7">
        <f>'File 14'!$R$54*'Time based aggregation (hide)'!$BE39</f>
        <v>0</v>
      </c>
      <c r="GS77" s="7">
        <f>'File 14'!$S$54*'Time based aggregation (hide)'!$BF39</f>
        <v>0</v>
      </c>
      <c r="GT77" s="7">
        <f>'File 15'!$Q$54*'Time based aggregation (hide)'!$BG39</f>
        <v>0</v>
      </c>
      <c r="GU77" s="7">
        <f>'File 15'!$R$54*'Time based aggregation (hide)'!$BH39</f>
        <v>0</v>
      </c>
      <c r="GV77" s="7">
        <f>'File 15'!$S$54*'Time based aggregation (hide)'!$BI39</f>
        <v>0</v>
      </c>
      <c r="GW77" s="7">
        <f>'File 16'!$Q$54*'Time based aggregation (hide)'!$BJ39</f>
        <v>0</v>
      </c>
      <c r="GX77" s="7">
        <f>'File 16'!$R$54*'Time based aggregation (hide)'!$BK39</f>
        <v>0</v>
      </c>
      <c r="GY77" s="7">
        <f>'File 16'!$S$54*'Time based aggregation (hide)'!$BL39</f>
        <v>0</v>
      </c>
      <c r="GZ77" s="7">
        <f>'File 17'!$Q$54*'Time based aggregation (hide)'!$BM39</f>
        <v>0</v>
      </c>
      <c r="HA77" s="7">
        <f>'File 17'!$R$54*'Time based aggregation (hide)'!$BN39</f>
        <v>0</v>
      </c>
      <c r="HB77" s="7">
        <f>'File 17'!$S$54*'Time based aggregation (hide)'!$BO39</f>
        <v>0</v>
      </c>
      <c r="HC77" s="7">
        <f>'File 18'!$Q$54*'Time based aggregation (hide)'!$BP39</f>
        <v>0</v>
      </c>
      <c r="HD77" s="7">
        <f>'File 18'!$R$54*'Time based aggregation (hide)'!$BQ39</f>
        <v>0</v>
      </c>
      <c r="HE77" s="7">
        <f>'File 18'!$S$54*'Time based aggregation (hide)'!$BR39</f>
        <v>0</v>
      </c>
      <c r="HF77" s="7">
        <f>'File 19'!$Q$54*'Time based aggregation (hide)'!$BS39</f>
        <v>0</v>
      </c>
      <c r="HG77" s="7">
        <f>'File 19'!$R$54*'Time based aggregation (hide)'!$BT39</f>
        <v>0</v>
      </c>
      <c r="HH77" s="7">
        <f>'File 19'!$S$54*'Time based aggregation (hide)'!$BU39</f>
        <v>0</v>
      </c>
      <c r="HI77" s="7">
        <f>'File 20'!$Q$54*'Time based aggregation (hide)'!$BV39</f>
        <v>0</v>
      </c>
      <c r="HJ77" s="7">
        <f>'File 20'!$R$54*'Time based aggregation (hide)'!$BW39</f>
        <v>0</v>
      </c>
      <c r="HK77" s="7">
        <f>'File 20'!$S$54*'Time based aggregation (hide)'!$BX39</f>
        <v>0</v>
      </c>
      <c r="HL77" s="7">
        <f t="shared" ca="1" si="45"/>
        <v>0</v>
      </c>
      <c r="HM77" s="7">
        <f t="shared" ca="1" si="45"/>
        <v>0</v>
      </c>
      <c r="HN77" s="7">
        <f t="shared" ca="1" si="45"/>
        <v>0</v>
      </c>
      <c r="HO77" s="7">
        <f t="shared" ca="1" si="45"/>
        <v>0</v>
      </c>
      <c r="HP77" s="7">
        <f t="shared" ca="1" si="45"/>
        <v>0</v>
      </c>
      <c r="HR77" s="142">
        <f>INDEX('File 1'!Weekly_Adjusted,35,16)</f>
        <v>20.933351264120493</v>
      </c>
      <c r="HS77" s="142">
        <f>INDEX('File 1'!Weekly_Adjusted,35,17)</f>
        <v>0</v>
      </c>
      <c r="HT77" s="142">
        <f>INDEX('File 1'!Weekly_Adjusted,35,18)</f>
        <v>0</v>
      </c>
      <c r="HU77" s="143">
        <f>INDEX('File 2'!Weekly_Adjusted,35,16)</f>
        <v>0</v>
      </c>
      <c r="HV77" s="143">
        <f>INDEX('File 2'!Weekly_Adjusted,35,17)</f>
        <v>0</v>
      </c>
      <c r="HW77" s="143">
        <f>INDEX('File 2'!Weekly_Adjusted,35,18)</f>
        <v>0</v>
      </c>
      <c r="HX77" s="142">
        <f>INDEX('File 3'!Weekly_Adjusted,35,16)</f>
        <v>0</v>
      </c>
      <c r="HY77" s="142">
        <f>INDEX('File 3'!Weekly_Adjusted,35,17)</f>
        <v>0</v>
      </c>
      <c r="HZ77" s="142">
        <f>INDEX('File 3'!Weekly_Adjusted,35,18)</f>
        <v>0</v>
      </c>
      <c r="IA77" s="143">
        <f>INDEX('File 4'!Weekly_Adjusted,35,16)</f>
        <v>0</v>
      </c>
      <c r="IB77" s="143">
        <f>INDEX('File 4'!Weekly_Adjusted,35,17)</f>
        <v>0</v>
      </c>
      <c r="IC77" s="143">
        <f>INDEX('File 4'!Weekly_Adjusted,35,18)</f>
        <v>0</v>
      </c>
      <c r="ID77" s="142">
        <f>INDEX('File 5'!Weekly_Adjusted,35,16)</f>
        <v>0</v>
      </c>
      <c r="IE77" s="142">
        <f>INDEX('File 5'!Weekly_Adjusted,35,17)</f>
        <v>0</v>
      </c>
      <c r="IF77" s="142">
        <f>INDEX('File 5'!Weekly_Adjusted,35,18)</f>
        <v>0</v>
      </c>
      <c r="IG77" s="143">
        <f>INDEX('File 6'!Weekly_Adjusted,35,16)</f>
        <v>0</v>
      </c>
      <c r="IH77" s="143">
        <f>INDEX('File 6'!Weekly_Adjusted,35,17)</f>
        <v>0</v>
      </c>
      <c r="II77" s="143">
        <f>INDEX('File 6'!Weekly_Adjusted,35,18)</f>
        <v>0</v>
      </c>
      <c r="IJ77" s="142">
        <f>INDEX('File 7'!Weekly_Adjusted,35,16)</f>
        <v>0</v>
      </c>
      <c r="IK77" s="142">
        <f>INDEX('File 7'!Weekly_Adjusted,35,17)</f>
        <v>0</v>
      </c>
      <c r="IL77" s="142">
        <f>INDEX('File 7'!Weekly_Adjusted,35,18)</f>
        <v>0</v>
      </c>
      <c r="IM77" s="143">
        <f>INDEX('File 8'!Weekly_Adjusted,35,16)</f>
        <v>0</v>
      </c>
      <c r="IN77" s="143">
        <f>INDEX('File 8'!Weekly_Adjusted,35,17)</f>
        <v>0</v>
      </c>
      <c r="IO77" s="143">
        <f>INDEX('File 8'!Weekly_Adjusted,35,18)</f>
        <v>0</v>
      </c>
      <c r="IP77" s="142">
        <f>INDEX('File 9'!Weekly_Adjusted,35,16)</f>
        <v>0</v>
      </c>
      <c r="IQ77" s="142">
        <f>INDEX('File 9'!Weekly_Adjusted,35,17)</f>
        <v>0</v>
      </c>
      <c r="IR77" s="142">
        <f>INDEX('File 9'!Weekly_Adjusted,35,18)</f>
        <v>0</v>
      </c>
      <c r="IS77" s="143">
        <f>INDEX('File 10'!Weekly_Adjusted,35,16)</f>
        <v>0</v>
      </c>
      <c r="IT77" s="143">
        <f>INDEX('File 10'!Weekly_Adjusted,35,17)</f>
        <v>0</v>
      </c>
      <c r="IU77" s="143">
        <f>INDEX('File 10'!Weekly_Adjusted,35,18)</f>
        <v>0</v>
      </c>
      <c r="IV77" s="142">
        <f>INDEX('File 11'!Weekly_Adjusted,35,16)</f>
        <v>0</v>
      </c>
      <c r="IW77" s="142">
        <f>INDEX('File 11'!Weekly_Adjusted,35,17)</f>
        <v>0</v>
      </c>
      <c r="IX77" s="142">
        <f>INDEX('File 11'!Weekly_Adjusted,35,18)</f>
        <v>0</v>
      </c>
      <c r="IY77" s="143">
        <f>INDEX('File 12'!Weekly_Adjusted,35,16)</f>
        <v>0</v>
      </c>
      <c r="IZ77" s="143">
        <f>INDEX('File 12'!Weekly_Adjusted,35,17)</f>
        <v>0</v>
      </c>
      <c r="JA77" s="143">
        <f>INDEX('File 12'!Weekly_Adjusted,35,18)</f>
        <v>0</v>
      </c>
      <c r="JB77" s="142">
        <f>INDEX('File 13'!Weekly_Adjusted,35,16)</f>
        <v>0</v>
      </c>
      <c r="JC77" s="142">
        <f>INDEX('File 13'!Weekly_Adjusted,35,17)</f>
        <v>0</v>
      </c>
      <c r="JD77" s="142">
        <f>INDEX('File 13'!Weekly_Adjusted,35,18)</f>
        <v>0</v>
      </c>
      <c r="JE77" s="143">
        <f>INDEX('File 14'!Weekly_Adjusted,35,16)</f>
        <v>0</v>
      </c>
      <c r="JF77" s="143">
        <f>INDEX('File 14'!Weekly_Adjusted,35,17)</f>
        <v>0</v>
      </c>
      <c r="JG77" s="143">
        <f>INDEX('File 14'!Weekly_Adjusted,35,18)</f>
        <v>0</v>
      </c>
      <c r="JH77" s="142">
        <f>INDEX('File 15'!Weekly_Adjusted,35,16)</f>
        <v>0</v>
      </c>
      <c r="JI77" s="142">
        <f>INDEX('File 15'!Weekly_Adjusted,35,17)</f>
        <v>0</v>
      </c>
      <c r="JJ77" s="142">
        <f>INDEX('File 15'!Weekly_Adjusted,35,18)</f>
        <v>0</v>
      </c>
      <c r="JK77" s="143">
        <f>INDEX('File 16'!Weekly_Adjusted,35,16)</f>
        <v>0</v>
      </c>
      <c r="JL77" s="143">
        <f>INDEX('File 16'!Weekly_Adjusted,35,17)</f>
        <v>0</v>
      </c>
      <c r="JM77" s="143">
        <f>INDEX('File 16'!Weekly_Adjusted,35,18)</f>
        <v>0</v>
      </c>
      <c r="JN77" s="142">
        <f>INDEX('File 17'!Weekly_Adjusted,35,16)</f>
        <v>0</v>
      </c>
      <c r="JO77" s="142">
        <f>INDEX('File 17'!Weekly_Adjusted,35,17)</f>
        <v>0</v>
      </c>
      <c r="JP77" s="142">
        <f>INDEX('File 17'!Weekly_Adjusted,35,18)</f>
        <v>0</v>
      </c>
      <c r="JQ77" s="143">
        <f>INDEX('File 18'!Weekly_Adjusted,35,16)</f>
        <v>0</v>
      </c>
      <c r="JR77" s="143">
        <f>INDEX('File 18'!Weekly_Adjusted,35,17)</f>
        <v>0</v>
      </c>
      <c r="JS77" s="143">
        <f>INDEX('File 18'!Weekly_Adjusted,35,18)</f>
        <v>0</v>
      </c>
      <c r="JT77" s="142">
        <f>INDEX('File 19'!Weekly_Adjusted,35,16)</f>
        <v>0</v>
      </c>
      <c r="JU77" s="142">
        <f>INDEX('File 19'!Weekly_Adjusted,35,17)</f>
        <v>0</v>
      </c>
      <c r="JV77" s="142">
        <f>INDEX('File 19'!Weekly_Adjusted,35,18)</f>
        <v>0</v>
      </c>
      <c r="JW77" s="143">
        <f>INDEX('File 20'!Weekly_Adjusted,35,16)</f>
        <v>0</v>
      </c>
      <c r="JX77" s="143">
        <f>INDEX('File 20'!Weekly_Adjusted,35,17)</f>
        <v>0</v>
      </c>
      <c r="JY77" s="143">
        <f>INDEX('File 20'!Weekly_Adjusted,35,18)</f>
        <v>0</v>
      </c>
      <c r="JZ77" s="6">
        <f ca="1">SUMIFS(INDEX(CapacityCore_Activity_Weekly,ROW(EC35),0),Demand_Activity_Weekly_Header,HL$42)</f>
        <v>20.933351264120493</v>
      </c>
      <c r="KA77" s="6">
        <f ca="1">SUMIFS(INDEX(CapacityCore_Activity_Weekly,ROW(ED35),0),Demand_Activity_Weekly_Header,HM$42)</f>
        <v>0</v>
      </c>
      <c r="KB77" s="6">
        <f ca="1">SUMIFS(INDEX(CapacityCore_Activity_Weekly,ROW(EE35),0),Demand_Activity_Weekly_Header,HN$42)</f>
        <v>0</v>
      </c>
      <c r="KC77" s="6">
        <f ca="1">SUMIFS(INDEX(CapacityCore_Activity_Weekly,ROW(EF35),0),Demand_Activity_Weekly_Header,HO$42)</f>
        <v>0</v>
      </c>
      <c r="KD77" s="6">
        <f ca="1">SUMIFS(INDEX(CapacityCore_Activity_Weekly,ROW(EG35),0),Demand_Activity_Weekly_Header,HP$42)</f>
        <v>0</v>
      </c>
      <c r="KF77" s="6">
        <f>SUMIFS('Time based aggregation (hide)'!$J:$J,'Time based aggregation (hide)'!$E:$E,1,'Time based aggregation (hide)'!$F:$F,1,'Time based aggregation (hide)'!$A:$A,ROW(A35))</f>
        <v>0</v>
      </c>
      <c r="KG77" s="6">
        <f>SUMIFS('Time based aggregation (hide)'!$J:$J,'Time based aggregation (hide)'!$E:$E,1,'Time based aggregation (hide)'!$F:$F,2,'Time based aggregation (hide)'!$A:$A,ROW(A35))</f>
        <v>0</v>
      </c>
      <c r="KH77" s="6">
        <f>SUMIFS('Time based aggregation (hide)'!$J:$J,'Time based aggregation (hide)'!$E:$E,1,'Time based aggregation (hide)'!$F:$F,3,'Time based aggregation (hide)'!$A:$A,ROW(A35))</f>
        <v>0</v>
      </c>
      <c r="KI77" s="6">
        <f>SUMIFS('Time based aggregation (hide)'!$J:$J,'Time based aggregation (hide)'!$E:$E,2,'Time based aggregation (hide)'!$F:$F,1,'Time based aggregation (hide)'!$A:$A,ROW(A35))</f>
        <v>0</v>
      </c>
      <c r="KJ77" s="6">
        <f>SUMIFS('Time based aggregation (hide)'!$J:$J,'Time based aggregation (hide)'!$E:$E,2,'Time based aggregation (hide)'!$F:$F,2,'Time based aggregation (hide)'!$A:$A,ROW(A35))</f>
        <v>0</v>
      </c>
      <c r="KK77" s="6">
        <f>SUMIFS('Time based aggregation (hide)'!$J:$J,'Time based aggregation (hide)'!$E:$E,2,'Time based aggregation (hide)'!$F:$F,3,'Time based aggregation (hide)'!$A:$A,ROW(A35))</f>
        <v>0</v>
      </c>
      <c r="KL77" s="6">
        <f>SUMIFS('Time based aggregation (hide)'!$J:$J,'Time based aggregation (hide)'!$E:$E,3,'Time based aggregation (hide)'!$F:$F,1,'Time based aggregation (hide)'!$A:$A,ROW(A35))</f>
        <v>0</v>
      </c>
      <c r="KM77" s="6">
        <f>SUMIFS('Time based aggregation (hide)'!$J:$J,'Time based aggregation (hide)'!$E:$E,3,'Time based aggregation (hide)'!$F:$F,2,'Time based aggregation (hide)'!$A:$A,ROW(A35))</f>
        <v>0</v>
      </c>
      <c r="KN77" s="6">
        <f>SUMIFS('Time based aggregation (hide)'!$J:$J,'Time based aggregation (hide)'!$E:$E,3,'Time based aggregation (hide)'!$F:$F,3,'Time based aggregation (hide)'!$A:$A,ROW(A35))</f>
        <v>0</v>
      </c>
      <c r="KO77" s="6">
        <f>SUMIFS('Time based aggregation (hide)'!$J:$J,'Time based aggregation (hide)'!$E:$E,4,'Time based aggregation (hide)'!$F:$F,1,'Time based aggregation (hide)'!$A:$A,ROW(A35))</f>
        <v>0</v>
      </c>
      <c r="KP77" s="6">
        <f>SUMIFS('Time based aggregation (hide)'!$J:$J,'Time based aggregation (hide)'!$E:$E,4,'Time based aggregation (hide)'!$F:$F,2,'Time based aggregation (hide)'!$A:$A,ROW(A35))</f>
        <v>0</v>
      </c>
      <c r="KQ77" s="6">
        <f>SUMIFS('Time based aggregation (hide)'!$J:$J,'Time based aggregation (hide)'!$E:$E,4,'Time based aggregation (hide)'!$F:$F,3,'Time based aggregation (hide)'!$A:$A,ROW(A35))</f>
        <v>0</v>
      </c>
      <c r="KR77" s="6">
        <f>SUMIFS('Time based aggregation (hide)'!$J:$J,'Time based aggregation (hide)'!$E:$E,5,'Time based aggregation (hide)'!$F:$F,1,'Time based aggregation (hide)'!$A:$A,ROW(A35))</f>
        <v>0</v>
      </c>
      <c r="KS77" s="6">
        <f>SUMIFS('Time based aggregation (hide)'!$J:$J,'Time based aggregation (hide)'!$E:$E,5,'Time based aggregation (hide)'!$F:$F,2,'Time based aggregation (hide)'!$A:$A,ROW(A35))</f>
        <v>0</v>
      </c>
      <c r="KT77" s="6">
        <f>SUMIFS('Time based aggregation (hide)'!$J:$J,'Time based aggregation (hide)'!$E:$E,5,'Time based aggregation (hide)'!$F:$F,3,'Time based aggregation (hide)'!$A:$A,ROW(A35))</f>
        <v>0</v>
      </c>
      <c r="KU77" s="6">
        <f>SUMIFS('Time based aggregation (hide)'!$J:$J,'Time based aggregation (hide)'!$E:$E,6,'Time based aggregation (hide)'!$F:$F,1,'Time based aggregation (hide)'!$A:$A,ROW(A35))</f>
        <v>0</v>
      </c>
      <c r="KV77" s="6">
        <f>SUMIFS('Time based aggregation (hide)'!$J:$J,'Time based aggregation (hide)'!$E:$E,6,'Time based aggregation (hide)'!$F:$F,2,'Time based aggregation (hide)'!$A:$A,ROW(A35))</f>
        <v>0</v>
      </c>
      <c r="KW77" s="6">
        <f>SUMIFS('Time based aggregation (hide)'!$J:$J,'Time based aggregation (hide)'!$E:$E,6,'Time based aggregation (hide)'!$F:$F,3,'Time based aggregation (hide)'!$A:$A,ROW(A35))</f>
        <v>0</v>
      </c>
      <c r="KX77" s="6">
        <f>SUMIFS('Time based aggregation (hide)'!$J:$J,'Time based aggregation (hide)'!$E:$E,7,'Time based aggregation (hide)'!$F:$F,1,'Time based aggregation (hide)'!$A:$A,ROW(A35))</f>
        <v>0</v>
      </c>
      <c r="KY77" s="6">
        <f>SUMIFS('Time based aggregation (hide)'!$J:$J,'Time based aggregation (hide)'!$E:$E,7,'Time based aggregation (hide)'!$F:$F,2,'Time based aggregation (hide)'!$A:$A,ROW(A35))</f>
        <v>0</v>
      </c>
      <c r="KZ77" s="6">
        <f>SUMIFS('Time based aggregation (hide)'!$J:$J,'Time based aggregation (hide)'!$E:$E,7,'Time based aggregation (hide)'!$F:$F,3,'Time based aggregation (hide)'!$A:$A,ROW(A35))</f>
        <v>0</v>
      </c>
      <c r="LA77" s="6">
        <f>SUMIFS('Time based aggregation (hide)'!$J:$J,'Time based aggregation (hide)'!$E:$E,8,'Time based aggregation (hide)'!$F:$F,1,'Time based aggregation (hide)'!$A:$A,ROW(A35))</f>
        <v>0</v>
      </c>
      <c r="LB77" s="6">
        <f>SUMIFS('Time based aggregation (hide)'!$J:$J,'Time based aggregation (hide)'!$E:$E,8,'Time based aggregation (hide)'!$F:$F,2,'Time based aggregation (hide)'!$A:$A,ROW(A35))</f>
        <v>0</v>
      </c>
      <c r="LC77" s="6">
        <f>SUMIFS('Time based aggregation (hide)'!$J:$J,'Time based aggregation (hide)'!$E:$E,8,'Time based aggregation (hide)'!$F:$F,3,'Time based aggregation (hide)'!$A:$A,ROW(A35))</f>
        <v>0</v>
      </c>
      <c r="LD77" s="6">
        <f>SUMIFS('Time based aggregation (hide)'!$J:$J,'Time based aggregation (hide)'!$E:$E,9,'Time based aggregation (hide)'!$F:$F,1,'Time based aggregation (hide)'!$A:$A,ROW(A35))</f>
        <v>0</v>
      </c>
      <c r="LE77" s="6">
        <f>SUMIFS('Time based aggregation (hide)'!$J:$J,'Time based aggregation (hide)'!$E:$E,9,'Time based aggregation (hide)'!$F:$F,2,'Time based aggregation (hide)'!$A:$A,ROW(A35))</f>
        <v>0</v>
      </c>
      <c r="LF77" s="6">
        <f>SUMIFS('Time based aggregation (hide)'!$J:$J,'Time based aggregation (hide)'!$E:$E,9,'Time based aggregation (hide)'!$F:$F,3,'Time based aggregation (hide)'!$A:$A,ROW(A35))</f>
        <v>0</v>
      </c>
      <c r="LG77" s="6">
        <f>SUMIFS('Time based aggregation (hide)'!$J:$J,'Time based aggregation (hide)'!$E:$E,10,'Time based aggregation (hide)'!$F:$F,1,'Time based aggregation (hide)'!$A:$A,ROW(A35))</f>
        <v>0</v>
      </c>
      <c r="LH77" s="6">
        <f>SUMIFS('Time based aggregation (hide)'!$J:$J,'Time based aggregation (hide)'!$E:$E,10,'Time based aggregation (hide)'!$F:$F,2,'Time based aggregation (hide)'!$A:$A,ROW(A35))</f>
        <v>0</v>
      </c>
      <c r="LI77" s="6">
        <f>SUMIFS('Time based aggregation (hide)'!$J:$J,'Time based aggregation (hide)'!$E:$E,10,'Time based aggregation (hide)'!$F:$F,3,'Time based aggregation (hide)'!$A:$A,ROW(A35))</f>
        <v>0</v>
      </c>
      <c r="LJ77" s="6">
        <f>SUMIFS('Time based aggregation (hide)'!$J:$J,'Time based aggregation (hide)'!$E:$E,11,'Time based aggregation (hide)'!$F:$F,1,'Time based aggregation (hide)'!$A:$A,ROW(A35))</f>
        <v>0</v>
      </c>
      <c r="LK77" s="6">
        <f>SUMIFS('Time based aggregation (hide)'!$J:$J,'Time based aggregation (hide)'!$E:$E,11,'Time based aggregation (hide)'!$F:$F,2,'Time based aggregation (hide)'!$A:$A,ROW(A35))</f>
        <v>0</v>
      </c>
      <c r="LL77" s="6">
        <f>SUMIFS('Time based aggregation (hide)'!$J:$J,'Time based aggregation (hide)'!$E:$E,11,'Time based aggregation (hide)'!$F:$F,3,'Time based aggregation (hide)'!$A:$A,ROW(A35))</f>
        <v>0</v>
      </c>
      <c r="LM77" s="6">
        <f>SUMIFS('Time based aggregation (hide)'!$J:$J,'Time based aggregation (hide)'!$E:$E,12,'Time based aggregation (hide)'!$F:$F,1,'Time based aggregation (hide)'!$A:$A,ROW(A35))</f>
        <v>0</v>
      </c>
      <c r="LN77" s="6">
        <f>SUMIFS('Time based aggregation (hide)'!$J:$J,'Time based aggregation (hide)'!$E:$E,12,'Time based aggregation (hide)'!$F:$F,2,'Time based aggregation (hide)'!$A:$A,ROW(A35))</f>
        <v>0</v>
      </c>
      <c r="LO77" s="6">
        <f>SUMIFS('Time based aggregation (hide)'!$J:$J,'Time based aggregation (hide)'!$E:$E,12,'Time based aggregation (hide)'!$F:$F,3,'Time based aggregation (hide)'!$A:$A,ROW(A35))</f>
        <v>0</v>
      </c>
      <c r="LP77" s="6">
        <f>SUMIFS('Time based aggregation (hide)'!$J:$J,'Time based aggregation (hide)'!$E:$E,13,'Time based aggregation (hide)'!$F:$F,1,'Time based aggregation (hide)'!$A:$A,ROW(A35))</f>
        <v>0</v>
      </c>
      <c r="LQ77" s="6">
        <f>SUMIFS('Time based aggregation (hide)'!$J:$J,'Time based aggregation (hide)'!$E:$E,13,'Time based aggregation (hide)'!$F:$F,2,'Time based aggregation (hide)'!$A:$A,ROW(A35))</f>
        <v>0</v>
      </c>
      <c r="LR77" s="6">
        <f>SUMIFS('Time based aggregation (hide)'!$J:$J,'Time based aggregation (hide)'!$E:$E,13,'Time based aggregation (hide)'!$F:$F,3,'Time based aggregation (hide)'!$A:$A,ROW(A35))</f>
        <v>0</v>
      </c>
      <c r="LS77" s="6">
        <f>SUMIFS('Time based aggregation (hide)'!$J:$J,'Time based aggregation (hide)'!$E:$E,14,'Time based aggregation (hide)'!$F:$F,1,'Time based aggregation (hide)'!$A:$A,ROW(A35))</f>
        <v>0</v>
      </c>
      <c r="LT77" s="6">
        <f>SUMIFS('Time based aggregation (hide)'!$J:$J,'Time based aggregation (hide)'!$E:$E,14,'Time based aggregation (hide)'!$F:$F,2,'Time based aggregation (hide)'!$A:$A,ROW(A35))</f>
        <v>0</v>
      </c>
      <c r="LU77" s="6">
        <f>SUMIFS('Time based aggregation (hide)'!$J:$J,'Time based aggregation (hide)'!$E:$E,14,'Time based aggregation (hide)'!$F:$F,3,'Time based aggregation (hide)'!$A:$A,ROW(A35))</f>
        <v>0</v>
      </c>
      <c r="LV77" s="6">
        <f>SUMIFS('Time based aggregation (hide)'!$J:$J,'Time based aggregation (hide)'!$E:$E,15,'Time based aggregation (hide)'!$F:$F,1,'Time based aggregation (hide)'!$A:$A,ROW(A35))</f>
        <v>0</v>
      </c>
      <c r="LW77" s="6">
        <f>SUMIFS('Time based aggregation (hide)'!$J:$J,'Time based aggregation (hide)'!$E:$E,15,'Time based aggregation (hide)'!$F:$F,2,'Time based aggregation (hide)'!$A:$A,ROW(A35))</f>
        <v>0</v>
      </c>
      <c r="LX77" s="6">
        <f>SUMIFS('Time based aggregation (hide)'!$J:$J,'Time based aggregation (hide)'!$E:$E,15,'Time based aggregation (hide)'!$F:$F,3,'Time based aggregation (hide)'!$A:$A,ROW(A35))</f>
        <v>0</v>
      </c>
      <c r="LY77" s="6">
        <f>SUMIFS('Time based aggregation (hide)'!$J:$J,'Time based aggregation (hide)'!$E:$E,16,'Time based aggregation (hide)'!$F:$F,1,'Time based aggregation (hide)'!$A:$A,ROW(A35))</f>
        <v>0</v>
      </c>
      <c r="LZ77" s="6">
        <f>SUMIFS('Time based aggregation (hide)'!$J:$J,'Time based aggregation (hide)'!$E:$E,16,'Time based aggregation (hide)'!$F:$F,2,'Time based aggregation (hide)'!$A:$A,ROW(A35))</f>
        <v>0</v>
      </c>
      <c r="MA77" s="6">
        <f>SUMIFS('Time based aggregation (hide)'!$J:$J,'Time based aggregation (hide)'!$E:$E,16,'Time based aggregation (hide)'!$F:$F,3,'Time based aggregation (hide)'!$A:$A,ROW(A35))</f>
        <v>0</v>
      </c>
      <c r="MB77" s="6">
        <f>SUMIFS('Time based aggregation (hide)'!$J:$J,'Time based aggregation (hide)'!$E:$E,17,'Time based aggregation (hide)'!$F:$F,1,'Time based aggregation (hide)'!$A:$A,ROW(A35))</f>
        <v>0</v>
      </c>
      <c r="MC77" s="6">
        <f>SUMIFS('Time based aggregation (hide)'!$J:$J,'Time based aggregation (hide)'!$E:$E,17,'Time based aggregation (hide)'!$F:$F,2,'Time based aggregation (hide)'!$A:$A,ROW(A35))</f>
        <v>0</v>
      </c>
      <c r="MD77" s="6">
        <f>SUMIFS('Time based aggregation (hide)'!$J:$J,'Time based aggregation (hide)'!$E:$E,17,'Time based aggregation (hide)'!$F:$F,3,'Time based aggregation (hide)'!$A:$A,ROW(A35))</f>
        <v>0</v>
      </c>
      <c r="ME77" s="6">
        <f>SUMIFS('Time based aggregation (hide)'!$J:$J,'Time based aggregation (hide)'!$E:$E,18,'Time based aggregation (hide)'!$F:$F,1,'Time based aggregation (hide)'!$A:$A,ROW(A35))</f>
        <v>0</v>
      </c>
      <c r="MF77" s="6">
        <f>SUMIFS('Time based aggregation (hide)'!$J:$J,'Time based aggregation (hide)'!$E:$E,18,'Time based aggregation (hide)'!$F:$F,2,'Time based aggregation (hide)'!$A:$A,ROW(A35))</f>
        <v>0</v>
      </c>
      <c r="MG77" s="6">
        <f>SUMIFS('Time based aggregation (hide)'!$J:$J,'Time based aggregation (hide)'!$E:$E,18,'Time based aggregation (hide)'!$F:$F,3,'Time based aggregation (hide)'!$A:$A,ROW(A35))</f>
        <v>0</v>
      </c>
      <c r="MH77" s="6">
        <f>SUMIFS('Time based aggregation (hide)'!$J:$J,'Time based aggregation (hide)'!$E:$E,19,'Time based aggregation (hide)'!$F:$F,1,'Time based aggregation (hide)'!$A:$A,ROW(A35))</f>
        <v>0</v>
      </c>
      <c r="MI77" s="6">
        <f>SUMIFS('Time based aggregation (hide)'!$J:$J,'Time based aggregation (hide)'!$E:$E,19,'Time based aggregation (hide)'!$F:$F,2,'Time based aggregation (hide)'!$A:$A,ROW(A35))</f>
        <v>0</v>
      </c>
      <c r="MJ77" s="6">
        <f>SUMIFS('Time based aggregation (hide)'!$J:$J,'Time based aggregation (hide)'!$E:$E,19,'Time based aggregation (hide)'!$F:$F,3,'Time based aggregation (hide)'!$A:$A,ROW(A35))</f>
        <v>0</v>
      </c>
      <c r="MK77" s="6">
        <f>SUMIFS('Time based aggregation (hide)'!$J:$J,'Time based aggregation (hide)'!$E:$E,20,'Time based aggregation (hide)'!$F:$F,1,'Time based aggregation (hide)'!$A:$A,ROW(A35))</f>
        <v>0</v>
      </c>
      <c r="ML77" s="6">
        <f>SUMIFS('Time based aggregation (hide)'!$J:$J,'Time based aggregation (hide)'!$E:$E,20,'Time based aggregation (hide)'!$F:$F,2,'Time based aggregation (hide)'!$A:$A,ROW(A35))</f>
        <v>0</v>
      </c>
      <c r="MM77" s="6">
        <f>SUMIFS('Time based aggregation (hide)'!$J:$J,'Time based aggregation (hide)'!$E:$E,20,'Time based aggregation (hide)'!$F:$F,3,'Time based aggregation (hide)'!$A:$A,ROW(A35))</f>
        <v>0</v>
      </c>
      <c r="MN77" s="7">
        <f t="shared" ca="1" si="48"/>
        <v>0</v>
      </c>
      <c r="MO77" s="7">
        <f t="shared" ca="1" si="48"/>
        <v>0</v>
      </c>
      <c r="MP77" s="7">
        <f t="shared" ca="1" si="48"/>
        <v>0</v>
      </c>
      <c r="MQ77" s="7">
        <f t="shared" ca="1" si="48"/>
        <v>0</v>
      </c>
      <c r="MR77" s="7">
        <f t="shared" ca="1" si="48"/>
        <v>0</v>
      </c>
    </row>
    <row r="78" spans="1:356" x14ac:dyDescent="0.25">
      <c r="A78">
        <f>1</f>
        <v>1</v>
      </c>
      <c r="B78" s="85">
        <f t="shared" si="37"/>
        <v>43866</v>
      </c>
      <c r="C78" s="85">
        <f t="shared" si="25"/>
        <v>43864</v>
      </c>
      <c r="D78">
        <f t="shared" ca="1" si="26"/>
        <v>1</v>
      </c>
      <c r="E78" s="85">
        <f t="shared" si="27"/>
        <v>43862</v>
      </c>
      <c r="F78">
        <f t="shared" si="33"/>
        <v>6</v>
      </c>
      <c r="H78">
        <f t="shared" si="34"/>
        <v>36</v>
      </c>
      <c r="I78" s="85">
        <f t="shared" si="38"/>
        <v>44074</v>
      </c>
      <c r="J78">
        <f t="shared" ca="1" si="46"/>
        <v>4</v>
      </c>
      <c r="K78">
        <f t="shared" ca="1" si="47"/>
        <v>1.5748031496062992E-2</v>
      </c>
      <c r="L78" s="114"/>
      <c r="N78" s="85">
        <f t="shared" si="35"/>
        <v>44074</v>
      </c>
      <c r="O78" s="122">
        <f t="shared" ca="1" si="44"/>
        <v>0</v>
      </c>
      <c r="P78" s="122">
        <f t="shared" ca="1" si="44"/>
        <v>0</v>
      </c>
      <c r="Q78" s="122">
        <f t="shared" ca="1" si="44"/>
        <v>0</v>
      </c>
      <c r="R78" s="122">
        <f t="shared" ca="1" si="44"/>
        <v>0</v>
      </c>
      <c r="S78" s="122">
        <f t="shared" ca="1" si="44"/>
        <v>0</v>
      </c>
      <c r="T78" s="122">
        <f t="shared" ca="1" si="44"/>
        <v>0</v>
      </c>
      <c r="U78" s="122">
        <f t="shared" ca="1" si="44"/>
        <v>0</v>
      </c>
      <c r="V78" s="122">
        <f t="shared" ca="1" si="44"/>
        <v>0</v>
      </c>
      <c r="W78" s="122">
        <f t="shared" ca="1" si="44"/>
        <v>1</v>
      </c>
      <c r="X78" s="122">
        <f t="shared" ca="1" si="44"/>
        <v>0</v>
      </c>
      <c r="Y78" s="122">
        <f t="shared" ca="1" si="44"/>
        <v>0</v>
      </c>
      <c r="Z78" s="122">
        <f t="shared" ca="1" si="44"/>
        <v>0</v>
      </c>
      <c r="AA78" s="122"/>
      <c r="AB78" s="140">
        <f>INDEX('File 1'!Weekly_Adjusted,36,1)</f>
        <v>388.17143954725253</v>
      </c>
      <c r="AC78" s="140">
        <f>INDEX('File 1'!Weekly_Adjusted,36,2)</f>
        <v>0</v>
      </c>
      <c r="AD78" s="140">
        <f>INDEX('File 1'!Weekly_Adjusted,36,3)</f>
        <v>0</v>
      </c>
      <c r="AE78" s="141">
        <f>INDEX('File 2'!Weekly_Adjusted,36,1)</f>
        <v>0</v>
      </c>
      <c r="AF78" s="141">
        <f>INDEX('File 2'!Weekly_Adjusted,36,2)</f>
        <v>0</v>
      </c>
      <c r="AG78" s="141">
        <f>INDEX('File 2'!Weekly_Adjusted,36,3)</f>
        <v>0</v>
      </c>
      <c r="AH78" s="140">
        <f>INDEX('File 3'!Weekly_Adjusted,36,1)</f>
        <v>0</v>
      </c>
      <c r="AI78" s="140">
        <f>INDEX('File 3'!Weekly_Adjusted,36,2)</f>
        <v>0</v>
      </c>
      <c r="AJ78" s="140">
        <f>INDEX('File 3'!Weekly_Adjusted,36,3)</f>
        <v>0</v>
      </c>
      <c r="AK78" s="141">
        <f>INDEX('File 4'!Weekly_Adjusted,36,1)</f>
        <v>0</v>
      </c>
      <c r="AL78" s="141">
        <f>INDEX('File 4'!Weekly_Adjusted,36,2)</f>
        <v>0</v>
      </c>
      <c r="AM78" s="141">
        <f>INDEX('File 4'!Weekly_Adjusted,36,3)</f>
        <v>0</v>
      </c>
      <c r="AN78" s="140">
        <f>INDEX('File 5'!Weekly_Adjusted,36,1)</f>
        <v>0</v>
      </c>
      <c r="AO78" s="140">
        <f>INDEX('File 5'!Weekly_Adjusted,36,2)</f>
        <v>0</v>
      </c>
      <c r="AP78" s="140">
        <f>INDEX('File 5'!Weekly_Adjusted,36,3)</f>
        <v>0</v>
      </c>
      <c r="AQ78" s="141">
        <f>INDEX('File 6'!Weekly_Adjusted,36,1)</f>
        <v>0</v>
      </c>
      <c r="AR78" s="141">
        <f>INDEX('File 6'!Weekly_Adjusted,36,2)</f>
        <v>0</v>
      </c>
      <c r="AS78" s="141">
        <f>INDEX('File 6'!Weekly_Adjusted,36,3)</f>
        <v>0</v>
      </c>
      <c r="AT78" s="140">
        <f>INDEX('File 7'!Weekly_Adjusted,36,1)</f>
        <v>0</v>
      </c>
      <c r="AU78" s="140">
        <f>INDEX('File 7'!Weekly_Adjusted,36,2)</f>
        <v>0</v>
      </c>
      <c r="AV78" s="140">
        <f>INDEX('File 7'!Weekly_Adjusted,36,3)</f>
        <v>0</v>
      </c>
      <c r="AW78" s="141">
        <f>INDEX('File 8'!Weekly_Adjusted,36,1)</f>
        <v>0</v>
      </c>
      <c r="AX78" s="141">
        <f>INDEX('File 8'!Weekly_Adjusted,36,2)</f>
        <v>0</v>
      </c>
      <c r="AY78" s="141">
        <f>INDEX('File 8'!Weekly_Adjusted,36,3)</f>
        <v>0</v>
      </c>
      <c r="AZ78" s="140">
        <f>INDEX('File 9'!Weekly_Adjusted,36,1)</f>
        <v>0</v>
      </c>
      <c r="BA78" s="140">
        <f>INDEX('File 9'!Weekly_Adjusted,36,2)</f>
        <v>0</v>
      </c>
      <c r="BB78" s="140">
        <f>INDEX('File 9'!Weekly_Adjusted,36,3)</f>
        <v>0</v>
      </c>
      <c r="BC78" s="141">
        <f>INDEX('File 10'!Weekly_Adjusted,36,1)</f>
        <v>0</v>
      </c>
      <c r="BD78" s="141">
        <f>INDEX('File 10'!Weekly_Adjusted,36,2)</f>
        <v>0</v>
      </c>
      <c r="BE78" s="141">
        <f>INDEX('File 10'!Weekly_Adjusted,36,3)</f>
        <v>0</v>
      </c>
      <c r="BF78" s="140">
        <f>INDEX('File 11'!Weekly_Adjusted,36,1)</f>
        <v>0</v>
      </c>
      <c r="BG78" s="140">
        <f>INDEX('File 11'!Weekly_Adjusted,36,2)</f>
        <v>0</v>
      </c>
      <c r="BH78" s="140">
        <f>INDEX('File 11'!Weekly_Adjusted,36,3)</f>
        <v>0</v>
      </c>
      <c r="BI78" s="141">
        <f>INDEX('File 12'!Weekly_Adjusted,36,1)</f>
        <v>0</v>
      </c>
      <c r="BJ78" s="141">
        <f>INDEX('File 12'!Weekly_Adjusted,36,2)</f>
        <v>0</v>
      </c>
      <c r="BK78" s="141">
        <f>INDEX('File 12'!Weekly_Adjusted,36,3)</f>
        <v>0</v>
      </c>
      <c r="BL78" s="140">
        <f>INDEX('File 13'!Weekly_Adjusted,36,1)</f>
        <v>0</v>
      </c>
      <c r="BM78" s="140">
        <f>INDEX('File 13'!Weekly_Adjusted,36,2)</f>
        <v>0</v>
      </c>
      <c r="BN78" s="140">
        <f>INDEX('File 13'!Weekly_Adjusted,36,3)</f>
        <v>0</v>
      </c>
      <c r="BO78" s="141">
        <f>INDEX('File 14'!Weekly_Adjusted,36,1)</f>
        <v>0</v>
      </c>
      <c r="BP78" s="141">
        <f>INDEX('File 14'!Weekly_Adjusted,36,2)</f>
        <v>0</v>
      </c>
      <c r="BQ78" s="141">
        <f>INDEX('File 14'!Weekly_Adjusted,36,3)</f>
        <v>0</v>
      </c>
      <c r="BR78" s="140">
        <f>INDEX('File 15'!Weekly_Adjusted,36,1)</f>
        <v>0</v>
      </c>
      <c r="BS78" s="140">
        <f>INDEX('File 15'!Weekly_Adjusted,36,2)</f>
        <v>0</v>
      </c>
      <c r="BT78" s="140">
        <f>INDEX('File 15'!Weekly_Adjusted,36,3)</f>
        <v>0</v>
      </c>
      <c r="BU78" s="141">
        <f>INDEX('File 16'!Weekly_Adjusted,36,1)</f>
        <v>0</v>
      </c>
      <c r="BV78" s="141">
        <f>INDEX('File 16'!Weekly_Adjusted,36,2)</f>
        <v>0</v>
      </c>
      <c r="BW78" s="141">
        <f>INDEX('File 16'!Weekly_Adjusted,36,3)</f>
        <v>0</v>
      </c>
      <c r="BX78" s="140">
        <f>INDEX('File 17'!Weekly_Adjusted,36,1)</f>
        <v>0</v>
      </c>
      <c r="BY78" s="140">
        <f>INDEX('File 17'!Weekly_Adjusted,36,2)</f>
        <v>0</v>
      </c>
      <c r="BZ78" s="140">
        <f>INDEX('File 17'!Weekly_Adjusted,36,3)</f>
        <v>0</v>
      </c>
      <c r="CA78" s="141">
        <f>INDEX('File 18'!Weekly_Adjusted,36,1)</f>
        <v>0</v>
      </c>
      <c r="CB78" s="141">
        <f>INDEX('File 18'!Weekly_Adjusted,36,2)</f>
        <v>0</v>
      </c>
      <c r="CC78" s="141">
        <f>INDEX('File 18'!Weekly_Adjusted,36,3)</f>
        <v>0</v>
      </c>
      <c r="CD78" s="140">
        <f>INDEX('File 19'!Weekly_Adjusted,36,1)</f>
        <v>0</v>
      </c>
      <c r="CE78" s="140">
        <f>INDEX('File 19'!Weekly_Adjusted,36,2)</f>
        <v>0</v>
      </c>
      <c r="CF78" s="140">
        <f>INDEX('File 19'!Weekly_Adjusted,36,3)</f>
        <v>0</v>
      </c>
      <c r="CG78" s="141">
        <f>INDEX('File 20'!Weekly_Adjusted,36,1)</f>
        <v>0</v>
      </c>
      <c r="CH78" s="141">
        <f>INDEX('File 20'!Weekly_Adjusted,36,2)</f>
        <v>0</v>
      </c>
      <c r="CI78" s="141">
        <f>INDEX('File 20'!Weekly_Adjusted,36,3)</f>
        <v>0</v>
      </c>
      <c r="CJ78" s="6">
        <f ca="1">SUMIFS(INDEX(Demand_Activity_Weekly,ROW(A36),0),Demand_Activity_Weekly_Header,CJ$42)</f>
        <v>388.17143954725253</v>
      </c>
      <c r="CK78" s="6">
        <f ca="1">SUMIFS(INDEX(Demand_Activity_Weekly,ROW(B36),0),Demand_Activity_Weekly_Header,CK$42)</f>
        <v>0</v>
      </c>
      <c r="CL78" s="6">
        <f ca="1">SUMIFS(INDEX(Demand_Activity_Weekly,ROW(C36),0),Demand_Activity_Weekly_Header,CL$42)</f>
        <v>0</v>
      </c>
      <c r="CM78" s="6">
        <f ca="1">SUMIFS(INDEX(Demand_Activity_Weekly,ROW(D36),0),Demand_Activity_Weekly_Header,CM$42)</f>
        <v>0</v>
      </c>
      <c r="CN78" s="6">
        <f ca="1">SUMIFS(INDEX(Demand_Activity_Weekly,ROW(E36),0),Demand_Activity_Weekly_Header,CN$42)</f>
        <v>0</v>
      </c>
      <c r="CP78" s="142">
        <f>INDEX('File 1'!Weekly_Adjusted,36,10)</f>
        <v>24.344712210866053</v>
      </c>
      <c r="CQ78" s="142">
        <f>INDEX('File 1'!Weekly_Adjusted,36,11)</f>
        <v>0</v>
      </c>
      <c r="CR78" s="142">
        <f>INDEX('File 1'!Weekly_Adjusted,36,12)</f>
        <v>0</v>
      </c>
      <c r="CS78" s="143">
        <f>INDEX('File 2'!Weekly_Adjusted,36,10)</f>
        <v>0</v>
      </c>
      <c r="CT78" s="143">
        <f>INDEX('File 2'!Weekly_Adjusted,36,11)</f>
        <v>0</v>
      </c>
      <c r="CU78" s="143">
        <f>INDEX('File 2'!Weekly_Adjusted,36,12)</f>
        <v>0</v>
      </c>
      <c r="CV78" s="142">
        <f>INDEX('File 3'!Weekly_Adjusted,36,10)</f>
        <v>0</v>
      </c>
      <c r="CW78" s="142">
        <f>INDEX('File 3'!Weekly_Adjusted,36,11)</f>
        <v>0</v>
      </c>
      <c r="CX78" s="142">
        <f>INDEX('File 3'!Weekly_Adjusted,36,12)</f>
        <v>0</v>
      </c>
      <c r="CY78" s="143">
        <f>INDEX('File 4'!Weekly_Adjusted,36,10)</f>
        <v>0</v>
      </c>
      <c r="CZ78" s="143">
        <f>INDEX('File 4'!Weekly_Adjusted,36,11)</f>
        <v>0</v>
      </c>
      <c r="DA78" s="143">
        <f>INDEX('File 4'!Weekly_Adjusted,36,12)</f>
        <v>0</v>
      </c>
      <c r="DB78" s="142">
        <f>INDEX('File 5'!Weekly_Adjusted,36,10)</f>
        <v>0</v>
      </c>
      <c r="DC78" s="142">
        <f>INDEX('File 5'!Weekly_Adjusted,36,11)</f>
        <v>0</v>
      </c>
      <c r="DD78" s="142">
        <f>INDEX('File 5'!Weekly_Adjusted,36,12)</f>
        <v>0</v>
      </c>
      <c r="DE78" s="143">
        <f>INDEX('File 6'!Weekly_Adjusted,36,10)</f>
        <v>0</v>
      </c>
      <c r="DF78" s="143">
        <f>INDEX('File 6'!Weekly_Adjusted,36,11)</f>
        <v>0</v>
      </c>
      <c r="DG78" s="143">
        <f>INDEX('File 6'!Weekly_Adjusted,36,12)</f>
        <v>0</v>
      </c>
      <c r="DH78" s="142">
        <f>INDEX('File 7'!Weekly_Adjusted,36,10)</f>
        <v>0</v>
      </c>
      <c r="DI78" s="142">
        <f>INDEX('File 7'!Weekly_Adjusted,36,11)</f>
        <v>0</v>
      </c>
      <c r="DJ78" s="142">
        <f>INDEX('File 7'!Weekly_Adjusted,36,12)</f>
        <v>0</v>
      </c>
      <c r="DK78" s="143">
        <f>INDEX('File 8'!Weekly_Adjusted,36,10)</f>
        <v>0</v>
      </c>
      <c r="DL78" s="143">
        <f>INDEX('File 8'!Weekly_Adjusted,36,11)</f>
        <v>0</v>
      </c>
      <c r="DM78" s="143">
        <f>INDEX('File 8'!Weekly_Adjusted,36,12)</f>
        <v>0</v>
      </c>
      <c r="DN78" s="142">
        <f>INDEX('File 9'!Weekly_Adjusted,36,10)</f>
        <v>0</v>
      </c>
      <c r="DO78" s="142">
        <f>INDEX('File 9'!Weekly_Adjusted,36,11)</f>
        <v>0</v>
      </c>
      <c r="DP78" s="142">
        <f>INDEX('File 9'!Weekly_Adjusted,36,12)</f>
        <v>0</v>
      </c>
      <c r="DQ78" s="143">
        <f>INDEX('File 10'!Weekly_Adjusted,36,10)</f>
        <v>0</v>
      </c>
      <c r="DR78" s="143">
        <f>INDEX('File 10'!Weekly_Adjusted,36,11)</f>
        <v>0</v>
      </c>
      <c r="DS78" s="143">
        <f>INDEX('File 10'!Weekly_Adjusted,36,12)</f>
        <v>0</v>
      </c>
      <c r="DT78" s="142">
        <f>INDEX('File 11'!Weekly_Adjusted,36,10)</f>
        <v>0</v>
      </c>
      <c r="DU78" s="142">
        <f>INDEX('File 11'!Weekly_Adjusted,36,11)</f>
        <v>0</v>
      </c>
      <c r="DV78" s="142">
        <f>INDEX('File 11'!Weekly_Adjusted,36,12)</f>
        <v>0</v>
      </c>
      <c r="DW78" s="143">
        <f>INDEX('File 12'!Weekly_Adjusted,36,10)</f>
        <v>0</v>
      </c>
      <c r="DX78" s="143">
        <f>INDEX('File 12'!Weekly_Adjusted,36,11)</f>
        <v>0</v>
      </c>
      <c r="DY78" s="143">
        <f>INDEX('File 12'!Weekly_Adjusted,36,12)</f>
        <v>0</v>
      </c>
      <c r="DZ78" s="142">
        <f>INDEX('File 13'!Weekly_Adjusted,36,10)</f>
        <v>0</v>
      </c>
      <c r="EA78" s="142">
        <f>INDEX('File 13'!Weekly_Adjusted,36,11)</f>
        <v>0</v>
      </c>
      <c r="EB78" s="142">
        <f>INDEX('File 13'!Weekly_Adjusted,36,12)</f>
        <v>0</v>
      </c>
      <c r="EC78" s="143">
        <f>INDEX('File 14'!Weekly_Adjusted,36,10)</f>
        <v>0</v>
      </c>
      <c r="ED78" s="143">
        <f>INDEX('File 14'!Weekly_Adjusted,36,11)</f>
        <v>0</v>
      </c>
      <c r="EE78" s="143">
        <f>INDEX('File 14'!Weekly_Adjusted,36,12)</f>
        <v>0</v>
      </c>
      <c r="EF78" s="142">
        <f>INDEX('File 15'!Weekly_Adjusted,36,10)</f>
        <v>0</v>
      </c>
      <c r="EG78" s="142">
        <f>INDEX('File 15'!Weekly_Adjusted,36,11)</f>
        <v>0</v>
      </c>
      <c r="EH78" s="142">
        <f>INDEX('File 15'!Weekly_Adjusted,36,12)</f>
        <v>0</v>
      </c>
      <c r="EI78" s="143">
        <f>INDEX('File 16'!Weekly_Adjusted,36,10)</f>
        <v>0</v>
      </c>
      <c r="EJ78" s="143">
        <f>INDEX('File 16'!Weekly_Adjusted,36,11)</f>
        <v>0</v>
      </c>
      <c r="EK78" s="143">
        <f>INDEX('File 16'!Weekly_Adjusted,36,12)</f>
        <v>0</v>
      </c>
      <c r="EL78" s="142">
        <f>INDEX('File 17'!Weekly_Adjusted,36,10)</f>
        <v>0</v>
      </c>
      <c r="EM78" s="142">
        <f>INDEX('File 17'!Weekly_Adjusted,36,11)</f>
        <v>0</v>
      </c>
      <c r="EN78" s="142">
        <f>INDEX('File 17'!Weekly_Adjusted,36,12)</f>
        <v>0</v>
      </c>
      <c r="EO78" s="143">
        <f>INDEX('File 18'!Weekly_Adjusted,36,10)</f>
        <v>0</v>
      </c>
      <c r="EP78" s="143">
        <f>INDEX('File 18'!Weekly_Adjusted,36,11)</f>
        <v>0</v>
      </c>
      <c r="EQ78" s="143">
        <f>INDEX('File 18'!Weekly_Adjusted,36,12)</f>
        <v>0</v>
      </c>
      <c r="ER78" s="142">
        <f>INDEX('File 19'!Weekly_Adjusted,36,10)</f>
        <v>0</v>
      </c>
      <c r="ES78" s="142">
        <f>INDEX('File 19'!Weekly_Adjusted,36,11)</f>
        <v>0</v>
      </c>
      <c r="ET78" s="142">
        <f>INDEX('File 19'!Weekly_Adjusted,36,12)</f>
        <v>0</v>
      </c>
      <c r="EU78" s="143">
        <f>INDEX('File 20'!Weekly_Adjusted,36,10)</f>
        <v>0</v>
      </c>
      <c r="EV78" s="143">
        <f>INDEX('File 20'!Weekly_Adjusted,36,11)</f>
        <v>0</v>
      </c>
      <c r="EW78" s="143">
        <f>INDEX('File 20'!Weekly_Adjusted,36,12)</f>
        <v>0</v>
      </c>
      <c r="EX78" s="6">
        <f ca="1">SUMIFS(INDEX(Capacity_Activity_Weekly,ROW(A36),0),Demand_Activity_Weekly_Header,CJ$42)</f>
        <v>24.344712210866053</v>
      </c>
      <c r="EY78" s="6">
        <f ca="1">SUMIFS(INDEX(Capacity_Activity_Weekly,ROW(B36),0),Demand_Activity_Weekly_Header,CK$42)</f>
        <v>0</v>
      </c>
      <c r="EZ78" s="6">
        <f ca="1">SUMIFS(INDEX(Capacity_Activity_Weekly,ROW(C36),0),Demand_Activity_Weekly_Header,CL$42)</f>
        <v>0</v>
      </c>
      <c r="FA78" s="6">
        <f ca="1">SUMIFS(INDEX(Capacity_Activity_Weekly,ROW(D36),0),Demand_Activity_Weekly_Header,CM$42)</f>
        <v>0</v>
      </c>
      <c r="FB78" s="6">
        <f ca="1">SUMIFS(INDEX(Capacity_Activity_Weekly,ROW(E36),0),Demand_Activity_Weekly_Header,CN$42)</f>
        <v>0</v>
      </c>
      <c r="FD78" s="7">
        <f>'File 1'!$Q$54*'Time based aggregation (hide)'!$Q40</f>
        <v>0</v>
      </c>
      <c r="FE78" s="7">
        <f>'File 1'!$R$54*'Time based aggregation (hide)'!$R40</f>
        <v>0</v>
      </c>
      <c r="FF78" s="7">
        <f>'File 1'!$S$54*'Time based aggregation (hide)'!$S40</f>
        <v>0</v>
      </c>
      <c r="FG78" s="7">
        <f>'File 2'!$Q$54*'Time based aggregation (hide)'!$T40</f>
        <v>0</v>
      </c>
      <c r="FH78" s="7">
        <f>'File 2'!$R$54*'Time based aggregation (hide)'!$U40</f>
        <v>0</v>
      </c>
      <c r="FI78" s="7">
        <f>'File 2'!$S$54*'Time based aggregation (hide)'!$V40</f>
        <v>0</v>
      </c>
      <c r="FJ78" s="7">
        <f>'File 3'!$Q$54*'Time based aggregation (hide)'!$W40</f>
        <v>0</v>
      </c>
      <c r="FK78" s="7">
        <f>'File 3'!$R$54*'Time based aggregation (hide)'!$X40</f>
        <v>0</v>
      </c>
      <c r="FL78" s="7">
        <f>'File 3'!$S$54*'Time based aggregation (hide)'!$Y40</f>
        <v>0</v>
      </c>
      <c r="FM78" s="7">
        <f>'File 4'!$Q$54*'Time based aggregation (hide)'!$Z40</f>
        <v>0</v>
      </c>
      <c r="FN78" s="7">
        <f>'File 4'!$R$54*'Time based aggregation (hide)'!$AA40</f>
        <v>0</v>
      </c>
      <c r="FO78" s="7">
        <f>'File 4'!$S$54*'Time based aggregation (hide)'!$AB40</f>
        <v>0</v>
      </c>
      <c r="FP78" s="7">
        <f>'File 5'!$Q$54*'Time based aggregation (hide)'!$AC40</f>
        <v>0</v>
      </c>
      <c r="FQ78" s="7">
        <f>'File 5'!$R$54*'Time based aggregation (hide)'!$AD40</f>
        <v>0</v>
      </c>
      <c r="FR78" s="7">
        <f>'File 5'!$S$54*'Time based aggregation (hide)'!$AE40</f>
        <v>0</v>
      </c>
      <c r="FS78" s="7">
        <f>'File 6'!$Q$54*'Time based aggregation (hide)'!$AF40</f>
        <v>0</v>
      </c>
      <c r="FT78" s="7">
        <f>'File 6'!$R$54*'Time based aggregation (hide)'!$AG40</f>
        <v>0</v>
      </c>
      <c r="FU78" s="7">
        <f>'File 6'!$S$54*'Time based aggregation (hide)'!$AH40</f>
        <v>0</v>
      </c>
      <c r="FV78" s="7">
        <f>'File 7'!$Q$54*'Time based aggregation (hide)'!$AI40</f>
        <v>0</v>
      </c>
      <c r="FW78" s="7">
        <f>'File 7'!$R$54*'Time based aggregation (hide)'!$AJ40</f>
        <v>0</v>
      </c>
      <c r="FX78" s="7">
        <f>'File 7'!$S$54*'Time based aggregation (hide)'!$AK40</f>
        <v>0</v>
      </c>
      <c r="FY78" s="7">
        <f>'File 8'!$Q$54*'Time based aggregation (hide)'!$AL40</f>
        <v>0</v>
      </c>
      <c r="FZ78" s="7">
        <f>'File 8'!$R$54*'Time based aggregation (hide)'!$AM40</f>
        <v>0</v>
      </c>
      <c r="GA78" s="7">
        <f>'File 8'!$S$54*'Time based aggregation (hide)'!$AN40</f>
        <v>0</v>
      </c>
      <c r="GB78" s="7">
        <f>'File 9'!$Q$54*'Time based aggregation (hide)'!$AO40</f>
        <v>0</v>
      </c>
      <c r="GC78" s="7">
        <f>'File 9'!$R$54*'Time based aggregation (hide)'!$AP40</f>
        <v>0</v>
      </c>
      <c r="GD78" s="7">
        <f>'File 9'!$S$54*'Time based aggregation (hide)'!$AQ40</f>
        <v>0</v>
      </c>
      <c r="GE78" s="7">
        <f>'File 10'!$Q$54*'Time based aggregation (hide)'!$AR40</f>
        <v>0</v>
      </c>
      <c r="GF78" s="7">
        <f>'File 10'!$R$54*'Time based aggregation (hide)'!$AS40</f>
        <v>0</v>
      </c>
      <c r="GG78" s="7">
        <f>'File 10'!$S$54*'Time based aggregation (hide)'!$AT40</f>
        <v>0</v>
      </c>
      <c r="GH78" s="7">
        <f>'File 11'!$Q$54*'Time based aggregation (hide)'!$AU40</f>
        <v>0</v>
      </c>
      <c r="GI78" s="7">
        <f>'File 11'!$R$54*'Time based aggregation (hide)'!$AV40</f>
        <v>0</v>
      </c>
      <c r="GJ78" s="7">
        <f>'File 11'!$S$54*'Time based aggregation (hide)'!$AW40</f>
        <v>0</v>
      </c>
      <c r="GK78" s="7">
        <f>'File 12'!$Q$54*'Time based aggregation (hide)'!$AX40</f>
        <v>0</v>
      </c>
      <c r="GL78" s="7">
        <f>'File 12'!$R$54*'Time based aggregation (hide)'!$AY40</f>
        <v>0</v>
      </c>
      <c r="GM78" s="7">
        <f>'File 12'!$S$54*'Time based aggregation (hide)'!$AZ40</f>
        <v>0</v>
      </c>
      <c r="GN78" s="7">
        <f>'File 13'!$Q$54*'Time based aggregation (hide)'!$BA40</f>
        <v>0</v>
      </c>
      <c r="GO78" s="7">
        <f>'File 13'!$R$54*'Time based aggregation (hide)'!$BB40</f>
        <v>0</v>
      </c>
      <c r="GP78" s="7">
        <f>'File 13'!$S$54*'Time based aggregation (hide)'!$BC40</f>
        <v>0</v>
      </c>
      <c r="GQ78" s="7">
        <f>'File 14'!$Q$54*'Time based aggregation (hide)'!$BD40</f>
        <v>0</v>
      </c>
      <c r="GR78" s="7">
        <f>'File 14'!$R$54*'Time based aggregation (hide)'!$BE40</f>
        <v>0</v>
      </c>
      <c r="GS78" s="7">
        <f>'File 14'!$S$54*'Time based aggregation (hide)'!$BF40</f>
        <v>0</v>
      </c>
      <c r="GT78" s="7">
        <f>'File 15'!$Q$54*'Time based aggregation (hide)'!$BG40</f>
        <v>0</v>
      </c>
      <c r="GU78" s="7">
        <f>'File 15'!$R$54*'Time based aggregation (hide)'!$BH40</f>
        <v>0</v>
      </c>
      <c r="GV78" s="7">
        <f>'File 15'!$S$54*'Time based aggregation (hide)'!$BI40</f>
        <v>0</v>
      </c>
      <c r="GW78" s="7">
        <f>'File 16'!$Q$54*'Time based aggregation (hide)'!$BJ40</f>
        <v>0</v>
      </c>
      <c r="GX78" s="7">
        <f>'File 16'!$R$54*'Time based aggregation (hide)'!$BK40</f>
        <v>0</v>
      </c>
      <c r="GY78" s="7">
        <f>'File 16'!$S$54*'Time based aggregation (hide)'!$BL40</f>
        <v>0</v>
      </c>
      <c r="GZ78" s="7">
        <f>'File 17'!$Q$54*'Time based aggregation (hide)'!$BM40</f>
        <v>0</v>
      </c>
      <c r="HA78" s="7">
        <f>'File 17'!$R$54*'Time based aggregation (hide)'!$BN40</f>
        <v>0</v>
      </c>
      <c r="HB78" s="7">
        <f>'File 17'!$S$54*'Time based aggregation (hide)'!$BO40</f>
        <v>0</v>
      </c>
      <c r="HC78" s="7">
        <f>'File 18'!$Q$54*'Time based aggregation (hide)'!$BP40</f>
        <v>0</v>
      </c>
      <c r="HD78" s="7">
        <f>'File 18'!$R$54*'Time based aggregation (hide)'!$BQ40</f>
        <v>0</v>
      </c>
      <c r="HE78" s="7">
        <f>'File 18'!$S$54*'Time based aggregation (hide)'!$BR40</f>
        <v>0</v>
      </c>
      <c r="HF78" s="7">
        <f>'File 19'!$Q$54*'Time based aggregation (hide)'!$BS40</f>
        <v>0</v>
      </c>
      <c r="HG78" s="7">
        <f>'File 19'!$R$54*'Time based aggregation (hide)'!$BT40</f>
        <v>0</v>
      </c>
      <c r="HH78" s="7">
        <f>'File 19'!$S$54*'Time based aggregation (hide)'!$BU40</f>
        <v>0</v>
      </c>
      <c r="HI78" s="7">
        <f>'File 20'!$Q$54*'Time based aggregation (hide)'!$BV40</f>
        <v>0</v>
      </c>
      <c r="HJ78" s="7">
        <f>'File 20'!$R$54*'Time based aggregation (hide)'!$BW40</f>
        <v>0</v>
      </c>
      <c r="HK78" s="7">
        <f>'File 20'!$S$54*'Time based aggregation (hide)'!$BX40</f>
        <v>0</v>
      </c>
      <c r="HL78" s="7">
        <f t="shared" ca="1" si="45"/>
        <v>0</v>
      </c>
      <c r="HM78" s="7">
        <f t="shared" ca="1" si="45"/>
        <v>0</v>
      </c>
      <c r="HN78" s="7">
        <f t="shared" ca="1" si="45"/>
        <v>0</v>
      </c>
      <c r="HO78" s="7">
        <f t="shared" ca="1" si="45"/>
        <v>0</v>
      </c>
      <c r="HP78" s="7">
        <f t="shared" ca="1" si="45"/>
        <v>0</v>
      </c>
      <c r="HR78" s="142">
        <f>INDEX('File 1'!Weekly_Adjusted,36,16)</f>
        <v>20.933351264120493</v>
      </c>
      <c r="HS78" s="142">
        <f>INDEX('File 1'!Weekly_Adjusted,36,17)</f>
        <v>0</v>
      </c>
      <c r="HT78" s="142">
        <f>INDEX('File 1'!Weekly_Adjusted,36,18)</f>
        <v>0</v>
      </c>
      <c r="HU78" s="143">
        <f>INDEX('File 2'!Weekly_Adjusted,36,16)</f>
        <v>0</v>
      </c>
      <c r="HV78" s="143">
        <f>INDEX('File 2'!Weekly_Adjusted,36,17)</f>
        <v>0</v>
      </c>
      <c r="HW78" s="143">
        <f>INDEX('File 2'!Weekly_Adjusted,36,18)</f>
        <v>0</v>
      </c>
      <c r="HX78" s="142">
        <f>INDEX('File 3'!Weekly_Adjusted,36,16)</f>
        <v>0</v>
      </c>
      <c r="HY78" s="142">
        <f>INDEX('File 3'!Weekly_Adjusted,36,17)</f>
        <v>0</v>
      </c>
      <c r="HZ78" s="142">
        <f>INDEX('File 3'!Weekly_Adjusted,36,18)</f>
        <v>0</v>
      </c>
      <c r="IA78" s="143">
        <f>INDEX('File 4'!Weekly_Adjusted,36,16)</f>
        <v>0</v>
      </c>
      <c r="IB78" s="143">
        <f>INDEX('File 4'!Weekly_Adjusted,36,17)</f>
        <v>0</v>
      </c>
      <c r="IC78" s="143">
        <f>INDEX('File 4'!Weekly_Adjusted,36,18)</f>
        <v>0</v>
      </c>
      <c r="ID78" s="142">
        <f>INDEX('File 5'!Weekly_Adjusted,36,16)</f>
        <v>0</v>
      </c>
      <c r="IE78" s="142">
        <f>INDEX('File 5'!Weekly_Adjusted,36,17)</f>
        <v>0</v>
      </c>
      <c r="IF78" s="142">
        <f>INDEX('File 5'!Weekly_Adjusted,36,18)</f>
        <v>0</v>
      </c>
      <c r="IG78" s="143">
        <f>INDEX('File 6'!Weekly_Adjusted,36,16)</f>
        <v>0</v>
      </c>
      <c r="IH78" s="143">
        <f>INDEX('File 6'!Weekly_Adjusted,36,17)</f>
        <v>0</v>
      </c>
      <c r="II78" s="143">
        <f>INDEX('File 6'!Weekly_Adjusted,36,18)</f>
        <v>0</v>
      </c>
      <c r="IJ78" s="142">
        <f>INDEX('File 7'!Weekly_Adjusted,36,16)</f>
        <v>0</v>
      </c>
      <c r="IK78" s="142">
        <f>INDEX('File 7'!Weekly_Adjusted,36,17)</f>
        <v>0</v>
      </c>
      <c r="IL78" s="142">
        <f>INDEX('File 7'!Weekly_Adjusted,36,18)</f>
        <v>0</v>
      </c>
      <c r="IM78" s="143">
        <f>INDEX('File 8'!Weekly_Adjusted,36,16)</f>
        <v>0</v>
      </c>
      <c r="IN78" s="143">
        <f>INDEX('File 8'!Weekly_Adjusted,36,17)</f>
        <v>0</v>
      </c>
      <c r="IO78" s="143">
        <f>INDEX('File 8'!Weekly_Adjusted,36,18)</f>
        <v>0</v>
      </c>
      <c r="IP78" s="142">
        <f>INDEX('File 9'!Weekly_Adjusted,36,16)</f>
        <v>0</v>
      </c>
      <c r="IQ78" s="142">
        <f>INDEX('File 9'!Weekly_Adjusted,36,17)</f>
        <v>0</v>
      </c>
      <c r="IR78" s="142">
        <f>INDEX('File 9'!Weekly_Adjusted,36,18)</f>
        <v>0</v>
      </c>
      <c r="IS78" s="143">
        <f>INDEX('File 10'!Weekly_Adjusted,36,16)</f>
        <v>0</v>
      </c>
      <c r="IT78" s="143">
        <f>INDEX('File 10'!Weekly_Adjusted,36,17)</f>
        <v>0</v>
      </c>
      <c r="IU78" s="143">
        <f>INDEX('File 10'!Weekly_Adjusted,36,18)</f>
        <v>0</v>
      </c>
      <c r="IV78" s="142">
        <f>INDEX('File 11'!Weekly_Adjusted,36,16)</f>
        <v>0</v>
      </c>
      <c r="IW78" s="142">
        <f>INDEX('File 11'!Weekly_Adjusted,36,17)</f>
        <v>0</v>
      </c>
      <c r="IX78" s="142">
        <f>INDEX('File 11'!Weekly_Adjusted,36,18)</f>
        <v>0</v>
      </c>
      <c r="IY78" s="143">
        <f>INDEX('File 12'!Weekly_Adjusted,36,16)</f>
        <v>0</v>
      </c>
      <c r="IZ78" s="143">
        <f>INDEX('File 12'!Weekly_Adjusted,36,17)</f>
        <v>0</v>
      </c>
      <c r="JA78" s="143">
        <f>INDEX('File 12'!Weekly_Adjusted,36,18)</f>
        <v>0</v>
      </c>
      <c r="JB78" s="142">
        <f>INDEX('File 13'!Weekly_Adjusted,36,16)</f>
        <v>0</v>
      </c>
      <c r="JC78" s="142">
        <f>INDEX('File 13'!Weekly_Adjusted,36,17)</f>
        <v>0</v>
      </c>
      <c r="JD78" s="142">
        <f>INDEX('File 13'!Weekly_Adjusted,36,18)</f>
        <v>0</v>
      </c>
      <c r="JE78" s="143">
        <f>INDEX('File 14'!Weekly_Adjusted,36,16)</f>
        <v>0</v>
      </c>
      <c r="JF78" s="143">
        <f>INDEX('File 14'!Weekly_Adjusted,36,17)</f>
        <v>0</v>
      </c>
      <c r="JG78" s="143">
        <f>INDEX('File 14'!Weekly_Adjusted,36,18)</f>
        <v>0</v>
      </c>
      <c r="JH78" s="142">
        <f>INDEX('File 15'!Weekly_Adjusted,36,16)</f>
        <v>0</v>
      </c>
      <c r="JI78" s="142">
        <f>INDEX('File 15'!Weekly_Adjusted,36,17)</f>
        <v>0</v>
      </c>
      <c r="JJ78" s="142">
        <f>INDEX('File 15'!Weekly_Adjusted,36,18)</f>
        <v>0</v>
      </c>
      <c r="JK78" s="143">
        <f>INDEX('File 16'!Weekly_Adjusted,36,16)</f>
        <v>0</v>
      </c>
      <c r="JL78" s="143">
        <f>INDEX('File 16'!Weekly_Adjusted,36,17)</f>
        <v>0</v>
      </c>
      <c r="JM78" s="143">
        <f>INDEX('File 16'!Weekly_Adjusted,36,18)</f>
        <v>0</v>
      </c>
      <c r="JN78" s="142">
        <f>INDEX('File 17'!Weekly_Adjusted,36,16)</f>
        <v>0</v>
      </c>
      <c r="JO78" s="142">
        <f>INDEX('File 17'!Weekly_Adjusted,36,17)</f>
        <v>0</v>
      </c>
      <c r="JP78" s="142">
        <f>INDEX('File 17'!Weekly_Adjusted,36,18)</f>
        <v>0</v>
      </c>
      <c r="JQ78" s="143">
        <f>INDEX('File 18'!Weekly_Adjusted,36,16)</f>
        <v>0</v>
      </c>
      <c r="JR78" s="143">
        <f>INDEX('File 18'!Weekly_Adjusted,36,17)</f>
        <v>0</v>
      </c>
      <c r="JS78" s="143">
        <f>INDEX('File 18'!Weekly_Adjusted,36,18)</f>
        <v>0</v>
      </c>
      <c r="JT78" s="142">
        <f>INDEX('File 19'!Weekly_Adjusted,36,16)</f>
        <v>0</v>
      </c>
      <c r="JU78" s="142">
        <f>INDEX('File 19'!Weekly_Adjusted,36,17)</f>
        <v>0</v>
      </c>
      <c r="JV78" s="142">
        <f>INDEX('File 19'!Weekly_Adjusted,36,18)</f>
        <v>0</v>
      </c>
      <c r="JW78" s="143">
        <f>INDEX('File 20'!Weekly_Adjusted,36,16)</f>
        <v>0</v>
      </c>
      <c r="JX78" s="143">
        <f>INDEX('File 20'!Weekly_Adjusted,36,17)</f>
        <v>0</v>
      </c>
      <c r="JY78" s="143">
        <f>INDEX('File 20'!Weekly_Adjusted,36,18)</f>
        <v>0</v>
      </c>
      <c r="JZ78" s="6">
        <f ca="1">SUMIFS(INDEX(CapacityCore_Activity_Weekly,ROW(EC36),0),Demand_Activity_Weekly_Header,HL$42)</f>
        <v>20.933351264120493</v>
      </c>
      <c r="KA78" s="6">
        <f ca="1">SUMIFS(INDEX(CapacityCore_Activity_Weekly,ROW(ED36),0),Demand_Activity_Weekly_Header,HM$42)</f>
        <v>0</v>
      </c>
      <c r="KB78" s="6">
        <f ca="1">SUMIFS(INDEX(CapacityCore_Activity_Weekly,ROW(EE36),0),Demand_Activity_Weekly_Header,HN$42)</f>
        <v>0</v>
      </c>
      <c r="KC78" s="6">
        <f ca="1">SUMIFS(INDEX(CapacityCore_Activity_Weekly,ROW(EF36),0),Demand_Activity_Weekly_Header,HO$42)</f>
        <v>0</v>
      </c>
      <c r="KD78" s="6">
        <f ca="1">SUMIFS(INDEX(CapacityCore_Activity_Weekly,ROW(EG36),0),Demand_Activity_Weekly_Header,HP$42)</f>
        <v>0</v>
      </c>
      <c r="KF78" s="6">
        <f>SUMIFS('Time based aggregation (hide)'!$J:$J,'Time based aggregation (hide)'!$E:$E,1,'Time based aggregation (hide)'!$F:$F,1,'Time based aggregation (hide)'!$A:$A,ROW(A36))</f>
        <v>0</v>
      </c>
      <c r="KG78" s="6">
        <f>SUMIFS('Time based aggregation (hide)'!$J:$J,'Time based aggregation (hide)'!$E:$E,1,'Time based aggregation (hide)'!$F:$F,2,'Time based aggregation (hide)'!$A:$A,ROW(A36))</f>
        <v>0</v>
      </c>
      <c r="KH78" s="6">
        <f>SUMIFS('Time based aggregation (hide)'!$J:$J,'Time based aggregation (hide)'!$E:$E,1,'Time based aggregation (hide)'!$F:$F,3,'Time based aggregation (hide)'!$A:$A,ROW(A36))</f>
        <v>0</v>
      </c>
      <c r="KI78" s="6">
        <f>SUMIFS('Time based aggregation (hide)'!$J:$J,'Time based aggregation (hide)'!$E:$E,2,'Time based aggregation (hide)'!$F:$F,1,'Time based aggregation (hide)'!$A:$A,ROW(A36))</f>
        <v>0</v>
      </c>
      <c r="KJ78" s="6">
        <f>SUMIFS('Time based aggregation (hide)'!$J:$J,'Time based aggregation (hide)'!$E:$E,2,'Time based aggregation (hide)'!$F:$F,2,'Time based aggregation (hide)'!$A:$A,ROW(A36))</f>
        <v>0</v>
      </c>
      <c r="KK78" s="6">
        <f>SUMIFS('Time based aggregation (hide)'!$J:$J,'Time based aggregation (hide)'!$E:$E,2,'Time based aggregation (hide)'!$F:$F,3,'Time based aggregation (hide)'!$A:$A,ROW(A36))</f>
        <v>0</v>
      </c>
      <c r="KL78" s="6">
        <f>SUMIFS('Time based aggregation (hide)'!$J:$J,'Time based aggregation (hide)'!$E:$E,3,'Time based aggregation (hide)'!$F:$F,1,'Time based aggregation (hide)'!$A:$A,ROW(A36))</f>
        <v>0</v>
      </c>
      <c r="KM78" s="6">
        <f>SUMIFS('Time based aggregation (hide)'!$J:$J,'Time based aggregation (hide)'!$E:$E,3,'Time based aggregation (hide)'!$F:$F,2,'Time based aggregation (hide)'!$A:$A,ROW(A36))</f>
        <v>0</v>
      </c>
      <c r="KN78" s="6">
        <f>SUMIFS('Time based aggregation (hide)'!$J:$J,'Time based aggregation (hide)'!$E:$E,3,'Time based aggregation (hide)'!$F:$F,3,'Time based aggregation (hide)'!$A:$A,ROW(A36))</f>
        <v>0</v>
      </c>
      <c r="KO78" s="6">
        <f>SUMIFS('Time based aggregation (hide)'!$J:$J,'Time based aggregation (hide)'!$E:$E,4,'Time based aggregation (hide)'!$F:$F,1,'Time based aggregation (hide)'!$A:$A,ROW(A36))</f>
        <v>0</v>
      </c>
      <c r="KP78" s="6">
        <f>SUMIFS('Time based aggregation (hide)'!$J:$J,'Time based aggregation (hide)'!$E:$E,4,'Time based aggregation (hide)'!$F:$F,2,'Time based aggregation (hide)'!$A:$A,ROW(A36))</f>
        <v>0</v>
      </c>
      <c r="KQ78" s="6">
        <f>SUMIFS('Time based aggregation (hide)'!$J:$J,'Time based aggregation (hide)'!$E:$E,4,'Time based aggregation (hide)'!$F:$F,3,'Time based aggregation (hide)'!$A:$A,ROW(A36))</f>
        <v>0</v>
      </c>
      <c r="KR78" s="6">
        <f>SUMIFS('Time based aggregation (hide)'!$J:$J,'Time based aggregation (hide)'!$E:$E,5,'Time based aggregation (hide)'!$F:$F,1,'Time based aggregation (hide)'!$A:$A,ROW(A36))</f>
        <v>0</v>
      </c>
      <c r="KS78" s="6">
        <f>SUMIFS('Time based aggregation (hide)'!$J:$J,'Time based aggregation (hide)'!$E:$E,5,'Time based aggregation (hide)'!$F:$F,2,'Time based aggregation (hide)'!$A:$A,ROW(A36))</f>
        <v>0</v>
      </c>
      <c r="KT78" s="6">
        <f>SUMIFS('Time based aggregation (hide)'!$J:$J,'Time based aggregation (hide)'!$E:$E,5,'Time based aggregation (hide)'!$F:$F,3,'Time based aggregation (hide)'!$A:$A,ROW(A36))</f>
        <v>0</v>
      </c>
      <c r="KU78" s="6">
        <f>SUMIFS('Time based aggregation (hide)'!$J:$J,'Time based aggregation (hide)'!$E:$E,6,'Time based aggregation (hide)'!$F:$F,1,'Time based aggregation (hide)'!$A:$A,ROW(A36))</f>
        <v>0</v>
      </c>
      <c r="KV78" s="6">
        <f>SUMIFS('Time based aggregation (hide)'!$J:$J,'Time based aggregation (hide)'!$E:$E,6,'Time based aggregation (hide)'!$F:$F,2,'Time based aggregation (hide)'!$A:$A,ROW(A36))</f>
        <v>0</v>
      </c>
      <c r="KW78" s="6">
        <f>SUMIFS('Time based aggregation (hide)'!$J:$J,'Time based aggregation (hide)'!$E:$E,6,'Time based aggregation (hide)'!$F:$F,3,'Time based aggregation (hide)'!$A:$A,ROW(A36))</f>
        <v>0</v>
      </c>
      <c r="KX78" s="6">
        <f>SUMIFS('Time based aggregation (hide)'!$J:$J,'Time based aggregation (hide)'!$E:$E,7,'Time based aggregation (hide)'!$F:$F,1,'Time based aggregation (hide)'!$A:$A,ROW(A36))</f>
        <v>0</v>
      </c>
      <c r="KY78" s="6">
        <f>SUMIFS('Time based aggregation (hide)'!$J:$J,'Time based aggregation (hide)'!$E:$E,7,'Time based aggregation (hide)'!$F:$F,2,'Time based aggregation (hide)'!$A:$A,ROW(A36))</f>
        <v>0</v>
      </c>
      <c r="KZ78" s="6">
        <f>SUMIFS('Time based aggregation (hide)'!$J:$J,'Time based aggregation (hide)'!$E:$E,7,'Time based aggregation (hide)'!$F:$F,3,'Time based aggregation (hide)'!$A:$A,ROW(A36))</f>
        <v>0</v>
      </c>
      <c r="LA78" s="6">
        <f>SUMIFS('Time based aggregation (hide)'!$J:$J,'Time based aggregation (hide)'!$E:$E,8,'Time based aggregation (hide)'!$F:$F,1,'Time based aggregation (hide)'!$A:$A,ROW(A36))</f>
        <v>0</v>
      </c>
      <c r="LB78" s="6">
        <f>SUMIFS('Time based aggregation (hide)'!$J:$J,'Time based aggregation (hide)'!$E:$E,8,'Time based aggregation (hide)'!$F:$F,2,'Time based aggregation (hide)'!$A:$A,ROW(A36))</f>
        <v>0</v>
      </c>
      <c r="LC78" s="6">
        <f>SUMIFS('Time based aggregation (hide)'!$J:$J,'Time based aggregation (hide)'!$E:$E,8,'Time based aggregation (hide)'!$F:$F,3,'Time based aggregation (hide)'!$A:$A,ROW(A36))</f>
        <v>0</v>
      </c>
      <c r="LD78" s="6">
        <f>SUMIFS('Time based aggregation (hide)'!$J:$J,'Time based aggregation (hide)'!$E:$E,9,'Time based aggregation (hide)'!$F:$F,1,'Time based aggregation (hide)'!$A:$A,ROW(A36))</f>
        <v>0</v>
      </c>
      <c r="LE78" s="6">
        <f>SUMIFS('Time based aggregation (hide)'!$J:$J,'Time based aggregation (hide)'!$E:$E,9,'Time based aggregation (hide)'!$F:$F,2,'Time based aggregation (hide)'!$A:$A,ROW(A36))</f>
        <v>0</v>
      </c>
      <c r="LF78" s="6">
        <f>SUMIFS('Time based aggregation (hide)'!$J:$J,'Time based aggregation (hide)'!$E:$E,9,'Time based aggregation (hide)'!$F:$F,3,'Time based aggregation (hide)'!$A:$A,ROW(A36))</f>
        <v>0</v>
      </c>
      <c r="LG78" s="6">
        <f>SUMIFS('Time based aggregation (hide)'!$J:$J,'Time based aggregation (hide)'!$E:$E,10,'Time based aggregation (hide)'!$F:$F,1,'Time based aggregation (hide)'!$A:$A,ROW(A36))</f>
        <v>0</v>
      </c>
      <c r="LH78" s="6">
        <f>SUMIFS('Time based aggregation (hide)'!$J:$J,'Time based aggregation (hide)'!$E:$E,10,'Time based aggregation (hide)'!$F:$F,2,'Time based aggregation (hide)'!$A:$A,ROW(A36))</f>
        <v>0</v>
      </c>
      <c r="LI78" s="6">
        <f>SUMIFS('Time based aggregation (hide)'!$J:$J,'Time based aggregation (hide)'!$E:$E,10,'Time based aggregation (hide)'!$F:$F,3,'Time based aggregation (hide)'!$A:$A,ROW(A36))</f>
        <v>0</v>
      </c>
      <c r="LJ78" s="6">
        <f>SUMIFS('Time based aggregation (hide)'!$J:$J,'Time based aggregation (hide)'!$E:$E,11,'Time based aggregation (hide)'!$F:$F,1,'Time based aggregation (hide)'!$A:$A,ROW(A36))</f>
        <v>0</v>
      </c>
      <c r="LK78" s="6">
        <f>SUMIFS('Time based aggregation (hide)'!$J:$J,'Time based aggregation (hide)'!$E:$E,11,'Time based aggregation (hide)'!$F:$F,2,'Time based aggregation (hide)'!$A:$A,ROW(A36))</f>
        <v>0</v>
      </c>
      <c r="LL78" s="6">
        <f>SUMIFS('Time based aggregation (hide)'!$J:$J,'Time based aggregation (hide)'!$E:$E,11,'Time based aggregation (hide)'!$F:$F,3,'Time based aggregation (hide)'!$A:$A,ROW(A36))</f>
        <v>0</v>
      </c>
      <c r="LM78" s="6">
        <f>SUMIFS('Time based aggregation (hide)'!$J:$J,'Time based aggregation (hide)'!$E:$E,12,'Time based aggregation (hide)'!$F:$F,1,'Time based aggregation (hide)'!$A:$A,ROW(A36))</f>
        <v>0</v>
      </c>
      <c r="LN78" s="6">
        <f>SUMIFS('Time based aggregation (hide)'!$J:$J,'Time based aggregation (hide)'!$E:$E,12,'Time based aggregation (hide)'!$F:$F,2,'Time based aggregation (hide)'!$A:$A,ROW(A36))</f>
        <v>0</v>
      </c>
      <c r="LO78" s="6">
        <f>SUMIFS('Time based aggregation (hide)'!$J:$J,'Time based aggregation (hide)'!$E:$E,12,'Time based aggregation (hide)'!$F:$F,3,'Time based aggregation (hide)'!$A:$A,ROW(A36))</f>
        <v>0</v>
      </c>
      <c r="LP78" s="6">
        <f>SUMIFS('Time based aggregation (hide)'!$J:$J,'Time based aggregation (hide)'!$E:$E,13,'Time based aggregation (hide)'!$F:$F,1,'Time based aggregation (hide)'!$A:$A,ROW(A36))</f>
        <v>0</v>
      </c>
      <c r="LQ78" s="6">
        <f>SUMIFS('Time based aggregation (hide)'!$J:$J,'Time based aggregation (hide)'!$E:$E,13,'Time based aggregation (hide)'!$F:$F,2,'Time based aggregation (hide)'!$A:$A,ROW(A36))</f>
        <v>0</v>
      </c>
      <c r="LR78" s="6">
        <f>SUMIFS('Time based aggregation (hide)'!$J:$J,'Time based aggregation (hide)'!$E:$E,13,'Time based aggregation (hide)'!$F:$F,3,'Time based aggregation (hide)'!$A:$A,ROW(A36))</f>
        <v>0</v>
      </c>
      <c r="LS78" s="6">
        <f>SUMIFS('Time based aggregation (hide)'!$J:$J,'Time based aggregation (hide)'!$E:$E,14,'Time based aggregation (hide)'!$F:$F,1,'Time based aggregation (hide)'!$A:$A,ROW(A36))</f>
        <v>0</v>
      </c>
      <c r="LT78" s="6">
        <f>SUMIFS('Time based aggregation (hide)'!$J:$J,'Time based aggregation (hide)'!$E:$E,14,'Time based aggregation (hide)'!$F:$F,2,'Time based aggregation (hide)'!$A:$A,ROW(A36))</f>
        <v>0</v>
      </c>
      <c r="LU78" s="6">
        <f>SUMIFS('Time based aggregation (hide)'!$J:$J,'Time based aggregation (hide)'!$E:$E,14,'Time based aggregation (hide)'!$F:$F,3,'Time based aggregation (hide)'!$A:$A,ROW(A36))</f>
        <v>0</v>
      </c>
      <c r="LV78" s="6">
        <f>SUMIFS('Time based aggregation (hide)'!$J:$J,'Time based aggregation (hide)'!$E:$E,15,'Time based aggregation (hide)'!$F:$F,1,'Time based aggregation (hide)'!$A:$A,ROW(A36))</f>
        <v>0</v>
      </c>
      <c r="LW78" s="6">
        <f>SUMIFS('Time based aggregation (hide)'!$J:$J,'Time based aggregation (hide)'!$E:$E,15,'Time based aggregation (hide)'!$F:$F,2,'Time based aggregation (hide)'!$A:$A,ROW(A36))</f>
        <v>0</v>
      </c>
      <c r="LX78" s="6">
        <f>SUMIFS('Time based aggregation (hide)'!$J:$J,'Time based aggregation (hide)'!$E:$E,15,'Time based aggregation (hide)'!$F:$F,3,'Time based aggregation (hide)'!$A:$A,ROW(A36))</f>
        <v>0</v>
      </c>
      <c r="LY78" s="6">
        <f>SUMIFS('Time based aggregation (hide)'!$J:$J,'Time based aggregation (hide)'!$E:$E,16,'Time based aggregation (hide)'!$F:$F,1,'Time based aggregation (hide)'!$A:$A,ROW(A36))</f>
        <v>0</v>
      </c>
      <c r="LZ78" s="6">
        <f>SUMIFS('Time based aggregation (hide)'!$J:$J,'Time based aggregation (hide)'!$E:$E,16,'Time based aggregation (hide)'!$F:$F,2,'Time based aggregation (hide)'!$A:$A,ROW(A36))</f>
        <v>0</v>
      </c>
      <c r="MA78" s="6">
        <f>SUMIFS('Time based aggregation (hide)'!$J:$J,'Time based aggregation (hide)'!$E:$E,16,'Time based aggregation (hide)'!$F:$F,3,'Time based aggregation (hide)'!$A:$A,ROW(A36))</f>
        <v>0</v>
      </c>
      <c r="MB78" s="6">
        <f>SUMIFS('Time based aggregation (hide)'!$J:$J,'Time based aggregation (hide)'!$E:$E,17,'Time based aggregation (hide)'!$F:$F,1,'Time based aggregation (hide)'!$A:$A,ROW(A36))</f>
        <v>0</v>
      </c>
      <c r="MC78" s="6">
        <f>SUMIFS('Time based aggregation (hide)'!$J:$J,'Time based aggregation (hide)'!$E:$E,17,'Time based aggregation (hide)'!$F:$F,2,'Time based aggregation (hide)'!$A:$A,ROW(A36))</f>
        <v>0</v>
      </c>
      <c r="MD78" s="6">
        <f>SUMIFS('Time based aggregation (hide)'!$J:$J,'Time based aggregation (hide)'!$E:$E,17,'Time based aggregation (hide)'!$F:$F,3,'Time based aggregation (hide)'!$A:$A,ROW(A36))</f>
        <v>0</v>
      </c>
      <c r="ME78" s="6">
        <f>SUMIFS('Time based aggregation (hide)'!$J:$J,'Time based aggregation (hide)'!$E:$E,18,'Time based aggregation (hide)'!$F:$F,1,'Time based aggregation (hide)'!$A:$A,ROW(A36))</f>
        <v>0</v>
      </c>
      <c r="MF78" s="6">
        <f>SUMIFS('Time based aggregation (hide)'!$J:$J,'Time based aggregation (hide)'!$E:$E,18,'Time based aggregation (hide)'!$F:$F,2,'Time based aggregation (hide)'!$A:$A,ROW(A36))</f>
        <v>0</v>
      </c>
      <c r="MG78" s="6">
        <f>SUMIFS('Time based aggregation (hide)'!$J:$J,'Time based aggregation (hide)'!$E:$E,18,'Time based aggregation (hide)'!$F:$F,3,'Time based aggregation (hide)'!$A:$A,ROW(A36))</f>
        <v>0</v>
      </c>
      <c r="MH78" s="6">
        <f>SUMIFS('Time based aggregation (hide)'!$J:$J,'Time based aggregation (hide)'!$E:$E,19,'Time based aggregation (hide)'!$F:$F,1,'Time based aggregation (hide)'!$A:$A,ROW(A36))</f>
        <v>0</v>
      </c>
      <c r="MI78" s="6">
        <f>SUMIFS('Time based aggregation (hide)'!$J:$J,'Time based aggregation (hide)'!$E:$E,19,'Time based aggregation (hide)'!$F:$F,2,'Time based aggregation (hide)'!$A:$A,ROW(A36))</f>
        <v>0</v>
      </c>
      <c r="MJ78" s="6">
        <f>SUMIFS('Time based aggregation (hide)'!$J:$J,'Time based aggregation (hide)'!$E:$E,19,'Time based aggregation (hide)'!$F:$F,3,'Time based aggregation (hide)'!$A:$A,ROW(A36))</f>
        <v>0</v>
      </c>
      <c r="MK78" s="6">
        <f>SUMIFS('Time based aggregation (hide)'!$J:$J,'Time based aggregation (hide)'!$E:$E,20,'Time based aggregation (hide)'!$F:$F,1,'Time based aggregation (hide)'!$A:$A,ROW(A36))</f>
        <v>0</v>
      </c>
      <c r="ML78" s="6">
        <f>SUMIFS('Time based aggregation (hide)'!$J:$J,'Time based aggregation (hide)'!$E:$E,20,'Time based aggregation (hide)'!$F:$F,2,'Time based aggregation (hide)'!$A:$A,ROW(A36))</f>
        <v>0</v>
      </c>
      <c r="MM78" s="6">
        <f>SUMIFS('Time based aggregation (hide)'!$J:$J,'Time based aggregation (hide)'!$E:$E,20,'Time based aggregation (hide)'!$F:$F,3,'Time based aggregation (hide)'!$A:$A,ROW(A36))</f>
        <v>0</v>
      </c>
      <c r="MN78" s="7">
        <f t="shared" ca="1" si="48"/>
        <v>0</v>
      </c>
      <c r="MO78" s="7">
        <f t="shared" ca="1" si="48"/>
        <v>0</v>
      </c>
      <c r="MP78" s="7">
        <f t="shared" ca="1" si="48"/>
        <v>0</v>
      </c>
      <c r="MQ78" s="7">
        <f t="shared" ca="1" si="48"/>
        <v>0</v>
      </c>
      <c r="MR78" s="7">
        <f t="shared" ca="1" si="48"/>
        <v>0</v>
      </c>
    </row>
    <row r="79" spans="1:356" x14ac:dyDescent="0.25">
      <c r="A79">
        <f>1</f>
        <v>1</v>
      </c>
      <c r="B79" s="85">
        <f t="shared" si="37"/>
        <v>43867</v>
      </c>
      <c r="C79" s="85">
        <f t="shared" si="25"/>
        <v>43864</v>
      </c>
      <c r="D79">
        <f t="shared" ca="1" si="26"/>
        <v>1</v>
      </c>
      <c r="E79" s="85">
        <f t="shared" si="27"/>
        <v>43862</v>
      </c>
      <c r="F79">
        <f t="shared" si="33"/>
        <v>6</v>
      </c>
      <c r="H79">
        <f t="shared" si="34"/>
        <v>37</v>
      </c>
      <c r="I79" s="85">
        <f t="shared" si="38"/>
        <v>44081</v>
      </c>
      <c r="J79">
        <f t="shared" ca="1" si="46"/>
        <v>5</v>
      </c>
      <c r="K79">
        <f t="shared" ca="1" si="47"/>
        <v>1.968503937007874E-2</v>
      </c>
      <c r="L79" s="114"/>
      <c r="N79" s="85">
        <f t="shared" si="35"/>
        <v>44081</v>
      </c>
      <c r="O79" s="122">
        <f t="shared" ca="1" si="44"/>
        <v>0</v>
      </c>
      <c r="P79" s="122">
        <f t="shared" ca="1" si="44"/>
        <v>0</v>
      </c>
      <c r="Q79" s="122">
        <f t="shared" ca="1" si="44"/>
        <v>0</v>
      </c>
      <c r="R79" s="122">
        <f t="shared" ca="1" si="44"/>
        <v>0</v>
      </c>
      <c r="S79" s="122">
        <f t="shared" ca="1" si="44"/>
        <v>0</v>
      </c>
      <c r="T79" s="122">
        <f t="shared" ca="1" si="44"/>
        <v>0</v>
      </c>
      <c r="U79" s="122">
        <f t="shared" ca="1" si="44"/>
        <v>0</v>
      </c>
      <c r="V79" s="122">
        <f t="shared" ca="1" si="44"/>
        <v>0</v>
      </c>
      <c r="W79" s="122">
        <f t="shared" ca="1" si="44"/>
        <v>1</v>
      </c>
      <c r="X79" s="122">
        <f t="shared" ca="1" si="44"/>
        <v>0</v>
      </c>
      <c r="Y79" s="122">
        <f t="shared" ca="1" si="44"/>
        <v>0</v>
      </c>
      <c r="Z79" s="122">
        <f t="shared" ca="1" si="44"/>
        <v>0</v>
      </c>
      <c r="AA79" s="122"/>
      <c r="AB79" s="140">
        <f>INDEX('File 1'!Weekly_Adjusted,37,1)</f>
        <v>388.17143954725253</v>
      </c>
      <c r="AC79" s="140">
        <f>INDEX('File 1'!Weekly_Adjusted,37,2)</f>
        <v>0</v>
      </c>
      <c r="AD79" s="140">
        <f>INDEX('File 1'!Weekly_Adjusted,37,3)</f>
        <v>0</v>
      </c>
      <c r="AE79" s="141">
        <f>INDEX('File 2'!Weekly_Adjusted,37,1)</f>
        <v>0</v>
      </c>
      <c r="AF79" s="141">
        <f>INDEX('File 2'!Weekly_Adjusted,37,2)</f>
        <v>0</v>
      </c>
      <c r="AG79" s="141">
        <f>INDEX('File 2'!Weekly_Adjusted,37,3)</f>
        <v>0</v>
      </c>
      <c r="AH79" s="140">
        <f>INDEX('File 3'!Weekly_Adjusted,37,1)</f>
        <v>0</v>
      </c>
      <c r="AI79" s="140">
        <f>INDEX('File 3'!Weekly_Adjusted,37,2)</f>
        <v>0</v>
      </c>
      <c r="AJ79" s="140">
        <f>INDEX('File 3'!Weekly_Adjusted,37,3)</f>
        <v>0</v>
      </c>
      <c r="AK79" s="141">
        <f>INDEX('File 4'!Weekly_Adjusted,37,1)</f>
        <v>0</v>
      </c>
      <c r="AL79" s="141">
        <f>INDEX('File 4'!Weekly_Adjusted,37,2)</f>
        <v>0</v>
      </c>
      <c r="AM79" s="141">
        <f>INDEX('File 4'!Weekly_Adjusted,37,3)</f>
        <v>0</v>
      </c>
      <c r="AN79" s="140">
        <f>INDEX('File 5'!Weekly_Adjusted,37,1)</f>
        <v>0</v>
      </c>
      <c r="AO79" s="140">
        <f>INDEX('File 5'!Weekly_Adjusted,37,2)</f>
        <v>0</v>
      </c>
      <c r="AP79" s="140">
        <f>INDEX('File 5'!Weekly_Adjusted,37,3)</f>
        <v>0</v>
      </c>
      <c r="AQ79" s="141">
        <f>INDEX('File 6'!Weekly_Adjusted,37,1)</f>
        <v>0</v>
      </c>
      <c r="AR79" s="141">
        <f>INDEX('File 6'!Weekly_Adjusted,37,2)</f>
        <v>0</v>
      </c>
      <c r="AS79" s="141">
        <f>INDEX('File 6'!Weekly_Adjusted,37,3)</f>
        <v>0</v>
      </c>
      <c r="AT79" s="140">
        <f>INDEX('File 7'!Weekly_Adjusted,37,1)</f>
        <v>0</v>
      </c>
      <c r="AU79" s="140">
        <f>INDEX('File 7'!Weekly_Adjusted,37,2)</f>
        <v>0</v>
      </c>
      <c r="AV79" s="140">
        <f>INDEX('File 7'!Weekly_Adjusted,37,3)</f>
        <v>0</v>
      </c>
      <c r="AW79" s="141">
        <f>INDEX('File 8'!Weekly_Adjusted,37,1)</f>
        <v>0</v>
      </c>
      <c r="AX79" s="141">
        <f>INDEX('File 8'!Weekly_Adjusted,37,2)</f>
        <v>0</v>
      </c>
      <c r="AY79" s="141">
        <f>INDEX('File 8'!Weekly_Adjusted,37,3)</f>
        <v>0</v>
      </c>
      <c r="AZ79" s="140">
        <f>INDEX('File 9'!Weekly_Adjusted,37,1)</f>
        <v>0</v>
      </c>
      <c r="BA79" s="140">
        <f>INDEX('File 9'!Weekly_Adjusted,37,2)</f>
        <v>0</v>
      </c>
      <c r="BB79" s="140">
        <f>INDEX('File 9'!Weekly_Adjusted,37,3)</f>
        <v>0</v>
      </c>
      <c r="BC79" s="141">
        <f>INDEX('File 10'!Weekly_Adjusted,37,1)</f>
        <v>0</v>
      </c>
      <c r="BD79" s="141">
        <f>INDEX('File 10'!Weekly_Adjusted,37,2)</f>
        <v>0</v>
      </c>
      <c r="BE79" s="141">
        <f>INDEX('File 10'!Weekly_Adjusted,37,3)</f>
        <v>0</v>
      </c>
      <c r="BF79" s="140">
        <f>INDEX('File 11'!Weekly_Adjusted,37,1)</f>
        <v>0</v>
      </c>
      <c r="BG79" s="140">
        <f>INDEX('File 11'!Weekly_Adjusted,37,2)</f>
        <v>0</v>
      </c>
      <c r="BH79" s="140">
        <f>INDEX('File 11'!Weekly_Adjusted,37,3)</f>
        <v>0</v>
      </c>
      <c r="BI79" s="141">
        <f>INDEX('File 12'!Weekly_Adjusted,37,1)</f>
        <v>0</v>
      </c>
      <c r="BJ79" s="141">
        <f>INDEX('File 12'!Weekly_Adjusted,37,2)</f>
        <v>0</v>
      </c>
      <c r="BK79" s="141">
        <f>INDEX('File 12'!Weekly_Adjusted,37,3)</f>
        <v>0</v>
      </c>
      <c r="BL79" s="140">
        <f>INDEX('File 13'!Weekly_Adjusted,37,1)</f>
        <v>0</v>
      </c>
      <c r="BM79" s="140">
        <f>INDEX('File 13'!Weekly_Adjusted,37,2)</f>
        <v>0</v>
      </c>
      <c r="BN79" s="140">
        <f>INDEX('File 13'!Weekly_Adjusted,37,3)</f>
        <v>0</v>
      </c>
      <c r="BO79" s="141">
        <f>INDEX('File 14'!Weekly_Adjusted,37,1)</f>
        <v>0</v>
      </c>
      <c r="BP79" s="141">
        <f>INDEX('File 14'!Weekly_Adjusted,37,2)</f>
        <v>0</v>
      </c>
      <c r="BQ79" s="141">
        <f>INDEX('File 14'!Weekly_Adjusted,37,3)</f>
        <v>0</v>
      </c>
      <c r="BR79" s="140">
        <f>INDEX('File 15'!Weekly_Adjusted,37,1)</f>
        <v>0</v>
      </c>
      <c r="BS79" s="140">
        <f>INDEX('File 15'!Weekly_Adjusted,37,2)</f>
        <v>0</v>
      </c>
      <c r="BT79" s="140">
        <f>INDEX('File 15'!Weekly_Adjusted,37,3)</f>
        <v>0</v>
      </c>
      <c r="BU79" s="141">
        <f>INDEX('File 16'!Weekly_Adjusted,37,1)</f>
        <v>0</v>
      </c>
      <c r="BV79" s="141">
        <f>INDEX('File 16'!Weekly_Adjusted,37,2)</f>
        <v>0</v>
      </c>
      <c r="BW79" s="141">
        <f>INDEX('File 16'!Weekly_Adjusted,37,3)</f>
        <v>0</v>
      </c>
      <c r="BX79" s="140">
        <f>INDEX('File 17'!Weekly_Adjusted,37,1)</f>
        <v>0</v>
      </c>
      <c r="BY79" s="140">
        <f>INDEX('File 17'!Weekly_Adjusted,37,2)</f>
        <v>0</v>
      </c>
      <c r="BZ79" s="140">
        <f>INDEX('File 17'!Weekly_Adjusted,37,3)</f>
        <v>0</v>
      </c>
      <c r="CA79" s="141">
        <f>INDEX('File 18'!Weekly_Adjusted,37,1)</f>
        <v>0</v>
      </c>
      <c r="CB79" s="141">
        <f>INDEX('File 18'!Weekly_Adjusted,37,2)</f>
        <v>0</v>
      </c>
      <c r="CC79" s="141">
        <f>INDEX('File 18'!Weekly_Adjusted,37,3)</f>
        <v>0</v>
      </c>
      <c r="CD79" s="140">
        <f>INDEX('File 19'!Weekly_Adjusted,37,1)</f>
        <v>0</v>
      </c>
      <c r="CE79" s="140">
        <f>INDEX('File 19'!Weekly_Adjusted,37,2)</f>
        <v>0</v>
      </c>
      <c r="CF79" s="140">
        <f>INDEX('File 19'!Weekly_Adjusted,37,3)</f>
        <v>0</v>
      </c>
      <c r="CG79" s="141">
        <f>INDEX('File 20'!Weekly_Adjusted,37,1)</f>
        <v>0</v>
      </c>
      <c r="CH79" s="141">
        <f>INDEX('File 20'!Weekly_Adjusted,37,2)</f>
        <v>0</v>
      </c>
      <c r="CI79" s="141">
        <f>INDEX('File 20'!Weekly_Adjusted,37,3)</f>
        <v>0</v>
      </c>
      <c r="CJ79" s="6">
        <f ca="1">SUMIFS(INDEX(Demand_Activity_Weekly,ROW(A37),0),Demand_Activity_Weekly_Header,CJ$42)</f>
        <v>388.17143954725253</v>
      </c>
      <c r="CK79" s="6">
        <f ca="1">SUMIFS(INDEX(Demand_Activity_Weekly,ROW(B37),0),Demand_Activity_Weekly_Header,CK$42)</f>
        <v>0</v>
      </c>
      <c r="CL79" s="6">
        <f ca="1">SUMIFS(INDEX(Demand_Activity_Weekly,ROW(C37),0),Demand_Activity_Weekly_Header,CL$42)</f>
        <v>0</v>
      </c>
      <c r="CM79" s="6">
        <f ca="1">SUMIFS(INDEX(Demand_Activity_Weekly,ROW(D37),0),Demand_Activity_Weekly_Header,CM$42)</f>
        <v>0</v>
      </c>
      <c r="CN79" s="6">
        <f ca="1">SUMIFS(INDEX(Demand_Activity_Weekly,ROW(E37),0),Demand_Activity_Weekly_Header,CN$42)</f>
        <v>0</v>
      </c>
      <c r="CP79" s="142">
        <f>INDEX('File 1'!Weekly_Adjusted,37,10)</f>
        <v>24.344712210866053</v>
      </c>
      <c r="CQ79" s="142">
        <f>INDEX('File 1'!Weekly_Adjusted,37,11)</f>
        <v>0</v>
      </c>
      <c r="CR79" s="142">
        <f>INDEX('File 1'!Weekly_Adjusted,37,12)</f>
        <v>0</v>
      </c>
      <c r="CS79" s="143">
        <f>INDEX('File 2'!Weekly_Adjusted,37,10)</f>
        <v>0</v>
      </c>
      <c r="CT79" s="143">
        <f>INDEX('File 2'!Weekly_Adjusted,37,11)</f>
        <v>0</v>
      </c>
      <c r="CU79" s="143">
        <f>INDEX('File 2'!Weekly_Adjusted,37,12)</f>
        <v>0</v>
      </c>
      <c r="CV79" s="142">
        <f>INDEX('File 3'!Weekly_Adjusted,37,10)</f>
        <v>0</v>
      </c>
      <c r="CW79" s="142">
        <f>INDEX('File 3'!Weekly_Adjusted,37,11)</f>
        <v>0</v>
      </c>
      <c r="CX79" s="142">
        <f>INDEX('File 3'!Weekly_Adjusted,37,12)</f>
        <v>0</v>
      </c>
      <c r="CY79" s="143">
        <f>INDEX('File 4'!Weekly_Adjusted,37,10)</f>
        <v>0</v>
      </c>
      <c r="CZ79" s="143">
        <f>INDEX('File 4'!Weekly_Adjusted,37,11)</f>
        <v>0</v>
      </c>
      <c r="DA79" s="143">
        <f>INDEX('File 4'!Weekly_Adjusted,37,12)</f>
        <v>0</v>
      </c>
      <c r="DB79" s="142">
        <f>INDEX('File 5'!Weekly_Adjusted,37,10)</f>
        <v>0</v>
      </c>
      <c r="DC79" s="142">
        <f>INDEX('File 5'!Weekly_Adjusted,37,11)</f>
        <v>0</v>
      </c>
      <c r="DD79" s="142">
        <f>INDEX('File 5'!Weekly_Adjusted,37,12)</f>
        <v>0</v>
      </c>
      <c r="DE79" s="143">
        <f>INDEX('File 6'!Weekly_Adjusted,37,10)</f>
        <v>0</v>
      </c>
      <c r="DF79" s="143">
        <f>INDEX('File 6'!Weekly_Adjusted,37,11)</f>
        <v>0</v>
      </c>
      <c r="DG79" s="143">
        <f>INDEX('File 6'!Weekly_Adjusted,37,12)</f>
        <v>0</v>
      </c>
      <c r="DH79" s="142">
        <f>INDEX('File 7'!Weekly_Adjusted,37,10)</f>
        <v>0</v>
      </c>
      <c r="DI79" s="142">
        <f>INDEX('File 7'!Weekly_Adjusted,37,11)</f>
        <v>0</v>
      </c>
      <c r="DJ79" s="142">
        <f>INDEX('File 7'!Weekly_Adjusted,37,12)</f>
        <v>0</v>
      </c>
      <c r="DK79" s="143">
        <f>INDEX('File 8'!Weekly_Adjusted,37,10)</f>
        <v>0</v>
      </c>
      <c r="DL79" s="143">
        <f>INDEX('File 8'!Weekly_Adjusted,37,11)</f>
        <v>0</v>
      </c>
      <c r="DM79" s="143">
        <f>INDEX('File 8'!Weekly_Adjusted,37,12)</f>
        <v>0</v>
      </c>
      <c r="DN79" s="142">
        <f>INDEX('File 9'!Weekly_Adjusted,37,10)</f>
        <v>0</v>
      </c>
      <c r="DO79" s="142">
        <f>INDEX('File 9'!Weekly_Adjusted,37,11)</f>
        <v>0</v>
      </c>
      <c r="DP79" s="142">
        <f>INDEX('File 9'!Weekly_Adjusted,37,12)</f>
        <v>0</v>
      </c>
      <c r="DQ79" s="143">
        <f>INDEX('File 10'!Weekly_Adjusted,37,10)</f>
        <v>0</v>
      </c>
      <c r="DR79" s="143">
        <f>INDEX('File 10'!Weekly_Adjusted,37,11)</f>
        <v>0</v>
      </c>
      <c r="DS79" s="143">
        <f>INDEX('File 10'!Weekly_Adjusted,37,12)</f>
        <v>0</v>
      </c>
      <c r="DT79" s="142">
        <f>INDEX('File 11'!Weekly_Adjusted,37,10)</f>
        <v>0</v>
      </c>
      <c r="DU79" s="142">
        <f>INDEX('File 11'!Weekly_Adjusted,37,11)</f>
        <v>0</v>
      </c>
      <c r="DV79" s="142">
        <f>INDEX('File 11'!Weekly_Adjusted,37,12)</f>
        <v>0</v>
      </c>
      <c r="DW79" s="143">
        <f>INDEX('File 12'!Weekly_Adjusted,37,10)</f>
        <v>0</v>
      </c>
      <c r="DX79" s="143">
        <f>INDEX('File 12'!Weekly_Adjusted,37,11)</f>
        <v>0</v>
      </c>
      <c r="DY79" s="143">
        <f>INDEX('File 12'!Weekly_Adjusted,37,12)</f>
        <v>0</v>
      </c>
      <c r="DZ79" s="142">
        <f>INDEX('File 13'!Weekly_Adjusted,37,10)</f>
        <v>0</v>
      </c>
      <c r="EA79" s="142">
        <f>INDEX('File 13'!Weekly_Adjusted,37,11)</f>
        <v>0</v>
      </c>
      <c r="EB79" s="142">
        <f>INDEX('File 13'!Weekly_Adjusted,37,12)</f>
        <v>0</v>
      </c>
      <c r="EC79" s="143">
        <f>INDEX('File 14'!Weekly_Adjusted,37,10)</f>
        <v>0</v>
      </c>
      <c r="ED79" s="143">
        <f>INDEX('File 14'!Weekly_Adjusted,37,11)</f>
        <v>0</v>
      </c>
      <c r="EE79" s="143">
        <f>INDEX('File 14'!Weekly_Adjusted,37,12)</f>
        <v>0</v>
      </c>
      <c r="EF79" s="142">
        <f>INDEX('File 15'!Weekly_Adjusted,37,10)</f>
        <v>0</v>
      </c>
      <c r="EG79" s="142">
        <f>INDEX('File 15'!Weekly_Adjusted,37,11)</f>
        <v>0</v>
      </c>
      <c r="EH79" s="142">
        <f>INDEX('File 15'!Weekly_Adjusted,37,12)</f>
        <v>0</v>
      </c>
      <c r="EI79" s="143">
        <f>INDEX('File 16'!Weekly_Adjusted,37,10)</f>
        <v>0</v>
      </c>
      <c r="EJ79" s="143">
        <f>INDEX('File 16'!Weekly_Adjusted,37,11)</f>
        <v>0</v>
      </c>
      <c r="EK79" s="143">
        <f>INDEX('File 16'!Weekly_Adjusted,37,12)</f>
        <v>0</v>
      </c>
      <c r="EL79" s="142">
        <f>INDEX('File 17'!Weekly_Adjusted,37,10)</f>
        <v>0</v>
      </c>
      <c r="EM79" s="142">
        <f>INDEX('File 17'!Weekly_Adjusted,37,11)</f>
        <v>0</v>
      </c>
      <c r="EN79" s="142">
        <f>INDEX('File 17'!Weekly_Adjusted,37,12)</f>
        <v>0</v>
      </c>
      <c r="EO79" s="143">
        <f>INDEX('File 18'!Weekly_Adjusted,37,10)</f>
        <v>0</v>
      </c>
      <c r="EP79" s="143">
        <f>INDEX('File 18'!Weekly_Adjusted,37,11)</f>
        <v>0</v>
      </c>
      <c r="EQ79" s="143">
        <f>INDEX('File 18'!Weekly_Adjusted,37,12)</f>
        <v>0</v>
      </c>
      <c r="ER79" s="142">
        <f>INDEX('File 19'!Weekly_Adjusted,37,10)</f>
        <v>0</v>
      </c>
      <c r="ES79" s="142">
        <f>INDEX('File 19'!Weekly_Adjusted,37,11)</f>
        <v>0</v>
      </c>
      <c r="ET79" s="142">
        <f>INDEX('File 19'!Weekly_Adjusted,37,12)</f>
        <v>0</v>
      </c>
      <c r="EU79" s="143">
        <f>INDEX('File 20'!Weekly_Adjusted,37,10)</f>
        <v>0</v>
      </c>
      <c r="EV79" s="143">
        <f>INDEX('File 20'!Weekly_Adjusted,37,11)</f>
        <v>0</v>
      </c>
      <c r="EW79" s="143">
        <f>INDEX('File 20'!Weekly_Adjusted,37,12)</f>
        <v>0</v>
      </c>
      <c r="EX79" s="6">
        <f ca="1">SUMIFS(INDEX(Capacity_Activity_Weekly,ROW(A37),0),Demand_Activity_Weekly_Header,CJ$42)</f>
        <v>24.344712210866053</v>
      </c>
      <c r="EY79" s="6">
        <f ca="1">SUMIFS(INDEX(Capacity_Activity_Weekly,ROW(B37),0),Demand_Activity_Weekly_Header,CK$42)</f>
        <v>0</v>
      </c>
      <c r="EZ79" s="6">
        <f ca="1">SUMIFS(INDEX(Capacity_Activity_Weekly,ROW(C37),0),Demand_Activity_Weekly_Header,CL$42)</f>
        <v>0</v>
      </c>
      <c r="FA79" s="6">
        <f ca="1">SUMIFS(INDEX(Capacity_Activity_Weekly,ROW(D37),0),Demand_Activity_Weekly_Header,CM$42)</f>
        <v>0</v>
      </c>
      <c r="FB79" s="6">
        <f ca="1">SUMIFS(INDEX(Capacity_Activity_Weekly,ROW(E37),0),Demand_Activity_Weekly_Header,CN$42)</f>
        <v>0</v>
      </c>
      <c r="FD79" s="7">
        <f>'File 1'!$Q$54*'Time based aggregation (hide)'!$Q41</f>
        <v>0</v>
      </c>
      <c r="FE79" s="7">
        <f>'File 1'!$R$54*'Time based aggregation (hide)'!$R41</f>
        <v>0</v>
      </c>
      <c r="FF79" s="7">
        <f>'File 1'!$S$54*'Time based aggregation (hide)'!$S41</f>
        <v>0</v>
      </c>
      <c r="FG79" s="7">
        <f>'File 2'!$Q$54*'Time based aggregation (hide)'!$T41</f>
        <v>0</v>
      </c>
      <c r="FH79" s="7">
        <f>'File 2'!$R$54*'Time based aggregation (hide)'!$U41</f>
        <v>0</v>
      </c>
      <c r="FI79" s="7">
        <f>'File 2'!$S$54*'Time based aggregation (hide)'!$V41</f>
        <v>0</v>
      </c>
      <c r="FJ79" s="7">
        <f>'File 3'!$Q$54*'Time based aggregation (hide)'!$W41</f>
        <v>0</v>
      </c>
      <c r="FK79" s="7">
        <f>'File 3'!$R$54*'Time based aggregation (hide)'!$X41</f>
        <v>0</v>
      </c>
      <c r="FL79" s="7">
        <f>'File 3'!$S$54*'Time based aggregation (hide)'!$Y41</f>
        <v>0</v>
      </c>
      <c r="FM79" s="7">
        <f>'File 4'!$Q$54*'Time based aggregation (hide)'!$Z41</f>
        <v>0</v>
      </c>
      <c r="FN79" s="7">
        <f>'File 4'!$R$54*'Time based aggregation (hide)'!$AA41</f>
        <v>0</v>
      </c>
      <c r="FO79" s="7">
        <f>'File 4'!$S$54*'Time based aggregation (hide)'!$AB41</f>
        <v>0</v>
      </c>
      <c r="FP79" s="7">
        <f>'File 5'!$Q$54*'Time based aggregation (hide)'!$AC41</f>
        <v>0</v>
      </c>
      <c r="FQ79" s="7">
        <f>'File 5'!$R$54*'Time based aggregation (hide)'!$AD41</f>
        <v>0</v>
      </c>
      <c r="FR79" s="7">
        <f>'File 5'!$S$54*'Time based aggregation (hide)'!$AE41</f>
        <v>0</v>
      </c>
      <c r="FS79" s="7">
        <f>'File 6'!$Q$54*'Time based aggregation (hide)'!$AF41</f>
        <v>0</v>
      </c>
      <c r="FT79" s="7">
        <f>'File 6'!$R$54*'Time based aggregation (hide)'!$AG41</f>
        <v>0</v>
      </c>
      <c r="FU79" s="7">
        <f>'File 6'!$S$54*'Time based aggregation (hide)'!$AH41</f>
        <v>0</v>
      </c>
      <c r="FV79" s="7">
        <f>'File 7'!$Q$54*'Time based aggregation (hide)'!$AI41</f>
        <v>0</v>
      </c>
      <c r="FW79" s="7">
        <f>'File 7'!$R$54*'Time based aggregation (hide)'!$AJ41</f>
        <v>0</v>
      </c>
      <c r="FX79" s="7">
        <f>'File 7'!$S$54*'Time based aggregation (hide)'!$AK41</f>
        <v>0</v>
      </c>
      <c r="FY79" s="7">
        <f>'File 8'!$Q$54*'Time based aggregation (hide)'!$AL41</f>
        <v>0</v>
      </c>
      <c r="FZ79" s="7">
        <f>'File 8'!$R$54*'Time based aggregation (hide)'!$AM41</f>
        <v>0</v>
      </c>
      <c r="GA79" s="7">
        <f>'File 8'!$S$54*'Time based aggregation (hide)'!$AN41</f>
        <v>0</v>
      </c>
      <c r="GB79" s="7">
        <f>'File 9'!$Q$54*'Time based aggregation (hide)'!$AO41</f>
        <v>0</v>
      </c>
      <c r="GC79" s="7">
        <f>'File 9'!$R$54*'Time based aggregation (hide)'!$AP41</f>
        <v>0</v>
      </c>
      <c r="GD79" s="7">
        <f>'File 9'!$S$54*'Time based aggregation (hide)'!$AQ41</f>
        <v>0</v>
      </c>
      <c r="GE79" s="7">
        <f>'File 10'!$Q$54*'Time based aggregation (hide)'!$AR41</f>
        <v>0</v>
      </c>
      <c r="GF79" s="7">
        <f>'File 10'!$R$54*'Time based aggregation (hide)'!$AS41</f>
        <v>0</v>
      </c>
      <c r="GG79" s="7">
        <f>'File 10'!$S$54*'Time based aggregation (hide)'!$AT41</f>
        <v>0</v>
      </c>
      <c r="GH79" s="7">
        <f>'File 11'!$Q$54*'Time based aggregation (hide)'!$AU41</f>
        <v>0</v>
      </c>
      <c r="GI79" s="7">
        <f>'File 11'!$R$54*'Time based aggregation (hide)'!$AV41</f>
        <v>0</v>
      </c>
      <c r="GJ79" s="7">
        <f>'File 11'!$S$54*'Time based aggregation (hide)'!$AW41</f>
        <v>0</v>
      </c>
      <c r="GK79" s="7">
        <f>'File 12'!$Q$54*'Time based aggregation (hide)'!$AX41</f>
        <v>0</v>
      </c>
      <c r="GL79" s="7">
        <f>'File 12'!$R$54*'Time based aggregation (hide)'!$AY41</f>
        <v>0</v>
      </c>
      <c r="GM79" s="7">
        <f>'File 12'!$S$54*'Time based aggregation (hide)'!$AZ41</f>
        <v>0</v>
      </c>
      <c r="GN79" s="7">
        <f>'File 13'!$Q$54*'Time based aggregation (hide)'!$BA41</f>
        <v>0</v>
      </c>
      <c r="GO79" s="7">
        <f>'File 13'!$R$54*'Time based aggregation (hide)'!$BB41</f>
        <v>0</v>
      </c>
      <c r="GP79" s="7">
        <f>'File 13'!$S$54*'Time based aggregation (hide)'!$BC41</f>
        <v>0</v>
      </c>
      <c r="GQ79" s="7">
        <f>'File 14'!$Q$54*'Time based aggregation (hide)'!$BD41</f>
        <v>0</v>
      </c>
      <c r="GR79" s="7">
        <f>'File 14'!$R$54*'Time based aggregation (hide)'!$BE41</f>
        <v>0</v>
      </c>
      <c r="GS79" s="7">
        <f>'File 14'!$S$54*'Time based aggregation (hide)'!$BF41</f>
        <v>0</v>
      </c>
      <c r="GT79" s="7">
        <f>'File 15'!$Q$54*'Time based aggregation (hide)'!$BG41</f>
        <v>0</v>
      </c>
      <c r="GU79" s="7">
        <f>'File 15'!$R$54*'Time based aggregation (hide)'!$BH41</f>
        <v>0</v>
      </c>
      <c r="GV79" s="7">
        <f>'File 15'!$S$54*'Time based aggregation (hide)'!$BI41</f>
        <v>0</v>
      </c>
      <c r="GW79" s="7">
        <f>'File 16'!$Q$54*'Time based aggregation (hide)'!$BJ41</f>
        <v>0</v>
      </c>
      <c r="GX79" s="7">
        <f>'File 16'!$R$54*'Time based aggregation (hide)'!$BK41</f>
        <v>0</v>
      </c>
      <c r="GY79" s="7">
        <f>'File 16'!$S$54*'Time based aggregation (hide)'!$BL41</f>
        <v>0</v>
      </c>
      <c r="GZ79" s="7">
        <f>'File 17'!$Q$54*'Time based aggregation (hide)'!$BM41</f>
        <v>0</v>
      </c>
      <c r="HA79" s="7">
        <f>'File 17'!$R$54*'Time based aggregation (hide)'!$BN41</f>
        <v>0</v>
      </c>
      <c r="HB79" s="7">
        <f>'File 17'!$S$54*'Time based aggregation (hide)'!$BO41</f>
        <v>0</v>
      </c>
      <c r="HC79" s="7">
        <f>'File 18'!$Q$54*'Time based aggregation (hide)'!$BP41</f>
        <v>0</v>
      </c>
      <c r="HD79" s="7">
        <f>'File 18'!$R$54*'Time based aggregation (hide)'!$BQ41</f>
        <v>0</v>
      </c>
      <c r="HE79" s="7">
        <f>'File 18'!$S$54*'Time based aggregation (hide)'!$BR41</f>
        <v>0</v>
      </c>
      <c r="HF79" s="7">
        <f>'File 19'!$Q$54*'Time based aggregation (hide)'!$BS41</f>
        <v>0</v>
      </c>
      <c r="HG79" s="7">
        <f>'File 19'!$R$54*'Time based aggregation (hide)'!$BT41</f>
        <v>0</v>
      </c>
      <c r="HH79" s="7">
        <f>'File 19'!$S$54*'Time based aggregation (hide)'!$BU41</f>
        <v>0</v>
      </c>
      <c r="HI79" s="7">
        <f>'File 20'!$Q$54*'Time based aggregation (hide)'!$BV41</f>
        <v>0</v>
      </c>
      <c r="HJ79" s="7">
        <f>'File 20'!$R$54*'Time based aggregation (hide)'!$BW41</f>
        <v>0</v>
      </c>
      <c r="HK79" s="7">
        <f>'File 20'!$S$54*'Time based aggregation (hide)'!$BX41</f>
        <v>0</v>
      </c>
      <c r="HL79" s="7">
        <f t="shared" ca="1" si="45"/>
        <v>0</v>
      </c>
      <c r="HM79" s="7">
        <f t="shared" ca="1" si="45"/>
        <v>0</v>
      </c>
      <c r="HN79" s="7">
        <f t="shared" ca="1" si="45"/>
        <v>0</v>
      </c>
      <c r="HO79" s="7">
        <f t="shared" ca="1" si="45"/>
        <v>0</v>
      </c>
      <c r="HP79" s="7">
        <f t="shared" ca="1" si="45"/>
        <v>0</v>
      </c>
      <c r="HR79" s="142">
        <f>INDEX('File 1'!Weekly_Adjusted,37,16)</f>
        <v>20.933351264120493</v>
      </c>
      <c r="HS79" s="142">
        <f>INDEX('File 1'!Weekly_Adjusted,37,17)</f>
        <v>0</v>
      </c>
      <c r="HT79" s="142">
        <f>INDEX('File 1'!Weekly_Adjusted,37,18)</f>
        <v>0</v>
      </c>
      <c r="HU79" s="143">
        <f>INDEX('File 2'!Weekly_Adjusted,37,16)</f>
        <v>0</v>
      </c>
      <c r="HV79" s="143">
        <f>INDEX('File 2'!Weekly_Adjusted,37,17)</f>
        <v>0</v>
      </c>
      <c r="HW79" s="143">
        <f>INDEX('File 2'!Weekly_Adjusted,37,18)</f>
        <v>0</v>
      </c>
      <c r="HX79" s="142">
        <f>INDEX('File 3'!Weekly_Adjusted,37,16)</f>
        <v>0</v>
      </c>
      <c r="HY79" s="142">
        <f>INDEX('File 3'!Weekly_Adjusted,37,17)</f>
        <v>0</v>
      </c>
      <c r="HZ79" s="142">
        <f>INDEX('File 3'!Weekly_Adjusted,37,18)</f>
        <v>0</v>
      </c>
      <c r="IA79" s="143">
        <f>INDEX('File 4'!Weekly_Adjusted,37,16)</f>
        <v>0</v>
      </c>
      <c r="IB79" s="143">
        <f>INDEX('File 4'!Weekly_Adjusted,37,17)</f>
        <v>0</v>
      </c>
      <c r="IC79" s="143">
        <f>INDEX('File 4'!Weekly_Adjusted,37,18)</f>
        <v>0</v>
      </c>
      <c r="ID79" s="142">
        <f>INDEX('File 5'!Weekly_Adjusted,37,16)</f>
        <v>0</v>
      </c>
      <c r="IE79" s="142">
        <f>INDEX('File 5'!Weekly_Adjusted,37,17)</f>
        <v>0</v>
      </c>
      <c r="IF79" s="142">
        <f>INDEX('File 5'!Weekly_Adjusted,37,18)</f>
        <v>0</v>
      </c>
      <c r="IG79" s="143">
        <f>INDEX('File 6'!Weekly_Adjusted,37,16)</f>
        <v>0</v>
      </c>
      <c r="IH79" s="143">
        <f>INDEX('File 6'!Weekly_Adjusted,37,17)</f>
        <v>0</v>
      </c>
      <c r="II79" s="143">
        <f>INDEX('File 6'!Weekly_Adjusted,37,18)</f>
        <v>0</v>
      </c>
      <c r="IJ79" s="142">
        <f>INDEX('File 7'!Weekly_Adjusted,37,16)</f>
        <v>0</v>
      </c>
      <c r="IK79" s="142">
        <f>INDEX('File 7'!Weekly_Adjusted,37,17)</f>
        <v>0</v>
      </c>
      <c r="IL79" s="142">
        <f>INDEX('File 7'!Weekly_Adjusted,37,18)</f>
        <v>0</v>
      </c>
      <c r="IM79" s="143">
        <f>INDEX('File 8'!Weekly_Adjusted,37,16)</f>
        <v>0</v>
      </c>
      <c r="IN79" s="143">
        <f>INDEX('File 8'!Weekly_Adjusted,37,17)</f>
        <v>0</v>
      </c>
      <c r="IO79" s="143">
        <f>INDEX('File 8'!Weekly_Adjusted,37,18)</f>
        <v>0</v>
      </c>
      <c r="IP79" s="142">
        <f>INDEX('File 9'!Weekly_Adjusted,37,16)</f>
        <v>0</v>
      </c>
      <c r="IQ79" s="142">
        <f>INDEX('File 9'!Weekly_Adjusted,37,17)</f>
        <v>0</v>
      </c>
      <c r="IR79" s="142">
        <f>INDEX('File 9'!Weekly_Adjusted,37,18)</f>
        <v>0</v>
      </c>
      <c r="IS79" s="143">
        <f>INDEX('File 10'!Weekly_Adjusted,37,16)</f>
        <v>0</v>
      </c>
      <c r="IT79" s="143">
        <f>INDEX('File 10'!Weekly_Adjusted,37,17)</f>
        <v>0</v>
      </c>
      <c r="IU79" s="143">
        <f>INDEX('File 10'!Weekly_Adjusted,37,18)</f>
        <v>0</v>
      </c>
      <c r="IV79" s="142">
        <f>INDEX('File 11'!Weekly_Adjusted,37,16)</f>
        <v>0</v>
      </c>
      <c r="IW79" s="142">
        <f>INDEX('File 11'!Weekly_Adjusted,37,17)</f>
        <v>0</v>
      </c>
      <c r="IX79" s="142">
        <f>INDEX('File 11'!Weekly_Adjusted,37,18)</f>
        <v>0</v>
      </c>
      <c r="IY79" s="143">
        <f>INDEX('File 12'!Weekly_Adjusted,37,16)</f>
        <v>0</v>
      </c>
      <c r="IZ79" s="143">
        <f>INDEX('File 12'!Weekly_Adjusted,37,17)</f>
        <v>0</v>
      </c>
      <c r="JA79" s="143">
        <f>INDEX('File 12'!Weekly_Adjusted,37,18)</f>
        <v>0</v>
      </c>
      <c r="JB79" s="142">
        <f>INDEX('File 13'!Weekly_Adjusted,37,16)</f>
        <v>0</v>
      </c>
      <c r="JC79" s="142">
        <f>INDEX('File 13'!Weekly_Adjusted,37,17)</f>
        <v>0</v>
      </c>
      <c r="JD79" s="142">
        <f>INDEX('File 13'!Weekly_Adjusted,37,18)</f>
        <v>0</v>
      </c>
      <c r="JE79" s="143">
        <f>INDEX('File 14'!Weekly_Adjusted,37,16)</f>
        <v>0</v>
      </c>
      <c r="JF79" s="143">
        <f>INDEX('File 14'!Weekly_Adjusted,37,17)</f>
        <v>0</v>
      </c>
      <c r="JG79" s="143">
        <f>INDEX('File 14'!Weekly_Adjusted,37,18)</f>
        <v>0</v>
      </c>
      <c r="JH79" s="142">
        <f>INDEX('File 15'!Weekly_Adjusted,37,16)</f>
        <v>0</v>
      </c>
      <c r="JI79" s="142">
        <f>INDEX('File 15'!Weekly_Adjusted,37,17)</f>
        <v>0</v>
      </c>
      <c r="JJ79" s="142">
        <f>INDEX('File 15'!Weekly_Adjusted,37,18)</f>
        <v>0</v>
      </c>
      <c r="JK79" s="143">
        <f>INDEX('File 16'!Weekly_Adjusted,37,16)</f>
        <v>0</v>
      </c>
      <c r="JL79" s="143">
        <f>INDEX('File 16'!Weekly_Adjusted,37,17)</f>
        <v>0</v>
      </c>
      <c r="JM79" s="143">
        <f>INDEX('File 16'!Weekly_Adjusted,37,18)</f>
        <v>0</v>
      </c>
      <c r="JN79" s="142">
        <f>INDEX('File 17'!Weekly_Adjusted,37,16)</f>
        <v>0</v>
      </c>
      <c r="JO79" s="142">
        <f>INDEX('File 17'!Weekly_Adjusted,37,17)</f>
        <v>0</v>
      </c>
      <c r="JP79" s="142">
        <f>INDEX('File 17'!Weekly_Adjusted,37,18)</f>
        <v>0</v>
      </c>
      <c r="JQ79" s="143">
        <f>INDEX('File 18'!Weekly_Adjusted,37,16)</f>
        <v>0</v>
      </c>
      <c r="JR79" s="143">
        <f>INDEX('File 18'!Weekly_Adjusted,37,17)</f>
        <v>0</v>
      </c>
      <c r="JS79" s="143">
        <f>INDEX('File 18'!Weekly_Adjusted,37,18)</f>
        <v>0</v>
      </c>
      <c r="JT79" s="142">
        <f>INDEX('File 19'!Weekly_Adjusted,37,16)</f>
        <v>0</v>
      </c>
      <c r="JU79" s="142">
        <f>INDEX('File 19'!Weekly_Adjusted,37,17)</f>
        <v>0</v>
      </c>
      <c r="JV79" s="142">
        <f>INDEX('File 19'!Weekly_Adjusted,37,18)</f>
        <v>0</v>
      </c>
      <c r="JW79" s="143">
        <f>INDEX('File 20'!Weekly_Adjusted,37,16)</f>
        <v>0</v>
      </c>
      <c r="JX79" s="143">
        <f>INDEX('File 20'!Weekly_Adjusted,37,17)</f>
        <v>0</v>
      </c>
      <c r="JY79" s="143">
        <f>INDEX('File 20'!Weekly_Adjusted,37,18)</f>
        <v>0</v>
      </c>
      <c r="JZ79" s="6">
        <f ca="1">SUMIFS(INDEX(CapacityCore_Activity_Weekly,ROW(EC37),0),Demand_Activity_Weekly_Header,HL$42)</f>
        <v>20.933351264120493</v>
      </c>
      <c r="KA79" s="6">
        <f ca="1">SUMIFS(INDEX(CapacityCore_Activity_Weekly,ROW(ED37),0),Demand_Activity_Weekly_Header,HM$42)</f>
        <v>0</v>
      </c>
      <c r="KB79" s="6">
        <f ca="1">SUMIFS(INDEX(CapacityCore_Activity_Weekly,ROW(EE37),0),Demand_Activity_Weekly_Header,HN$42)</f>
        <v>0</v>
      </c>
      <c r="KC79" s="6">
        <f ca="1">SUMIFS(INDEX(CapacityCore_Activity_Weekly,ROW(EF37),0),Demand_Activity_Weekly_Header,HO$42)</f>
        <v>0</v>
      </c>
      <c r="KD79" s="6">
        <f ca="1">SUMIFS(INDEX(CapacityCore_Activity_Weekly,ROW(EG37),0),Demand_Activity_Weekly_Header,HP$42)</f>
        <v>0</v>
      </c>
      <c r="KF79" s="6">
        <f>SUMIFS('Time based aggregation (hide)'!$J:$J,'Time based aggregation (hide)'!$E:$E,1,'Time based aggregation (hide)'!$F:$F,1,'Time based aggregation (hide)'!$A:$A,ROW(A37))</f>
        <v>0</v>
      </c>
      <c r="KG79" s="6">
        <f>SUMIFS('Time based aggregation (hide)'!$J:$J,'Time based aggregation (hide)'!$E:$E,1,'Time based aggregation (hide)'!$F:$F,2,'Time based aggregation (hide)'!$A:$A,ROW(A37))</f>
        <v>0</v>
      </c>
      <c r="KH79" s="6">
        <f>SUMIFS('Time based aggregation (hide)'!$J:$J,'Time based aggregation (hide)'!$E:$E,1,'Time based aggregation (hide)'!$F:$F,3,'Time based aggregation (hide)'!$A:$A,ROW(A37))</f>
        <v>0</v>
      </c>
      <c r="KI79" s="6">
        <f>SUMIFS('Time based aggregation (hide)'!$J:$J,'Time based aggregation (hide)'!$E:$E,2,'Time based aggregation (hide)'!$F:$F,1,'Time based aggregation (hide)'!$A:$A,ROW(A37))</f>
        <v>0</v>
      </c>
      <c r="KJ79" s="6">
        <f>SUMIFS('Time based aggregation (hide)'!$J:$J,'Time based aggregation (hide)'!$E:$E,2,'Time based aggregation (hide)'!$F:$F,2,'Time based aggregation (hide)'!$A:$A,ROW(A37))</f>
        <v>0</v>
      </c>
      <c r="KK79" s="6">
        <f>SUMIFS('Time based aggregation (hide)'!$J:$J,'Time based aggregation (hide)'!$E:$E,2,'Time based aggregation (hide)'!$F:$F,3,'Time based aggregation (hide)'!$A:$A,ROW(A37))</f>
        <v>0</v>
      </c>
      <c r="KL79" s="6">
        <f>SUMIFS('Time based aggregation (hide)'!$J:$J,'Time based aggregation (hide)'!$E:$E,3,'Time based aggregation (hide)'!$F:$F,1,'Time based aggregation (hide)'!$A:$A,ROW(A37))</f>
        <v>0</v>
      </c>
      <c r="KM79" s="6">
        <f>SUMIFS('Time based aggregation (hide)'!$J:$J,'Time based aggregation (hide)'!$E:$E,3,'Time based aggregation (hide)'!$F:$F,2,'Time based aggregation (hide)'!$A:$A,ROW(A37))</f>
        <v>0</v>
      </c>
      <c r="KN79" s="6">
        <f>SUMIFS('Time based aggregation (hide)'!$J:$J,'Time based aggregation (hide)'!$E:$E,3,'Time based aggregation (hide)'!$F:$F,3,'Time based aggregation (hide)'!$A:$A,ROW(A37))</f>
        <v>0</v>
      </c>
      <c r="KO79" s="6">
        <f>SUMIFS('Time based aggregation (hide)'!$J:$J,'Time based aggregation (hide)'!$E:$E,4,'Time based aggregation (hide)'!$F:$F,1,'Time based aggregation (hide)'!$A:$A,ROW(A37))</f>
        <v>0</v>
      </c>
      <c r="KP79" s="6">
        <f>SUMIFS('Time based aggregation (hide)'!$J:$J,'Time based aggregation (hide)'!$E:$E,4,'Time based aggregation (hide)'!$F:$F,2,'Time based aggregation (hide)'!$A:$A,ROW(A37))</f>
        <v>0</v>
      </c>
      <c r="KQ79" s="6">
        <f>SUMIFS('Time based aggregation (hide)'!$J:$J,'Time based aggregation (hide)'!$E:$E,4,'Time based aggregation (hide)'!$F:$F,3,'Time based aggregation (hide)'!$A:$A,ROW(A37))</f>
        <v>0</v>
      </c>
      <c r="KR79" s="6">
        <f>SUMIFS('Time based aggregation (hide)'!$J:$J,'Time based aggregation (hide)'!$E:$E,5,'Time based aggregation (hide)'!$F:$F,1,'Time based aggregation (hide)'!$A:$A,ROW(A37))</f>
        <v>0</v>
      </c>
      <c r="KS79" s="6">
        <f>SUMIFS('Time based aggregation (hide)'!$J:$J,'Time based aggregation (hide)'!$E:$E,5,'Time based aggregation (hide)'!$F:$F,2,'Time based aggregation (hide)'!$A:$A,ROW(A37))</f>
        <v>0</v>
      </c>
      <c r="KT79" s="6">
        <f>SUMIFS('Time based aggregation (hide)'!$J:$J,'Time based aggregation (hide)'!$E:$E,5,'Time based aggregation (hide)'!$F:$F,3,'Time based aggregation (hide)'!$A:$A,ROW(A37))</f>
        <v>0</v>
      </c>
      <c r="KU79" s="6">
        <f>SUMIFS('Time based aggregation (hide)'!$J:$J,'Time based aggregation (hide)'!$E:$E,6,'Time based aggregation (hide)'!$F:$F,1,'Time based aggregation (hide)'!$A:$A,ROW(A37))</f>
        <v>0</v>
      </c>
      <c r="KV79" s="6">
        <f>SUMIFS('Time based aggregation (hide)'!$J:$J,'Time based aggregation (hide)'!$E:$E,6,'Time based aggregation (hide)'!$F:$F,2,'Time based aggregation (hide)'!$A:$A,ROW(A37))</f>
        <v>0</v>
      </c>
      <c r="KW79" s="6">
        <f>SUMIFS('Time based aggregation (hide)'!$J:$J,'Time based aggregation (hide)'!$E:$E,6,'Time based aggregation (hide)'!$F:$F,3,'Time based aggregation (hide)'!$A:$A,ROW(A37))</f>
        <v>0</v>
      </c>
      <c r="KX79" s="6">
        <f>SUMIFS('Time based aggregation (hide)'!$J:$J,'Time based aggregation (hide)'!$E:$E,7,'Time based aggregation (hide)'!$F:$F,1,'Time based aggregation (hide)'!$A:$A,ROW(A37))</f>
        <v>0</v>
      </c>
      <c r="KY79" s="6">
        <f>SUMIFS('Time based aggregation (hide)'!$J:$J,'Time based aggregation (hide)'!$E:$E,7,'Time based aggregation (hide)'!$F:$F,2,'Time based aggregation (hide)'!$A:$A,ROW(A37))</f>
        <v>0</v>
      </c>
      <c r="KZ79" s="6">
        <f>SUMIFS('Time based aggregation (hide)'!$J:$J,'Time based aggregation (hide)'!$E:$E,7,'Time based aggregation (hide)'!$F:$F,3,'Time based aggregation (hide)'!$A:$A,ROW(A37))</f>
        <v>0</v>
      </c>
      <c r="LA79" s="6">
        <f>SUMIFS('Time based aggregation (hide)'!$J:$J,'Time based aggregation (hide)'!$E:$E,8,'Time based aggregation (hide)'!$F:$F,1,'Time based aggregation (hide)'!$A:$A,ROW(A37))</f>
        <v>0</v>
      </c>
      <c r="LB79" s="6">
        <f>SUMIFS('Time based aggregation (hide)'!$J:$J,'Time based aggregation (hide)'!$E:$E,8,'Time based aggregation (hide)'!$F:$F,2,'Time based aggregation (hide)'!$A:$A,ROW(A37))</f>
        <v>0</v>
      </c>
      <c r="LC79" s="6">
        <f>SUMIFS('Time based aggregation (hide)'!$J:$J,'Time based aggregation (hide)'!$E:$E,8,'Time based aggregation (hide)'!$F:$F,3,'Time based aggregation (hide)'!$A:$A,ROW(A37))</f>
        <v>0</v>
      </c>
      <c r="LD79" s="6">
        <f>SUMIFS('Time based aggregation (hide)'!$J:$J,'Time based aggregation (hide)'!$E:$E,9,'Time based aggregation (hide)'!$F:$F,1,'Time based aggregation (hide)'!$A:$A,ROW(A37))</f>
        <v>0</v>
      </c>
      <c r="LE79" s="6">
        <f>SUMIFS('Time based aggregation (hide)'!$J:$J,'Time based aggregation (hide)'!$E:$E,9,'Time based aggregation (hide)'!$F:$F,2,'Time based aggregation (hide)'!$A:$A,ROW(A37))</f>
        <v>0</v>
      </c>
      <c r="LF79" s="6">
        <f>SUMIFS('Time based aggregation (hide)'!$J:$J,'Time based aggregation (hide)'!$E:$E,9,'Time based aggregation (hide)'!$F:$F,3,'Time based aggregation (hide)'!$A:$A,ROW(A37))</f>
        <v>0</v>
      </c>
      <c r="LG79" s="6">
        <f>SUMIFS('Time based aggregation (hide)'!$J:$J,'Time based aggregation (hide)'!$E:$E,10,'Time based aggregation (hide)'!$F:$F,1,'Time based aggregation (hide)'!$A:$A,ROW(A37))</f>
        <v>0</v>
      </c>
      <c r="LH79" s="6">
        <f>SUMIFS('Time based aggregation (hide)'!$J:$J,'Time based aggregation (hide)'!$E:$E,10,'Time based aggregation (hide)'!$F:$F,2,'Time based aggregation (hide)'!$A:$A,ROW(A37))</f>
        <v>0</v>
      </c>
      <c r="LI79" s="6">
        <f>SUMIFS('Time based aggregation (hide)'!$J:$J,'Time based aggregation (hide)'!$E:$E,10,'Time based aggregation (hide)'!$F:$F,3,'Time based aggregation (hide)'!$A:$A,ROW(A37))</f>
        <v>0</v>
      </c>
      <c r="LJ79" s="6">
        <f>SUMIFS('Time based aggregation (hide)'!$J:$J,'Time based aggregation (hide)'!$E:$E,11,'Time based aggregation (hide)'!$F:$F,1,'Time based aggregation (hide)'!$A:$A,ROW(A37))</f>
        <v>0</v>
      </c>
      <c r="LK79" s="6">
        <f>SUMIFS('Time based aggregation (hide)'!$J:$J,'Time based aggregation (hide)'!$E:$E,11,'Time based aggregation (hide)'!$F:$F,2,'Time based aggregation (hide)'!$A:$A,ROW(A37))</f>
        <v>0</v>
      </c>
      <c r="LL79" s="6">
        <f>SUMIFS('Time based aggregation (hide)'!$J:$J,'Time based aggregation (hide)'!$E:$E,11,'Time based aggregation (hide)'!$F:$F,3,'Time based aggregation (hide)'!$A:$A,ROW(A37))</f>
        <v>0</v>
      </c>
      <c r="LM79" s="6">
        <f>SUMIFS('Time based aggregation (hide)'!$J:$J,'Time based aggregation (hide)'!$E:$E,12,'Time based aggregation (hide)'!$F:$F,1,'Time based aggregation (hide)'!$A:$A,ROW(A37))</f>
        <v>0</v>
      </c>
      <c r="LN79" s="6">
        <f>SUMIFS('Time based aggregation (hide)'!$J:$J,'Time based aggregation (hide)'!$E:$E,12,'Time based aggregation (hide)'!$F:$F,2,'Time based aggregation (hide)'!$A:$A,ROW(A37))</f>
        <v>0</v>
      </c>
      <c r="LO79" s="6">
        <f>SUMIFS('Time based aggregation (hide)'!$J:$J,'Time based aggregation (hide)'!$E:$E,12,'Time based aggregation (hide)'!$F:$F,3,'Time based aggregation (hide)'!$A:$A,ROW(A37))</f>
        <v>0</v>
      </c>
      <c r="LP79" s="6">
        <f>SUMIFS('Time based aggregation (hide)'!$J:$J,'Time based aggregation (hide)'!$E:$E,13,'Time based aggregation (hide)'!$F:$F,1,'Time based aggregation (hide)'!$A:$A,ROW(A37))</f>
        <v>0</v>
      </c>
      <c r="LQ79" s="6">
        <f>SUMIFS('Time based aggregation (hide)'!$J:$J,'Time based aggregation (hide)'!$E:$E,13,'Time based aggregation (hide)'!$F:$F,2,'Time based aggregation (hide)'!$A:$A,ROW(A37))</f>
        <v>0</v>
      </c>
      <c r="LR79" s="6">
        <f>SUMIFS('Time based aggregation (hide)'!$J:$J,'Time based aggregation (hide)'!$E:$E,13,'Time based aggregation (hide)'!$F:$F,3,'Time based aggregation (hide)'!$A:$A,ROW(A37))</f>
        <v>0</v>
      </c>
      <c r="LS79" s="6">
        <f>SUMIFS('Time based aggregation (hide)'!$J:$J,'Time based aggregation (hide)'!$E:$E,14,'Time based aggregation (hide)'!$F:$F,1,'Time based aggregation (hide)'!$A:$A,ROW(A37))</f>
        <v>0</v>
      </c>
      <c r="LT79" s="6">
        <f>SUMIFS('Time based aggregation (hide)'!$J:$J,'Time based aggregation (hide)'!$E:$E,14,'Time based aggregation (hide)'!$F:$F,2,'Time based aggregation (hide)'!$A:$A,ROW(A37))</f>
        <v>0</v>
      </c>
      <c r="LU79" s="6">
        <f>SUMIFS('Time based aggregation (hide)'!$J:$J,'Time based aggregation (hide)'!$E:$E,14,'Time based aggregation (hide)'!$F:$F,3,'Time based aggregation (hide)'!$A:$A,ROW(A37))</f>
        <v>0</v>
      </c>
      <c r="LV79" s="6">
        <f>SUMIFS('Time based aggregation (hide)'!$J:$J,'Time based aggregation (hide)'!$E:$E,15,'Time based aggregation (hide)'!$F:$F,1,'Time based aggregation (hide)'!$A:$A,ROW(A37))</f>
        <v>0</v>
      </c>
      <c r="LW79" s="6">
        <f>SUMIFS('Time based aggregation (hide)'!$J:$J,'Time based aggregation (hide)'!$E:$E,15,'Time based aggregation (hide)'!$F:$F,2,'Time based aggregation (hide)'!$A:$A,ROW(A37))</f>
        <v>0</v>
      </c>
      <c r="LX79" s="6">
        <f>SUMIFS('Time based aggregation (hide)'!$J:$J,'Time based aggregation (hide)'!$E:$E,15,'Time based aggregation (hide)'!$F:$F,3,'Time based aggregation (hide)'!$A:$A,ROW(A37))</f>
        <v>0</v>
      </c>
      <c r="LY79" s="6">
        <f>SUMIFS('Time based aggregation (hide)'!$J:$J,'Time based aggregation (hide)'!$E:$E,16,'Time based aggregation (hide)'!$F:$F,1,'Time based aggregation (hide)'!$A:$A,ROW(A37))</f>
        <v>0</v>
      </c>
      <c r="LZ79" s="6">
        <f>SUMIFS('Time based aggregation (hide)'!$J:$J,'Time based aggregation (hide)'!$E:$E,16,'Time based aggregation (hide)'!$F:$F,2,'Time based aggregation (hide)'!$A:$A,ROW(A37))</f>
        <v>0</v>
      </c>
      <c r="MA79" s="6">
        <f>SUMIFS('Time based aggregation (hide)'!$J:$J,'Time based aggregation (hide)'!$E:$E,16,'Time based aggregation (hide)'!$F:$F,3,'Time based aggregation (hide)'!$A:$A,ROW(A37))</f>
        <v>0</v>
      </c>
      <c r="MB79" s="6">
        <f>SUMIFS('Time based aggregation (hide)'!$J:$J,'Time based aggregation (hide)'!$E:$E,17,'Time based aggregation (hide)'!$F:$F,1,'Time based aggregation (hide)'!$A:$A,ROW(A37))</f>
        <v>0</v>
      </c>
      <c r="MC79" s="6">
        <f>SUMIFS('Time based aggregation (hide)'!$J:$J,'Time based aggregation (hide)'!$E:$E,17,'Time based aggregation (hide)'!$F:$F,2,'Time based aggregation (hide)'!$A:$A,ROW(A37))</f>
        <v>0</v>
      </c>
      <c r="MD79" s="6">
        <f>SUMIFS('Time based aggregation (hide)'!$J:$J,'Time based aggregation (hide)'!$E:$E,17,'Time based aggregation (hide)'!$F:$F,3,'Time based aggregation (hide)'!$A:$A,ROW(A37))</f>
        <v>0</v>
      </c>
      <c r="ME79" s="6">
        <f>SUMIFS('Time based aggregation (hide)'!$J:$J,'Time based aggregation (hide)'!$E:$E,18,'Time based aggregation (hide)'!$F:$F,1,'Time based aggregation (hide)'!$A:$A,ROW(A37))</f>
        <v>0</v>
      </c>
      <c r="MF79" s="6">
        <f>SUMIFS('Time based aggregation (hide)'!$J:$J,'Time based aggregation (hide)'!$E:$E,18,'Time based aggregation (hide)'!$F:$F,2,'Time based aggregation (hide)'!$A:$A,ROW(A37))</f>
        <v>0</v>
      </c>
      <c r="MG79" s="6">
        <f>SUMIFS('Time based aggregation (hide)'!$J:$J,'Time based aggregation (hide)'!$E:$E,18,'Time based aggregation (hide)'!$F:$F,3,'Time based aggregation (hide)'!$A:$A,ROW(A37))</f>
        <v>0</v>
      </c>
      <c r="MH79" s="6">
        <f>SUMIFS('Time based aggregation (hide)'!$J:$J,'Time based aggregation (hide)'!$E:$E,19,'Time based aggregation (hide)'!$F:$F,1,'Time based aggregation (hide)'!$A:$A,ROW(A37))</f>
        <v>0</v>
      </c>
      <c r="MI79" s="6">
        <f>SUMIFS('Time based aggregation (hide)'!$J:$J,'Time based aggregation (hide)'!$E:$E,19,'Time based aggregation (hide)'!$F:$F,2,'Time based aggregation (hide)'!$A:$A,ROW(A37))</f>
        <v>0</v>
      </c>
      <c r="MJ79" s="6">
        <f>SUMIFS('Time based aggregation (hide)'!$J:$J,'Time based aggregation (hide)'!$E:$E,19,'Time based aggregation (hide)'!$F:$F,3,'Time based aggregation (hide)'!$A:$A,ROW(A37))</f>
        <v>0</v>
      </c>
      <c r="MK79" s="6">
        <f>SUMIFS('Time based aggregation (hide)'!$J:$J,'Time based aggregation (hide)'!$E:$E,20,'Time based aggregation (hide)'!$F:$F,1,'Time based aggregation (hide)'!$A:$A,ROW(A37))</f>
        <v>0</v>
      </c>
      <c r="ML79" s="6">
        <f>SUMIFS('Time based aggregation (hide)'!$J:$J,'Time based aggregation (hide)'!$E:$E,20,'Time based aggregation (hide)'!$F:$F,2,'Time based aggregation (hide)'!$A:$A,ROW(A37))</f>
        <v>0</v>
      </c>
      <c r="MM79" s="6">
        <f>SUMIFS('Time based aggregation (hide)'!$J:$J,'Time based aggregation (hide)'!$E:$E,20,'Time based aggregation (hide)'!$F:$F,3,'Time based aggregation (hide)'!$A:$A,ROW(A37))</f>
        <v>0</v>
      </c>
      <c r="MN79" s="7">
        <f t="shared" ca="1" si="48"/>
        <v>0</v>
      </c>
      <c r="MO79" s="7">
        <f t="shared" ca="1" si="48"/>
        <v>0</v>
      </c>
      <c r="MP79" s="7">
        <f t="shared" ca="1" si="48"/>
        <v>0</v>
      </c>
      <c r="MQ79" s="7">
        <f t="shared" ca="1" si="48"/>
        <v>0</v>
      </c>
      <c r="MR79" s="7">
        <f t="shared" ca="1" si="48"/>
        <v>0</v>
      </c>
    </row>
    <row r="80" spans="1:356" x14ac:dyDescent="0.25">
      <c r="A80">
        <f>1</f>
        <v>1</v>
      </c>
      <c r="B80" s="85">
        <f t="shared" si="37"/>
        <v>43868</v>
      </c>
      <c r="C80" s="85">
        <f t="shared" si="25"/>
        <v>43864</v>
      </c>
      <c r="D80">
        <f t="shared" ca="1" si="26"/>
        <v>1</v>
      </c>
      <c r="E80" s="85">
        <f t="shared" si="27"/>
        <v>43862</v>
      </c>
      <c r="F80">
        <f t="shared" si="33"/>
        <v>6</v>
      </c>
      <c r="H80">
        <f t="shared" si="34"/>
        <v>38</v>
      </c>
      <c r="I80" s="85">
        <f t="shared" si="38"/>
        <v>44088</v>
      </c>
      <c r="J80">
        <f t="shared" ca="1" si="46"/>
        <v>5</v>
      </c>
      <c r="K80">
        <f t="shared" ca="1" si="47"/>
        <v>1.968503937007874E-2</v>
      </c>
      <c r="L80" s="114"/>
      <c r="N80" s="85">
        <f t="shared" si="35"/>
        <v>44088</v>
      </c>
      <c r="O80" s="122">
        <f t="shared" ca="1" si="44"/>
        <v>0</v>
      </c>
      <c r="P80" s="122">
        <f t="shared" ca="1" si="44"/>
        <v>0</v>
      </c>
      <c r="Q80" s="122">
        <f t="shared" ca="1" si="44"/>
        <v>0</v>
      </c>
      <c r="R80" s="122">
        <f t="shared" ca="1" si="44"/>
        <v>0</v>
      </c>
      <c r="S80" s="122">
        <f t="shared" ca="1" si="44"/>
        <v>0</v>
      </c>
      <c r="T80" s="122">
        <f t="shared" ca="1" si="44"/>
        <v>0</v>
      </c>
      <c r="U80" s="122">
        <f t="shared" ca="1" si="44"/>
        <v>0</v>
      </c>
      <c r="V80" s="122">
        <f t="shared" ca="1" si="44"/>
        <v>0</v>
      </c>
      <c r="W80" s="122">
        <f t="shared" ca="1" si="44"/>
        <v>1</v>
      </c>
      <c r="X80" s="122">
        <f t="shared" ca="1" si="44"/>
        <v>0</v>
      </c>
      <c r="Y80" s="122">
        <f t="shared" ca="1" si="44"/>
        <v>0</v>
      </c>
      <c r="Z80" s="122">
        <f t="shared" ca="1" si="44"/>
        <v>0</v>
      </c>
      <c r="AA80" s="122"/>
      <c r="AB80" s="140">
        <f>INDEX('File 1'!Weekly_Adjusted,38,1)</f>
        <v>388.17143954725253</v>
      </c>
      <c r="AC80" s="140">
        <f>INDEX('File 1'!Weekly_Adjusted,38,2)</f>
        <v>0</v>
      </c>
      <c r="AD80" s="140">
        <f>INDEX('File 1'!Weekly_Adjusted,38,3)</f>
        <v>0</v>
      </c>
      <c r="AE80" s="141">
        <f>INDEX('File 2'!Weekly_Adjusted,38,1)</f>
        <v>0</v>
      </c>
      <c r="AF80" s="141">
        <f>INDEX('File 2'!Weekly_Adjusted,38,2)</f>
        <v>0</v>
      </c>
      <c r="AG80" s="141">
        <f>INDEX('File 2'!Weekly_Adjusted,38,3)</f>
        <v>0</v>
      </c>
      <c r="AH80" s="140">
        <f>INDEX('File 3'!Weekly_Adjusted,38,1)</f>
        <v>0</v>
      </c>
      <c r="AI80" s="140">
        <f>INDEX('File 3'!Weekly_Adjusted,38,2)</f>
        <v>0</v>
      </c>
      <c r="AJ80" s="140">
        <f>INDEX('File 3'!Weekly_Adjusted,38,3)</f>
        <v>0</v>
      </c>
      <c r="AK80" s="141">
        <f>INDEX('File 4'!Weekly_Adjusted,38,1)</f>
        <v>0</v>
      </c>
      <c r="AL80" s="141">
        <f>INDEX('File 4'!Weekly_Adjusted,38,2)</f>
        <v>0</v>
      </c>
      <c r="AM80" s="141">
        <f>INDEX('File 4'!Weekly_Adjusted,38,3)</f>
        <v>0</v>
      </c>
      <c r="AN80" s="140">
        <f>INDEX('File 5'!Weekly_Adjusted,38,1)</f>
        <v>0</v>
      </c>
      <c r="AO80" s="140">
        <f>INDEX('File 5'!Weekly_Adjusted,38,2)</f>
        <v>0</v>
      </c>
      <c r="AP80" s="140">
        <f>INDEX('File 5'!Weekly_Adjusted,38,3)</f>
        <v>0</v>
      </c>
      <c r="AQ80" s="141">
        <f>INDEX('File 6'!Weekly_Adjusted,38,1)</f>
        <v>0</v>
      </c>
      <c r="AR80" s="141">
        <f>INDEX('File 6'!Weekly_Adjusted,38,2)</f>
        <v>0</v>
      </c>
      <c r="AS80" s="141">
        <f>INDEX('File 6'!Weekly_Adjusted,38,3)</f>
        <v>0</v>
      </c>
      <c r="AT80" s="140">
        <f>INDEX('File 7'!Weekly_Adjusted,38,1)</f>
        <v>0</v>
      </c>
      <c r="AU80" s="140">
        <f>INDEX('File 7'!Weekly_Adjusted,38,2)</f>
        <v>0</v>
      </c>
      <c r="AV80" s="140">
        <f>INDEX('File 7'!Weekly_Adjusted,38,3)</f>
        <v>0</v>
      </c>
      <c r="AW80" s="141">
        <f>INDEX('File 8'!Weekly_Adjusted,38,1)</f>
        <v>0</v>
      </c>
      <c r="AX80" s="141">
        <f>INDEX('File 8'!Weekly_Adjusted,38,2)</f>
        <v>0</v>
      </c>
      <c r="AY80" s="141">
        <f>INDEX('File 8'!Weekly_Adjusted,38,3)</f>
        <v>0</v>
      </c>
      <c r="AZ80" s="140">
        <f>INDEX('File 9'!Weekly_Adjusted,38,1)</f>
        <v>0</v>
      </c>
      <c r="BA80" s="140">
        <f>INDEX('File 9'!Weekly_Adjusted,38,2)</f>
        <v>0</v>
      </c>
      <c r="BB80" s="140">
        <f>INDEX('File 9'!Weekly_Adjusted,38,3)</f>
        <v>0</v>
      </c>
      <c r="BC80" s="141">
        <f>INDEX('File 10'!Weekly_Adjusted,38,1)</f>
        <v>0</v>
      </c>
      <c r="BD80" s="141">
        <f>INDEX('File 10'!Weekly_Adjusted,38,2)</f>
        <v>0</v>
      </c>
      <c r="BE80" s="141">
        <f>INDEX('File 10'!Weekly_Adjusted,38,3)</f>
        <v>0</v>
      </c>
      <c r="BF80" s="140">
        <f>INDEX('File 11'!Weekly_Adjusted,38,1)</f>
        <v>0</v>
      </c>
      <c r="BG80" s="140">
        <f>INDEX('File 11'!Weekly_Adjusted,38,2)</f>
        <v>0</v>
      </c>
      <c r="BH80" s="140">
        <f>INDEX('File 11'!Weekly_Adjusted,38,3)</f>
        <v>0</v>
      </c>
      <c r="BI80" s="141">
        <f>INDEX('File 12'!Weekly_Adjusted,38,1)</f>
        <v>0</v>
      </c>
      <c r="BJ80" s="141">
        <f>INDEX('File 12'!Weekly_Adjusted,38,2)</f>
        <v>0</v>
      </c>
      <c r="BK80" s="141">
        <f>INDEX('File 12'!Weekly_Adjusted,38,3)</f>
        <v>0</v>
      </c>
      <c r="BL80" s="140">
        <f>INDEX('File 13'!Weekly_Adjusted,38,1)</f>
        <v>0</v>
      </c>
      <c r="BM80" s="140">
        <f>INDEX('File 13'!Weekly_Adjusted,38,2)</f>
        <v>0</v>
      </c>
      <c r="BN80" s="140">
        <f>INDEX('File 13'!Weekly_Adjusted,38,3)</f>
        <v>0</v>
      </c>
      <c r="BO80" s="141">
        <f>INDEX('File 14'!Weekly_Adjusted,38,1)</f>
        <v>0</v>
      </c>
      <c r="BP80" s="141">
        <f>INDEX('File 14'!Weekly_Adjusted,38,2)</f>
        <v>0</v>
      </c>
      <c r="BQ80" s="141">
        <f>INDEX('File 14'!Weekly_Adjusted,38,3)</f>
        <v>0</v>
      </c>
      <c r="BR80" s="140">
        <f>INDEX('File 15'!Weekly_Adjusted,38,1)</f>
        <v>0</v>
      </c>
      <c r="BS80" s="140">
        <f>INDEX('File 15'!Weekly_Adjusted,38,2)</f>
        <v>0</v>
      </c>
      <c r="BT80" s="140">
        <f>INDEX('File 15'!Weekly_Adjusted,38,3)</f>
        <v>0</v>
      </c>
      <c r="BU80" s="141">
        <f>INDEX('File 16'!Weekly_Adjusted,38,1)</f>
        <v>0</v>
      </c>
      <c r="BV80" s="141">
        <f>INDEX('File 16'!Weekly_Adjusted,38,2)</f>
        <v>0</v>
      </c>
      <c r="BW80" s="141">
        <f>INDEX('File 16'!Weekly_Adjusted,38,3)</f>
        <v>0</v>
      </c>
      <c r="BX80" s="140">
        <f>INDEX('File 17'!Weekly_Adjusted,38,1)</f>
        <v>0</v>
      </c>
      <c r="BY80" s="140">
        <f>INDEX('File 17'!Weekly_Adjusted,38,2)</f>
        <v>0</v>
      </c>
      <c r="BZ80" s="140">
        <f>INDEX('File 17'!Weekly_Adjusted,38,3)</f>
        <v>0</v>
      </c>
      <c r="CA80" s="141">
        <f>INDEX('File 18'!Weekly_Adjusted,38,1)</f>
        <v>0</v>
      </c>
      <c r="CB80" s="141">
        <f>INDEX('File 18'!Weekly_Adjusted,38,2)</f>
        <v>0</v>
      </c>
      <c r="CC80" s="141">
        <f>INDEX('File 18'!Weekly_Adjusted,38,3)</f>
        <v>0</v>
      </c>
      <c r="CD80" s="140">
        <f>INDEX('File 19'!Weekly_Adjusted,38,1)</f>
        <v>0</v>
      </c>
      <c r="CE80" s="140">
        <f>INDEX('File 19'!Weekly_Adjusted,38,2)</f>
        <v>0</v>
      </c>
      <c r="CF80" s="140">
        <f>INDEX('File 19'!Weekly_Adjusted,38,3)</f>
        <v>0</v>
      </c>
      <c r="CG80" s="141">
        <f>INDEX('File 20'!Weekly_Adjusted,38,1)</f>
        <v>0</v>
      </c>
      <c r="CH80" s="141">
        <f>INDEX('File 20'!Weekly_Adjusted,38,2)</f>
        <v>0</v>
      </c>
      <c r="CI80" s="141">
        <f>INDEX('File 20'!Weekly_Adjusted,38,3)</f>
        <v>0</v>
      </c>
      <c r="CJ80" s="6">
        <f ca="1">SUMIFS(INDEX(Demand_Activity_Weekly,ROW(A38),0),Demand_Activity_Weekly_Header,CJ$42)</f>
        <v>388.17143954725253</v>
      </c>
      <c r="CK80" s="6">
        <f ca="1">SUMIFS(INDEX(Demand_Activity_Weekly,ROW(B38),0),Demand_Activity_Weekly_Header,CK$42)</f>
        <v>0</v>
      </c>
      <c r="CL80" s="6">
        <f ca="1">SUMIFS(INDEX(Demand_Activity_Weekly,ROW(C38),0),Demand_Activity_Weekly_Header,CL$42)</f>
        <v>0</v>
      </c>
      <c r="CM80" s="6">
        <f ca="1">SUMIFS(INDEX(Demand_Activity_Weekly,ROW(D38),0),Demand_Activity_Weekly_Header,CM$42)</f>
        <v>0</v>
      </c>
      <c r="CN80" s="6">
        <f ca="1">SUMIFS(INDEX(Demand_Activity_Weekly,ROW(E38),0),Demand_Activity_Weekly_Header,CN$42)</f>
        <v>0</v>
      </c>
      <c r="CP80" s="142">
        <f>INDEX('File 1'!Weekly_Adjusted,38,10)</f>
        <v>24.344712210866053</v>
      </c>
      <c r="CQ80" s="142">
        <f>INDEX('File 1'!Weekly_Adjusted,38,11)</f>
        <v>0</v>
      </c>
      <c r="CR80" s="142">
        <f>INDEX('File 1'!Weekly_Adjusted,38,12)</f>
        <v>0</v>
      </c>
      <c r="CS80" s="143">
        <f>INDEX('File 2'!Weekly_Adjusted,38,10)</f>
        <v>0</v>
      </c>
      <c r="CT80" s="143">
        <f>INDEX('File 2'!Weekly_Adjusted,38,11)</f>
        <v>0</v>
      </c>
      <c r="CU80" s="143">
        <f>INDEX('File 2'!Weekly_Adjusted,38,12)</f>
        <v>0</v>
      </c>
      <c r="CV80" s="142">
        <f>INDEX('File 3'!Weekly_Adjusted,38,10)</f>
        <v>0</v>
      </c>
      <c r="CW80" s="142">
        <f>INDEX('File 3'!Weekly_Adjusted,38,11)</f>
        <v>0</v>
      </c>
      <c r="CX80" s="142">
        <f>INDEX('File 3'!Weekly_Adjusted,38,12)</f>
        <v>0</v>
      </c>
      <c r="CY80" s="143">
        <f>INDEX('File 4'!Weekly_Adjusted,38,10)</f>
        <v>0</v>
      </c>
      <c r="CZ80" s="143">
        <f>INDEX('File 4'!Weekly_Adjusted,38,11)</f>
        <v>0</v>
      </c>
      <c r="DA80" s="143">
        <f>INDEX('File 4'!Weekly_Adjusted,38,12)</f>
        <v>0</v>
      </c>
      <c r="DB80" s="142">
        <f>INDEX('File 5'!Weekly_Adjusted,38,10)</f>
        <v>0</v>
      </c>
      <c r="DC80" s="142">
        <f>INDEX('File 5'!Weekly_Adjusted,38,11)</f>
        <v>0</v>
      </c>
      <c r="DD80" s="142">
        <f>INDEX('File 5'!Weekly_Adjusted,38,12)</f>
        <v>0</v>
      </c>
      <c r="DE80" s="143">
        <f>INDEX('File 6'!Weekly_Adjusted,38,10)</f>
        <v>0</v>
      </c>
      <c r="DF80" s="143">
        <f>INDEX('File 6'!Weekly_Adjusted,38,11)</f>
        <v>0</v>
      </c>
      <c r="DG80" s="143">
        <f>INDEX('File 6'!Weekly_Adjusted,38,12)</f>
        <v>0</v>
      </c>
      <c r="DH80" s="142">
        <f>INDEX('File 7'!Weekly_Adjusted,38,10)</f>
        <v>0</v>
      </c>
      <c r="DI80" s="142">
        <f>INDEX('File 7'!Weekly_Adjusted,38,11)</f>
        <v>0</v>
      </c>
      <c r="DJ80" s="142">
        <f>INDEX('File 7'!Weekly_Adjusted,38,12)</f>
        <v>0</v>
      </c>
      <c r="DK80" s="143">
        <f>INDEX('File 8'!Weekly_Adjusted,38,10)</f>
        <v>0</v>
      </c>
      <c r="DL80" s="143">
        <f>INDEX('File 8'!Weekly_Adjusted,38,11)</f>
        <v>0</v>
      </c>
      <c r="DM80" s="143">
        <f>INDEX('File 8'!Weekly_Adjusted,38,12)</f>
        <v>0</v>
      </c>
      <c r="DN80" s="142">
        <f>INDEX('File 9'!Weekly_Adjusted,38,10)</f>
        <v>0</v>
      </c>
      <c r="DO80" s="142">
        <f>INDEX('File 9'!Weekly_Adjusted,38,11)</f>
        <v>0</v>
      </c>
      <c r="DP80" s="142">
        <f>INDEX('File 9'!Weekly_Adjusted,38,12)</f>
        <v>0</v>
      </c>
      <c r="DQ80" s="143">
        <f>INDEX('File 10'!Weekly_Adjusted,38,10)</f>
        <v>0</v>
      </c>
      <c r="DR80" s="143">
        <f>INDEX('File 10'!Weekly_Adjusted,38,11)</f>
        <v>0</v>
      </c>
      <c r="DS80" s="143">
        <f>INDEX('File 10'!Weekly_Adjusted,38,12)</f>
        <v>0</v>
      </c>
      <c r="DT80" s="142">
        <f>INDEX('File 11'!Weekly_Adjusted,38,10)</f>
        <v>0</v>
      </c>
      <c r="DU80" s="142">
        <f>INDEX('File 11'!Weekly_Adjusted,38,11)</f>
        <v>0</v>
      </c>
      <c r="DV80" s="142">
        <f>INDEX('File 11'!Weekly_Adjusted,38,12)</f>
        <v>0</v>
      </c>
      <c r="DW80" s="143">
        <f>INDEX('File 12'!Weekly_Adjusted,38,10)</f>
        <v>0</v>
      </c>
      <c r="DX80" s="143">
        <f>INDEX('File 12'!Weekly_Adjusted,38,11)</f>
        <v>0</v>
      </c>
      <c r="DY80" s="143">
        <f>INDEX('File 12'!Weekly_Adjusted,38,12)</f>
        <v>0</v>
      </c>
      <c r="DZ80" s="142">
        <f>INDEX('File 13'!Weekly_Adjusted,38,10)</f>
        <v>0</v>
      </c>
      <c r="EA80" s="142">
        <f>INDEX('File 13'!Weekly_Adjusted,38,11)</f>
        <v>0</v>
      </c>
      <c r="EB80" s="142">
        <f>INDEX('File 13'!Weekly_Adjusted,38,12)</f>
        <v>0</v>
      </c>
      <c r="EC80" s="143">
        <f>INDEX('File 14'!Weekly_Adjusted,38,10)</f>
        <v>0</v>
      </c>
      <c r="ED80" s="143">
        <f>INDEX('File 14'!Weekly_Adjusted,38,11)</f>
        <v>0</v>
      </c>
      <c r="EE80" s="143">
        <f>INDEX('File 14'!Weekly_Adjusted,38,12)</f>
        <v>0</v>
      </c>
      <c r="EF80" s="142">
        <f>INDEX('File 15'!Weekly_Adjusted,38,10)</f>
        <v>0</v>
      </c>
      <c r="EG80" s="142">
        <f>INDEX('File 15'!Weekly_Adjusted,38,11)</f>
        <v>0</v>
      </c>
      <c r="EH80" s="142">
        <f>INDEX('File 15'!Weekly_Adjusted,38,12)</f>
        <v>0</v>
      </c>
      <c r="EI80" s="143">
        <f>INDEX('File 16'!Weekly_Adjusted,38,10)</f>
        <v>0</v>
      </c>
      <c r="EJ80" s="143">
        <f>INDEX('File 16'!Weekly_Adjusted,38,11)</f>
        <v>0</v>
      </c>
      <c r="EK80" s="143">
        <f>INDEX('File 16'!Weekly_Adjusted,38,12)</f>
        <v>0</v>
      </c>
      <c r="EL80" s="142">
        <f>INDEX('File 17'!Weekly_Adjusted,38,10)</f>
        <v>0</v>
      </c>
      <c r="EM80" s="142">
        <f>INDEX('File 17'!Weekly_Adjusted,38,11)</f>
        <v>0</v>
      </c>
      <c r="EN80" s="142">
        <f>INDEX('File 17'!Weekly_Adjusted,38,12)</f>
        <v>0</v>
      </c>
      <c r="EO80" s="143">
        <f>INDEX('File 18'!Weekly_Adjusted,38,10)</f>
        <v>0</v>
      </c>
      <c r="EP80" s="143">
        <f>INDEX('File 18'!Weekly_Adjusted,38,11)</f>
        <v>0</v>
      </c>
      <c r="EQ80" s="143">
        <f>INDEX('File 18'!Weekly_Adjusted,38,12)</f>
        <v>0</v>
      </c>
      <c r="ER80" s="142">
        <f>INDEX('File 19'!Weekly_Adjusted,38,10)</f>
        <v>0</v>
      </c>
      <c r="ES80" s="142">
        <f>INDEX('File 19'!Weekly_Adjusted,38,11)</f>
        <v>0</v>
      </c>
      <c r="ET80" s="142">
        <f>INDEX('File 19'!Weekly_Adjusted,38,12)</f>
        <v>0</v>
      </c>
      <c r="EU80" s="143">
        <f>INDEX('File 20'!Weekly_Adjusted,38,10)</f>
        <v>0</v>
      </c>
      <c r="EV80" s="143">
        <f>INDEX('File 20'!Weekly_Adjusted,38,11)</f>
        <v>0</v>
      </c>
      <c r="EW80" s="143">
        <f>INDEX('File 20'!Weekly_Adjusted,38,12)</f>
        <v>0</v>
      </c>
      <c r="EX80" s="6">
        <f ca="1">SUMIFS(INDEX(Capacity_Activity_Weekly,ROW(A38),0),Demand_Activity_Weekly_Header,CJ$42)</f>
        <v>24.344712210866053</v>
      </c>
      <c r="EY80" s="6">
        <f ca="1">SUMIFS(INDEX(Capacity_Activity_Weekly,ROW(B38),0),Demand_Activity_Weekly_Header,CK$42)</f>
        <v>0</v>
      </c>
      <c r="EZ80" s="6">
        <f ca="1">SUMIFS(INDEX(Capacity_Activity_Weekly,ROW(C38),0),Demand_Activity_Weekly_Header,CL$42)</f>
        <v>0</v>
      </c>
      <c r="FA80" s="6">
        <f ca="1">SUMIFS(INDEX(Capacity_Activity_Weekly,ROW(D38),0),Demand_Activity_Weekly_Header,CM$42)</f>
        <v>0</v>
      </c>
      <c r="FB80" s="6">
        <f ca="1">SUMIFS(INDEX(Capacity_Activity_Weekly,ROW(E38),0),Demand_Activity_Weekly_Header,CN$42)</f>
        <v>0</v>
      </c>
      <c r="FD80" s="7">
        <f>'File 1'!$Q$54*'Time based aggregation (hide)'!$Q42</f>
        <v>0</v>
      </c>
      <c r="FE80" s="7">
        <f>'File 1'!$R$54*'Time based aggregation (hide)'!$R42</f>
        <v>0</v>
      </c>
      <c r="FF80" s="7">
        <f>'File 1'!$S$54*'Time based aggregation (hide)'!$S42</f>
        <v>0</v>
      </c>
      <c r="FG80" s="7">
        <f>'File 2'!$Q$54*'Time based aggregation (hide)'!$T42</f>
        <v>0</v>
      </c>
      <c r="FH80" s="7">
        <f>'File 2'!$R$54*'Time based aggregation (hide)'!$U42</f>
        <v>0</v>
      </c>
      <c r="FI80" s="7">
        <f>'File 2'!$S$54*'Time based aggregation (hide)'!$V42</f>
        <v>0</v>
      </c>
      <c r="FJ80" s="7">
        <f>'File 3'!$Q$54*'Time based aggregation (hide)'!$W42</f>
        <v>0</v>
      </c>
      <c r="FK80" s="7">
        <f>'File 3'!$R$54*'Time based aggregation (hide)'!$X42</f>
        <v>0</v>
      </c>
      <c r="FL80" s="7">
        <f>'File 3'!$S$54*'Time based aggregation (hide)'!$Y42</f>
        <v>0</v>
      </c>
      <c r="FM80" s="7">
        <f>'File 4'!$Q$54*'Time based aggregation (hide)'!$Z42</f>
        <v>0</v>
      </c>
      <c r="FN80" s="7">
        <f>'File 4'!$R$54*'Time based aggregation (hide)'!$AA42</f>
        <v>0</v>
      </c>
      <c r="FO80" s="7">
        <f>'File 4'!$S$54*'Time based aggregation (hide)'!$AB42</f>
        <v>0</v>
      </c>
      <c r="FP80" s="7">
        <f>'File 5'!$Q$54*'Time based aggregation (hide)'!$AC42</f>
        <v>0</v>
      </c>
      <c r="FQ80" s="7">
        <f>'File 5'!$R$54*'Time based aggregation (hide)'!$AD42</f>
        <v>0</v>
      </c>
      <c r="FR80" s="7">
        <f>'File 5'!$S$54*'Time based aggregation (hide)'!$AE42</f>
        <v>0</v>
      </c>
      <c r="FS80" s="7">
        <f>'File 6'!$Q$54*'Time based aggregation (hide)'!$AF42</f>
        <v>0</v>
      </c>
      <c r="FT80" s="7">
        <f>'File 6'!$R$54*'Time based aggregation (hide)'!$AG42</f>
        <v>0</v>
      </c>
      <c r="FU80" s="7">
        <f>'File 6'!$S$54*'Time based aggregation (hide)'!$AH42</f>
        <v>0</v>
      </c>
      <c r="FV80" s="7">
        <f>'File 7'!$Q$54*'Time based aggregation (hide)'!$AI42</f>
        <v>0</v>
      </c>
      <c r="FW80" s="7">
        <f>'File 7'!$R$54*'Time based aggregation (hide)'!$AJ42</f>
        <v>0</v>
      </c>
      <c r="FX80" s="7">
        <f>'File 7'!$S$54*'Time based aggregation (hide)'!$AK42</f>
        <v>0</v>
      </c>
      <c r="FY80" s="7">
        <f>'File 8'!$Q$54*'Time based aggregation (hide)'!$AL42</f>
        <v>0</v>
      </c>
      <c r="FZ80" s="7">
        <f>'File 8'!$R$54*'Time based aggregation (hide)'!$AM42</f>
        <v>0</v>
      </c>
      <c r="GA80" s="7">
        <f>'File 8'!$S$54*'Time based aggregation (hide)'!$AN42</f>
        <v>0</v>
      </c>
      <c r="GB80" s="7">
        <f>'File 9'!$Q$54*'Time based aggregation (hide)'!$AO42</f>
        <v>0</v>
      </c>
      <c r="GC80" s="7">
        <f>'File 9'!$R$54*'Time based aggregation (hide)'!$AP42</f>
        <v>0</v>
      </c>
      <c r="GD80" s="7">
        <f>'File 9'!$S$54*'Time based aggregation (hide)'!$AQ42</f>
        <v>0</v>
      </c>
      <c r="GE80" s="7">
        <f>'File 10'!$Q$54*'Time based aggregation (hide)'!$AR42</f>
        <v>0</v>
      </c>
      <c r="GF80" s="7">
        <f>'File 10'!$R$54*'Time based aggregation (hide)'!$AS42</f>
        <v>0</v>
      </c>
      <c r="GG80" s="7">
        <f>'File 10'!$S$54*'Time based aggregation (hide)'!$AT42</f>
        <v>0</v>
      </c>
      <c r="GH80" s="7">
        <f>'File 11'!$Q$54*'Time based aggregation (hide)'!$AU42</f>
        <v>0</v>
      </c>
      <c r="GI80" s="7">
        <f>'File 11'!$R$54*'Time based aggregation (hide)'!$AV42</f>
        <v>0</v>
      </c>
      <c r="GJ80" s="7">
        <f>'File 11'!$S$54*'Time based aggregation (hide)'!$AW42</f>
        <v>0</v>
      </c>
      <c r="GK80" s="7">
        <f>'File 12'!$Q$54*'Time based aggregation (hide)'!$AX42</f>
        <v>0</v>
      </c>
      <c r="GL80" s="7">
        <f>'File 12'!$R$54*'Time based aggregation (hide)'!$AY42</f>
        <v>0</v>
      </c>
      <c r="GM80" s="7">
        <f>'File 12'!$S$54*'Time based aggregation (hide)'!$AZ42</f>
        <v>0</v>
      </c>
      <c r="GN80" s="7">
        <f>'File 13'!$Q$54*'Time based aggregation (hide)'!$BA42</f>
        <v>0</v>
      </c>
      <c r="GO80" s="7">
        <f>'File 13'!$R$54*'Time based aggregation (hide)'!$BB42</f>
        <v>0</v>
      </c>
      <c r="GP80" s="7">
        <f>'File 13'!$S$54*'Time based aggregation (hide)'!$BC42</f>
        <v>0</v>
      </c>
      <c r="GQ80" s="7">
        <f>'File 14'!$Q$54*'Time based aggregation (hide)'!$BD42</f>
        <v>0</v>
      </c>
      <c r="GR80" s="7">
        <f>'File 14'!$R$54*'Time based aggregation (hide)'!$BE42</f>
        <v>0</v>
      </c>
      <c r="GS80" s="7">
        <f>'File 14'!$S$54*'Time based aggregation (hide)'!$BF42</f>
        <v>0</v>
      </c>
      <c r="GT80" s="7">
        <f>'File 15'!$Q$54*'Time based aggregation (hide)'!$BG42</f>
        <v>0</v>
      </c>
      <c r="GU80" s="7">
        <f>'File 15'!$R$54*'Time based aggregation (hide)'!$BH42</f>
        <v>0</v>
      </c>
      <c r="GV80" s="7">
        <f>'File 15'!$S$54*'Time based aggregation (hide)'!$BI42</f>
        <v>0</v>
      </c>
      <c r="GW80" s="7">
        <f>'File 16'!$Q$54*'Time based aggregation (hide)'!$BJ42</f>
        <v>0</v>
      </c>
      <c r="GX80" s="7">
        <f>'File 16'!$R$54*'Time based aggregation (hide)'!$BK42</f>
        <v>0</v>
      </c>
      <c r="GY80" s="7">
        <f>'File 16'!$S$54*'Time based aggregation (hide)'!$BL42</f>
        <v>0</v>
      </c>
      <c r="GZ80" s="7">
        <f>'File 17'!$Q$54*'Time based aggregation (hide)'!$BM42</f>
        <v>0</v>
      </c>
      <c r="HA80" s="7">
        <f>'File 17'!$R$54*'Time based aggregation (hide)'!$BN42</f>
        <v>0</v>
      </c>
      <c r="HB80" s="7">
        <f>'File 17'!$S$54*'Time based aggregation (hide)'!$BO42</f>
        <v>0</v>
      </c>
      <c r="HC80" s="7">
        <f>'File 18'!$Q$54*'Time based aggregation (hide)'!$BP42</f>
        <v>0</v>
      </c>
      <c r="HD80" s="7">
        <f>'File 18'!$R$54*'Time based aggregation (hide)'!$BQ42</f>
        <v>0</v>
      </c>
      <c r="HE80" s="7">
        <f>'File 18'!$S$54*'Time based aggregation (hide)'!$BR42</f>
        <v>0</v>
      </c>
      <c r="HF80" s="7">
        <f>'File 19'!$Q$54*'Time based aggregation (hide)'!$BS42</f>
        <v>0</v>
      </c>
      <c r="HG80" s="7">
        <f>'File 19'!$R$54*'Time based aggregation (hide)'!$BT42</f>
        <v>0</v>
      </c>
      <c r="HH80" s="7">
        <f>'File 19'!$S$54*'Time based aggregation (hide)'!$BU42</f>
        <v>0</v>
      </c>
      <c r="HI80" s="7">
        <f>'File 20'!$Q$54*'Time based aggregation (hide)'!$BV42</f>
        <v>0</v>
      </c>
      <c r="HJ80" s="7">
        <f>'File 20'!$R$54*'Time based aggregation (hide)'!$BW42</f>
        <v>0</v>
      </c>
      <c r="HK80" s="7">
        <f>'File 20'!$S$54*'Time based aggregation (hide)'!$BX42</f>
        <v>0</v>
      </c>
      <c r="HL80" s="7">
        <f t="shared" ca="1" si="45"/>
        <v>0</v>
      </c>
      <c r="HM80" s="7">
        <f t="shared" ca="1" si="45"/>
        <v>0</v>
      </c>
      <c r="HN80" s="7">
        <f t="shared" ca="1" si="45"/>
        <v>0</v>
      </c>
      <c r="HO80" s="7">
        <f t="shared" ca="1" si="45"/>
        <v>0</v>
      </c>
      <c r="HP80" s="7">
        <f t="shared" ca="1" si="45"/>
        <v>0</v>
      </c>
      <c r="HR80" s="142">
        <f>INDEX('File 1'!Weekly_Adjusted,38,16)</f>
        <v>20.933351264120493</v>
      </c>
      <c r="HS80" s="142">
        <f>INDEX('File 1'!Weekly_Adjusted,38,17)</f>
        <v>0</v>
      </c>
      <c r="HT80" s="142">
        <f>INDEX('File 1'!Weekly_Adjusted,38,18)</f>
        <v>0</v>
      </c>
      <c r="HU80" s="143">
        <f>INDEX('File 2'!Weekly_Adjusted,38,16)</f>
        <v>0</v>
      </c>
      <c r="HV80" s="143">
        <f>INDEX('File 2'!Weekly_Adjusted,38,17)</f>
        <v>0</v>
      </c>
      <c r="HW80" s="143">
        <f>INDEX('File 2'!Weekly_Adjusted,38,18)</f>
        <v>0</v>
      </c>
      <c r="HX80" s="142">
        <f>INDEX('File 3'!Weekly_Adjusted,38,16)</f>
        <v>0</v>
      </c>
      <c r="HY80" s="142">
        <f>INDEX('File 3'!Weekly_Adjusted,38,17)</f>
        <v>0</v>
      </c>
      <c r="HZ80" s="142">
        <f>INDEX('File 3'!Weekly_Adjusted,38,18)</f>
        <v>0</v>
      </c>
      <c r="IA80" s="143">
        <f>INDEX('File 4'!Weekly_Adjusted,38,16)</f>
        <v>0</v>
      </c>
      <c r="IB80" s="143">
        <f>INDEX('File 4'!Weekly_Adjusted,38,17)</f>
        <v>0</v>
      </c>
      <c r="IC80" s="143">
        <f>INDEX('File 4'!Weekly_Adjusted,38,18)</f>
        <v>0</v>
      </c>
      <c r="ID80" s="142">
        <f>INDEX('File 5'!Weekly_Adjusted,38,16)</f>
        <v>0</v>
      </c>
      <c r="IE80" s="142">
        <f>INDEX('File 5'!Weekly_Adjusted,38,17)</f>
        <v>0</v>
      </c>
      <c r="IF80" s="142">
        <f>INDEX('File 5'!Weekly_Adjusted,38,18)</f>
        <v>0</v>
      </c>
      <c r="IG80" s="143">
        <f>INDEX('File 6'!Weekly_Adjusted,38,16)</f>
        <v>0</v>
      </c>
      <c r="IH80" s="143">
        <f>INDEX('File 6'!Weekly_Adjusted,38,17)</f>
        <v>0</v>
      </c>
      <c r="II80" s="143">
        <f>INDEX('File 6'!Weekly_Adjusted,38,18)</f>
        <v>0</v>
      </c>
      <c r="IJ80" s="142">
        <f>INDEX('File 7'!Weekly_Adjusted,38,16)</f>
        <v>0</v>
      </c>
      <c r="IK80" s="142">
        <f>INDEX('File 7'!Weekly_Adjusted,38,17)</f>
        <v>0</v>
      </c>
      <c r="IL80" s="142">
        <f>INDEX('File 7'!Weekly_Adjusted,38,18)</f>
        <v>0</v>
      </c>
      <c r="IM80" s="143">
        <f>INDEX('File 8'!Weekly_Adjusted,38,16)</f>
        <v>0</v>
      </c>
      <c r="IN80" s="143">
        <f>INDEX('File 8'!Weekly_Adjusted,38,17)</f>
        <v>0</v>
      </c>
      <c r="IO80" s="143">
        <f>INDEX('File 8'!Weekly_Adjusted,38,18)</f>
        <v>0</v>
      </c>
      <c r="IP80" s="142">
        <f>INDEX('File 9'!Weekly_Adjusted,38,16)</f>
        <v>0</v>
      </c>
      <c r="IQ80" s="142">
        <f>INDEX('File 9'!Weekly_Adjusted,38,17)</f>
        <v>0</v>
      </c>
      <c r="IR80" s="142">
        <f>INDEX('File 9'!Weekly_Adjusted,38,18)</f>
        <v>0</v>
      </c>
      <c r="IS80" s="143">
        <f>INDEX('File 10'!Weekly_Adjusted,38,16)</f>
        <v>0</v>
      </c>
      <c r="IT80" s="143">
        <f>INDEX('File 10'!Weekly_Adjusted,38,17)</f>
        <v>0</v>
      </c>
      <c r="IU80" s="143">
        <f>INDEX('File 10'!Weekly_Adjusted,38,18)</f>
        <v>0</v>
      </c>
      <c r="IV80" s="142">
        <f>INDEX('File 11'!Weekly_Adjusted,38,16)</f>
        <v>0</v>
      </c>
      <c r="IW80" s="142">
        <f>INDEX('File 11'!Weekly_Adjusted,38,17)</f>
        <v>0</v>
      </c>
      <c r="IX80" s="142">
        <f>INDEX('File 11'!Weekly_Adjusted,38,18)</f>
        <v>0</v>
      </c>
      <c r="IY80" s="143">
        <f>INDEX('File 12'!Weekly_Adjusted,38,16)</f>
        <v>0</v>
      </c>
      <c r="IZ80" s="143">
        <f>INDEX('File 12'!Weekly_Adjusted,38,17)</f>
        <v>0</v>
      </c>
      <c r="JA80" s="143">
        <f>INDEX('File 12'!Weekly_Adjusted,38,18)</f>
        <v>0</v>
      </c>
      <c r="JB80" s="142">
        <f>INDEX('File 13'!Weekly_Adjusted,38,16)</f>
        <v>0</v>
      </c>
      <c r="JC80" s="142">
        <f>INDEX('File 13'!Weekly_Adjusted,38,17)</f>
        <v>0</v>
      </c>
      <c r="JD80" s="142">
        <f>INDEX('File 13'!Weekly_Adjusted,38,18)</f>
        <v>0</v>
      </c>
      <c r="JE80" s="143">
        <f>INDEX('File 14'!Weekly_Adjusted,38,16)</f>
        <v>0</v>
      </c>
      <c r="JF80" s="143">
        <f>INDEX('File 14'!Weekly_Adjusted,38,17)</f>
        <v>0</v>
      </c>
      <c r="JG80" s="143">
        <f>INDEX('File 14'!Weekly_Adjusted,38,18)</f>
        <v>0</v>
      </c>
      <c r="JH80" s="142">
        <f>INDEX('File 15'!Weekly_Adjusted,38,16)</f>
        <v>0</v>
      </c>
      <c r="JI80" s="142">
        <f>INDEX('File 15'!Weekly_Adjusted,38,17)</f>
        <v>0</v>
      </c>
      <c r="JJ80" s="142">
        <f>INDEX('File 15'!Weekly_Adjusted,38,18)</f>
        <v>0</v>
      </c>
      <c r="JK80" s="143">
        <f>INDEX('File 16'!Weekly_Adjusted,38,16)</f>
        <v>0</v>
      </c>
      <c r="JL80" s="143">
        <f>INDEX('File 16'!Weekly_Adjusted,38,17)</f>
        <v>0</v>
      </c>
      <c r="JM80" s="143">
        <f>INDEX('File 16'!Weekly_Adjusted,38,18)</f>
        <v>0</v>
      </c>
      <c r="JN80" s="142">
        <f>INDEX('File 17'!Weekly_Adjusted,38,16)</f>
        <v>0</v>
      </c>
      <c r="JO80" s="142">
        <f>INDEX('File 17'!Weekly_Adjusted,38,17)</f>
        <v>0</v>
      </c>
      <c r="JP80" s="142">
        <f>INDEX('File 17'!Weekly_Adjusted,38,18)</f>
        <v>0</v>
      </c>
      <c r="JQ80" s="143">
        <f>INDEX('File 18'!Weekly_Adjusted,38,16)</f>
        <v>0</v>
      </c>
      <c r="JR80" s="143">
        <f>INDEX('File 18'!Weekly_Adjusted,38,17)</f>
        <v>0</v>
      </c>
      <c r="JS80" s="143">
        <f>INDEX('File 18'!Weekly_Adjusted,38,18)</f>
        <v>0</v>
      </c>
      <c r="JT80" s="142">
        <f>INDEX('File 19'!Weekly_Adjusted,38,16)</f>
        <v>0</v>
      </c>
      <c r="JU80" s="142">
        <f>INDEX('File 19'!Weekly_Adjusted,38,17)</f>
        <v>0</v>
      </c>
      <c r="JV80" s="142">
        <f>INDEX('File 19'!Weekly_Adjusted,38,18)</f>
        <v>0</v>
      </c>
      <c r="JW80" s="143">
        <f>INDEX('File 20'!Weekly_Adjusted,38,16)</f>
        <v>0</v>
      </c>
      <c r="JX80" s="143">
        <f>INDEX('File 20'!Weekly_Adjusted,38,17)</f>
        <v>0</v>
      </c>
      <c r="JY80" s="143">
        <f>INDEX('File 20'!Weekly_Adjusted,38,18)</f>
        <v>0</v>
      </c>
      <c r="JZ80" s="6">
        <f ca="1">SUMIFS(INDEX(CapacityCore_Activity_Weekly,ROW(EC38),0),Demand_Activity_Weekly_Header,HL$42)</f>
        <v>20.933351264120493</v>
      </c>
      <c r="KA80" s="6">
        <f ca="1">SUMIFS(INDEX(CapacityCore_Activity_Weekly,ROW(ED38),0),Demand_Activity_Weekly_Header,HM$42)</f>
        <v>0</v>
      </c>
      <c r="KB80" s="6">
        <f ca="1">SUMIFS(INDEX(CapacityCore_Activity_Weekly,ROW(EE38),0),Demand_Activity_Weekly_Header,HN$42)</f>
        <v>0</v>
      </c>
      <c r="KC80" s="6">
        <f ca="1">SUMIFS(INDEX(CapacityCore_Activity_Weekly,ROW(EF38),0),Demand_Activity_Weekly_Header,HO$42)</f>
        <v>0</v>
      </c>
      <c r="KD80" s="6">
        <f ca="1">SUMIFS(INDEX(CapacityCore_Activity_Weekly,ROW(EG38),0),Demand_Activity_Weekly_Header,HP$42)</f>
        <v>0</v>
      </c>
      <c r="KF80" s="6">
        <f>SUMIFS('Time based aggregation (hide)'!$J:$J,'Time based aggregation (hide)'!$E:$E,1,'Time based aggregation (hide)'!$F:$F,1,'Time based aggregation (hide)'!$A:$A,ROW(A38))</f>
        <v>0</v>
      </c>
      <c r="KG80" s="6">
        <f>SUMIFS('Time based aggregation (hide)'!$J:$J,'Time based aggregation (hide)'!$E:$E,1,'Time based aggregation (hide)'!$F:$F,2,'Time based aggregation (hide)'!$A:$A,ROW(A38))</f>
        <v>0</v>
      </c>
      <c r="KH80" s="6">
        <f>SUMIFS('Time based aggregation (hide)'!$J:$J,'Time based aggregation (hide)'!$E:$E,1,'Time based aggregation (hide)'!$F:$F,3,'Time based aggregation (hide)'!$A:$A,ROW(A38))</f>
        <v>0</v>
      </c>
      <c r="KI80" s="6">
        <f>SUMIFS('Time based aggregation (hide)'!$J:$J,'Time based aggregation (hide)'!$E:$E,2,'Time based aggregation (hide)'!$F:$F,1,'Time based aggregation (hide)'!$A:$A,ROW(A38))</f>
        <v>0</v>
      </c>
      <c r="KJ80" s="6">
        <f>SUMIFS('Time based aggregation (hide)'!$J:$J,'Time based aggregation (hide)'!$E:$E,2,'Time based aggregation (hide)'!$F:$F,2,'Time based aggregation (hide)'!$A:$A,ROW(A38))</f>
        <v>0</v>
      </c>
      <c r="KK80" s="6">
        <f>SUMIFS('Time based aggregation (hide)'!$J:$J,'Time based aggregation (hide)'!$E:$E,2,'Time based aggregation (hide)'!$F:$F,3,'Time based aggregation (hide)'!$A:$A,ROW(A38))</f>
        <v>0</v>
      </c>
      <c r="KL80" s="6">
        <f>SUMIFS('Time based aggregation (hide)'!$J:$J,'Time based aggregation (hide)'!$E:$E,3,'Time based aggregation (hide)'!$F:$F,1,'Time based aggregation (hide)'!$A:$A,ROW(A38))</f>
        <v>0</v>
      </c>
      <c r="KM80" s="6">
        <f>SUMIFS('Time based aggregation (hide)'!$J:$J,'Time based aggregation (hide)'!$E:$E,3,'Time based aggregation (hide)'!$F:$F,2,'Time based aggregation (hide)'!$A:$A,ROW(A38))</f>
        <v>0</v>
      </c>
      <c r="KN80" s="6">
        <f>SUMIFS('Time based aggregation (hide)'!$J:$J,'Time based aggregation (hide)'!$E:$E,3,'Time based aggregation (hide)'!$F:$F,3,'Time based aggregation (hide)'!$A:$A,ROW(A38))</f>
        <v>0</v>
      </c>
      <c r="KO80" s="6">
        <f>SUMIFS('Time based aggregation (hide)'!$J:$J,'Time based aggregation (hide)'!$E:$E,4,'Time based aggregation (hide)'!$F:$F,1,'Time based aggregation (hide)'!$A:$A,ROW(A38))</f>
        <v>0</v>
      </c>
      <c r="KP80" s="6">
        <f>SUMIFS('Time based aggregation (hide)'!$J:$J,'Time based aggregation (hide)'!$E:$E,4,'Time based aggregation (hide)'!$F:$F,2,'Time based aggregation (hide)'!$A:$A,ROW(A38))</f>
        <v>0</v>
      </c>
      <c r="KQ80" s="6">
        <f>SUMIFS('Time based aggregation (hide)'!$J:$J,'Time based aggregation (hide)'!$E:$E,4,'Time based aggregation (hide)'!$F:$F,3,'Time based aggregation (hide)'!$A:$A,ROW(A38))</f>
        <v>0</v>
      </c>
      <c r="KR80" s="6">
        <f>SUMIFS('Time based aggregation (hide)'!$J:$J,'Time based aggregation (hide)'!$E:$E,5,'Time based aggregation (hide)'!$F:$F,1,'Time based aggregation (hide)'!$A:$A,ROW(A38))</f>
        <v>0</v>
      </c>
      <c r="KS80" s="6">
        <f>SUMIFS('Time based aggregation (hide)'!$J:$J,'Time based aggregation (hide)'!$E:$E,5,'Time based aggregation (hide)'!$F:$F,2,'Time based aggregation (hide)'!$A:$A,ROW(A38))</f>
        <v>0</v>
      </c>
      <c r="KT80" s="6">
        <f>SUMIFS('Time based aggregation (hide)'!$J:$J,'Time based aggregation (hide)'!$E:$E,5,'Time based aggregation (hide)'!$F:$F,3,'Time based aggregation (hide)'!$A:$A,ROW(A38))</f>
        <v>0</v>
      </c>
      <c r="KU80" s="6">
        <f>SUMIFS('Time based aggregation (hide)'!$J:$J,'Time based aggregation (hide)'!$E:$E,6,'Time based aggregation (hide)'!$F:$F,1,'Time based aggregation (hide)'!$A:$A,ROW(A38))</f>
        <v>0</v>
      </c>
      <c r="KV80" s="6">
        <f>SUMIFS('Time based aggregation (hide)'!$J:$J,'Time based aggregation (hide)'!$E:$E,6,'Time based aggregation (hide)'!$F:$F,2,'Time based aggregation (hide)'!$A:$A,ROW(A38))</f>
        <v>0</v>
      </c>
      <c r="KW80" s="6">
        <f>SUMIFS('Time based aggregation (hide)'!$J:$J,'Time based aggregation (hide)'!$E:$E,6,'Time based aggregation (hide)'!$F:$F,3,'Time based aggregation (hide)'!$A:$A,ROW(A38))</f>
        <v>0</v>
      </c>
      <c r="KX80" s="6">
        <f>SUMIFS('Time based aggregation (hide)'!$J:$J,'Time based aggregation (hide)'!$E:$E,7,'Time based aggregation (hide)'!$F:$F,1,'Time based aggregation (hide)'!$A:$A,ROW(A38))</f>
        <v>0</v>
      </c>
      <c r="KY80" s="6">
        <f>SUMIFS('Time based aggregation (hide)'!$J:$J,'Time based aggregation (hide)'!$E:$E,7,'Time based aggregation (hide)'!$F:$F,2,'Time based aggregation (hide)'!$A:$A,ROW(A38))</f>
        <v>0</v>
      </c>
      <c r="KZ80" s="6">
        <f>SUMIFS('Time based aggregation (hide)'!$J:$J,'Time based aggregation (hide)'!$E:$E,7,'Time based aggregation (hide)'!$F:$F,3,'Time based aggregation (hide)'!$A:$A,ROW(A38))</f>
        <v>0</v>
      </c>
      <c r="LA80" s="6">
        <f>SUMIFS('Time based aggregation (hide)'!$J:$J,'Time based aggregation (hide)'!$E:$E,8,'Time based aggregation (hide)'!$F:$F,1,'Time based aggregation (hide)'!$A:$A,ROW(A38))</f>
        <v>0</v>
      </c>
      <c r="LB80" s="6">
        <f>SUMIFS('Time based aggregation (hide)'!$J:$J,'Time based aggregation (hide)'!$E:$E,8,'Time based aggregation (hide)'!$F:$F,2,'Time based aggregation (hide)'!$A:$A,ROW(A38))</f>
        <v>0</v>
      </c>
      <c r="LC80" s="6">
        <f>SUMIFS('Time based aggregation (hide)'!$J:$J,'Time based aggregation (hide)'!$E:$E,8,'Time based aggregation (hide)'!$F:$F,3,'Time based aggregation (hide)'!$A:$A,ROW(A38))</f>
        <v>0</v>
      </c>
      <c r="LD80" s="6">
        <f>SUMIFS('Time based aggregation (hide)'!$J:$J,'Time based aggregation (hide)'!$E:$E,9,'Time based aggregation (hide)'!$F:$F,1,'Time based aggregation (hide)'!$A:$A,ROW(A38))</f>
        <v>0</v>
      </c>
      <c r="LE80" s="6">
        <f>SUMIFS('Time based aggregation (hide)'!$J:$J,'Time based aggregation (hide)'!$E:$E,9,'Time based aggregation (hide)'!$F:$F,2,'Time based aggregation (hide)'!$A:$A,ROW(A38))</f>
        <v>0</v>
      </c>
      <c r="LF80" s="6">
        <f>SUMIFS('Time based aggregation (hide)'!$J:$J,'Time based aggregation (hide)'!$E:$E,9,'Time based aggregation (hide)'!$F:$F,3,'Time based aggregation (hide)'!$A:$A,ROW(A38))</f>
        <v>0</v>
      </c>
      <c r="LG80" s="6">
        <f>SUMIFS('Time based aggregation (hide)'!$J:$J,'Time based aggregation (hide)'!$E:$E,10,'Time based aggregation (hide)'!$F:$F,1,'Time based aggregation (hide)'!$A:$A,ROW(A38))</f>
        <v>0</v>
      </c>
      <c r="LH80" s="6">
        <f>SUMIFS('Time based aggregation (hide)'!$J:$J,'Time based aggregation (hide)'!$E:$E,10,'Time based aggregation (hide)'!$F:$F,2,'Time based aggregation (hide)'!$A:$A,ROW(A38))</f>
        <v>0</v>
      </c>
      <c r="LI80" s="6">
        <f>SUMIFS('Time based aggregation (hide)'!$J:$J,'Time based aggregation (hide)'!$E:$E,10,'Time based aggregation (hide)'!$F:$F,3,'Time based aggregation (hide)'!$A:$A,ROW(A38))</f>
        <v>0</v>
      </c>
      <c r="LJ80" s="6">
        <f>SUMIFS('Time based aggregation (hide)'!$J:$J,'Time based aggregation (hide)'!$E:$E,11,'Time based aggregation (hide)'!$F:$F,1,'Time based aggregation (hide)'!$A:$A,ROW(A38))</f>
        <v>0</v>
      </c>
      <c r="LK80" s="6">
        <f>SUMIFS('Time based aggregation (hide)'!$J:$J,'Time based aggregation (hide)'!$E:$E,11,'Time based aggregation (hide)'!$F:$F,2,'Time based aggregation (hide)'!$A:$A,ROW(A38))</f>
        <v>0</v>
      </c>
      <c r="LL80" s="6">
        <f>SUMIFS('Time based aggregation (hide)'!$J:$J,'Time based aggregation (hide)'!$E:$E,11,'Time based aggregation (hide)'!$F:$F,3,'Time based aggregation (hide)'!$A:$A,ROW(A38))</f>
        <v>0</v>
      </c>
      <c r="LM80" s="6">
        <f>SUMIFS('Time based aggregation (hide)'!$J:$J,'Time based aggregation (hide)'!$E:$E,12,'Time based aggregation (hide)'!$F:$F,1,'Time based aggregation (hide)'!$A:$A,ROW(A38))</f>
        <v>0</v>
      </c>
      <c r="LN80" s="6">
        <f>SUMIFS('Time based aggregation (hide)'!$J:$J,'Time based aggregation (hide)'!$E:$E,12,'Time based aggregation (hide)'!$F:$F,2,'Time based aggregation (hide)'!$A:$A,ROW(A38))</f>
        <v>0</v>
      </c>
      <c r="LO80" s="6">
        <f>SUMIFS('Time based aggregation (hide)'!$J:$J,'Time based aggregation (hide)'!$E:$E,12,'Time based aggregation (hide)'!$F:$F,3,'Time based aggregation (hide)'!$A:$A,ROW(A38))</f>
        <v>0</v>
      </c>
      <c r="LP80" s="6">
        <f>SUMIFS('Time based aggregation (hide)'!$J:$J,'Time based aggregation (hide)'!$E:$E,13,'Time based aggregation (hide)'!$F:$F,1,'Time based aggregation (hide)'!$A:$A,ROW(A38))</f>
        <v>0</v>
      </c>
      <c r="LQ80" s="6">
        <f>SUMIFS('Time based aggregation (hide)'!$J:$J,'Time based aggregation (hide)'!$E:$E,13,'Time based aggregation (hide)'!$F:$F,2,'Time based aggregation (hide)'!$A:$A,ROW(A38))</f>
        <v>0</v>
      </c>
      <c r="LR80" s="6">
        <f>SUMIFS('Time based aggregation (hide)'!$J:$J,'Time based aggregation (hide)'!$E:$E,13,'Time based aggregation (hide)'!$F:$F,3,'Time based aggregation (hide)'!$A:$A,ROW(A38))</f>
        <v>0</v>
      </c>
      <c r="LS80" s="6">
        <f>SUMIFS('Time based aggregation (hide)'!$J:$J,'Time based aggregation (hide)'!$E:$E,14,'Time based aggregation (hide)'!$F:$F,1,'Time based aggregation (hide)'!$A:$A,ROW(A38))</f>
        <v>0</v>
      </c>
      <c r="LT80" s="6">
        <f>SUMIFS('Time based aggregation (hide)'!$J:$J,'Time based aggregation (hide)'!$E:$E,14,'Time based aggregation (hide)'!$F:$F,2,'Time based aggregation (hide)'!$A:$A,ROW(A38))</f>
        <v>0</v>
      </c>
      <c r="LU80" s="6">
        <f>SUMIFS('Time based aggregation (hide)'!$J:$J,'Time based aggregation (hide)'!$E:$E,14,'Time based aggregation (hide)'!$F:$F,3,'Time based aggregation (hide)'!$A:$A,ROW(A38))</f>
        <v>0</v>
      </c>
      <c r="LV80" s="6">
        <f>SUMIFS('Time based aggregation (hide)'!$J:$J,'Time based aggregation (hide)'!$E:$E,15,'Time based aggregation (hide)'!$F:$F,1,'Time based aggregation (hide)'!$A:$A,ROW(A38))</f>
        <v>0</v>
      </c>
      <c r="LW80" s="6">
        <f>SUMIFS('Time based aggregation (hide)'!$J:$J,'Time based aggregation (hide)'!$E:$E,15,'Time based aggregation (hide)'!$F:$F,2,'Time based aggregation (hide)'!$A:$A,ROW(A38))</f>
        <v>0</v>
      </c>
      <c r="LX80" s="6">
        <f>SUMIFS('Time based aggregation (hide)'!$J:$J,'Time based aggregation (hide)'!$E:$E,15,'Time based aggregation (hide)'!$F:$F,3,'Time based aggregation (hide)'!$A:$A,ROW(A38))</f>
        <v>0</v>
      </c>
      <c r="LY80" s="6">
        <f>SUMIFS('Time based aggregation (hide)'!$J:$J,'Time based aggregation (hide)'!$E:$E,16,'Time based aggregation (hide)'!$F:$F,1,'Time based aggregation (hide)'!$A:$A,ROW(A38))</f>
        <v>0</v>
      </c>
      <c r="LZ80" s="6">
        <f>SUMIFS('Time based aggregation (hide)'!$J:$J,'Time based aggregation (hide)'!$E:$E,16,'Time based aggregation (hide)'!$F:$F,2,'Time based aggregation (hide)'!$A:$A,ROW(A38))</f>
        <v>0</v>
      </c>
      <c r="MA80" s="6">
        <f>SUMIFS('Time based aggregation (hide)'!$J:$J,'Time based aggregation (hide)'!$E:$E,16,'Time based aggregation (hide)'!$F:$F,3,'Time based aggregation (hide)'!$A:$A,ROW(A38))</f>
        <v>0</v>
      </c>
      <c r="MB80" s="6">
        <f>SUMIFS('Time based aggregation (hide)'!$J:$J,'Time based aggregation (hide)'!$E:$E,17,'Time based aggregation (hide)'!$F:$F,1,'Time based aggregation (hide)'!$A:$A,ROW(A38))</f>
        <v>0</v>
      </c>
      <c r="MC80" s="6">
        <f>SUMIFS('Time based aggregation (hide)'!$J:$J,'Time based aggregation (hide)'!$E:$E,17,'Time based aggregation (hide)'!$F:$F,2,'Time based aggregation (hide)'!$A:$A,ROW(A38))</f>
        <v>0</v>
      </c>
      <c r="MD80" s="6">
        <f>SUMIFS('Time based aggregation (hide)'!$J:$J,'Time based aggregation (hide)'!$E:$E,17,'Time based aggregation (hide)'!$F:$F,3,'Time based aggregation (hide)'!$A:$A,ROW(A38))</f>
        <v>0</v>
      </c>
      <c r="ME80" s="6">
        <f>SUMIFS('Time based aggregation (hide)'!$J:$J,'Time based aggregation (hide)'!$E:$E,18,'Time based aggregation (hide)'!$F:$F,1,'Time based aggregation (hide)'!$A:$A,ROW(A38))</f>
        <v>0</v>
      </c>
      <c r="MF80" s="6">
        <f>SUMIFS('Time based aggregation (hide)'!$J:$J,'Time based aggregation (hide)'!$E:$E,18,'Time based aggregation (hide)'!$F:$F,2,'Time based aggregation (hide)'!$A:$A,ROW(A38))</f>
        <v>0</v>
      </c>
      <c r="MG80" s="6">
        <f>SUMIFS('Time based aggregation (hide)'!$J:$J,'Time based aggregation (hide)'!$E:$E,18,'Time based aggregation (hide)'!$F:$F,3,'Time based aggregation (hide)'!$A:$A,ROW(A38))</f>
        <v>0</v>
      </c>
      <c r="MH80" s="6">
        <f>SUMIFS('Time based aggregation (hide)'!$J:$J,'Time based aggregation (hide)'!$E:$E,19,'Time based aggregation (hide)'!$F:$F,1,'Time based aggregation (hide)'!$A:$A,ROW(A38))</f>
        <v>0</v>
      </c>
      <c r="MI80" s="6">
        <f>SUMIFS('Time based aggregation (hide)'!$J:$J,'Time based aggregation (hide)'!$E:$E,19,'Time based aggregation (hide)'!$F:$F,2,'Time based aggregation (hide)'!$A:$A,ROW(A38))</f>
        <v>0</v>
      </c>
      <c r="MJ80" s="6">
        <f>SUMIFS('Time based aggregation (hide)'!$J:$J,'Time based aggregation (hide)'!$E:$E,19,'Time based aggregation (hide)'!$F:$F,3,'Time based aggregation (hide)'!$A:$A,ROW(A38))</f>
        <v>0</v>
      </c>
      <c r="MK80" s="6">
        <f>SUMIFS('Time based aggregation (hide)'!$J:$J,'Time based aggregation (hide)'!$E:$E,20,'Time based aggregation (hide)'!$F:$F,1,'Time based aggregation (hide)'!$A:$A,ROW(A38))</f>
        <v>0</v>
      </c>
      <c r="ML80" s="6">
        <f>SUMIFS('Time based aggregation (hide)'!$J:$J,'Time based aggregation (hide)'!$E:$E,20,'Time based aggregation (hide)'!$F:$F,2,'Time based aggregation (hide)'!$A:$A,ROW(A38))</f>
        <v>0</v>
      </c>
      <c r="MM80" s="6">
        <f>SUMIFS('Time based aggregation (hide)'!$J:$J,'Time based aggregation (hide)'!$E:$E,20,'Time based aggregation (hide)'!$F:$F,3,'Time based aggregation (hide)'!$A:$A,ROW(A38))</f>
        <v>0</v>
      </c>
      <c r="MN80" s="7">
        <f t="shared" ca="1" si="48"/>
        <v>0</v>
      </c>
      <c r="MO80" s="7">
        <f t="shared" ca="1" si="48"/>
        <v>0</v>
      </c>
      <c r="MP80" s="7">
        <f t="shared" ca="1" si="48"/>
        <v>0</v>
      </c>
      <c r="MQ80" s="7">
        <f t="shared" ca="1" si="48"/>
        <v>0</v>
      </c>
      <c r="MR80" s="7">
        <f t="shared" ca="1" si="48"/>
        <v>0</v>
      </c>
    </row>
    <row r="81" spans="1:356" x14ac:dyDescent="0.25">
      <c r="A81">
        <f>1</f>
        <v>1</v>
      </c>
      <c r="B81" s="85">
        <f t="shared" si="37"/>
        <v>43869</v>
      </c>
      <c r="C81" s="85">
        <f t="shared" si="25"/>
        <v>43864</v>
      </c>
      <c r="D81">
        <f t="shared" ca="1" si="26"/>
        <v>0</v>
      </c>
      <c r="E81" s="85">
        <f t="shared" si="27"/>
        <v>43862</v>
      </c>
      <c r="F81">
        <f t="shared" si="33"/>
        <v>6</v>
      </c>
      <c r="H81">
        <f t="shared" si="34"/>
        <v>39</v>
      </c>
      <c r="I81" s="85">
        <f t="shared" si="38"/>
        <v>44095</v>
      </c>
      <c r="J81">
        <f t="shared" ca="1" si="46"/>
        <v>5</v>
      </c>
      <c r="K81">
        <f t="shared" ca="1" si="47"/>
        <v>1.968503937007874E-2</v>
      </c>
      <c r="L81" s="114"/>
      <c r="N81" s="85">
        <f t="shared" si="35"/>
        <v>44095</v>
      </c>
      <c r="O81" s="122">
        <f t="shared" ca="1" si="44"/>
        <v>0</v>
      </c>
      <c r="P81" s="122">
        <f t="shared" ca="1" si="44"/>
        <v>0</v>
      </c>
      <c r="Q81" s="122">
        <f t="shared" ca="1" si="44"/>
        <v>0</v>
      </c>
      <c r="R81" s="122">
        <f t="shared" ca="1" si="44"/>
        <v>0</v>
      </c>
      <c r="S81" s="122">
        <f t="shared" ca="1" si="44"/>
        <v>0</v>
      </c>
      <c r="T81" s="122">
        <f t="shared" ca="1" si="44"/>
        <v>0</v>
      </c>
      <c r="U81" s="122">
        <f t="shared" ca="1" si="44"/>
        <v>0</v>
      </c>
      <c r="V81" s="122">
        <f t="shared" ca="1" si="44"/>
        <v>0</v>
      </c>
      <c r="W81" s="122">
        <f t="shared" ca="1" si="44"/>
        <v>1</v>
      </c>
      <c r="X81" s="122">
        <f t="shared" ca="1" si="44"/>
        <v>0</v>
      </c>
      <c r="Y81" s="122">
        <f t="shared" ca="1" si="44"/>
        <v>0</v>
      </c>
      <c r="Z81" s="122">
        <f t="shared" ca="1" si="44"/>
        <v>0</v>
      </c>
      <c r="AA81" s="122"/>
      <c r="AB81" s="140">
        <f>INDEX('File 1'!Weekly_Adjusted,39,1)</f>
        <v>388.17143954725253</v>
      </c>
      <c r="AC81" s="140">
        <f>INDEX('File 1'!Weekly_Adjusted,39,2)</f>
        <v>0</v>
      </c>
      <c r="AD81" s="140">
        <f>INDEX('File 1'!Weekly_Adjusted,39,3)</f>
        <v>0</v>
      </c>
      <c r="AE81" s="141">
        <f>INDEX('File 2'!Weekly_Adjusted,39,1)</f>
        <v>0</v>
      </c>
      <c r="AF81" s="141">
        <f>INDEX('File 2'!Weekly_Adjusted,39,2)</f>
        <v>0</v>
      </c>
      <c r="AG81" s="141">
        <f>INDEX('File 2'!Weekly_Adjusted,39,3)</f>
        <v>0</v>
      </c>
      <c r="AH81" s="140">
        <f>INDEX('File 3'!Weekly_Adjusted,39,1)</f>
        <v>0</v>
      </c>
      <c r="AI81" s="140">
        <f>INDEX('File 3'!Weekly_Adjusted,39,2)</f>
        <v>0</v>
      </c>
      <c r="AJ81" s="140">
        <f>INDEX('File 3'!Weekly_Adjusted,39,3)</f>
        <v>0</v>
      </c>
      <c r="AK81" s="141">
        <f>INDEX('File 4'!Weekly_Adjusted,39,1)</f>
        <v>0</v>
      </c>
      <c r="AL81" s="141">
        <f>INDEX('File 4'!Weekly_Adjusted,39,2)</f>
        <v>0</v>
      </c>
      <c r="AM81" s="141">
        <f>INDEX('File 4'!Weekly_Adjusted,39,3)</f>
        <v>0</v>
      </c>
      <c r="AN81" s="140">
        <f>INDEX('File 5'!Weekly_Adjusted,39,1)</f>
        <v>0</v>
      </c>
      <c r="AO81" s="140">
        <f>INDEX('File 5'!Weekly_Adjusted,39,2)</f>
        <v>0</v>
      </c>
      <c r="AP81" s="140">
        <f>INDEX('File 5'!Weekly_Adjusted,39,3)</f>
        <v>0</v>
      </c>
      <c r="AQ81" s="141">
        <f>INDEX('File 6'!Weekly_Adjusted,39,1)</f>
        <v>0</v>
      </c>
      <c r="AR81" s="141">
        <f>INDEX('File 6'!Weekly_Adjusted,39,2)</f>
        <v>0</v>
      </c>
      <c r="AS81" s="141">
        <f>INDEX('File 6'!Weekly_Adjusted,39,3)</f>
        <v>0</v>
      </c>
      <c r="AT81" s="140">
        <f>INDEX('File 7'!Weekly_Adjusted,39,1)</f>
        <v>0</v>
      </c>
      <c r="AU81" s="140">
        <f>INDEX('File 7'!Weekly_Adjusted,39,2)</f>
        <v>0</v>
      </c>
      <c r="AV81" s="140">
        <f>INDEX('File 7'!Weekly_Adjusted,39,3)</f>
        <v>0</v>
      </c>
      <c r="AW81" s="141">
        <f>INDEX('File 8'!Weekly_Adjusted,39,1)</f>
        <v>0</v>
      </c>
      <c r="AX81" s="141">
        <f>INDEX('File 8'!Weekly_Adjusted,39,2)</f>
        <v>0</v>
      </c>
      <c r="AY81" s="141">
        <f>INDEX('File 8'!Weekly_Adjusted,39,3)</f>
        <v>0</v>
      </c>
      <c r="AZ81" s="140">
        <f>INDEX('File 9'!Weekly_Adjusted,39,1)</f>
        <v>0</v>
      </c>
      <c r="BA81" s="140">
        <f>INDEX('File 9'!Weekly_Adjusted,39,2)</f>
        <v>0</v>
      </c>
      <c r="BB81" s="140">
        <f>INDEX('File 9'!Weekly_Adjusted,39,3)</f>
        <v>0</v>
      </c>
      <c r="BC81" s="141">
        <f>INDEX('File 10'!Weekly_Adjusted,39,1)</f>
        <v>0</v>
      </c>
      <c r="BD81" s="141">
        <f>INDEX('File 10'!Weekly_Adjusted,39,2)</f>
        <v>0</v>
      </c>
      <c r="BE81" s="141">
        <f>INDEX('File 10'!Weekly_Adjusted,39,3)</f>
        <v>0</v>
      </c>
      <c r="BF81" s="140">
        <f>INDEX('File 11'!Weekly_Adjusted,39,1)</f>
        <v>0</v>
      </c>
      <c r="BG81" s="140">
        <f>INDEX('File 11'!Weekly_Adjusted,39,2)</f>
        <v>0</v>
      </c>
      <c r="BH81" s="140">
        <f>INDEX('File 11'!Weekly_Adjusted,39,3)</f>
        <v>0</v>
      </c>
      <c r="BI81" s="141">
        <f>INDEX('File 12'!Weekly_Adjusted,39,1)</f>
        <v>0</v>
      </c>
      <c r="BJ81" s="141">
        <f>INDEX('File 12'!Weekly_Adjusted,39,2)</f>
        <v>0</v>
      </c>
      <c r="BK81" s="141">
        <f>INDEX('File 12'!Weekly_Adjusted,39,3)</f>
        <v>0</v>
      </c>
      <c r="BL81" s="140">
        <f>INDEX('File 13'!Weekly_Adjusted,39,1)</f>
        <v>0</v>
      </c>
      <c r="BM81" s="140">
        <f>INDEX('File 13'!Weekly_Adjusted,39,2)</f>
        <v>0</v>
      </c>
      <c r="BN81" s="140">
        <f>INDEX('File 13'!Weekly_Adjusted,39,3)</f>
        <v>0</v>
      </c>
      <c r="BO81" s="141">
        <f>INDEX('File 14'!Weekly_Adjusted,39,1)</f>
        <v>0</v>
      </c>
      <c r="BP81" s="141">
        <f>INDEX('File 14'!Weekly_Adjusted,39,2)</f>
        <v>0</v>
      </c>
      <c r="BQ81" s="141">
        <f>INDEX('File 14'!Weekly_Adjusted,39,3)</f>
        <v>0</v>
      </c>
      <c r="BR81" s="140">
        <f>INDEX('File 15'!Weekly_Adjusted,39,1)</f>
        <v>0</v>
      </c>
      <c r="BS81" s="140">
        <f>INDEX('File 15'!Weekly_Adjusted,39,2)</f>
        <v>0</v>
      </c>
      <c r="BT81" s="140">
        <f>INDEX('File 15'!Weekly_Adjusted,39,3)</f>
        <v>0</v>
      </c>
      <c r="BU81" s="141">
        <f>INDEX('File 16'!Weekly_Adjusted,39,1)</f>
        <v>0</v>
      </c>
      <c r="BV81" s="141">
        <f>INDEX('File 16'!Weekly_Adjusted,39,2)</f>
        <v>0</v>
      </c>
      <c r="BW81" s="141">
        <f>INDEX('File 16'!Weekly_Adjusted,39,3)</f>
        <v>0</v>
      </c>
      <c r="BX81" s="140">
        <f>INDEX('File 17'!Weekly_Adjusted,39,1)</f>
        <v>0</v>
      </c>
      <c r="BY81" s="140">
        <f>INDEX('File 17'!Weekly_Adjusted,39,2)</f>
        <v>0</v>
      </c>
      <c r="BZ81" s="140">
        <f>INDEX('File 17'!Weekly_Adjusted,39,3)</f>
        <v>0</v>
      </c>
      <c r="CA81" s="141">
        <f>INDEX('File 18'!Weekly_Adjusted,39,1)</f>
        <v>0</v>
      </c>
      <c r="CB81" s="141">
        <f>INDEX('File 18'!Weekly_Adjusted,39,2)</f>
        <v>0</v>
      </c>
      <c r="CC81" s="141">
        <f>INDEX('File 18'!Weekly_Adjusted,39,3)</f>
        <v>0</v>
      </c>
      <c r="CD81" s="140">
        <f>INDEX('File 19'!Weekly_Adjusted,39,1)</f>
        <v>0</v>
      </c>
      <c r="CE81" s="140">
        <f>INDEX('File 19'!Weekly_Adjusted,39,2)</f>
        <v>0</v>
      </c>
      <c r="CF81" s="140">
        <f>INDEX('File 19'!Weekly_Adjusted,39,3)</f>
        <v>0</v>
      </c>
      <c r="CG81" s="141">
        <f>INDEX('File 20'!Weekly_Adjusted,39,1)</f>
        <v>0</v>
      </c>
      <c r="CH81" s="141">
        <f>INDEX('File 20'!Weekly_Adjusted,39,2)</f>
        <v>0</v>
      </c>
      <c r="CI81" s="141">
        <f>INDEX('File 20'!Weekly_Adjusted,39,3)</f>
        <v>0</v>
      </c>
      <c r="CJ81" s="6">
        <f ca="1">SUMIFS(INDEX(Demand_Activity_Weekly,ROW(A39),0),Demand_Activity_Weekly_Header,CJ$42)</f>
        <v>388.17143954725253</v>
      </c>
      <c r="CK81" s="6">
        <f ca="1">SUMIFS(INDEX(Demand_Activity_Weekly,ROW(B39),0),Demand_Activity_Weekly_Header,CK$42)</f>
        <v>0</v>
      </c>
      <c r="CL81" s="6">
        <f ca="1">SUMIFS(INDEX(Demand_Activity_Weekly,ROW(C39),0),Demand_Activity_Weekly_Header,CL$42)</f>
        <v>0</v>
      </c>
      <c r="CM81" s="6">
        <f ca="1">SUMIFS(INDEX(Demand_Activity_Weekly,ROW(D39),0),Demand_Activity_Weekly_Header,CM$42)</f>
        <v>0</v>
      </c>
      <c r="CN81" s="6">
        <f ca="1">SUMIFS(INDEX(Demand_Activity_Weekly,ROW(E39),0),Demand_Activity_Weekly_Header,CN$42)</f>
        <v>0</v>
      </c>
      <c r="CP81" s="142">
        <f>INDEX('File 1'!Weekly_Adjusted,39,10)</f>
        <v>24.344712210866053</v>
      </c>
      <c r="CQ81" s="142">
        <f>INDEX('File 1'!Weekly_Adjusted,39,11)</f>
        <v>0</v>
      </c>
      <c r="CR81" s="142">
        <f>INDEX('File 1'!Weekly_Adjusted,39,12)</f>
        <v>0</v>
      </c>
      <c r="CS81" s="143">
        <f>INDEX('File 2'!Weekly_Adjusted,39,10)</f>
        <v>0</v>
      </c>
      <c r="CT81" s="143">
        <f>INDEX('File 2'!Weekly_Adjusted,39,11)</f>
        <v>0</v>
      </c>
      <c r="CU81" s="143">
        <f>INDEX('File 2'!Weekly_Adjusted,39,12)</f>
        <v>0</v>
      </c>
      <c r="CV81" s="142">
        <f>INDEX('File 3'!Weekly_Adjusted,39,10)</f>
        <v>0</v>
      </c>
      <c r="CW81" s="142">
        <f>INDEX('File 3'!Weekly_Adjusted,39,11)</f>
        <v>0</v>
      </c>
      <c r="CX81" s="142">
        <f>INDEX('File 3'!Weekly_Adjusted,39,12)</f>
        <v>0</v>
      </c>
      <c r="CY81" s="143">
        <f>INDEX('File 4'!Weekly_Adjusted,39,10)</f>
        <v>0</v>
      </c>
      <c r="CZ81" s="143">
        <f>INDEX('File 4'!Weekly_Adjusted,39,11)</f>
        <v>0</v>
      </c>
      <c r="DA81" s="143">
        <f>INDEX('File 4'!Weekly_Adjusted,39,12)</f>
        <v>0</v>
      </c>
      <c r="DB81" s="142">
        <f>INDEX('File 5'!Weekly_Adjusted,39,10)</f>
        <v>0</v>
      </c>
      <c r="DC81" s="142">
        <f>INDEX('File 5'!Weekly_Adjusted,39,11)</f>
        <v>0</v>
      </c>
      <c r="DD81" s="142">
        <f>INDEX('File 5'!Weekly_Adjusted,39,12)</f>
        <v>0</v>
      </c>
      <c r="DE81" s="143">
        <f>INDEX('File 6'!Weekly_Adjusted,39,10)</f>
        <v>0</v>
      </c>
      <c r="DF81" s="143">
        <f>INDEX('File 6'!Weekly_Adjusted,39,11)</f>
        <v>0</v>
      </c>
      <c r="DG81" s="143">
        <f>INDEX('File 6'!Weekly_Adjusted,39,12)</f>
        <v>0</v>
      </c>
      <c r="DH81" s="142">
        <f>INDEX('File 7'!Weekly_Adjusted,39,10)</f>
        <v>0</v>
      </c>
      <c r="DI81" s="142">
        <f>INDEX('File 7'!Weekly_Adjusted,39,11)</f>
        <v>0</v>
      </c>
      <c r="DJ81" s="142">
        <f>INDEX('File 7'!Weekly_Adjusted,39,12)</f>
        <v>0</v>
      </c>
      <c r="DK81" s="143">
        <f>INDEX('File 8'!Weekly_Adjusted,39,10)</f>
        <v>0</v>
      </c>
      <c r="DL81" s="143">
        <f>INDEX('File 8'!Weekly_Adjusted,39,11)</f>
        <v>0</v>
      </c>
      <c r="DM81" s="143">
        <f>INDEX('File 8'!Weekly_Adjusted,39,12)</f>
        <v>0</v>
      </c>
      <c r="DN81" s="142">
        <f>INDEX('File 9'!Weekly_Adjusted,39,10)</f>
        <v>0</v>
      </c>
      <c r="DO81" s="142">
        <f>INDEX('File 9'!Weekly_Adjusted,39,11)</f>
        <v>0</v>
      </c>
      <c r="DP81" s="142">
        <f>INDEX('File 9'!Weekly_Adjusted,39,12)</f>
        <v>0</v>
      </c>
      <c r="DQ81" s="143">
        <f>INDEX('File 10'!Weekly_Adjusted,39,10)</f>
        <v>0</v>
      </c>
      <c r="DR81" s="143">
        <f>INDEX('File 10'!Weekly_Adjusted,39,11)</f>
        <v>0</v>
      </c>
      <c r="DS81" s="143">
        <f>INDEX('File 10'!Weekly_Adjusted,39,12)</f>
        <v>0</v>
      </c>
      <c r="DT81" s="142">
        <f>INDEX('File 11'!Weekly_Adjusted,39,10)</f>
        <v>0</v>
      </c>
      <c r="DU81" s="142">
        <f>INDEX('File 11'!Weekly_Adjusted,39,11)</f>
        <v>0</v>
      </c>
      <c r="DV81" s="142">
        <f>INDEX('File 11'!Weekly_Adjusted,39,12)</f>
        <v>0</v>
      </c>
      <c r="DW81" s="143">
        <f>INDEX('File 12'!Weekly_Adjusted,39,10)</f>
        <v>0</v>
      </c>
      <c r="DX81" s="143">
        <f>INDEX('File 12'!Weekly_Adjusted,39,11)</f>
        <v>0</v>
      </c>
      <c r="DY81" s="143">
        <f>INDEX('File 12'!Weekly_Adjusted,39,12)</f>
        <v>0</v>
      </c>
      <c r="DZ81" s="142">
        <f>INDEX('File 13'!Weekly_Adjusted,39,10)</f>
        <v>0</v>
      </c>
      <c r="EA81" s="142">
        <f>INDEX('File 13'!Weekly_Adjusted,39,11)</f>
        <v>0</v>
      </c>
      <c r="EB81" s="142">
        <f>INDEX('File 13'!Weekly_Adjusted,39,12)</f>
        <v>0</v>
      </c>
      <c r="EC81" s="143">
        <f>INDEX('File 14'!Weekly_Adjusted,39,10)</f>
        <v>0</v>
      </c>
      <c r="ED81" s="143">
        <f>INDEX('File 14'!Weekly_Adjusted,39,11)</f>
        <v>0</v>
      </c>
      <c r="EE81" s="143">
        <f>INDEX('File 14'!Weekly_Adjusted,39,12)</f>
        <v>0</v>
      </c>
      <c r="EF81" s="142">
        <f>INDEX('File 15'!Weekly_Adjusted,39,10)</f>
        <v>0</v>
      </c>
      <c r="EG81" s="142">
        <f>INDEX('File 15'!Weekly_Adjusted,39,11)</f>
        <v>0</v>
      </c>
      <c r="EH81" s="142">
        <f>INDEX('File 15'!Weekly_Adjusted,39,12)</f>
        <v>0</v>
      </c>
      <c r="EI81" s="143">
        <f>INDEX('File 16'!Weekly_Adjusted,39,10)</f>
        <v>0</v>
      </c>
      <c r="EJ81" s="143">
        <f>INDEX('File 16'!Weekly_Adjusted,39,11)</f>
        <v>0</v>
      </c>
      <c r="EK81" s="143">
        <f>INDEX('File 16'!Weekly_Adjusted,39,12)</f>
        <v>0</v>
      </c>
      <c r="EL81" s="142">
        <f>INDEX('File 17'!Weekly_Adjusted,39,10)</f>
        <v>0</v>
      </c>
      <c r="EM81" s="142">
        <f>INDEX('File 17'!Weekly_Adjusted,39,11)</f>
        <v>0</v>
      </c>
      <c r="EN81" s="142">
        <f>INDEX('File 17'!Weekly_Adjusted,39,12)</f>
        <v>0</v>
      </c>
      <c r="EO81" s="143">
        <f>INDEX('File 18'!Weekly_Adjusted,39,10)</f>
        <v>0</v>
      </c>
      <c r="EP81" s="143">
        <f>INDEX('File 18'!Weekly_Adjusted,39,11)</f>
        <v>0</v>
      </c>
      <c r="EQ81" s="143">
        <f>INDEX('File 18'!Weekly_Adjusted,39,12)</f>
        <v>0</v>
      </c>
      <c r="ER81" s="142">
        <f>INDEX('File 19'!Weekly_Adjusted,39,10)</f>
        <v>0</v>
      </c>
      <c r="ES81" s="142">
        <f>INDEX('File 19'!Weekly_Adjusted,39,11)</f>
        <v>0</v>
      </c>
      <c r="ET81" s="142">
        <f>INDEX('File 19'!Weekly_Adjusted,39,12)</f>
        <v>0</v>
      </c>
      <c r="EU81" s="143">
        <f>INDEX('File 20'!Weekly_Adjusted,39,10)</f>
        <v>0</v>
      </c>
      <c r="EV81" s="143">
        <f>INDEX('File 20'!Weekly_Adjusted,39,11)</f>
        <v>0</v>
      </c>
      <c r="EW81" s="143">
        <f>INDEX('File 20'!Weekly_Adjusted,39,12)</f>
        <v>0</v>
      </c>
      <c r="EX81" s="6">
        <f ca="1">SUMIFS(INDEX(Capacity_Activity_Weekly,ROW(A39),0),Demand_Activity_Weekly_Header,CJ$42)</f>
        <v>24.344712210866053</v>
      </c>
      <c r="EY81" s="6">
        <f ca="1">SUMIFS(INDEX(Capacity_Activity_Weekly,ROW(B39),0),Demand_Activity_Weekly_Header,CK$42)</f>
        <v>0</v>
      </c>
      <c r="EZ81" s="6">
        <f ca="1">SUMIFS(INDEX(Capacity_Activity_Weekly,ROW(C39),0),Demand_Activity_Weekly_Header,CL$42)</f>
        <v>0</v>
      </c>
      <c r="FA81" s="6">
        <f ca="1">SUMIFS(INDEX(Capacity_Activity_Weekly,ROW(D39),0),Demand_Activity_Weekly_Header,CM$42)</f>
        <v>0</v>
      </c>
      <c r="FB81" s="6">
        <f ca="1">SUMIFS(INDEX(Capacity_Activity_Weekly,ROW(E39),0),Demand_Activity_Weekly_Header,CN$42)</f>
        <v>0</v>
      </c>
      <c r="FD81" s="7">
        <f>'File 1'!$Q$54*'Time based aggregation (hide)'!$Q43</f>
        <v>0</v>
      </c>
      <c r="FE81" s="7">
        <f>'File 1'!$R$54*'Time based aggregation (hide)'!$R43</f>
        <v>0</v>
      </c>
      <c r="FF81" s="7">
        <f>'File 1'!$S$54*'Time based aggregation (hide)'!$S43</f>
        <v>0</v>
      </c>
      <c r="FG81" s="7">
        <f>'File 2'!$Q$54*'Time based aggregation (hide)'!$T43</f>
        <v>0</v>
      </c>
      <c r="FH81" s="7">
        <f>'File 2'!$R$54*'Time based aggregation (hide)'!$U43</f>
        <v>0</v>
      </c>
      <c r="FI81" s="7">
        <f>'File 2'!$S$54*'Time based aggregation (hide)'!$V43</f>
        <v>0</v>
      </c>
      <c r="FJ81" s="7">
        <f>'File 3'!$Q$54*'Time based aggregation (hide)'!$W43</f>
        <v>0</v>
      </c>
      <c r="FK81" s="7">
        <f>'File 3'!$R$54*'Time based aggregation (hide)'!$X43</f>
        <v>0</v>
      </c>
      <c r="FL81" s="7">
        <f>'File 3'!$S$54*'Time based aggregation (hide)'!$Y43</f>
        <v>0</v>
      </c>
      <c r="FM81" s="7">
        <f>'File 4'!$Q$54*'Time based aggregation (hide)'!$Z43</f>
        <v>0</v>
      </c>
      <c r="FN81" s="7">
        <f>'File 4'!$R$54*'Time based aggregation (hide)'!$AA43</f>
        <v>0</v>
      </c>
      <c r="FO81" s="7">
        <f>'File 4'!$S$54*'Time based aggregation (hide)'!$AB43</f>
        <v>0</v>
      </c>
      <c r="FP81" s="7">
        <f>'File 5'!$Q$54*'Time based aggregation (hide)'!$AC43</f>
        <v>0</v>
      </c>
      <c r="FQ81" s="7">
        <f>'File 5'!$R$54*'Time based aggregation (hide)'!$AD43</f>
        <v>0</v>
      </c>
      <c r="FR81" s="7">
        <f>'File 5'!$S$54*'Time based aggregation (hide)'!$AE43</f>
        <v>0</v>
      </c>
      <c r="FS81" s="7">
        <f>'File 6'!$Q$54*'Time based aggregation (hide)'!$AF43</f>
        <v>0</v>
      </c>
      <c r="FT81" s="7">
        <f>'File 6'!$R$54*'Time based aggregation (hide)'!$AG43</f>
        <v>0</v>
      </c>
      <c r="FU81" s="7">
        <f>'File 6'!$S$54*'Time based aggregation (hide)'!$AH43</f>
        <v>0</v>
      </c>
      <c r="FV81" s="7">
        <f>'File 7'!$Q$54*'Time based aggregation (hide)'!$AI43</f>
        <v>0</v>
      </c>
      <c r="FW81" s="7">
        <f>'File 7'!$R$54*'Time based aggregation (hide)'!$AJ43</f>
        <v>0</v>
      </c>
      <c r="FX81" s="7">
        <f>'File 7'!$S$54*'Time based aggregation (hide)'!$AK43</f>
        <v>0</v>
      </c>
      <c r="FY81" s="7">
        <f>'File 8'!$Q$54*'Time based aggregation (hide)'!$AL43</f>
        <v>0</v>
      </c>
      <c r="FZ81" s="7">
        <f>'File 8'!$R$54*'Time based aggregation (hide)'!$AM43</f>
        <v>0</v>
      </c>
      <c r="GA81" s="7">
        <f>'File 8'!$S$54*'Time based aggregation (hide)'!$AN43</f>
        <v>0</v>
      </c>
      <c r="GB81" s="7">
        <f>'File 9'!$Q$54*'Time based aggregation (hide)'!$AO43</f>
        <v>0</v>
      </c>
      <c r="GC81" s="7">
        <f>'File 9'!$R$54*'Time based aggregation (hide)'!$AP43</f>
        <v>0</v>
      </c>
      <c r="GD81" s="7">
        <f>'File 9'!$S$54*'Time based aggregation (hide)'!$AQ43</f>
        <v>0</v>
      </c>
      <c r="GE81" s="7">
        <f>'File 10'!$Q$54*'Time based aggregation (hide)'!$AR43</f>
        <v>0</v>
      </c>
      <c r="GF81" s="7">
        <f>'File 10'!$R$54*'Time based aggregation (hide)'!$AS43</f>
        <v>0</v>
      </c>
      <c r="GG81" s="7">
        <f>'File 10'!$S$54*'Time based aggregation (hide)'!$AT43</f>
        <v>0</v>
      </c>
      <c r="GH81" s="7">
        <f>'File 11'!$Q$54*'Time based aggregation (hide)'!$AU43</f>
        <v>0</v>
      </c>
      <c r="GI81" s="7">
        <f>'File 11'!$R$54*'Time based aggregation (hide)'!$AV43</f>
        <v>0</v>
      </c>
      <c r="GJ81" s="7">
        <f>'File 11'!$S$54*'Time based aggregation (hide)'!$AW43</f>
        <v>0</v>
      </c>
      <c r="GK81" s="7">
        <f>'File 12'!$Q$54*'Time based aggregation (hide)'!$AX43</f>
        <v>0</v>
      </c>
      <c r="GL81" s="7">
        <f>'File 12'!$R$54*'Time based aggregation (hide)'!$AY43</f>
        <v>0</v>
      </c>
      <c r="GM81" s="7">
        <f>'File 12'!$S$54*'Time based aggregation (hide)'!$AZ43</f>
        <v>0</v>
      </c>
      <c r="GN81" s="7">
        <f>'File 13'!$Q$54*'Time based aggregation (hide)'!$BA43</f>
        <v>0</v>
      </c>
      <c r="GO81" s="7">
        <f>'File 13'!$R$54*'Time based aggregation (hide)'!$BB43</f>
        <v>0</v>
      </c>
      <c r="GP81" s="7">
        <f>'File 13'!$S$54*'Time based aggregation (hide)'!$BC43</f>
        <v>0</v>
      </c>
      <c r="GQ81" s="7">
        <f>'File 14'!$Q$54*'Time based aggregation (hide)'!$BD43</f>
        <v>0</v>
      </c>
      <c r="GR81" s="7">
        <f>'File 14'!$R$54*'Time based aggregation (hide)'!$BE43</f>
        <v>0</v>
      </c>
      <c r="GS81" s="7">
        <f>'File 14'!$S$54*'Time based aggregation (hide)'!$BF43</f>
        <v>0</v>
      </c>
      <c r="GT81" s="7">
        <f>'File 15'!$Q$54*'Time based aggregation (hide)'!$BG43</f>
        <v>0</v>
      </c>
      <c r="GU81" s="7">
        <f>'File 15'!$R$54*'Time based aggregation (hide)'!$BH43</f>
        <v>0</v>
      </c>
      <c r="GV81" s="7">
        <f>'File 15'!$S$54*'Time based aggregation (hide)'!$BI43</f>
        <v>0</v>
      </c>
      <c r="GW81" s="7">
        <f>'File 16'!$Q$54*'Time based aggregation (hide)'!$BJ43</f>
        <v>0</v>
      </c>
      <c r="GX81" s="7">
        <f>'File 16'!$R$54*'Time based aggregation (hide)'!$BK43</f>
        <v>0</v>
      </c>
      <c r="GY81" s="7">
        <f>'File 16'!$S$54*'Time based aggregation (hide)'!$BL43</f>
        <v>0</v>
      </c>
      <c r="GZ81" s="7">
        <f>'File 17'!$Q$54*'Time based aggregation (hide)'!$BM43</f>
        <v>0</v>
      </c>
      <c r="HA81" s="7">
        <f>'File 17'!$R$54*'Time based aggregation (hide)'!$BN43</f>
        <v>0</v>
      </c>
      <c r="HB81" s="7">
        <f>'File 17'!$S$54*'Time based aggregation (hide)'!$BO43</f>
        <v>0</v>
      </c>
      <c r="HC81" s="7">
        <f>'File 18'!$Q$54*'Time based aggregation (hide)'!$BP43</f>
        <v>0</v>
      </c>
      <c r="HD81" s="7">
        <f>'File 18'!$R$54*'Time based aggregation (hide)'!$BQ43</f>
        <v>0</v>
      </c>
      <c r="HE81" s="7">
        <f>'File 18'!$S$54*'Time based aggregation (hide)'!$BR43</f>
        <v>0</v>
      </c>
      <c r="HF81" s="7">
        <f>'File 19'!$Q$54*'Time based aggregation (hide)'!$BS43</f>
        <v>0</v>
      </c>
      <c r="HG81" s="7">
        <f>'File 19'!$R$54*'Time based aggregation (hide)'!$BT43</f>
        <v>0</v>
      </c>
      <c r="HH81" s="7">
        <f>'File 19'!$S$54*'Time based aggregation (hide)'!$BU43</f>
        <v>0</v>
      </c>
      <c r="HI81" s="7">
        <f>'File 20'!$Q$54*'Time based aggregation (hide)'!$BV43</f>
        <v>0</v>
      </c>
      <c r="HJ81" s="7">
        <f>'File 20'!$R$54*'Time based aggregation (hide)'!$BW43</f>
        <v>0</v>
      </c>
      <c r="HK81" s="7">
        <f>'File 20'!$S$54*'Time based aggregation (hide)'!$BX43</f>
        <v>0</v>
      </c>
      <c r="HL81" s="7">
        <f t="shared" ca="1" si="45"/>
        <v>0</v>
      </c>
      <c r="HM81" s="7">
        <f t="shared" ca="1" si="45"/>
        <v>0</v>
      </c>
      <c r="HN81" s="7">
        <f t="shared" ca="1" si="45"/>
        <v>0</v>
      </c>
      <c r="HO81" s="7">
        <f t="shared" ca="1" si="45"/>
        <v>0</v>
      </c>
      <c r="HP81" s="7">
        <f t="shared" ca="1" si="45"/>
        <v>0</v>
      </c>
      <c r="HR81" s="142">
        <f>INDEX('File 1'!Weekly_Adjusted,39,16)</f>
        <v>20.933351264120493</v>
      </c>
      <c r="HS81" s="142">
        <f>INDEX('File 1'!Weekly_Adjusted,39,17)</f>
        <v>0</v>
      </c>
      <c r="HT81" s="142">
        <f>INDEX('File 1'!Weekly_Adjusted,39,18)</f>
        <v>0</v>
      </c>
      <c r="HU81" s="143">
        <f>INDEX('File 2'!Weekly_Adjusted,39,16)</f>
        <v>0</v>
      </c>
      <c r="HV81" s="143">
        <f>INDEX('File 2'!Weekly_Adjusted,39,17)</f>
        <v>0</v>
      </c>
      <c r="HW81" s="143">
        <f>INDEX('File 2'!Weekly_Adjusted,39,18)</f>
        <v>0</v>
      </c>
      <c r="HX81" s="142">
        <f>INDEX('File 3'!Weekly_Adjusted,39,16)</f>
        <v>0</v>
      </c>
      <c r="HY81" s="142">
        <f>INDEX('File 3'!Weekly_Adjusted,39,17)</f>
        <v>0</v>
      </c>
      <c r="HZ81" s="142">
        <f>INDEX('File 3'!Weekly_Adjusted,39,18)</f>
        <v>0</v>
      </c>
      <c r="IA81" s="143">
        <f>INDEX('File 4'!Weekly_Adjusted,39,16)</f>
        <v>0</v>
      </c>
      <c r="IB81" s="143">
        <f>INDEX('File 4'!Weekly_Adjusted,39,17)</f>
        <v>0</v>
      </c>
      <c r="IC81" s="143">
        <f>INDEX('File 4'!Weekly_Adjusted,39,18)</f>
        <v>0</v>
      </c>
      <c r="ID81" s="142">
        <f>INDEX('File 5'!Weekly_Adjusted,39,16)</f>
        <v>0</v>
      </c>
      <c r="IE81" s="142">
        <f>INDEX('File 5'!Weekly_Adjusted,39,17)</f>
        <v>0</v>
      </c>
      <c r="IF81" s="142">
        <f>INDEX('File 5'!Weekly_Adjusted,39,18)</f>
        <v>0</v>
      </c>
      <c r="IG81" s="143">
        <f>INDEX('File 6'!Weekly_Adjusted,39,16)</f>
        <v>0</v>
      </c>
      <c r="IH81" s="143">
        <f>INDEX('File 6'!Weekly_Adjusted,39,17)</f>
        <v>0</v>
      </c>
      <c r="II81" s="143">
        <f>INDEX('File 6'!Weekly_Adjusted,39,18)</f>
        <v>0</v>
      </c>
      <c r="IJ81" s="142">
        <f>INDEX('File 7'!Weekly_Adjusted,39,16)</f>
        <v>0</v>
      </c>
      <c r="IK81" s="142">
        <f>INDEX('File 7'!Weekly_Adjusted,39,17)</f>
        <v>0</v>
      </c>
      <c r="IL81" s="142">
        <f>INDEX('File 7'!Weekly_Adjusted,39,18)</f>
        <v>0</v>
      </c>
      <c r="IM81" s="143">
        <f>INDEX('File 8'!Weekly_Adjusted,39,16)</f>
        <v>0</v>
      </c>
      <c r="IN81" s="143">
        <f>INDEX('File 8'!Weekly_Adjusted,39,17)</f>
        <v>0</v>
      </c>
      <c r="IO81" s="143">
        <f>INDEX('File 8'!Weekly_Adjusted,39,18)</f>
        <v>0</v>
      </c>
      <c r="IP81" s="142">
        <f>INDEX('File 9'!Weekly_Adjusted,39,16)</f>
        <v>0</v>
      </c>
      <c r="IQ81" s="142">
        <f>INDEX('File 9'!Weekly_Adjusted,39,17)</f>
        <v>0</v>
      </c>
      <c r="IR81" s="142">
        <f>INDEX('File 9'!Weekly_Adjusted,39,18)</f>
        <v>0</v>
      </c>
      <c r="IS81" s="143">
        <f>INDEX('File 10'!Weekly_Adjusted,39,16)</f>
        <v>0</v>
      </c>
      <c r="IT81" s="143">
        <f>INDEX('File 10'!Weekly_Adjusted,39,17)</f>
        <v>0</v>
      </c>
      <c r="IU81" s="143">
        <f>INDEX('File 10'!Weekly_Adjusted,39,18)</f>
        <v>0</v>
      </c>
      <c r="IV81" s="142">
        <f>INDEX('File 11'!Weekly_Adjusted,39,16)</f>
        <v>0</v>
      </c>
      <c r="IW81" s="142">
        <f>INDEX('File 11'!Weekly_Adjusted,39,17)</f>
        <v>0</v>
      </c>
      <c r="IX81" s="142">
        <f>INDEX('File 11'!Weekly_Adjusted,39,18)</f>
        <v>0</v>
      </c>
      <c r="IY81" s="143">
        <f>INDEX('File 12'!Weekly_Adjusted,39,16)</f>
        <v>0</v>
      </c>
      <c r="IZ81" s="143">
        <f>INDEX('File 12'!Weekly_Adjusted,39,17)</f>
        <v>0</v>
      </c>
      <c r="JA81" s="143">
        <f>INDEX('File 12'!Weekly_Adjusted,39,18)</f>
        <v>0</v>
      </c>
      <c r="JB81" s="142">
        <f>INDEX('File 13'!Weekly_Adjusted,39,16)</f>
        <v>0</v>
      </c>
      <c r="JC81" s="142">
        <f>INDEX('File 13'!Weekly_Adjusted,39,17)</f>
        <v>0</v>
      </c>
      <c r="JD81" s="142">
        <f>INDEX('File 13'!Weekly_Adjusted,39,18)</f>
        <v>0</v>
      </c>
      <c r="JE81" s="143">
        <f>INDEX('File 14'!Weekly_Adjusted,39,16)</f>
        <v>0</v>
      </c>
      <c r="JF81" s="143">
        <f>INDEX('File 14'!Weekly_Adjusted,39,17)</f>
        <v>0</v>
      </c>
      <c r="JG81" s="143">
        <f>INDEX('File 14'!Weekly_Adjusted,39,18)</f>
        <v>0</v>
      </c>
      <c r="JH81" s="142">
        <f>INDEX('File 15'!Weekly_Adjusted,39,16)</f>
        <v>0</v>
      </c>
      <c r="JI81" s="142">
        <f>INDEX('File 15'!Weekly_Adjusted,39,17)</f>
        <v>0</v>
      </c>
      <c r="JJ81" s="142">
        <f>INDEX('File 15'!Weekly_Adjusted,39,18)</f>
        <v>0</v>
      </c>
      <c r="JK81" s="143">
        <f>INDEX('File 16'!Weekly_Adjusted,39,16)</f>
        <v>0</v>
      </c>
      <c r="JL81" s="143">
        <f>INDEX('File 16'!Weekly_Adjusted,39,17)</f>
        <v>0</v>
      </c>
      <c r="JM81" s="143">
        <f>INDEX('File 16'!Weekly_Adjusted,39,18)</f>
        <v>0</v>
      </c>
      <c r="JN81" s="142">
        <f>INDEX('File 17'!Weekly_Adjusted,39,16)</f>
        <v>0</v>
      </c>
      <c r="JO81" s="142">
        <f>INDEX('File 17'!Weekly_Adjusted,39,17)</f>
        <v>0</v>
      </c>
      <c r="JP81" s="142">
        <f>INDEX('File 17'!Weekly_Adjusted,39,18)</f>
        <v>0</v>
      </c>
      <c r="JQ81" s="143">
        <f>INDEX('File 18'!Weekly_Adjusted,39,16)</f>
        <v>0</v>
      </c>
      <c r="JR81" s="143">
        <f>INDEX('File 18'!Weekly_Adjusted,39,17)</f>
        <v>0</v>
      </c>
      <c r="JS81" s="143">
        <f>INDEX('File 18'!Weekly_Adjusted,39,18)</f>
        <v>0</v>
      </c>
      <c r="JT81" s="142">
        <f>INDEX('File 19'!Weekly_Adjusted,39,16)</f>
        <v>0</v>
      </c>
      <c r="JU81" s="142">
        <f>INDEX('File 19'!Weekly_Adjusted,39,17)</f>
        <v>0</v>
      </c>
      <c r="JV81" s="142">
        <f>INDEX('File 19'!Weekly_Adjusted,39,18)</f>
        <v>0</v>
      </c>
      <c r="JW81" s="143">
        <f>INDEX('File 20'!Weekly_Adjusted,39,16)</f>
        <v>0</v>
      </c>
      <c r="JX81" s="143">
        <f>INDEX('File 20'!Weekly_Adjusted,39,17)</f>
        <v>0</v>
      </c>
      <c r="JY81" s="143">
        <f>INDEX('File 20'!Weekly_Adjusted,39,18)</f>
        <v>0</v>
      </c>
      <c r="JZ81" s="6">
        <f ca="1">SUMIFS(INDEX(CapacityCore_Activity_Weekly,ROW(EC39),0),Demand_Activity_Weekly_Header,HL$42)</f>
        <v>20.933351264120493</v>
      </c>
      <c r="KA81" s="6">
        <f ca="1">SUMIFS(INDEX(CapacityCore_Activity_Weekly,ROW(ED39),0),Demand_Activity_Weekly_Header,HM$42)</f>
        <v>0</v>
      </c>
      <c r="KB81" s="6">
        <f ca="1">SUMIFS(INDEX(CapacityCore_Activity_Weekly,ROW(EE39),0),Demand_Activity_Weekly_Header,HN$42)</f>
        <v>0</v>
      </c>
      <c r="KC81" s="6">
        <f ca="1">SUMIFS(INDEX(CapacityCore_Activity_Weekly,ROW(EF39),0),Demand_Activity_Weekly_Header,HO$42)</f>
        <v>0</v>
      </c>
      <c r="KD81" s="6">
        <f ca="1">SUMIFS(INDEX(CapacityCore_Activity_Weekly,ROW(EG39),0),Demand_Activity_Weekly_Header,HP$42)</f>
        <v>0</v>
      </c>
      <c r="KF81" s="6">
        <f>SUMIFS('Time based aggregation (hide)'!$J:$J,'Time based aggregation (hide)'!$E:$E,1,'Time based aggregation (hide)'!$F:$F,1,'Time based aggregation (hide)'!$A:$A,ROW(A39))</f>
        <v>0</v>
      </c>
      <c r="KG81" s="6">
        <f>SUMIFS('Time based aggregation (hide)'!$J:$J,'Time based aggregation (hide)'!$E:$E,1,'Time based aggregation (hide)'!$F:$F,2,'Time based aggregation (hide)'!$A:$A,ROW(A39))</f>
        <v>0</v>
      </c>
      <c r="KH81" s="6">
        <f>SUMIFS('Time based aggregation (hide)'!$J:$J,'Time based aggregation (hide)'!$E:$E,1,'Time based aggregation (hide)'!$F:$F,3,'Time based aggregation (hide)'!$A:$A,ROW(A39))</f>
        <v>0</v>
      </c>
      <c r="KI81" s="6">
        <f>SUMIFS('Time based aggregation (hide)'!$J:$J,'Time based aggregation (hide)'!$E:$E,2,'Time based aggregation (hide)'!$F:$F,1,'Time based aggregation (hide)'!$A:$A,ROW(A39))</f>
        <v>0</v>
      </c>
      <c r="KJ81" s="6">
        <f>SUMIFS('Time based aggregation (hide)'!$J:$J,'Time based aggregation (hide)'!$E:$E,2,'Time based aggregation (hide)'!$F:$F,2,'Time based aggregation (hide)'!$A:$A,ROW(A39))</f>
        <v>0</v>
      </c>
      <c r="KK81" s="6">
        <f>SUMIFS('Time based aggregation (hide)'!$J:$J,'Time based aggregation (hide)'!$E:$E,2,'Time based aggregation (hide)'!$F:$F,3,'Time based aggregation (hide)'!$A:$A,ROW(A39))</f>
        <v>0</v>
      </c>
      <c r="KL81" s="6">
        <f>SUMIFS('Time based aggregation (hide)'!$J:$J,'Time based aggregation (hide)'!$E:$E,3,'Time based aggregation (hide)'!$F:$F,1,'Time based aggregation (hide)'!$A:$A,ROW(A39))</f>
        <v>0</v>
      </c>
      <c r="KM81" s="6">
        <f>SUMIFS('Time based aggregation (hide)'!$J:$J,'Time based aggregation (hide)'!$E:$E,3,'Time based aggregation (hide)'!$F:$F,2,'Time based aggregation (hide)'!$A:$A,ROW(A39))</f>
        <v>0</v>
      </c>
      <c r="KN81" s="6">
        <f>SUMIFS('Time based aggregation (hide)'!$J:$J,'Time based aggregation (hide)'!$E:$E,3,'Time based aggregation (hide)'!$F:$F,3,'Time based aggregation (hide)'!$A:$A,ROW(A39))</f>
        <v>0</v>
      </c>
      <c r="KO81" s="6">
        <f>SUMIFS('Time based aggregation (hide)'!$J:$J,'Time based aggregation (hide)'!$E:$E,4,'Time based aggregation (hide)'!$F:$F,1,'Time based aggregation (hide)'!$A:$A,ROW(A39))</f>
        <v>0</v>
      </c>
      <c r="KP81" s="6">
        <f>SUMIFS('Time based aggregation (hide)'!$J:$J,'Time based aggregation (hide)'!$E:$E,4,'Time based aggregation (hide)'!$F:$F,2,'Time based aggregation (hide)'!$A:$A,ROW(A39))</f>
        <v>0</v>
      </c>
      <c r="KQ81" s="6">
        <f>SUMIFS('Time based aggregation (hide)'!$J:$J,'Time based aggregation (hide)'!$E:$E,4,'Time based aggregation (hide)'!$F:$F,3,'Time based aggregation (hide)'!$A:$A,ROW(A39))</f>
        <v>0</v>
      </c>
      <c r="KR81" s="6">
        <f>SUMIFS('Time based aggregation (hide)'!$J:$J,'Time based aggregation (hide)'!$E:$E,5,'Time based aggregation (hide)'!$F:$F,1,'Time based aggregation (hide)'!$A:$A,ROW(A39))</f>
        <v>0</v>
      </c>
      <c r="KS81" s="6">
        <f>SUMIFS('Time based aggregation (hide)'!$J:$J,'Time based aggregation (hide)'!$E:$E,5,'Time based aggregation (hide)'!$F:$F,2,'Time based aggregation (hide)'!$A:$A,ROW(A39))</f>
        <v>0</v>
      </c>
      <c r="KT81" s="6">
        <f>SUMIFS('Time based aggregation (hide)'!$J:$J,'Time based aggregation (hide)'!$E:$E,5,'Time based aggregation (hide)'!$F:$F,3,'Time based aggregation (hide)'!$A:$A,ROW(A39))</f>
        <v>0</v>
      </c>
      <c r="KU81" s="6">
        <f>SUMIFS('Time based aggregation (hide)'!$J:$J,'Time based aggregation (hide)'!$E:$E,6,'Time based aggregation (hide)'!$F:$F,1,'Time based aggregation (hide)'!$A:$A,ROW(A39))</f>
        <v>0</v>
      </c>
      <c r="KV81" s="6">
        <f>SUMIFS('Time based aggregation (hide)'!$J:$J,'Time based aggregation (hide)'!$E:$E,6,'Time based aggregation (hide)'!$F:$F,2,'Time based aggregation (hide)'!$A:$A,ROW(A39))</f>
        <v>0</v>
      </c>
      <c r="KW81" s="6">
        <f>SUMIFS('Time based aggregation (hide)'!$J:$J,'Time based aggregation (hide)'!$E:$E,6,'Time based aggregation (hide)'!$F:$F,3,'Time based aggregation (hide)'!$A:$A,ROW(A39))</f>
        <v>0</v>
      </c>
      <c r="KX81" s="6">
        <f>SUMIFS('Time based aggregation (hide)'!$J:$J,'Time based aggregation (hide)'!$E:$E,7,'Time based aggregation (hide)'!$F:$F,1,'Time based aggregation (hide)'!$A:$A,ROW(A39))</f>
        <v>0</v>
      </c>
      <c r="KY81" s="6">
        <f>SUMIFS('Time based aggregation (hide)'!$J:$J,'Time based aggregation (hide)'!$E:$E,7,'Time based aggregation (hide)'!$F:$F,2,'Time based aggregation (hide)'!$A:$A,ROW(A39))</f>
        <v>0</v>
      </c>
      <c r="KZ81" s="6">
        <f>SUMIFS('Time based aggregation (hide)'!$J:$J,'Time based aggregation (hide)'!$E:$E,7,'Time based aggregation (hide)'!$F:$F,3,'Time based aggregation (hide)'!$A:$A,ROW(A39))</f>
        <v>0</v>
      </c>
      <c r="LA81" s="6">
        <f>SUMIFS('Time based aggregation (hide)'!$J:$J,'Time based aggregation (hide)'!$E:$E,8,'Time based aggregation (hide)'!$F:$F,1,'Time based aggregation (hide)'!$A:$A,ROW(A39))</f>
        <v>0</v>
      </c>
      <c r="LB81" s="6">
        <f>SUMIFS('Time based aggregation (hide)'!$J:$J,'Time based aggregation (hide)'!$E:$E,8,'Time based aggregation (hide)'!$F:$F,2,'Time based aggregation (hide)'!$A:$A,ROW(A39))</f>
        <v>0</v>
      </c>
      <c r="LC81" s="6">
        <f>SUMIFS('Time based aggregation (hide)'!$J:$J,'Time based aggregation (hide)'!$E:$E,8,'Time based aggregation (hide)'!$F:$F,3,'Time based aggregation (hide)'!$A:$A,ROW(A39))</f>
        <v>0</v>
      </c>
      <c r="LD81" s="6">
        <f>SUMIFS('Time based aggregation (hide)'!$J:$J,'Time based aggregation (hide)'!$E:$E,9,'Time based aggregation (hide)'!$F:$F,1,'Time based aggregation (hide)'!$A:$A,ROW(A39))</f>
        <v>0</v>
      </c>
      <c r="LE81" s="6">
        <f>SUMIFS('Time based aggregation (hide)'!$J:$J,'Time based aggregation (hide)'!$E:$E,9,'Time based aggregation (hide)'!$F:$F,2,'Time based aggregation (hide)'!$A:$A,ROW(A39))</f>
        <v>0</v>
      </c>
      <c r="LF81" s="6">
        <f>SUMIFS('Time based aggregation (hide)'!$J:$J,'Time based aggregation (hide)'!$E:$E,9,'Time based aggregation (hide)'!$F:$F,3,'Time based aggregation (hide)'!$A:$A,ROW(A39))</f>
        <v>0</v>
      </c>
      <c r="LG81" s="6">
        <f>SUMIFS('Time based aggregation (hide)'!$J:$J,'Time based aggregation (hide)'!$E:$E,10,'Time based aggregation (hide)'!$F:$F,1,'Time based aggregation (hide)'!$A:$A,ROW(A39))</f>
        <v>0</v>
      </c>
      <c r="LH81" s="6">
        <f>SUMIFS('Time based aggregation (hide)'!$J:$J,'Time based aggregation (hide)'!$E:$E,10,'Time based aggregation (hide)'!$F:$F,2,'Time based aggregation (hide)'!$A:$A,ROW(A39))</f>
        <v>0</v>
      </c>
      <c r="LI81" s="6">
        <f>SUMIFS('Time based aggregation (hide)'!$J:$J,'Time based aggregation (hide)'!$E:$E,10,'Time based aggregation (hide)'!$F:$F,3,'Time based aggregation (hide)'!$A:$A,ROW(A39))</f>
        <v>0</v>
      </c>
      <c r="LJ81" s="6">
        <f>SUMIFS('Time based aggregation (hide)'!$J:$J,'Time based aggregation (hide)'!$E:$E,11,'Time based aggregation (hide)'!$F:$F,1,'Time based aggregation (hide)'!$A:$A,ROW(A39))</f>
        <v>0</v>
      </c>
      <c r="LK81" s="6">
        <f>SUMIFS('Time based aggregation (hide)'!$J:$J,'Time based aggregation (hide)'!$E:$E,11,'Time based aggregation (hide)'!$F:$F,2,'Time based aggregation (hide)'!$A:$A,ROW(A39))</f>
        <v>0</v>
      </c>
      <c r="LL81" s="6">
        <f>SUMIFS('Time based aggregation (hide)'!$J:$J,'Time based aggregation (hide)'!$E:$E,11,'Time based aggregation (hide)'!$F:$F,3,'Time based aggregation (hide)'!$A:$A,ROW(A39))</f>
        <v>0</v>
      </c>
      <c r="LM81" s="6">
        <f>SUMIFS('Time based aggregation (hide)'!$J:$J,'Time based aggregation (hide)'!$E:$E,12,'Time based aggregation (hide)'!$F:$F,1,'Time based aggregation (hide)'!$A:$A,ROW(A39))</f>
        <v>0</v>
      </c>
      <c r="LN81" s="6">
        <f>SUMIFS('Time based aggregation (hide)'!$J:$J,'Time based aggregation (hide)'!$E:$E,12,'Time based aggregation (hide)'!$F:$F,2,'Time based aggregation (hide)'!$A:$A,ROW(A39))</f>
        <v>0</v>
      </c>
      <c r="LO81" s="6">
        <f>SUMIFS('Time based aggregation (hide)'!$J:$J,'Time based aggregation (hide)'!$E:$E,12,'Time based aggregation (hide)'!$F:$F,3,'Time based aggregation (hide)'!$A:$A,ROW(A39))</f>
        <v>0</v>
      </c>
      <c r="LP81" s="6">
        <f>SUMIFS('Time based aggregation (hide)'!$J:$J,'Time based aggregation (hide)'!$E:$E,13,'Time based aggregation (hide)'!$F:$F,1,'Time based aggregation (hide)'!$A:$A,ROW(A39))</f>
        <v>0</v>
      </c>
      <c r="LQ81" s="6">
        <f>SUMIFS('Time based aggregation (hide)'!$J:$J,'Time based aggregation (hide)'!$E:$E,13,'Time based aggregation (hide)'!$F:$F,2,'Time based aggregation (hide)'!$A:$A,ROW(A39))</f>
        <v>0</v>
      </c>
      <c r="LR81" s="6">
        <f>SUMIFS('Time based aggregation (hide)'!$J:$J,'Time based aggregation (hide)'!$E:$E,13,'Time based aggregation (hide)'!$F:$F,3,'Time based aggregation (hide)'!$A:$A,ROW(A39))</f>
        <v>0</v>
      </c>
      <c r="LS81" s="6">
        <f>SUMIFS('Time based aggregation (hide)'!$J:$J,'Time based aggregation (hide)'!$E:$E,14,'Time based aggregation (hide)'!$F:$F,1,'Time based aggregation (hide)'!$A:$A,ROW(A39))</f>
        <v>0</v>
      </c>
      <c r="LT81" s="6">
        <f>SUMIFS('Time based aggregation (hide)'!$J:$J,'Time based aggregation (hide)'!$E:$E,14,'Time based aggregation (hide)'!$F:$F,2,'Time based aggregation (hide)'!$A:$A,ROW(A39))</f>
        <v>0</v>
      </c>
      <c r="LU81" s="6">
        <f>SUMIFS('Time based aggregation (hide)'!$J:$J,'Time based aggregation (hide)'!$E:$E,14,'Time based aggregation (hide)'!$F:$F,3,'Time based aggregation (hide)'!$A:$A,ROW(A39))</f>
        <v>0</v>
      </c>
      <c r="LV81" s="6">
        <f>SUMIFS('Time based aggregation (hide)'!$J:$J,'Time based aggregation (hide)'!$E:$E,15,'Time based aggregation (hide)'!$F:$F,1,'Time based aggregation (hide)'!$A:$A,ROW(A39))</f>
        <v>0</v>
      </c>
      <c r="LW81" s="6">
        <f>SUMIFS('Time based aggregation (hide)'!$J:$J,'Time based aggregation (hide)'!$E:$E,15,'Time based aggregation (hide)'!$F:$F,2,'Time based aggregation (hide)'!$A:$A,ROW(A39))</f>
        <v>0</v>
      </c>
      <c r="LX81" s="6">
        <f>SUMIFS('Time based aggregation (hide)'!$J:$J,'Time based aggregation (hide)'!$E:$E,15,'Time based aggregation (hide)'!$F:$F,3,'Time based aggregation (hide)'!$A:$A,ROW(A39))</f>
        <v>0</v>
      </c>
      <c r="LY81" s="6">
        <f>SUMIFS('Time based aggregation (hide)'!$J:$J,'Time based aggregation (hide)'!$E:$E,16,'Time based aggregation (hide)'!$F:$F,1,'Time based aggregation (hide)'!$A:$A,ROW(A39))</f>
        <v>0</v>
      </c>
      <c r="LZ81" s="6">
        <f>SUMIFS('Time based aggregation (hide)'!$J:$J,'Time based aggregation (hide)'!$E:$E,16,'Time based aggregation (hide)'!$F:$F,2,'Time based aggregation (hide)'!$A:$A,ROW(A39))</f>
        <v>0</v>
      </c>
      <c r="MA81" s="6">
        <f>SUMIFS('Time based aggregation (hide)'!$J:$J,'Time based aggregation (hide)'!$E:$E,16,'Time based aggregation (hide)'!$F:$F,3,'Time based aggregation (hide)'!$A:$A,ROW(A39))</f>
        <v>0</v>
      </c>
      <c r="MB81" s="6">
        <f>SUMIFS('Time based aggregation (hide)'!$J:$J,'Time based aggregation (hide)'!$E:$E,17,'Time based aggregation (hide)'!$F:$F,1,'Time based aggregation (hide)'!$A:$A,ROW(A39))</f>
        <v>0</v>
      </c>
      <c r="MC81" s="6">
        <f>SUMIFS('Time based aggregation (hide)'!$J:$J,'Time based aggregation (hide)'!$E:$E,17,'Time based aggregation (hide)'!$F:$F,2,'Time based aggregation (hide)'!$A:$A,ROW(A39))</f>
        <v>0</v>
      </c>
      <c r="MD81" s="6">
        <f>SUMIFS('Time based aggregation (hide)'!$J:$J,'Time based aggregation (hide)'!$E:$E,17,'Time based aggregation (hide)'!$F:$F,3,'Time based aggregation (hide)'!$A:$A,ROW(A39))</f>
        <v>0</v>
      </c>
      <c r="ME81" s="6">
        <f>SUMIFS('Time based aggregation (hide)'!$J:$J,'Time based aggregation (hide)'!$E:$E,18,'Time based aggregation (hide)'!$F:$F,1,'Time based aggregation (hide)'!$A:$A,ROW(A39))</f>
        <v>0</v>
      </c>
      <c r="MF81" s="6">
        <f>SUMIFS('Time based aggregation (hide)'!$J:$J,'Time based aggregation (hide)'!$E:$E,18,'Time based aggregation (hide)'!$F:$F,2,'Time based aggregation (hide)'!$A:$A,ROW(A39))</f>
        <v>0</v>
      </c>
      <c r="MG81" s="6">
        <f>SUMIFS('Time based aggregation (hide)'!$J:$J,'Time based aggregation (hide)'!$E:$E,18,'Time based aggregation (hide)'!$F:$F,3,'Time based aggregation (hide)'!$A:$A,ROW(A39))</f>
        <v>0</v>
      </c>
      <c r="MH81" s="6">
        <f>SUMIFS('Time based aggregation (hide)'!$J:$J,'Time based aggregation (hide)'!$E:$E,19,'Time based aggregation (hide)'!$F:$F,1,'Time based aggregation (hide)'!$A:$A,ROW(A39))</f>
        <v>0</v>
      </c>
      <c r="MI81" s="6">
        <f>SUMIFS('Time based aggregation (hide)'!$J:$J,'Time based aggregation (hide)'!$E:$E,19,'Time based aggregation (hide)'!$F:$F,2,'Time based aggregation (hide)'!$A:$A,ROW(A39))</f>
        <v>0</v>
      </c>
      <c r="MJ81" s="6">
        <f>SUMIFS('Time based aggregation (hide)'!$J:$J,'Time based aggregation (hide)'!$E:$E,19,'Time based aggregation (hide)'!$F:$F,3,'Time based aggregation (hide)'!$A:$A,ROW(A39))</f>
        <v>0</v>
      </c>
      <c r="MK81" s="6">
        <f>SUMIFS('Time based aggregation (hide)'!$J:$J,'Time based aggregation (hide)'!$E:$E,20,'Time based aggregation (hide)'!$F:$F,1,'Time based aggregation (hide)'!$A:$A,ROW(A39))</f>
        <v>0</v>
      </c>
      <c r="ML81" s="6">
        <f>SUMIFS('Time based aggregation (hide)'!$J:$J,'Time based aggregation (hide)'!$E:$E,20,'Time based aggregation (hide)'!$F:$F,2,'Time based aggregation (hide)'!$A:$A,ROW(A39))</f>
        <v>0</v>
      </c>
      <c r="MM81" s="6">
        <f>SUMIFS('Time based aggregation (hide)'!$J:$J,'Time based aggregation (hide)'!$E:$E,20,'Time based aggregation (hide)'!$F:$F,3,'Time based aggregation (hide)'!$A:$A,ROW(A39))</f>
        <v>0</v>
      </c>
      <c r="MN81" s="7">
        <f t="shared" ca="1" si="48"/>
        <v>0</v>
      </c>
      <c r="MO81" s="7">
        <f t="shared" ca="1" si="48"/>
        <v>0</v>
      </c>
      <c r="MP81" s="7">
        <f t="shared" ca="1" si="48"/>
        <v>0</v>
      </c>
      <c r="MQ81" s="7">
        <f t="shared" ca="1" si="48"/>
        <v>0</v>
      </c>
      <c r="MR81" s="7">
        <f t="shared" ca="1" si="48"/>
        <v>0</v>
      </c>
    </row>
    <row r="82" spans="1:356" x14ac:dyDescent="0.25">
      <c r="A82">
        <f>1</f>
        <v>1</v>
      </c>
      <c r="B82" s="85">
        <f t="shared" si="37"/>
        <v>43870</v>
      </c>
      <c r="C82" s="85">
        <f t="shared" si="25"/>
        <v>43864</v>
      </c>
      <c r="D82">
        <f t="shared" ca="1" si="26"/>
        <v>0</v>
      </c>
      <c r="E82" s="85">
        <f t="shared" si="27"/>
        <v>43862</v>
      </c>
      <c r="F82">
        <f t="shared" si="33"/>
        <v>6</v>
      </c>
      <c r="H82">
        <f t="shared" si="34"/>
        <v>40</v>
      </c>
      <c r="I82" s="85">
        <f t="shared" si="38"/>
        <v>44102</v>
      </c>
      <c r="J82">
        <f t="shared" ca="1" si="46"/>
        <v>5</v>
      </c>
      <c r="K82">
        <f t="shared" ca="1" si="47"/>
        <v>1.968503937007874E-2</v>
      </c>
      <c r="L82" s="114"/>
      <c r="N82" s="85">
        <f t="shared" si="35"/>
        <v>44102</v>
      </c>
      <c r="O82" s="122">
        <f t="shared" ca="1" si="44"/>
        <v>0</v>
      </c>
      <c r="P82" s="122">
        <f t="shared" ca="1" si="44"/>
        <v>0</v>
      </c>
      <c r="Q82" s="122">
        <f t="shared" ca="1" si="44"/>
        <v>0</v>
      </c>
      <c r="R82" s="122">
        <f t="shared" ca="1" si="44"/>
        <v>0</v>
      </c>
      <c r="S82" s="122">
        <f t="shared" ca="1" si="44"/>
        <v>0</v>
      </c>
      <c r="T82" s="122">
        <f t="shared" ca="1" si="44"/>
        <v>0</v>
      </c>
      <c r="U82" s="122">
        <f t="shared" ca="1" si="44"/>
        <v>0</v>
      </c>
      <c r="V82" s="122">
        <f t="shared" ca="1" si="44"/>
        <v>0</v>
      </c>
      <c r="W82" s="122">
        <f t="shared" ca="1" si="44"/>
        <v>0.6</v>
      </c>
      <c r="X82" s="122">
        <f t="shared" ca="1" si="44"/>
        <v>0.4</v>
      </c>
      <c r="Y82" s="122">
        <f t="shared" ca="1" si="44"/>
        <v>0</v>
      </c>
      <c r="Z82" s="122">
        <f t="shared" ca="1" si="44"/>
        <v>0</v>
      </c>
      <c r="AA82" s="122"/>
      <c r="AB82" s="140">
        <f>INDEX('File 1'!Weekly_Adjusted,40,1)</f>
        <v>388.17143954725253</v>
      </c>
      <c r="AC82" s="140">
        <f>INDEX('File 1'!Weekly_Adjusted,40,2)</f>
        <v>0</v>
      </c>
      <c r="AD82" s="140">
        <f>INDEX('File 1'!Weekly_Adjusted,40,3)</f>
        <v>0</v>
      </c>
      <c r="AE82" s="141">
        <f>INDEX('File 2'!Weekly_Adjusted,40,1)</f>
        <v>0</v>
      </c>
      <c r="AF82" s="141">
        <f>INDEX('File 2'!Weekly_Adjusted,40,2)</f>
        <v>0</v>
      </c>
      <c r="AG82" s="141">
        <f>INDEX('File 2'!Weekly_Adjusted,40,3)</f>
        <v>0</v>
      </c>
      <c r="AH82" s="140">
        <f>INDEX('File 3'!Weekly_Adjusted,40,1)</f>
        <v>0</v>
      </c>
      <c r="AI82" s="140">
        <f>INDEX('File 3'!Weekly_Adjusted,40,2)</f>
        <v>0</v>
      </c>
      <c r="AJ82" s="140">
        <f>INDEX('File 3'!Weekly_Adjusted,40,3)</f>
        <v>0</v>
      </c>
      <c r="AK82" s="141">
        <f>INDEX('File 4'!Weekly_Adjusted,40,1)</f>
        <v>0</v>
      </c>
      <c r="AL82" s="141">
        <f>INDEX('File 4'!Weekly_Adjusted,40,2)</f>
        <v>0</v>
      </c>
      <c r="AM82" s="141">
        <f>INDEX('File 4'!Weekly_Adjusted,40,3)</f>
        <v>0</v>
      </c>
      <c r="AN82" s="140">
        <f>INDEX('File 5'!Weekly_Adjusted,40,1)</f>
        <v>0</v>
      </c>
      <c r="AO82" s="140">
        <f>INDEX('File 5'!Weekly_Adjusted,40,2)</f>
        <v>0</v>
      </c>
      <c r="AP82" s="140">
        <f>INDEX('File 5'!Weekly_Adjusted,40,3)</f>
        <v>0</v>
      </c>
      <c r="AQ82" s="141">
        <f>INDEX('File 6'!Weekly_Adjusted,40,1)</f>
        <v>0</v>
      </c>
      <c r="AR82" s="141">
        <f>INDEX('File 6'!Weekly_Adjusted,40,2)</f>
        <v>0</v>
      </c>
      <c r="AS82" s="141">
        <f>INDEX('File 6'!Weekly_Adjusted,40,3)</f>
        <v>0</v>
      </c>
      <c r="AT82" s="140">
        <f>INDEX('File 7'!Weekly_Adjusted,40,1)</f>
        <v>0</v>
      </c>
      <c r="AU82" s="140">
        <f>INDEX('File 7'!Weekly_Adjusted,40,2)</f>
        <v>0</v>
      </c>
      <c r="AV82" s="140">
        <f>INDEX('File 7'!Weekly_Adjusted,40,3)</f>
        <v>0</v>
      </c>
      <c r="AW82" s="141">
        <f>INDEX('File 8'!Weekly_Adjusted,40,1)</f>
        <v>0</v>
      </c>
      <c r="AX82" s="141">
        <f>INDEX('File 8'!Weekly_Adjusted,40,2)</f>
        <v>0</v>
      </c>
      <c r="AY82" s="141">
        <f>INDEX('File 8'!Weekly_Adjusted,40,3)</f>
        <v>0</v>
      </c>
      <c r="AZ82" s="140">
        <f>INDEX('File 9'!Weekly_Adjusted,40,1)</f>
        <v>0</v>
      </c>
      <c r="BA82" s="140">
        <f>INDEX('File 9'!Weekly_Adjusted,40,2)</f>
        <v>0</v>
      </c>
      <c r="BB82" s="140">
        <f>INDEX('File 9'!Weekly_Adjusted,40,3)</f>
        <v>0</v>
      </c>
      <c r="BC82" s="141">
        <f>INDEX('File 10'!Weekly_Adjusted,40,1)</f>
        <v>0</v>
      </c>
      <c r="BD82" s="141">
        <f>INDEX('File 10'!Weekly_Adjusted,40,2)</f>
        <v>0</v>
      </c>
      <c r="BE82" s="141">
        <f>INDEX('File 10'!Weekly_Adjusted,40,3)</f>
        <v>0</v>
      </c>
      <c r="BF82" s="140">
        <f>INDEX('File 11'!Weekly_Adjusted,40,1)</f>
        <v>0</v>
      </c>
      <c r="BG82" s="140">
        <f>INDEX('File 11'!Weekly_Adjusted,40,2)</f>
        <v>0</v>
      </c>
      <c r="BH82" s="140">
        <f>INDEX('File 11'!Weekly_Adjusted,40,3)</f>
        <v>0</v>
      </c>
      <c r="BI82" s="141">
        <f>INDEX('File 12'!Weekly_Adjusted,40,1)</f>
        <v>0</v>
      </c>
      <c r="BJ82" s="141">
        <f>INDEX('File 12'!Weekly_Adjusted,40,2)</f>
        <v>0</v>
      </c>
      <c r="BK82" s="141">
        <f>INDEX('File 12'!Weekly_Adjusted,40,3)</f>
        <v>0</v>
      </c>
      <c r="BL82" s="140">
        <f>INDEX('File 13'!Weekly_Adjusted,40,1)</f>
        <v>0</v>
      </c>
      <c r="BM82" s="140">
        <f>INDEX('File 13'!Weekly_Adjusted,40,2)</f>
        <v>0</v>
      </c>
      <c r="BN82" s="140">
        <f>INDEX('File 13'!Weekly_Adjusted,40,3)</f>
        <v>0</v>
      </c>
      <c r="BO82" s="141">
        <f>INDEX('File 14'!Weekly_Adjusted,40,1)</f>
        <v>0</v>
      </c>
      <c r="BP82" s="141">
        <f>INDEX('File 14'!Weekly_Adjusted,40,2)</f>
        <v>0</v>
      </c>
      <c r="BQ82" s="141">
        <f>INDEX('File 14'!Weekly_Adjusted,40,3)</f>
        <v>0</v>
      </c>
      <c r="BR82" s="140">
        <f>INDEX('File 15'!Weekly_Adjusted,40,1)</f>
        <v>0</v>
      </c>
      <c r="BS82" s="140">
        <f>INDEX('File 15'!Weekly_Adjusted,40,2)</f>
        <v>0</v>
      </c>
      <c r="BT82" s="140">
        <f>INDEX('File 15'!Weekly_Adjusted,40,3)</f>
        <v>0</v>
      </c>
      <c r="BU82" s="141">
        <f>INDEX('File 16'!Weekly_Adjusted,40,1)</f>
        <v>0</v>
      </c>
      <c r="BV82" s="141">
        <f>INDEX('File 16'!Weekly_Adjusted,40,2)</f>
        <v>0</v>
      </c>
      <c r="BW82" s="141">
        <f>INDEX('File 16'!Weekly_Adjusted,40,3)</f>
        <v>0</v>
      </c>
      <c r="BX82" s="140">
        <f>INDEX('File 17'!Weekly_Adjusted,40,1)</f>
        <v>0</v>
      </c>
      <c r="BY82" s="140">
        <f>INDEX('File 17'!Weekly_Adjusted,40,2)</f>
        <v>0</v>
      </c>
      <c r="BZ82" s="140">
        <f>INDEX('File 17'!Weekly_Adjusted,40,3)</f>
        <v>0</v>
      </c>
      <c r="CA82" s="141">
        <f>INDEX('File 18'!Weekly_Adjusted,40,1)</f>
        <v>0</v>
      </c>
      <c r="CB82" s="141">
        <f>INDEX('File 18'!Weekly_Adjusted,40,2)</f>
        <v>0</v>
      </c>
      <c r="CC82" s="141">
        <f>INDEX('File 18'!Weekly_Adjusted,40,3)</f>
        <v>0</v>
      </c>
      <c r="CD82" s="140">
        <f>INDEX('File 19'!Weekly_Adjusted,40,1)</f>
        <v>0</v>
      </c>
      <c r="CE82" s="140">
        <f>INDEX('File 19'!Weekly_Adjusted,40,2)</f>
        <v>0</v>
      </c>
      <c r="CF82" s="140">
        <f>INDEX('File 19'!Weekly_Adjusted,40,3)</f>
        <v>0</v>
      </c>
      <c r="CG82" s="141">
        <f>INDEX('File 20'!Weekly_Adjusted,40,1)</f>
        <v>0</v>
      </c>
      <c r="CH82" s="141">
        <f>INDEX('File 20'!Weekly_Adjusted,40,2)</f>
        <v>0</v>
      </c>
      <c r="CI82" s="141">
        <f>INDEX('File 20'!Weekly_Adjusted,40,3)</f>
        <v>0</v>
      </c>
      <c r="CJ82" s="6">
        <f ca="1">SUMIFS(INDEX(Demand_Activity_Weekly,ROW(A40),0),Demand_Activity_Weekly_Header,CJ$42)</f>
        <v>388.17143954725253</v>
      </c>
      <c r="CK82" s="6">
        <f ca="1">SUMIFS(INDEX(Demand_Activity_Weekly,ROW(B40),0),Demand_Activity_Weekly_Header,CK$42)</f>
        <v>0</v>
      </c>
      <c r="CL82" s="6">
        <f ca="1">SUMIFS(INDEX(Demand_Activity_Weekly,ROW(C40),0),Demand_Activity_Weekly_Header,CL$42)</f>
        <v>0</v>
      </c>
      <c r="CM82" s="6">
        <f ca="1">SUMIFS(INDEX(Demand_Activity_Weekly,ROW(D40),0),Demand_Activity_Weekly_Header,CM$42)</f>
        <v>0</v>
      </c>
      <c r="CN82" s="6">
        <f ca="1">SUMIFS(INDEX(Demand_Activity_Weekly,ROW(E40),0),Demand_Activity_Weekly_Header,CN$42)</f>
        <v>0</v>
      </c>
      <c r="CP82" s="142">
        <f>INDEX('File 1'!Weekly_Adjusted,40,10)</f>
        <v>24.344712210866053</v>
      </c>
      <c r="CQ82" s="142">
        <f>INDEX('File 1'!Weekly_Adjusted,40,11)</f>
        <v>0</v>
      </c>
      <c r="CR82" s="142">
        <f>INDEX('File 1'!Weekly_Adjusted,40,12)</f>
        <v>0</v>
      </c>
      <c r="CS82" s="143">
        <f>INDEX('File 2'!Weekly_Adjusted,40,10)</f>
        <v>0</v>
      </c>
      <c r="CT82" s="143">
        <f>INDEX('File 2'!Weekly_Adjusted,40,11)</f>
        <v>0</v>
      </c>
      <c r="CU82" s="143">
        <f>INDEX('File 2'!Weekly_Adjusted,40,12)</f>
        <v>0</v>
      </c>
      <c r="CV82" s="142">
        <f>INDEX('File 3'!Weekly_Adjusted,40,10)</f>
        <v>0</v>
      </c>
      <c r="CW82" s="142">
        <f>INDEX('File 3'!Weekly_Adjusted,40,11)</f>
        <v>0</v>
      </c>
      <c r="CX82" s="142">
        <f>INDEX('File 3'!Weekly_Adjusted,40,12)</f>
        <v>0</v>
      </c>
      <c r="CY82" s="143">
        <f>INDEX('File 4'!Weekly_Adjusted,40,10)</f>
        <v>0</v>
      </c>
      <c r="CZ82" s="143">
        <f>INDEX('File 4'!Weekly_Adjusted,40,11)</f>
        <v>0</v>
      </c>
      <c r="DA82" s="143">
        <f>INDEX('File 4'!Weekly_Adjusted,40,12)</f>
        <v>0</v>
      </c>
      <c r="DB82" s="142">
        <f>INDEX('File 5'!Weekly_Adjusted,40,10)</f>
        <v>0</v>
      </c>
      <c r="DC82" s="142">
        <f>INDEX('File 5'!Weekly_Adjusted,40,11)</f>
        <v>0</v>
      </c>
      <c r="DD82" s="142">
        <f>INDEX('File 5'!Weekly_Adjusted,40,12)</f>
        <v>0</v>
      </c>
      <c r="DE82" s="143">
        <f>INDEX('File 6'!Weekly_Adjusted,40,10)</f>
        <v>0</v>
      </c>
      <c r="DF82" s="143">
        <f>INDEX('File 6'!Weekly_Adjusted,40,11)</f>
        <v>0</v>
      </c>
      <c r="DG82" s="143">
        <f>INDEX('File 6'!Weekly_Adjusted,40,12)</f>
        <v>0</v>
      </c>
      <c r="DH82" s="142">
        <f>INDEX('File 7'!Weekly_Adjusted,40,10)</f>
        <v>0</v>
      </c>
      <c r="DI82" s="142">
        <f>INDEX('File 7'!Weekly_Adjusted,40,11)</f>
        <v>0</v>
      </c>
      <c r="DJ82" s="142">
        <f>INDEX('File 7'!Weekly_Adjusted,40,12)</f>
        <v>0</v>
      </c>
      <c r="DK82" s="143">
        <f>INDEX('File 8'!Weekly_Adjusted,40,10)</f>
        <v>0</v>
      </c>
      <c r="DL82" s="143">
        <f>INDEX('File 8'!Weekly_Adjusted,40,11)</f>
        <v>0</v>
      </c>
      <c r="DM82" s="143">
        <f>INDEX('File 8'!Weekly_Adjusted,40,12)</f>
        <v>0</v>
      </c>
      <c r="DN82" s="142">
        <f>INDEX('File 9'!Weekly_Adjusted,40,10)</f>
        <v>0</v>
      </c>
      <c r="DO82" s="142">
        <f>INDEX('File 9'!Weekly_Adjusted,40,11)</f>
        <v>0</v>
      </c>
      <c r="DP82" s="142">
        <f>INDEX('File 9'!Weekly_Adjusted,40,12)</f>
        <v>0</v>
      </c>
      <c r="DQ82" s="143">
        <f>INDEX('File 10'!Weekly_Adjusted,40,10)</f>
        <v>0</v>
      </c>
      <c r="DR82" s="143">
        <f>INDEX('File 10'!Weekly_Adjusted,40,11)</f>
        <v>0</v>
      </c>
      <c r="DS82" s="143">
        <f>INDEX('File 10'!Weekly_Adjusted,40,12)</f>
        <v>0</v>
      </c>
      <c r="DT82" s="142">
        <f>INDEX('File 11'!Weekly_Adjusted,40,10)</f>
        <v>0</v>
      </c>
      <c r="DU82" s="142">
        <f>INDEX('File 11'!Weekly_Adjusted,40,11)</f>
        <v>0</v>
      </c>
      <c r="DV82" s="142">
        <f>INDEX('File 11'!Weekly_Adjusted,40,12)</f>
        <v>0</v>
      </c>
      <c r="DW82" s="143">
        <f>INDEX('File 12'!Weekly_Adjusted,40,10)</f>
        <v>0</v>
      </c>
      <c r="DX82" s="143">
        <f>INDEX('File 12'!Weekly_Adjusted,40,11)</f>
        <v>0</v>
      </c>
      <c r="DY82" s="143">
        <f>INDEX('File 12'!Weekly_Adjusted,40,12)</f>
        <v>0</v>
      </c>
      <c r="DZ82" s="142">
        <f>INDEX('File 13'!Weekly_Adjusted,40,10)</f>
        <v>0</v>
      </c>
      <c r="EA82" s="142">
        <f>INDEX('File 13'!Weekly_Adjusted,40,11)</f>
        <v>0</v>
      </c>
      <c r="EB82" s="142">
        <f>INDEX('File 13'!Weekly_Adjusted,40,12)</f>
        <v>0</v>
      </c>
      <c r="EC82" s="143">
        <f>INDEX('File 14'!Weekly_Adjusted,40,10)</f>
        <v>0</v>
      </c>
      <c r="ED82" s="143">
        <f>INDEX('File 14'!Weekly_Adjusted,40,11)</f>
        <v>0</v>
      </c>
      <c r="EE82" s="143">
        <f>INDEX('File 14'!Weekly_Adjusted,40,12)</f>
        <v>0</v>
      </c>
      <c r="EF82" s="142">
        <f>INDEX('File 15'!Weekly_Adjusted,40,10)</f>
        <v>0</v>
      </c>
      <c r="EG82" s="142">
        <f>INDEX('File 15'!Weekly_Adjusted,40,11)</f>
        <v>0</v>
      </c>
      <c r="EH82" s="142">
        <f>INDEX('File 15'!Weekly_Adjusted,40,12)</f>
        <v>0</v>
      </c>
      <c r="EI82" s="143">
        <f>INDEX('File 16'!Weekly_Adjusted,40,10)</f>
        <v>0</v>
      </c>
      <c r="EJ82" s="143">
        <f>INDEX('File 16'!Weekly_Adjusted,40,11)</f>
        <v>0</v>
      </c>
      <c r="EK82" s="143">
        <f>INDEX('File 16'!Weekly_Adjusted,40,12)</f>
        <v>0</v>
      </c>
      <c r="EL82" s="142">
        <f>INDEX('File 17'!Weekly_Adjusted,40,10)</f>
        <v>0</v>
      </c>
      <c r="EM82" s="142">
        <f>INDEX('File 17'!Weekly_Adjusted,40,11)</f>
        <v>0</v>
      </c>
      <c r="EN82" s="142">
        <f>INDEX('File 17'!Weekly_Adjusted,40,12)</f>
        <v>0</v>
      </c>
      <c r="EO82" s="143">
        <f>INDEX('File 18'!Weekly_Adjusted,40,10)</f>
        <v>0</v>
      </c>
      <c r="EP82" s="143">
        <f>INDEX('File 18'!Weekly_Adjusted,40,11)</f>
        <v>0</v>
      </c>
      <c r="EQ82" s="143">
        <f>INDEX('File 18'!Weekly_Adjusted,40,12)</f>
        <v>0</v>
      </c>
      <c r="ER82" s="142">
        <f>INDEX('File 19'!Weekly_Adjusted,40,10)</f>
        <v>0</v>
      </c>
      <c r="ES82" s="142">
        <f>INDEX('File 19'!Weekly_Adjusted,40,11)</f>
        <v>0</v>
      </c>
      <c r="ET82" s="142">
        <f>INDEX('File 19'!Weekly_Adjusted,40,12)</f>
        <v>0</v>
      </c>
      <c r="EU82" s="143">
        <f>INDEX('File 20'!Weekly_Adjusted,40,10)</f>
        <v>0</v>
      </c>
      <c r="EV82" s="143">
        <f>INDEX('File 20'!Weekly_Adjusted,40,11)</f>
        <v>0</v>
      </c>
      <c r="EW82" s="143">
        <f>INDEX('File 20'!Weekly_Adjusted,40,12)</f>
        <v>0</v>
      </c>
      <c r="EX82" s="6">
        <f ca="1">SUMIFS(INDEX(Capacity_Activity_Weekly,ROW(A40),0),Demand_Activity_Weekly_Header,CJ$42)</f>
        <v>24.344712210866053</v>
      </c>
      <c r="EY82" s="6">
        <f ca="1">SUMIFS(INDEX(Capacity_Activity_Weekly,ROW(B40),0),Demand_Activity_Weekly_Header,CK$42)</f>
        <v>0</v>
      </c>
      <c r="EZ82" s="6">
        <f ca="1">SUMIFS(INDEX(Capacity_Activity_Weekly,ROW(C40),0),Demand_Activity_Weekly_Header,CL$42)</f>
        <v>0</v>
      </c>
      <c r="FA82" s="6">
        <f ca="1">SUMIFS(INDEX(Capacity_Activity_Weekly,ROW(D40),0),Demand_Activity_Weekly_Header,CM$42)</f>
        <v>0</v>
      </c>
      <c r="FB82" s="6">
        <f ca="1">SUMIFS(INDEX(Capacity_Activity_Weekly,ROW(E40),0),Demand_Activity_Weekly_Header,CN$42)</f>
        <v>0</v>
      </c>
      <c r="FD82" s="7">
        <f>'File 1'!$Q$54*'Time based aggregation (hide)'!$Q44</f>
        <v>0</v>
      </c>
      <c r="FE82" s="7">
        <f>'File 1'!$R$54*'Time based aggregation (hide)'!$R44</f>
        <v>0</v>
      </c>
      <c r="FF82" s="7">
        <f>'File 1'!$S$54*'Time based aggregation (hide)'!$S44</f>
        <v>0</v>
      </c>
      <c r="FG82" s="7">
        <f>'File 2'!$Q$54*'Time based aggregation (hide)'!$T44</f>
        <v>0</v>
      </c>
      <c r="FH82" s="7">
        <f>'File 2'!$R$54*'Time based aggregation (hide)'!$U44</f>
        <v>0</v>
      </c>
      <c r="FI82" s="7">
        <f>'File 2'!$S$54*'Time based aggregation (hide)'!$V44</f>
        <v>0</v>
      </c>
      <c r="FJ82" s="7">
        <f>'File 3'!$Q$54*'Time based aggregation (hide)'!$W44</f>
        <v>0</v>
      </c>
      <c r="FK82" s="7">
        <f>'File 3'!$R$54*'Time based aggregation (hide)'!$X44</f>
        <v>0</v>
      </c>
      <c r="FL82" s="7">
        <f>'File 3'!$S$54*'Time based aggregation (hide)'!$Y44</f>
        <v>0</v>
      </c>
      <c r="FM82" s="7">
        <f>'File 4'!$Q$54*'Time based aggregation (hide)'!$Z44</f>
        <v>0</v>
      </c>
      <c r="FN82" s="7">
        <f>'File 4'!$R$54*'Time based aggregation (hide)'!$AA44</f>
        <v>0</v>
      </c>
      <c r="FO82" s="7">
        <f>'File 4'!$S$54*'Time based aggregation (hide)'!$AB44</f>
        <v>0</v>
      </c>
      <c r="FP82" s="7">
        <f>'File 5'!$Q$54*'Time based aggregation (hide)'!$AC44</f>
        <v>0</v>
      </c>
      <c r="FQ82" s="7">
        <f>'File 5'!$R$54*'Time based aggregation (hide)'!$AD44</f>
        <v>0</v>
      </c>
      <c r="FR82" s="7">
        <f>'File 5'!$S$54*'Time based aggregation (hide)'!$AE44</f>
        <v>0</v>
      </c>
      <c r="FS82" s="7">
        <f>'File 6'!$Q$54*'Time based aggregation (hide)'!$AF44</f>
        <v>0</v>
      </c>
      <c r="FT82" s="7">
        <f>'File 6'!$R$54*'Time based aggregation (hide)'!$AG44</f>
        <v>0</v>
      </c>
      <c r="FU82" s="7">
        <f>'File 6'!$S$54*'Time based aggregation (hide)'!$AH44</f>
        <v>0</v>
      </c>
      <c r="FV82" s="7">
        <f>'File 7'!$Q$54*'Time based aggregation (hide)'!$AI44</f>
        <v>0</v>
      </c>
      <c r="FW82" s="7">
        <f>'File 7'!$R$54*'Time based aggregation (hide)'!$AJ44</f>
        <v>0</v>
      </c>
      <c r="FX82" s="7">
        <f>'File 7'!$S$54*'Time based aggregation (hide)'!$AK44</f>
        <v>0</v>
      </c>
      <c r="FY82" s="7">
        <f>'File 8'!$Q$54*'Time based aggregation (hide)'!$AL44</f>
        <v>0</v>
      </c>
      <c r="FZ82" s="7">
        <f>'File 8'!$R$54*'Time based aggregation (hide)'!$AM44</f>
        <v>0</v>
      </c>
      <c r="GA82" s="7">
        <f>'File 8'!$S$54*'Time based aggregation (hide)'!$AN44</f>
        <v>0</v>
      </c>
      <c r="GB82" s="7">
        <f>'File 9'!$Q$54*'Time based aggregation (hide)'!$AO44</f>
        <v>0</v>
      </c>
      <c r="GC82" s="7">
        <f>'File 9'!$R$54*'Time based aggregation (hide)'!$AP44</f>
        <v>0</v>
      </c>
      <c r="GD82" s="7">
        <f>'File 9'!$S$54*'Time based aggregation (hide)'!$AQ44</f>
        <v>0</v>
      </c>
      <c r="GE82" s="7">
        <f>'File 10'!$Q$54*'Time based aggregation (hide)'!$AR44</f>
        <v>0</v>
      </c>
      <c r="GF82" s="7">
        <f>'File 10'!$R$54*'Time based aggregation (hide)'!$AS44</f>
        <v>0</v>
      </c>
      <c r="GG82" s="7">
        <f>'File 10'!$S$54*'Time based aggregation (hide)'!$AT44</f>
        <v>0</v>
      </c>
      <c r="GH82" s="7">
        <f>'File 11'!$Q$54*'Time based aggregation (hide)'!$AU44</f>
        <v>0</v>
      </c>
      <c r="GI82" s="7">
        <f>'File 11'!$R$54*'Time based aggregation (hide)'!$AV44</f>
        <v>0</v>
      </c>
      <c r="GJ82" s="7">
        <f>'File 11'!$S$54*'Time based aggregation (hide)'!$AW44</f>
        <v>0</v>
      </c>
      <c r="GK82" s="7">
        <f>'File 12'!$Q$54*'Time based aggregation (hide)'!$AX44</f>
        <v>0</v>
      </c>
      <c r="GL82" s="7">
        <f>'File 12'!$R$54*'Time based aggregation (hide)'!$AY44</f>
        <v>0</v>
      </c>
      <c r="GM82" s="7">
        <f>'File 12'!$S$54*'Time based aggregation (hide)'!$AZ44</f>
        <v>0</v>
      </c>
      <c r="GN82" s="7">
        <f>'File 13'!$Q$54*'Time based aggregation (hide)'!$BA44</f>
        <v>0</v>
      </c>
      <c r="GO82" s="7">
        <f>'File 13'!$R$54*'Time based aggregation (hide)'!$BB44</f>
        <v>0</v>
      </c>
      <c r="GP82" s="7">
        <f>'File 13'!$S$54*'Time based aggregation (hide)'!$BC44</f>
        <v>0</v>
      </c>
      <c r="GQ82" s="7">
        <f>'File 14'!$Q$54*'Time based aggregation (hide)'!$BD44</f>
        <v>0</v>
      </c>
      <c r="GR82" s="7">
        <f>'File 14'!$R$54*'Time based aggregation (hide)'!$BE44</f>
        <v>0</v>
      </c>
      <c r="GS82" s="7">
        <f>'File 14'!$S$54*'Time based aggregation (hide)'!$BF44</f>
        <v>0</v>
      </c>
      <c r="GT82" s="7">
        <f>'File 15'!$Q$54*'Time based aggregation (hide)'!$BG44</f>
        <v>0</v>
      </c>
      <c r="GU82" s="7">
        <f>'File 15'!$R$54*'Time based aggregation (hide)'!$BH44</f>
        <v>0</v>
      </c>
      <c r="GV82" s="7">
        <f>'File 15'!$S$54*'Time based aggregation (hide)'!$BI44</f>
        <v>0</v>
      </c>
      <c r="GW82" s="7">
        <f>'File 16'!$Q$54*'Time based aggregation (hide)'!$BJ44</f>
        <v>0</v>
      </c>
      <c r="GX82" s="7">
        <f>'File 16'!$R$54*'Time based aggregation (hide)'!$BK44</f>
        <v>0</v>
      </c>
      <c r="GY82" s="7">
        <f>'File 16'!$S$54*'Time based aggregation (hide)'!$BL44</f>
        <v>0</v>
      </c>
      <c r="GZ82" s="7">
        <f>'File 17'!$Q$54*'Time based aggregation (hide)'!$BM44</f>
        <v>0</v>
      </c>
      <c r="HA82" s="7">
        <f>'File 17'!$R$54*'Time based aggregation (hide)'!$BN44</f>
        <v>0</v>
      </c>
      <c r="HB82" s="7">
        <f>'File 17'!$S$54*'Time based aggregation (hide)'!$BO44</f>
        <v>0</v>
      </c>
      <c r="HC82" s="7">
        <f>'File 18'!$Q$54*'Time based aggregation (hide)'!$BP44</f>
        <v>0</v>
      </c>
      <c r="HD82" s="7">
        <f>'File 18'!$R$54*'Time based aggregation (hide)'!$BQ44</f>
        <v>0</v>
      </c>
      <c r="HE82" s="7">
        <f>'File 18'!$S$54*'Time based aggregation (hide)'!$BR44</f>
        <v>0</v>
      </c>
      <c r="HF82" s="7">
        <f>'File 19'!$Q$54*'Time based aggregation (hide)'!$BS44</f>
        <v>0</v>
      </c>
      <c r="HG82" s="7">
        <f>'File 19'!$R$54*'Time based aggregation (hide)'!$BT44</f>
        <v>0</v>
      </c>
      <c r="HH82" s="7">
        <f>'File 19'!$S$54*'Time based aggregation (hide)'!$BU44</f>
        <v>0</v>
      </c>
      <c r="HI82" s="7">
        <f>'File 20'!$Q$54*'Time based aggregation (hide)'!$BV44</f>
        <v>0</v>
      </c>
      <c r="HJ82" s="7">
        <f>'File 20'!$R$54*'Time based aggregation (hide)'!$BW44</f>
        <v>0</v>
      </c>
      <c r="HK82" s="7">
        <f>'File 20'!$S$54*'Time based aggregation (hide)'!$BX44</f>
        <v>0</v>
      </c>
      <c r="HL82" s="7">
        <f t="shared" ca="1" si="45"/>
        <v>0</v>
      </c>
      <c r="HM82" s="7">
        <f t="shared" ca="1" si="45"/>
        <v>0</v>
      </c>
      <c r="HN82" s="7">
        <f t="shared" ca="1" si="45"/>
        <v>0</v>
      </c>
      <c r="HO82" s="7">
        <f t="shared" ca="1" si="45"/>
        <v>0</v>
      </c>
      <c r="HP82" s="7">
        <f t="shared" ca="1" si="45"/>
        <v>0</v>
      </c>
      <c r="HR82" s="142">
        <f>INDEX('File 1'!Weekly_Adjusted,40,16)</f>
        <v>20.933351264120493</v>
      </c>
      <c r="HS82" s="142">
        <f>INDEX('File 1'!Weekly_Adjusted,40,17)</f>
        <v>0</v>
      </c>
      <c r="HT82" s="142">
        <f>INDEX('File 1'!Weekly_Adjusted,40,18)</f>
        <v>0</v>
      </c>
      <c r="HU82" s="143">
        <f>INDEX('File 2'!Weekly_Adjusted,40,16)</f>
        <v>0</v>
      </c>
      <c r="HV82" s="143">
        <f>INDEX('File 2'!Weekly_Adjusted,40,17)</f>
        <v>0</v>
      </c>
      <c r="HW82" s="143">
        <f>INDEX('File 2'!Weekly_Adjusted,40,18)</f>
        <v>0</v>
      </c>
      <c r="HX82" s="142">
        <f>INDEX('File 3'!Weekly_Adjusted,40,16)</f>
        <v>0</v>
      </c>
      <c r="HY82" s="142">
        <f>INDEX('File 3'!Weekly_Adjusted,40,17)</f>
        <v>0</v>
      </c>
      <c r="HZ82" s="142">
        <f>INDEX('File 3'!Weekly_Adjusted,40,18)</f>
        <v>0</v>
      </c>
      <c r="IA82" s="143">
        <f>INDEX('File 4'!Weekly_Adjusted,40,16)</f>
        <v>0</v>
      </c>
      <c r="IB82" s="143">
        <f>INDEX('File 4'!Weekly_Adjusted,40,17)</f>
        <v>0</v>
      </c>
      <c r="IC82" s="143">
        <f>INDEX('File 4'!Weekly_Adjusted,40,18)</f>
        <v>0</v>
      </c>
      <c r="ID82" s="142">
        <f>INDEX('File 5'!Weekly_Adjusted,40,16)</f>
        <v>0</v>
      </c>
      <c r="IE82" s="142">
        <f>INDEX('File 5'!Weekly_Adjusted,40,17)</f>
        <v>0</v>
      </c>
      <c r="IF82" s="142">
        <f>INDEX('File 5'!Weekly_Adjusted,40,18)</f>
        <v>0</v>
      </c>
      <c r="IG82" s="143">
        <f>INDEX('File 6'!Weekly_Adjusted,40,16)</f>
        <v>0</v>
      </c>
      <c r="IH82" s="143">
        <f>INDEX('File 6'!Weekly_Adjusted,40,17)</f>
        <v>0</v>
      </c>
      <c r="II82" s="143">
        <f>INDEX('File 6'!Weekly_Adjusted,40,18)</f>
        <v>0</v>
      </c>
      <c r="IJ82" s="142">
        <f>INDEX('File 7'!Weekly_Adjusted,40,16)</f>
        <v>0</v>
      </c>
      <c r="IK82" s="142">
        <f>INDEX('File 7'!Weekly_Adjusted,40,17)</f>
        <v>0</v>
      </c>
      <c r="IL82" s="142">
        <f>INDEX('File 7'!Weekly_Adjusted,40,18)</f>
        <v>0</v>
      </c>
      <c r="IM82" s="143">
        <f>INDEX('File 8'!Weekly_Adjusted,40,16)</f>
        <v>0</v>
      </c>
      <c r="IN82" s="143">
        <f>INDEX('File 8'!Weekly_Adjusted,40,17)</f>
        <v>0</v>
      </c>
      <c r="IO82" s="143">
        <f>INDEX('File 8'!Weekly_Adjusted,40,18)</f>
        <v>0</v>
      </c>
      <c r="IP82" s="142">
        <f>INDEX('File 9'!Weekly_Adjusted,40,16)</f>
        <v>0</v>
      </c>
      <c r="IQ82" s="142">
        <f>INDEX('File 9'!Weekly_Adjusted,40,17)</f>
        <v>0</v>
      </c>
      <c r="IR82" s="142">
        <f>INDEX('File 9'!Weekly_Adjusted,40,18)</f>
        <v>0</v>
      </c>
      <c r="IS82" s="143">
        <f>INDEX('File 10'!Weekly_Adjusted,40,16)</f>
        <v>0</v>
      </c>
      <c r="IT82" s="143">
        <f>INDEX('File 10'!Weekly_Adjusted,40,17)</f>
        <v>0</v>
      </c>
      <c r="IU82" s="143">
        <f>INDEX('File 10'!Weekly_Adjusted,40,18)</f>
        <v>0</v>
      </c>
      <c r="IV82" s="142">
        <f>INDEX('File 11'!Weekly_Adjusted,40,16)</f>
        <v>0</v>
      </c>
      <c r="IW82" s="142">
        <f>INDEX('File 11'!Weekly_Adjusted,40,17)</f>
        <v>0</v>
      </c>
      <c r="IX82" s="142">
        <f>INDEX('File 11'!Weekly_Adjusted,40,18)</f>
        <v>0</v>
      </c>
      <c r="IY82" s="143">
        <f>INDEX('File 12'!Weekly_Adjusted,40,16)</f>
        <v>0</v>
      </c>
      <c r="IZ82" s="143">
        <f>INDEX('File 12'!Weekly_Adjusted,40,17)</f>
        <v>0</v>
      </c>
      <c r="JA82" s="143">
        <f>INDEX('File 12'!Weekly_Adjusted,40,18)</f>
        <v>0</v>
      </c>
      <c r="JB82" s="142">
        <f>INDEX('File 13'!Weekly_Adjusted,40,16)</f>
        <v>0</v>
      </c>
      <c r="JC82" s="142">
        <f>INDEX('File 13'!Weekly_Adjusted,40,17)</f>
        <v>0</v>
      </c>
      <c r="JD82" s="142">
        <f>INDEX('File 13'!Weekly_Adjusted,40,18)</f>
        <v>0</v>
      </c>
      <c r="JE82" s="143">
        <f>INDEX('File 14'!Weekly_Adjusted,40,16)</f>
        <v>0</v>
      </c>
      <c r="JF82" s="143">
        <f>INDEX('File 14'!Weekly_Adjusted,40,17)</f>
        <v>0</v>
      </c>
      <c r="JG82" s="143">
        <f>INDEX('File 14'!Weekly_Adjusted,40,18)</f>
        <v>0</v>
      </c>
      <c r="JH82" s="142">
        <f>INDEX('File 15'!Weekly_Adjusted,40,16)</f>
        <v>0</v>
      </c>
      <c r="JI82" s="142">
        <f>INDEX('File 15'!Weekly_Adjusted,40,17)</f>
        <v>0</v>
      </c>
      <c r="JJ82" s="142">
        <f>INDEX('File 15'!Weekly_Adjusted,40,18)</f>
        <v>0</v>
      </c>
      <c r="JK82" s="143">
        <f>INDEX('File 16'!Weekly_Adjusted,40,16)</f>
        <v>0</v>
      </c>
      <c r="JL82" s="143">
        <f>INDEX('File 16'!Weekly_Adjusted,40,17)</f>
        <v>0</v>
      </c>
      <c r="JM82" s="143">
        <f>INDEX('File 16'!Weekly_Adjusted,40,18)</f>
        <v>0</v>
      </c>
      <c r="JN82" s="142">
        <f>INDEX('File 17'!Weekly_Adjusted,40,16)</f>
        <v>0</v>
      </c>
      <c r="JO82" s="142">
        <f>INDEX('File 17'!Weekly_Adjusted,40,17)</f>
        <v>0</v>
      </c>
      <c r="JP82" s="142">
        <f>INDEX('File 17'!Weekly_Adjusted,40,18)</f>
        <v>0</v>
      </c>
      <c r="JQ82" s="143">
        <f>INDEX('File 18'!Weekly_Adjusted,40,16)</f>
        <v>0</v>
      </c>
      <c r="JR82" s="143">
        <f>INDEX('File 18'!Weekly_Adjusted,40,17)</f>
        <v>0</v>
      </c>
      <c r="JS82" s="143">
        <f>INDEX('File 18'!Weekly_Adjusted,40,18)</f>
        <v>0</v>
      </c>
      <c r="JT82" s="142">
        <f>INDEX('File 19'!Weekly_Adjusted,40,16)</f>
        <v>0</v>
      </c>
      <c r="JU82" s="142">
        <f>INDEX('File 19'!Weekly_Adjusted,40,17)</f>
        <v>0</v>
      </c>
      <c r="JV82" s="142">
        <f>INDEX('File 19'!Weekly_Adjusted,40,18)</f>
        <v>0</v>
      </c>
      <c r="JW82" s="143">
        <f>INDEX('File 20'!Weekly_Adjusted,40,16)</f>
        <v>0</v>
      </c>
      <c r="JX82" s="143">
        <f>INDEX('File 20'!Weekly_Adjusted,40,17)</f>
        <v>0</v>
      </c>
      <c r="JY82" s="143">
        <f>INDEX('File 20'!Weekly_Adjusted,40,18)</f>
        <v>0</v>
      </c>
      <c r="JZ82" s="6">
        <f ca="1">SUMIFS(INDEX(CapacityCore_Activity_Weekly,ROW(EC40),0),Demand_Activity_Weekly_Header,HL$42)</f>
        <v>20.933351264120493</v>
      </c>
      <c r="KA82" s="6">
        <f ca="1">SUMIFS(INDEX(CapacityCore_Activity_Weekly,ROW(ED40),0),Demand_Activity_Weekly_Header,HM$42)</f>
        <v>0</v>
      </c>
      <c r="KB82" s="6">
        <f ca="1">SUMIFS(INDEX(CapacityCore_Activity_Weekly,ROW(EE40),0),Demand_Activity_Weekly_Header,HN$42)</f>
        <v>0</v>
      </c>
      <c r="KC82" s="6">
        <f ca="1">SUMIFS(INDEX(CapacityCore_Activity_Weekly,ROW(EF40),0),Demand_Activity_Weekly_Header,HO$42)</f>
        <v>0</v>
      </c>
      <c r="KD82" s="6">
        <f ca="1">SUMIFS(INDEX(CapacityCore_Activity_Weekly,ROW(EG40),0),Demand_Activity_Weekly_Header,HP$42)</f>
        <v>0</v>
      </c>
      <c r="KF82" s="6">
        <f>SUMIFS('Time based aggregation (hide)'!$J:$J,'Time based aggregation (hide)'!$E:$E,1,'Time based aggregation (hide)'!$F:$F,1,'Time based aggregation (hide)'!$A:$A,ROW(A40))</f>
        <v>0</v>
      </c>
      <c r="KG82" s="6">
        <f>SUMIFS('Time based aggregation (hide)'!$J:$J,'Time based aggregation (hide)'!$E:$E,1,'Time based aggregation (hide)'!$F:$F,2,'Time based aggregation (hide)'!$A:$A,ROW(A40))</f>
        <v>0</v>
      </c>
      <c r="KH82" s="6">
        <f>SUMIFS('Time based aggregation (hide)'!$J:$J,'Time based aggregation (hide)'!$E:$E,1,'Time based aggregation (hide)'!$F:$F,3,'Time based aggregation (hide)'!$A:$A,ROW(A40))</f>
        <v>0</v>
      </c>
      <c r="KI82" s="6">
        <f>SUMIFS('Time based aggregation (hide)'!$J:$J,'Time based aggregation (hide)'!$E:$E,2,'Time based aggregation (hide)'!$F:$F,1,'Time based aggregation (hide)'!$A:$A,ROW(A40))</f>
        <v>0</v>
      </c>
      <c r="KJ82" s="6">
        <f>SUMIFS('Time based aggregation (hide)'!$J:$J,'Time based aggregation (hide)'!$E:$E,2,'Time based aggregation (hide)'!$F:$F,2,'Time based aggregation (hide)'!$A:$A,ROW(A40))</f>
        <v>0</v>
      </c>
      <c r="KK82" s="6">
        <f>SUMIFS('Time based aggregation (hide)'!$J:$J,'Time based aggregation (hide)'!$E:$E,2,'Time based aggregation (hide)'!$F:$F,3,'Time based aggregation (hide)'!$A:$A,ROW(A40))</f>
        <v>0</v>
      </c>
      <c r="KL82" s="6">
        <f>SUMIFS('Time based aggregation (hide)'!$J:$J,'Time based aggregation (hide)'!$E:$E,3,'Time based aggregation (hide)'!$F:$F,1,'Time based aggregation (hide)'!$A:$A,ROW(A40))</f>
        <v>0</v>
      </c>
      <c r="KM82" s="6">
        <f>SUMIFS('Time based aggregation (hide)'!$J:$J,'Time based aggregation (hide)'!$E:$E,3,'Time based aggregation (hide)'!$F:$F,2,'Time based aggregation (hide)'!$A:$A,ROW(A40))</f>
        <v>0</v>
      </c>
      <c r="KN82" s="6">
        <f>SUMIFS('Time based aggregation (hide)'!$J:$J,'Time based aggregation (hide)'!$E:$E,3,'Time based aggregation (hide)'!$F:$F,3,'Time based aggregation (hide)'!$A:$A,ROW(A40))</f>
        <v>0</v>
      </c>
      <c r="KO82" s="6">
        <f>SUMIFS('Time based aggregation (hide)'!$J:$J,'Time based aggregation (hide)'!$E:$E,4,'Time based aggregation (hide)'!$F:$F,1,'Time based aggregation (hide)'!$A:$A,ROW(A40))</f>
        <v>0</v>
      </c>
      <c r="KP82" s="6">
        <f>SUMIFS('Time based aggregation (hide)'!$J:$J,'Time based aggregation (hide)'!$E:$E,4,'Time based aggregation (hide)'!$F:$F,2,'Time based aggregation (hide)'!$A:$A,ROW(A40))</f>
        <v>0</v>
      </c>
      <c r="KQ82" s="6">
        <f>SUMIFS('Time based aggregation (hide)'!$J:$J,'Time based aggregation (hide)'!$E:$E,4,'Time based aggregation (hide)'!$F:$F,3,'Time based aggregation (hide)'!$A:$A,ROW(A40))</f>
        <v>0</v>
      </c>
      <c r="KR82" s="6">
        <f>SUMIFS('Time based aggregation (hide)'!$J:$J,'Time based aggregation (hide)'!$E:$E,5,'Time based aggregation (hide)'!$F:$F,1,'Time based aggregation (hide)'!$A:$A,ROW(A40))</f>
        <v>0</v>
      </c>
      <c r="KS82" s="6">
        <f>SUMIFS('Time based aggregation (hide)'!$J:$J,'Time based aggregation (hide)'!$E:$E,5,'Time based aggregation (hide)'!$F:$F,2,'Time based aggregation (hide)'!$A:$A,ROW(A40))</f>
        <v>0</v>
      </c>
      <c r="KT82" s="6">
        <f>SUMIFS('Time based aggregation (hide)'!$J:$J,'Time based aggregation (hide)'!$E:$E,5,'Time based aggregation (hide)'!$F:$F,3,'Time based aggregation (hide)'!$A:$A,ROW(A40))</f>
        <v>0</v>
      </c>
      <c r="KU82" s="6">
        <f>SUMIFS('Time based aggregation (hide)'!$J:$J,'Time based aggregation (hide)'!$E:$E,6,'Time based aggregation (hide)'!$F:$F,1,'Time based aggregation (hide)'!$A:$A,ROW(A40))</f>
        <v>0</v>
      </c>
      <c r="KV82" s="6">
        <f>SUMIFS('Time based aggregation (hide)'!$J:$J,'Time based aggregation (hide)'!$E:$E,6,'Time based aggregation (hide)'!$F:$F,2,'Time based aggregation (hide)'!$A:$A,ROW(A40))</f>
        <v>0</v>
      </c>
      <c r="KW82" s="6">
        <f>SUMIFS('Time based aggregation (hide)'!$J:$J,'Time based aggregation (hide)'!$E:$E,6,'Time based aggregation (hide)'!$F:$F,3,'Time based aggregation (hide)'!$A:$A,ROW(A40))</f>
        <v>0</v>
      </c>
      <c r="KX82" s="6">
        <f>SUMIFS('Time based aggregation (hide)'!$J:$J,'Time based aggregation (hide)'!$E:$E,7,'Time based aggregation (hide)'!$F:$F,1,'Time based aggregation (hide)'!$A:$A,ROW(A40))</f>
        <v>0</v>
      </c>
      <c r="KY82" s="6">
        <f>SUMIFS('Time based aggregation (hide)'!$J:$J,'Time based aggregation (hide)'!$E:$E,7,'Time based aggregation (hide)'!$F:$F,2,'Time based aggregation (hide)'!$A:$A,ROW(A40))</f>
        <v>0</v>
      </c>
      <c r="KZ82" s="6">
        <f>SUMIFS('Time based aggregation (hide)'!$J:$J,'Time based aggregation (hide)'!$E:$E,7,'Time based aggregation (hide)'!$F:$F,3,'Time based aggregation (hide)'!$A:$A,ROW(A40))</f>
        <v>0</v>
      </c>
      <c r="LA82" s="6">
        <f>SUMIFS('Time based aggregation (hide)'!$J:$J,'Time based aggregation (hide)'!$E:$E,8,'Time based aggregation (hide)'!$F:$F,1,'Time based aggregation (hide)'!$A:$A,ROW(A40))</f>
        <v>0</v>
      </c>
      <c r="LB82" s="6">
        <f>SUMIFS('Time based aggregation (hide)'!$J:$J,'Time based aggregation (hide)'!$E:$E,8,'Time based aggregation (hide)'!$F:$F,2,'Time based aggregation (hide)'!$A:$A,ROW(A40))</f>
        <v>0</v>
      </c>
      <c r="LC82" s="6">
        <f>SUMIFS('Time based aggregation (hide)'!$J:$J,'Time based aggregation (hide)'!$E:$E,8,'Time based aggregation (hide)'!$F:$F,3,'Time based aggregation (hide)'!$A:$A,ROW(A40))</f>
        <v>0</v>
      </c>
      <c r="LD82" s="6">
        <f>SUMIFS('Time based aggregation (hide)'!$J:$J,'Time based aggregation (hide)'!$E:$E,9,'Time based aggregation (hide)'!$F:$F,1,'Time based aggregation (hide)'!$A:$A,ROW(A40))</f>
        <v>0</v>
      </c>
      <c r="LE82" s="6">
        <f>SUMIFS('Time based aggregation (hide)'!$J:$J,'Time based aggregation (hide)'!$E:$E,9,'Time based aggregation (hide)'!$F:$F,2,'Time based aggregation (hide)'!$A:$A,ROW(A40))</f>
        <v>0</v>
      </c>
      <c r="LF82" s="6">
        <f>SUMIFS('Time based aggregation (hide)'!$J:$J,'Time based aggregation (hide)'!$E:$E,9,'Time based aggregation (hide)'!$F:$F,3,'Time based aggregation (hide)'!$A:$A,ROW(A40))</f>
        <v>0</v>
      </c>
      <c r="LG82" s="6">
        <f>SUMIFS('Time based aggregation (hide)'!$J:$J,'Time based aggregation (hide)'!$E:$E,10,'Time based aggregation (hide)'!$F:$F,1,'Time based aggregation (hide)'!$A:$A,ROW(A40))</f>
        <v>0</v>
      </c>
      <c r="LH82" s="6">
        <f>SUMIFS('Time based aggregation (hide)'!$J:$J,'Time based aggregation (hide)'!$E:$E,10,'Time based aggregation (hide)'!$F:$F,2,'Time based aggregation (hide)'!$A:$A,ROW(A40))</f>
        <v>0</v>
      </c>
      <c r="LI82" s="6">
        <f>SUMIFS('Time based aggregation (hide)'!$J:$J,'Time based aggregation (hide)'!$E:$E,10,'Time based aggregation (hide)'!$F:$F,3,'Time based aggregation (hide)'!$A:$A,ROW(A40))</f>
        <v>0</v>
      </c>
      <c r="LJ82" s="6">
        <f>SUMIFS('Time based aggregation (hide)'!$J:$J,'Time based aggregation (hide)'!$E:$E,11,'Time based aggregation (hide)'!$F:$F,1,'Time based aggregation (hide)'!$A:$A,ROW(A40))</f>
        <v>0</v>
      </c>
      <c r="LK82" s="6">
        <f>SUMIFS('Time based aggregation (hide)'!$J:$J,'Time based aggregation (hide)'!$E:$E,11,'Time based aggregation (hide)'!$F:$F,2,'Time based aggregation (hide)'!$A:$A,ROW(A40))</f>
        <v>0</v>
      </c>
      <c r="LL82" s="6">
        <f>SUMIFS('Time based aggregation (hide)'!$J:$J,'Time based aggregation (hide)'!$E:$E,11,'Time based aggregation (hide)'!$F:$F,3,'Time based aggregation (hide)'!$A:$A,ROW(A40))</f>
        <v>0</v>
      </c>
      <c r="LM82" s="6">
        <f>SUMIFS('Time based aggregation (hide)'!$J:$J,'Time based aggregation (hide)'!$E:$E,12,'Time based aggregation (hide)'!$F:$F,1,'Time based aggregation (hide)'!$A:$A,ROW(A40))</f>
        <v>0</v>
      </c>
      <c r="LN82" s="6">
        <f>SUMIFS('Time based aggregation (hide)'!$J:$J,'Time based aggregation (hide)'!$E:$E,12,'Time based aggregation (hide)'!$F:$F,2,'Time based aggregation (hide)'!$A:$A,ROW(A40))</f>
        <v>0</v>
      </c>
      <c r="LO82" s="6">
        <f>SUMIFS('Time based aggregation (hide)'!$J:$J,'Time based aggregation (hide)'!$E:$E,12,'Time based aggregation (hide)'!$F:$F,3,'Time based aggregation (hide)'!$A:$A,ROW(A40))</f>
        <v>0</v>
      </c>
      <c r="LP82" s="6">
        <f>SUMIFS('Time based aggregation (hide)'!$J:$J,'Time based aggregation (hide)'!$E:$E,13,'Time based aggregation (hide)'!$F:$F,1,'Time based aggregation (hide)'!$A:$A,ROW(A40))</f>
        <v>0</v>
      </c>
      <c r="LQ82" s="6">
        <f>SUMIFS('Time based aggregation (hide)'!$J:$J,'Time based aggregation (hide)'!$E:$E,13,'Time based aggregation (hide)'!$F:$F,2,'Time based aggregation (hide)'!$A:$A,ROW(A40))</f>
        <v>0</v>
      </c>
      <c r="LR82" s="6">
        <f>SUMIFS('Time based aggregation (hide)'!$J:$J,'Time based aggregation (hide)'!$E:$E,13,'Time based aggregation (hide)'!$F:$F,3,'Time based aggregation (hide)'!$A:$A,ROW(A40))</f>
        <v>0</v>
      </c>
      <c r="LS82" s="6">
        <f>SUMIFS('Time based aggregation (hide)'!$J:$J,'Time based aggregation (hide)'!$E:$E,14,'Time based aggregation (hide)'!$F:$F,1,'Time based aggregation (hide)'!$A:$A,ROW(A40))</f>
        <v>0</v>
      </c>
      <c r="LT82" s="6">
        <f>SUMIFS('Time based aggregation (hide)'!$J:$J,'Time based aggregation (hide)'!$E:$E,14,'Time based aggregation (hide)'!$F:$F,2,'Time based aggregation (hide)'!$A:$A,ROW(A40))</f>
        <v>0</v>
      </c>
      <c r="LU82" s="6">
        <f>SUMIFS('Time based aggregation (hide)'!$J:$J,'Time based aggregation (hide)'!$E:$E,14,'Time based aggregation (hide)'!$F:$F,3,'Time based aggregation (hide)'!$A:$A,ROW(A40))</f>
        <v>0</v>
      </c>
      <c r="LV82" s="6">
        <f>SUMIFS('Time based aggregation (hide)'!$J:$J,'Time based aggregation (hide)'!$E:$E,15,'Time based aggregation (hide)'!$F:$F,1,'Time based aggregation (hide)'!$A:$A,ROW(A40))</f>
        <v>0</v>
      </c>
      <c r="LW82" s="6">
        <f>SUMIFS('Time based aggregation (hide)'!$J:$J,'Time based aggregation (hide)'!$E:$E,15,'Time based aggregation (hide)'!$F:$F,2,'Time based aggregation (hide)'!$A:$A,ROW(A40))</f>
        <v>0</v>
      </c>
      <c r="LX82" s="6">
        <f>SUMIFS('Time based aggregation (hide)'!$J:$J,'Time based aggregation (hide)'!$E:$E,15,'Time based aggregation (hide)'!$F:$F,3,'Time based aggregation (hide)'!$A:$A,ROW(A40))</f>
        <v>0</v>
      </c>
      <c r="LY82" s="6">
        <f>SUMIFS('Time based aggregation (hide)'!$J:$J,'Time based aggregation (hide)'!$E:$E,16,'Time based aggregation (hide)'!$F:$F,1,'Time based aggregation (hide)'!$A:$A,ROW(A40))</f>
        <v>0</v>
      </c>
      <c r="LZ82" s="6">
        <f>SUMIFS('Time based aggregation (hide)'!$J:$J,'Time based aggregation (hide)'!$E:$E,16,'Time based aggregation (hide)'!$F:$F,2,'Time based aggregation (hide)'!$A:$A,ROW(A40))</f>
        <v>0</v>
      </c>
      <c r="MA82" s="6">
        <f>SUMIFS('Time based aggregation (hide)'!$J:$J,'Time based aggregation (hide)'!$E:$E,16,'Time based aggregation (hide)'!$F:$F,3,'Time based aggregation (hide)'!$A:$A,ROW(A40))</f>
        <v>0</v>
      </c>
      <c r="MB82" s="6">
        <f>SUMIFS('Time based aggregation (hide)'!$J:$J,'Time based aggregation (hide)'!$E:$E,17,'Time based aggregation (hide)'!$F:$F,1,'Time based aggregation (hide)'!$A:$A,ROW(A40))</f>
        <v>0</v>
      </c>
      <c r="MC82" s="6">
        <f>SUMIFS('Time based aggregation (hide)'!$J:$J,'Time based aggregation (hide)'!$E:$E,17,'Time based aggregation (hide)'!$F:$F,2,'Time based aggregation (hide)'!$A:$A,ROW(A40))</f>
        <v>0</v>
      </c>
      <c r="MD82" s="6">
        <f>SUMIFS('Time based aggregation (hide)'!$J:$J,'Time based aggregation (hide)'!$E:$E,17,'Time based aggregation (hide)'!$F:$F,3,'Time based aggregation (hide)'!$A:$A,ROW(A40))</f>
        <v>0</v>
      </c>
      <c r="ME82" s="6">
        <f>SUMIFS('Time based aggregation (hide)'!$J:$J,'Time based aggregation (hide)'!$E:$E,18,'Time based aggregation (hide)'!$F:$F,1,'Time based aggregation (hide)'!$A:$A,ROW(A40))</f>
        <v>0</v>
      </c>
      <c r="MF82" s="6">
        <f>SUMIFS('Time based aggregation (hide)'!$J:$J,'Time based aggregation (hide)'!$E:$E,18,'Time based aggregation (hide)'!$F:$F,2,'Time based aggregation (hide)'!$A:$A,ROW(A40))</f>
        <v>0</v>
      </c>
      <c r="MG82" s="6">
        <f>SUMIFS('Time based aggregation (hide)'!$J:$J,'Time based aggregation (hide)'!$E:$E,18,'Time based aggregation (hide)'!$F:$F,3,'Time based aggregation (hide)'!$A:$A,ROW(A40))</f>
        <v>0</v>
      </c>
      <c r="MH82" s="6">
        <f>SUMIFS('Time based aggregation (hide)'!$J:$J,'Time based aggregation (hide)'!$E:$E,19,'Time based aggregation (hide)'!$F:$F,1,'Time based aggregation (hide)'!$A:$A,ROW(A40))</f>
        <v>0</v>
      </c>
      <c r="MI82" s="6">
        <f>SUMIFS('Time based aggregation (hide)'!$J:$J,'Time based aggregation (hide)'!$E:$E,19,'Time based aggregation (hide)'!$F:$F,2,'Time based aggregation (hide)'!$A:$A,ROW(A40))</f>
        <v>0</v>
      </c>
      <c r="MJ82" s="6">
        <f>SUMIFS('Time based aggregation (hide)'!$J:$J,'Time based aggregation (hide)'!$E:$E,19,'Time based aggregation (hide)'!$F:$F,3,'Time based aggregation (hide)'!$A:$A,ROW(A40))</f>
        <v>0</v>
      </c>
      <c r="MK82" s="6">
        <f>SUMIFS('Time based aggregation (hide)'!$J:$J,'Time based aggregation (hide)'!$E:$E,20,'Time based aggregation (hide)'!$F:$F,1,'Time based aggregation (hide)'!$A:$A,ROW(A40))</f>
        <v>0</v>
      </c>
      <c r="ML82" s="6">
        <f>SUMIFS('Time based aggregation (hide)'!$J:$J,'Time based aggregation (hide)'!$E:$E,20,'Time based aggregation (hide)'!$F:$F,2,'Time based aggregation (hide)'!$A:$A,ROW(A40))</f>
        <v>0</v>
      </c>
      <c r="MM82" s="6">
        <f>SUMIFS('Time based aggregation (hide)'!$J:$J,'Time based aggregation (hide)'!$E:$E,20,'Time based aggregation (hide)'!$F:$F,3,'Time based aggregation (hide)'!$A:$A,ROW(A40))</f>
        <v>0</v>
      </c>
      <c r="MN82" s="7">
        <f t="shared" ca="1" si="48"/>
        <v>0</v>
      </c>
      <c r="MO82" s="7">
        <f t="shared" ca="1" si="48"/>
        <v>0</v>
      </c>
      <c r="MP82" s="7">
        <f t="shared" ca="1" si="48"/>
        <v>0</v>
      </c>
      <c r="MQ82" s="7">
        <f t="shared" ca="1" si="48"/>
        <v>0</v>
      </c>
      <c r="MR82" s="7">
        <f t="shared" ca="1" si="48"/>
        <v>0</v>
      </c>
    </row>
    <row r="83" spans="1:356" x14ac:dyDescent="0.25">
      <c r="A83">
        <f>1</f>
        <v>1</v>
      </c>
      <c r="B83" s="85">
        <f t="shared" si="37"/>
        <v>43871</v>
      </c>
      <c r="C83" s="85">
        <f t="shared" si="25"/>
        <v>43871</v>
      </c>
      <c r="D83">
        <f t="shared" ca="1" si="26"/>
        <v>1</v>
      </c>
      <c r="E83" s="85">
        <f t="shared" si="27"/>
        <v>43862</v>
      </c>
      <c r="F83">
        <f t="shared" si="33"/>
        <v>7</v>
      </c>
      <c r="H83">
        <f t="shared" si="34"/>
        <v>41</v>
      </c>
      <c r="I83" s="85">
        <f t="shared" si="38"/>
        <v>44109</v>
      </c>
      <c r="J83">
        <f t="shared" ca="1" si="46"/>
        <v>5</v>
      </c>
      <c r="K83">
        <f t="shared" ca="1" si="47"/>
        <v>1.968503937007874E-2</v>
      </c>
      <c r="L83" s="114"/>
      <c r="N83" s="85">
        <f t="shared" si="35"/>
        <v>44109</v>
      </c>
      <c r="O83" s="122">
        <f t="shared" ref="O83:Z95" ca="1" si="49">SUMIFS($D$43:$D$408,$C$43:$C$408,$N83,$E$43:$E$408,O$42)/$J83</f>
        <v>0</v>
      </c>
      <c r="P83" s="122">
        <f t="shared" ca="1" si="49"/>
        <v>0</v>
      </c>
      <c r="Q83" s="122">
        <f t="shared" ca="1" si="49"/>
        <v>0</v>
      </c>
      <c r="R83" s="122">
        <f t="shared" ca="1" si="49"/>
        <v>0</v>
      </c>
      <c r="S83" s="122">
        <f t="shared" ca="1" si="49"/>
        <v>0</v>
      </c>
      <c r="T83" s="122">
        <f t="shared" ca="1" si="49"/>
        <v>0</v>
      </c>
      <c r="U83" s="122">
        <f t="shared" ca="1" si="49"/>
        <v>0</v>
      </c>
      <c r="V83" s="122">
        <f t="shared" ca="1" si="49"/>
        <v>0</v>
      </c>
      <c r="W83" s="122">
        <f t="shared" ca="1" si="49"/>
        <v>0</v>
      </c>
      <c r="X83" s="122">
        <f t="shared" ca="1" si="49"/>
        <v>1</v>
      </c>
      <c r="Y83" s="122">
        <f t="shared" ca="1" si="49"/>
        <v>0</v>
      </c>
      <c r="Z83" s="122">
        <f t="shared" ca="1" si="49"/>
        <v>0</v>
      </c>
      <c r="AA83" s="122"/>
      <c r="AB83" s="140">
        <f>INDEX('File 1'!Weekly_Adjusted,41,1)</f>
        <v>388.17143954725253</v>
      </c>
      <c r="AC83" s="140">
        <f>INDEX('File 1'!Weekly_Adjusted,41,2)</f>
        <v>0</v>
      </c>
      <c r="AD83" s="140">
        <f>INDEX('File 1'!Weekly_Adjusted,41,3)</f>
        <v>0</v>
      </c>
      <c r="AE83" s="141">
        <f>INDEX('File 2'!Weekly_Adjusted,41,1)</f>
        <v>0</v>
      </c>
      <c r="AF83" s="141">
        <f>INDEX('File 2'!Weekly_Adjusted,41,2)</f>
        <v>0</v>
      </c>
      <c r="AG83" s="141">
        <f>INDEX('File 2'!Weekly_Adjusted,41,3)</f>
        <v>0</v>
      </c>
      <c r="AH83" s="140">
        <f>INDEX('File 3'!Weekly_Adjusted,41,1)</f>
        <v>0</v>
      </c>
      <c r="AI83" s="140">
        <f>INDEX('File 3'!Weekly_Adjusted,41,2)</f>
        <v>0</v>
      </c>
      <c r="AJ83" s="140">
        <f>INDEX('File 3'!Weekly_Adjusted,41,3)</f>
        <v>0</v>
      </c>
      <c r="AK83" s="141">
        <f>INDEX('File 4'!Weekly_Adjusted,41,1)</f>
        <v>0</v>
      </c>
      <c r="AL83" s="141">
        <f>INDEX('File 4'!Weekly_Adjusted,41,2)</f>
        <v>0</v>
      </c>
      <c r="AM83" s="141">
        <f>INDEX('File 4'!Weekly_Adjusted,41,3)</f>
        <v>0</v>
      </c>
      <c r="AN83" s="140">
        <f>INDEX('File 5'!Weekly_Adjusted,41,1)</f>
        <v>0</v>
      </c>
      <c r="AO83" s="140">
        <f>INDEX('File 5'!Weekly_Adjusted,41,2)</f>
        <v>0</v>
      </c>
      <c r="AP83" s="140">
        <f>INDEX('File 5'!Weekly_Adjusted,41,3)</f>
        <v>0</v>
      </c>
      <c r="AQ83" s="141">
        <f>INDEX('File 6'!Weekly_Adjusted,41,1)</f>
        <v>0</v>
      </c>
      <c r="AR83" s="141">
        <f>INDEX('File 6'!Weekly_Adjusted,41,2)</f>
        <v>0</v>
      </c>
      <c r="AS83" s="141">
        <f>INDEX('File 6'!Weekly_Adjusted,41,3)</f>
        <v>0</v>
      </c>
      <c r="AT83" s="140">
        <f>INDEX('File 7'!Weekly_Adjusted,41,1)</f>
        <v>0</v>
      </c>
      <c r="AU83" s="140">
        <f>INDEX('File 7'!Weekly_Adjusted,41,2)</f>
        <v>0</v>
      </c>
      <c r="AV83" s="140">
        <f>INDEX('File 7'!Weekly_Adjusted,41,3)</f>
        <v>0</v>
      </c>
      <c r="AW83" s="141">
        <f>INDEX('File 8'!Weekly_Adjusted,41,1)</f>
        <v>0</v>
      </c>
      <c r="AX83" s="141">
        <f>INDEX('File 8'!Weekly_Adjusted,41,2)</f>
        <v>0</v>
      </c>
      <c r="AY83" s="141">
        <f>INDEX('File 8'!Weekly_Adjusted,41,3)</f>
        <v>0</v>
      </c>
      <c r="AZ83" s="140">
        <f>INDEX('File 9'!Weekly_Adjusted,41,1)</f>
        <v>0</v>
      </c>
      <c r="BA83" s="140">
        <f>INDEX('File 9'!Weekly_Adjusted,41,2)</f>
        <v>0</v>
      </c>
      <c r="BB83" s="140">
        <f>INDEX('File 9'!Weekly_Adjusted,41,3)</f>
        <v>0</v>
      </c>
      <c r="BC83" s="141">
        <f>INDEX('File 10'!Weekly_Adjusted,41,1)</f>
        <v>0</v>
      </c>
      <c r="BD83" s="141">
        <f>INDEX('File 10'!Weekly_Adjusted,41,2)</f>
        <v>0</v>
      </c>
      <c r="BE83" s="141">
        <f>INDEX('File 10'!Weekly_Adjusted,41,3)</f>
        <v>0</v>
      </c>
      <c r="BF83" s="140">
        <f>INDEX('File 11'!Weekly_Adjusted,41,1)</f>
        <v>0</v>
      </c>
      <c r="BG83" s="140">
        <f>INDEX('File 11'!Weekly_Adjusted,41,2)</f>
        <v>0</v>
      </c>
      <c r="BH83" s="140">
        <f>INDEX('File 11'!Weekly_Adjusted,41,3)</f>
        <v>0</v>
      </c>
      <c r="BI83" s="141">
        <f>INDEX('File 12'!Weekly_Adjusted,41,1)</f>
        <v>0</v>
      </c>
      <c r="BJ83" s="141">
        <f>INDEX('File 12'!Weekly_Adjusted,41,2)</f>
        <v>0</v>
      </c>
      <c r="BK83" s="141">
        <f>INDEX('File 12'!Weekly_Adjusted,41,3)</f>
        <v>0</v>
      </c>
      <c r="BL83" s="140">
        <f>INDEX('File 13'!Weekly_Adjusted,41,1)</f>
        <v>0</v>
      </c>
      <c r="BM83" s="140">
        <f>INDEX('File 13'!Weekly_Adjusted,41,2)</f>
        <v>0</v>
      </c>
      <c r="BN83" s="140">
        <f>INDEX('File 13'!Weekly_Adjusted,41,3)</f>
        <v>0</v>
      </c>
      <c r="BO83" s="141">
        <f>INDEX('File 14'!Weekly_Adjusted,41,1)</f>
        <v>0</v>
      </c>
      <c r="BP83" s="141">
        <f>INDEX('File 14'!Weekly_Adjusted,41,2)</f>
        <v>0</v>
      </c>
      <c r="BQ83" s="141">
        <f>INDEX('File 14'!Weekly_Adjusted,41,3)</f>
        <v>0</v>
      </c>
      <c r="BR83" s="140">
        <f>INDEX('File 15'!Weekly_Adjusted,41,1)</f>
        <v>0</v>
      </c>
      <c r="BS83" s="140">
        <f>INDEX('File 15'!Weekly_Adjusted,41,2)</f>
        <v>0</v>
      </c>
      <c r="BT83" s="140">
        <f>INDEX('File 15'!Weekly_Adjusted,41,3)</f>
        <v>0</v>
      </c>
      <c r="BU83" s="141">
        <f>INDEX('File 16'!Weekly_Adjusted,41,1)</f>
        <v>0</v>
      </c>
      <c r="BV83" s="141">
        <f>INDEX('File 16'!Weekly_Adjusted,41,2)</f>
        <v>0</v>
      </c>
      <c r="BW83" s="141">
        <f>INDEX('File 16'!Weekly_Adjusted,41,3)</f>
        <v>0</v>
      </c>
      <c r="BX83" s="140">
        <f>INDEX('File 17'!Weekly_Adjusted,41,1)</f>
        <v>0</v>
      </c>
      <c r="BY83" s="140">
        <f>INDEX('File 17'!Weekly_Adjusted,41,2)</f>
        <v>0</v>
      </c>
      <c r="BZ83" s="140">
        <f>INDEX('File 17'!Weekly_Adjusted,41,3)</f>
        <v>0</v>
      </c>
      <c r="CA83" s="141">
        <f>INDEX('File 18'!Weekly_Adjusted,41,1)</f>
        <v>0</v>
      </c>
      <c r="CB83" s="141">
        <f>INDEX('File 18'!Weekly_Adjusted,41,2)</f>
        <v>0</v>
      </c>
      <c r="CC83" s="141">
        <f>INDEX('File 18'!Weekly_Adjusted,41,3)</f>
        <v>0</v>
      </c>
      <c r="CD83" s="140">
        <f>INDEX('File 19'!Weekly_Adjusted,41,1)</f>
        <v>0</v>
      </c>
      <c r="CE83" s="140">
        <f>INDEX('File 19'!Weekly_Adjusted,41,2)</f>
        <v>0</v>
      </c>
      <c r="CF83" s="140">
        <f>INDEX('File 19'!Weekly_Adjusted,41,3)</f>
        <v>0</v>
      </c>
      <c r="CG83" s="141">
        <f>INDEX('File 20'!Weekly_Adjusted,41,1)</f>
        <v>0</v>
      </c>
      <c r="CH83" s="141">
        <f>INDEX('File 20'!Weekly_Adjusted,41,2)</f>
        <v>0</v>
      </c>
      <c r="CI83" s="141">
        <f>INDEX('File 20'!Weekly_Adjusted,41,3)</f>
        <v>0</v>
      </c>
      <c r="CJ83" s="6">
        <f ca="1">SUMIFS(INDEX(Demand_Activity_Weekly,ROW(A41),0),Demand_Activity_Weekly_Header,CJ$42)</f>
        <v>388.17143954725253</v>
      </c>
      <c r="CK83" s="6">
        <f ca="1">SUMIFS(INDEX(Demand_Activity_Weekly,ROW(B41),0),Demand_Activity_Weekly_Header,CK$42)</f>
        <v>0</v>
      </c>
      <c r="CL83" s="6">
        <f ca="1">SUMIFS(INDEX(Demand_Activity_Weekly,ROW(C41),0),Demand_Activity_Weekly_Header,CL$42)</f>
        <v>0</v>
      </c>
      <c r="CM83" s="6">
        <f ca="1">SUMIFS(INDEX(Demand_Activity_Weekly,ROW(D41),0),Demand_Activity_Weekly_Header,CM$42)</f>
        <v>0</v>
      </c>
      <c r="CN83" s="6">
        <f ca="1">SUMIFS(INDEX(Demand_Activity_Weekly,ROW(E41),0),Demand_Activity_Weekly_Header,CN$42)</f>
        <v>0</v>
      </c>
      <c r="CP83" s="142">
        <f>INDEX('File 1'!Weekly_Adjusted,41,10)</f>
        <v>24.344712210866053</v>
      </c>
      <c r="CQ83" s="142">
        <f>INDEX('File 1'!Weekly_Adjusted,41,11)</f>
        <v>0</v>
      </c>
      <c r="CR83" s="142">
        <f>INDEX('File 1'!Weekly_Adjusted,41,12)</f>
        <v>0</v>
      </c>
      <c r="CS83" s="143">
        <f>INDEX('File 2'!Weekly_Adjusted,41,10)</f>
        <v>0</v>
      </c>
      <c r="CT83" s="143">
        <f>INDEX('File 2'!Weekly_Adjusted,41,11)</f>
        <v>0</v>
      </c>
      <c r="CU83" s="143">
        <f>INDEX('File 2'!Weekly_Adjusted,41,12)</f>
        <v>0</v>
      </c>
      <c r="CV83" s="142">
        <f>INDEX('File 3'!Weekly_Adjusted,41,10)</f>
        <v>0</v>
      </c>
      <c r="CW83" s="142">
        <f>INDEX('File 3'!Weekly_Adjusted,41,11)</f>
        <v>0</v>
      </c>
      <c r="CX83" s="142">
        <f>INDEX('File 3'!Weekly_Adjusted,41,12)</f>
        <v>0</v>
      </c>
      <c r="CY83" s="143">
        <f>INDEX('File 4'!Weekly_Adjusted,41,10)</f>
        <v>0</v>
      </c>
      <c r="CZ83" s="143">
        <f>INDEX('File 4'!Weekly_Adjusted,41,11)</f>
        <v>0</v>
      </c>
      <c r="DA83" s="143">
        <f>INDEX('File 4'!Weekly_Adjusted,41,12)</f>
        <v>0</v>
      </c>
      <c r="DB83" s="142">
        <f>INDEX('File 5'!Weekly_Adjusted,41,10)</f>
        <v>0</v>
      </c>
      <c r="DC83" s="142">
        <f>INDEX('File 5'!Weekly_Adjusted,41,11)</f>
        <v>0</v>
      </c>
      <c r="DD83" s="142">
        <f>INDEX('File 5'!Weekly_Adjusted,41,12)</f>
        <v>0</v>
      </c>
      <c r="DE83" s="143">
        <f>INDEX('File 6'!Weekly_Adjusted,41,10)</f>
        <v>0</v>
      </c>
      <c r="DF83" s="143">
        <f>INDEX('File 6'!Weekly_Adjusted,41,11)</f>
        <v>0</v>
      </c>
      <c r="DG83" s="143">
        <f>INDEX('File 6'!Weekly_Adjusted,41,12)</f>
        <v>0</v>
      </c>
      <c r="DH83" s="142">
        <f>INDEX('File 7'!Weekly_Adjusted,41,10)</f>
        <v>0</v>
      </c>
      <c r="DI83" s="142">
        <f>INDEX('File 7'!Weekly_Adjusted,41,11)</f>
        <v>0</v>
      </c>
      <c r="DJ83" s="142">
        <f>INDEX('File 7'!Weekly_Adjusted,41,12)</f>
        <v>0</v>
      </c>
      <c r="DK83" s="143">
        <f>INDEX('File 8'!Weekly_Adjusted,41,10)</f>
        <v>0</v>
      </c>
      <c r="DL83" s="143">
        <f>INDEX('File 8'!Weekly_Adjusted,41,11)</f>
        <v>0</v>
      </c>
      <c r="DM83" s="143">
        <f>INDEX('File 8'!Weekly_Adjusted,41,12)</f>
        <v>0</v>
      </c>
      <c r="DN83" s="142">
        <f>INDEX('File 9'!Weekly_Adjusted,41,10)</f>
        <v>0</v>
      </c>
      <c r="DO83" s="142">
        <f>INDEX('File 9'!Weekly_Adjusted,41,11)</f>
        <v>0</v>
      </c>
      <c r="DP83" s="142">
        <f>INDEX('File 9'!Weekly_Adjusted,41,12)</f>
        <v>0</v>
      </c>
      <c r="DQ83" s="143">
        <f>INDEX('File 10'!Weekly_Adjusted,41,10)</f>
        <v>0</v>
      </c>
      <c r="DR83" s="143">
        <f>INDEX('File 10'!Weekly_Adjusted,41,11)</f>
        <v>0</v>
      </c>
      <c r="DS83" s="143">
        <f>INDEX('File 10'!Weekly_Adjusted,41,12)</f>
        <v>0</v>
      </c>
      <c r="DT83" s="142">
        <f>INDEX('File 11'!Weekly_Adjusted,41,10)</f>
        <v>0</v>
      </c>
      <c r="DU83" s="142">
        <f>INDEX('File 11'!Weekly_Adjusted,41,11)</f>
        <v>0</v>
      </c>
      <c r="DV83" s="142">
        <f>INDEX('File 11'!Weekly_Adjusted,41,12)</f>
        <v>0</v>
      </c>
      <c r="DW83" s="143">
        <f>INDEX('File 12'!Weekly_Adjusted,41,10)</f>
        <v>0</v>
      </c>
      <c r="DX83" s="143">
        <f>INDEX('File 12'!Weekly_Adjusted,41,11)</f>
        <v>0</v>
      </c>
      <c r="DY83" s="143">
        <f>INDEX('File 12'!Weekly_Adjusted,41,12)</f>
        <v>0</v>
      </c>
      <c r="DZ83" s="142">
        <f>INDEX('File 13'!Weekly_Adjusted,41,10)</f>
        <v>0</v>
      </c>
      <c r="EA83" s="142">
        <f>INDEX('File 13'!Weekly_Adjusted,41,11)</f>
        <v>0</v>
      </c>
      <c r="EB83" s="142">
        <f>INDEX('File 13'!Weekly_Adjusted,41,12)</f>
        <v>0</v>
      </c>
      <c r="EC83" s="143">
        <f>INDEX('File 14'!Weekly_Adjusted,41,10)</f>
        <v>0</v>
      </c>
      <c r="ED83" s="143">
        <f>INDEX('File 14'!Weekly_Adjusted,41,11)</f>
        <v>0</v>
      </c>
      <c r="EE83" s="143">
        <f>INDEX('File 14'!Weekly_Adjusted,41,12)</f>
        <v>0</v>
      </c>
      <c r="EF83" s="142">
        <f>INDEX('File 15'!Weekly_Adjusted,41,10)</f>
        <v>0</v>
      </c>
      <c r="EG83" s="142">
        <f>INDEX('File 15'!Weekly_Adjusted,41,11)</f>
        <v>0</v>
      </c>
      <c r="EH83" s="142">
        <f>INDEX('File 15'!Weekly_Adjusted,41,12)</f>
        <v>0</v>
      </c>
      <c r="EI83" s="143">
        <f>INDEX('File 16'!Weekly_Adjusted,41,10)</f>
        <v>0</v>
      </c>
      <c r="EJ83" s="143">
        <f>INDEX('File 16'!Weekly_Adjusted,41,11)</f>
        <v>0</v>
      </c>
      <c r="EK83" s="143">
        <f>INDEX('File 16'!Weekly_Adjusted,41,12)</f>
        <v>0</v>
      </c>
      <c r="EL83" s="142">
        <f>INDEX('File 17'!Weekly_Adjusted,41,10)</f>
        <v>0</v>
      </c>
      <c r="EM83" s="142">
        <f>INDEX('File 17'!Weekly_Adjusted,41,11)</f>
        <v>0</v>
      </c>
      <c r="EN83" s="142">
        <f>INDEX('File 17'!Weekly_Adjusted,41,12)</f>
        <v>0</v>
      </c>
      <c r="EO83" s="143">
        <f>INDEX('File 18'!Weekly_Adjusted,41,10)</f>
        <v>0</v>
      </c>
      <c r="EP83" s="143">
        <f>INDEX('File 18'!Weekly_Adjusted,41,11)</f>
        <v>0</v>
      </c>
      <c r="EQ83" s="143">
        <f>INDEX('File 18'!Weekly_Adjusted,41,12)</f>
        <v>0</v>
      </c>
      <c r="ER83" s="142">
        <f>INDEX('File 19'!Weekly_Adjusted,41,10)</f>
        <v>0</v>
      </c>
      <c r="ES83" s="142">
        <f>INDEX('File 19'!Weekly_Adjusted,41,11)</f>
        <v>0</v>
      </c>
      <c r="ET83" s="142">
        <f>INDEX('File 19'!Weekly_Adjusted,41,12)</f>
        <v>0</v>
      </c>
      <c r="EU83" s="143">
        <f>INDEX('File 20'!Weekly_Adjusted,41,10)</f>
        <v>0</v>
      </c>
      <c r="EV83" s="143">
        <f>INDEX('File 20'!Weekly_Adjusted,41,11)</f>
        <v>0</v>
      </c>
      <c r="EW83" s="143">
        <f>INDEX('File 20'!Weekly_Adjusted,41,12)</f>
        <v>0</v>
      </c>
      <c r="EX83" s="6">
        <f ca="1">SUMIFS(INDEX(Capacity_Activity_Weekly,ROW(A41),0),Demand_Activity_Weekly_Header,CJ$42)</f>
        <v>24.344712210866053</v>
      </c>
      <c r="EY83" s="6">
        <f ca="1">SUMIFS(INDEX(Capacity_Activity_Weekly,ROW(B41),0),Demand_Activity_Weekly_Header,CK$42)</f>
        <v>0</v>
      </c>
      <c r="EZ83" s="6">
        <f ca="1">SUMIFS(INDEX(Capacity_Activity_Weekly,ROW(C41),0),Demand_Activity_Weekly_Header,CL$42)</f>
        <v>0</v>
      </c>
      <c r="FA83" s="6">
        <f ca="1">SUMIFS(INDEX(Capacity_Activity_Weekly,ROW(D41),0),Demand_Activity_Weekly_Header,CM$42)</f>
        <v>0</v>
      </c>
      <c r="FB83" s="6">
        <f ca="1">SUMIFS(INDEX(Capacity_Activity_Weekly,ROW(E41),0),Demand_Activity_Weekly_Header,CN$42)</f>
        <v>0</v>
      </c>
      <c r="FD83" s="7">
        <f>'File 1'!$Q$54*'Time based aggregation (hide)'!$Q45</f>
        <v>0</v>
      </c>
      <c r="FE83" s="7">
        <f>'File 1'!$R$54*'Time based aggregation (hide)'!$R45</f>
        <v>0</v>
      </c>
      <c r="FF83" s="7">
        <f>'File 1'!$S$54*'Time based aggregation (hide)'!$S45</f>
        <v>0</v>
      </c>
      <c r="FG83" s="7">
        <f>'File 2'!$Q$54*'Time based aggregation (hide)'!$T45</f>
        <v>0</v>
      </c>
      <c r="FH83" s="7">
        <f>'File 2'!$R$54*'Time based aggregation (hide)'!$U45</f>
        <v>0</v>
      </c>
      <c r="FI83" s="7">
        <f>'File 2'!$S$54*'Time based aggregation (hide)'!$V45</f>
        <v>0</v>
      </c>
      <c r="FJ83" s="7">
        <f>'File 3'!$Q$54*'Time based aggregation (hide)'!$W45</f>
        <v>0</v>
      </c>
      <c r="FK83" s="7">
        <f>'File 3'!$R$54*'Time based aggregation (hide)'!$X45</f>
        <v>0</v>
      </c>
      <c r="FL83" s="7">
        <f>'File 3'!$S$54*'Time based aggregation (hide)'!$Y45</f>
        <v>0</v>
      </c>
      <c r="FM83" s="7">
        <f>'File 4'!$Q$54*'Time based aggregation (hide)'!$Z45</f>
        <v>0</v>
      </c>
      <c r="FN83" s="7">
        <f>'File 4'!$R$54*'Time based aggregation (hide)'!$AA45</f>
        <v>0</v>
      </c>
      <c r="FO83" s="7">
        <f>'File 4'!$S$54*'Time based aggregation (hide)'!$AB45</f>
        <v>0</v>
      </c>
      <c r="FP83" s="7">
        <f>'File 5'!$Q$54*'Time based aggregation (hide)'!$AC45</f>
        <v>0</v>
      </c>
      <c r="FQ83" s="7">
        <f>'File 5'!$R$54*'Time based aggregation (hide)'!$AD45</f>
        <v>0</v>
      </c>
      <c r="FR83" s="7">
        <f>'File 5'!$S$54*'Time based aggregation (hide)'!$AE45</f>
        <v>0</v>
      </c>
      <c r="FS83" s="7">
        <f>'File 6'!$Q$54*'Time based aggregation (hide)'!$AF45</f>
        <v>0</v>
      </c>
      <c r="FT83" s="7">
        <f>'File 6'!$R$54*'Time based aggregation (hide)'!$AG45</f>
        <v>0</v>
      </c>
      <c r="FU83" s="7">
        <f>'File 6'!$S$54*'Time based aggregation (hide)'!$AH45</f>
        <v>0</v>
      </c>
      <c r="FV83" s="7">
        <f>'File 7'!$Q$54*'Time based aggregation (hide)'!$AI45</f>
        <v>0</v>
      </c>
      <c r="FW83" s="7">
        <f>'File 7'!$R$54*'Time based aggregation (hide)'!$AJ45</f>
        <v>0</v>
      </c>
      <c r="FX83" s="7">
        <f>'File 7'!$S$54*'Time based aggregation (hide)'!$AK45</f>
        <v>0</v>
      </c>
      <c r="FY83" s="7">
        <f>'File 8'!$Q$54*'Time based aggregation (hide)'!$AL45</f>
        <v>0</v>
      </c>
      <c r="FZ83" s="7">
        <f>'File 8'!$R$54*'Time based aggregation (hide)'!$AM45</f>
        <v>0</v>
      </c>
      <c r="GA83" s="7">
        <f>'File 8'!$S$54*'Time based aggregation (hide)'!$AN45</f>
        <v>0</v>
      </c>
      <c r="GB83" s="7">
        <f>'File 9'!$Q$54*'Time based aggregation (hide)'!$AO45</f>
        <v>0</v>
      </c>
      <c r="GC83" s="7">
        <f>'File 9'!$R$54*'Time based aggregation (hide)'!$AP45</f>
        <v>0</v>
      </c>
      <c r="GD83" s="7">
        <f>'File 9'!$S$54*'Time based aggregation (hide)'!$AQ45</f>
        <v>0</v>
      </c>
      <c r="GE83" s="7">
        <f>'File 10'!$Q$54*'Time based aggregation (hide)'!$AR45</f>
        <v>0</v>
      </c>
      <c r="GF83" s="7">
        <f>'File 10'!$R$54*'Time based aggregation (hide)'!$AS45</f>
        <v>0</v>
      </c>
      <c r="GG83" s="7">
        <f>'File 10'!$S$54*'Time based aggregation (hide)'!$AT45</f>
        <v>0</v>
      </c>
      <c r="GH83" s="7">
        <f>'File 11'!$Q$54*'Time based aggregation (hide)'!$AU45</f>
        <v>0</v>
      </c>
      <c r="GI83" s="7">
        <f>'File 11'!$R$54*'Time based aggregation (hide)'!$AV45</f>
        <v>0</v>
      </c>
      <c r="GJ83" s="7">
        <f>'File 11'!$S$54*'Time based aggregation (hide)'!$AW45</f>
        <v>0</v>
      </c>
      <c r="GK83" s="7">
        <f>'File 12'!$Q$54*'Time based aggregation (hide)'!$AX45</f>
        <v>0</v>
      </c>
      <c r="GL83" s="7">
        <f>'File 12'!$R$54*'Time based aggregation (hide)'!$AY45</f>
        <v>0</v>
      </c>
      <c r="GM83" s="7">
        <f>'File 12'!$S$54*'Time based aggregation (hide)'!$AZ45</f>
        <v>0</v>
      </c>
      <c r="GN83" s="7">
        <f>'File 13'!$Q$54*'Time based aggregation (hide)'!$BA45</f>
        <v>0</v>
      </c>
      <c r="GO83" s="7">
        <f>'File 13'!$R$54*'Time based aggregation (hide)'!$BB45</f>
        <v>0</v>
      </c>
      <c r="GP83" s="7">
        <f>'File 13'!$S$54*'Time based aggregation (hide)'!$BC45</f>
        <v>0</v>
      </c>
      <c r="GQ83" s="7">
        <f>'File 14'!$Q$54*'Time based aggregation (hide)'!$BD45</f>
        <v>0</v>
      </c>
      <c r="GR83" s="7">
        <f>'File 14'!$R$54*'Time based aggregation (hide)'!$BE45</f>
        <v>0</v>
      </c>
      <c r="GS83" s="7">
        <f>'File 14'!$S$54*'Time based aggregation (hide)'!$BF45</f>
        <v>0</v>
      </c>
      <c r="GT83" s="7">
        <f>'File 15'!$Q$54*'Time based aggregation (hide)'!$BG45</f>
        <v>0</v>
      </c>
      <c r="GU83" s="7">
        <f>'File 15'!$R$54*'Time based aggregation (hide)'!$BH45</f>
        <v>0</v>
      </c>
      <c r="GV83" s="7">
        <f>'File 15'!$S$54*'Time based aggregation (hide)'!$BI45</f>
        <v>0</v>
      </c>
      <c r="GW83" s="7">
        <f>'File 16'!$Q$54*'Time based aggregation (hide)'!$BJ45</f>
        <v>0</v>
      </c>
      <c r="GX83" s="7">
        <f>'File 16'!$R$54*'Time based aggregation (hide)'!$BK45</f>
        <v>0</v>
      </c>
      <c r="GY83" s="7">
        <f>'File 16'!$S$54*'Time based aggregation (hide)'!$BL45</f>
        <v>0</v>
      </c>
      <c r="GZ83" s="7">
        <f>'File 17'!$Q$54*'Time based aggregation (hide)'!$BM45</f>
        <v>0</v>
      </c>
      <c r="HA83" s="7">
        <f>'File 17'!$R$54*'Time based aggregation (hide)'!$BN45</f>
        <v>0</v>
      </c>
      <c r="HB83" s="7">
        <f>'File 17'!$S$54*'Time based aggregation (hide)'!$BO45</f>
        <v>0</v>
      </c>
      <c r="HC83" s="7">
        <f>'File 18'!$Q$54*'Time based aggregation (hide)'!$BP45</f>
        <v>0</v>
      </c>
      <c r="HD83" s="7">
        <f>'File 18'!$R$54*'Time based aggregation (hide)'!$BQ45</f>
        <v>0</v>
      </c>
      <c r="HE83" s="7">
        <f>'File 18'!$S$54*'Time based aggregation (hide)'!$BR45</f>
        <v>0</v>
      </c>
      <c r="HF83" s="7">
        <f>'File 19'!$Q$54*'Time based aggregation (hide)'!$BS45</f>
        <v>0</v>
      </c>
      <c r="HG83" s="7">
        <f>'File 19'!$R$54*'Time based aggregation (hide)'!$BT45</f>
        <v>0</v>
      </c>
      <c r="HH83" s="7">
        <f>'File 19'!$S$54*'Time based aggregation (hide)'!$BU45</f>
        <v>0</v>
      </c>
      <c r="HI83" s="7">
        <f>'File 20'!$Q$54*'Time based aggregation (hide)'!$BV45</f>
        <v>0</v>
      </c>
      <c r="HJ83" s="7">
        <f>'File 20'!$R$54*'Time based aggregation (hide)'!$BW45</f>
        <v>0</v>
      </c>
      <c r="HK83" s="7">
        <f>'File 20'!$S$54*'Time based aggregation (hide)'!$BX45</f>
        <v>0</v>
      </c>
      <c r="HL83" s="7">
        <f t="shared" ref="HL83:HP94" ca="1" si="50">IF(OR($J$102=0,AND($J$102=0,$J$103=0)),SUMIFS($FD83:$HK83,$AB$42:$CI$42,HL$42),SUMIFS(OFFSET($FD83,0,($J$102-1)*3,1,3),OFFSET($FD$42,0,($J$102-1)*3,1,3),HL$42))</f>
        <v>0</v>
      </c>
      <c r="HM83" s="7">
        <f t="shared" ca="1" si="50"/>
        <v>0</v>
      </c>
      <c r="HN83" s="7">
        <f t="shared" ca="1" si="50"/>
        <v>0</v>
      </c>
      <c r="HO83" s="7">
        <f t="shared" ca="1" si="50"/>
        <v>0</v>
      </c>
      <c r="HP83" s="7">
        <f t="shared" ca="1" si="50"/>
        <v>0</v>
      </c>
      <c r="HR83" s="142">
        <f>INDEX('File 1'!Weekly_Adjusted,41,16)</f>
        <v>20.933351264120493</v>
      </c>
      <c r="HS83" s="142">
        <f>INDEX('File 1'!Weekly_Adjusted,41,17)</f>
        <v>0</v>
      </c>
      <c r="HT83" s="142">
        <f>INDEX('File 1'!Weekly_Adjusted,41,18)</f>
        <v>0</v>
      </c>
      <c r="HU83" s="143">
        <f>INDEX('File 2'!Weekly_Adjusted,41,16)</f>
        <v>0</v>
      </c>
      <c r="HV83" s="143">
        <f>INDEX('File 2'!Weekly_Adjusted,41,17)</f>
        <v>0</v>
      </c>
      <c r="HW83" s="143">
        <f>INDEX('File 2'!Weekly_Adjusted,41,18)</f>
        <v>0</v>
      </c>
      <c r="HX83" s="142">
        <f>INDEX('File 3'!Weekly_Adjusted,41,16)</f>
        <v>0</v>
      </c>
      <c r="HY83" s="142">
        <f>INDEX('File 3'!Weekly_Adjusted,41,17)</f>
        <v>0</v>
      </c>
      <c r="HZ83" s="142">
        <f>INDEX('File 3'!Weekly_Adjusted,41,18)</f>
        <v>0</v>
      </c>
      <c r="IA83" s="143">
        <f>INDEX('File 4'!Weekly_Adjusted,41,16)</f>
        <v>0</v>
      </c>
      <c r="IB83" s="143">
        <f>INDEX('File 4'!Weekly_Adjusted,41,17)</f>
        <v>0</v>
      </c>
      <c r="IC83" s="143">
        <f>INDEX('File 4'!Weekly_Adjusted,41,18)</f>
        <v>0</v>
      </c>
      <c r="ID83" s="142">
        <f>INDEX('File 5'!Weekly_Adjusted,41,16)</f>
        <v>0</v>
      </c>
      <c r="IE83" s="142">
        <f>INDEX('File 5'!Weekly_Adjusted,41,17)</f>
        <v>0</v>
      </c>
      <c r="IF83" s="142">
        <f>INDEX('File 5'!Weekly_Adjusted,41,18)</f>
        <v>0</v>
      </c>
      <c r="IG83" s="143">
        <f>INDEX('File 6'!Weekly_Adjusted,41,16)</f>
        <v>0</v>
      </c>
      <c r="IH83" s="143">
        <f>INDEX('File 6'!Weekly_Adjusted,41,17)</f>
        <v>0</v>
      </c>
      <c r="II83" s="143">
        <f>INDEX('File 6'!Weekly_Adjusted,41,18)</f>
        <v>0</v>
      </c>
      <c r="IJ83" s="142">
        <f>INDEX('File 7'!Weekly_Adjusted,41,16)</f>
        <v>0</v>
      </c>
      <c r="IK83" s="142">
        <f>INDEX('File 7'!Weekly_Adjusted,41,17)</f>
        <v>0</v>
      </c>
      <c r="IL83" s="142">
        <f>INDEX('File 7'!Weekly_Adjusted,41,18)</f>
        <v>0</v>
      </c>
      <c r="IM83" s="143">
        <f>INDEX('File 8'!Weekly_Adjusted,41,16)</f>
        <v>0</v>
      </c>
      <c r="IN83" s="143">
        <f>INDEX('File 8'!Weekly_Adjusted,41,17)</f>
        <v>0</v>
      </c>
      <c r="IO83" s="143">
        <f>INDEX('File 8'!Weekly_Adjusted,41,18)</f>
        <v>0</v>
      </c>
      <c r="IP83" s="142">
        <f>INDEX('File 9'!Weekly_Adjusted,41,16)</f>
        <v>0</v>
      </c>
      <c r="IQ83" s="142">
        <f>INDEX('File 9'!Weekly_Adjusted,41,17)</f>
        <v>0</v>
      </c>
      <c r="IR83" s="142">
        <f>INDEX('File 9'!Weekly_Adjusted,41,18)</f>
        <v>0</v>
      </c>
      <c r="IS83" s="143">
        <f>INDEX('File 10'!Weekly_Adjusted,41,16)</f>
        <v>0</v>
      </c>
      <c r="IT83" s="143">
        <f>INDEX('File 10'!Weekly_Adjusted,41,17)</f>
        <v>0</v>
      </c>
      <c r="IU83" s="143">
        <f>INDEX('File 10'!Weekly_Adjusted,41,18)</f>
        <v>0</v>
      </c>
      <c r="IV83" s="142">
        <f>INDEX('File 11'!Weekly_Adjusted,41,16)</f>
        <v>0</v>
      </c>
      <c r="IW83" s="142">
        <f>INDEX('File 11'!Weekly_Adjusted,41,17)</f>
        <v>0</v>
      </c>
      <c r="IX83" s="142">
        <f>INDEX('File 11'!Weekly_Adjusted,41,18)</f>
        <v>0</v>
      </c>
      <c r="IY83" s="143">
        <f>INDEX('File 12'!Weekly_Adjusted,41,16)</f>
        <v>0</v>
      </c>
      <c r="IZ83" s="143">
        <f>INDEX('File 12'!Weekly_Adjusted,41,17)</f>
        <v>0</v>
      </c>
      <c r="JA83" s="143">
        <f>INDEX('File 12'!Weekly_Adjusted,41,18)</f>
        <v>0</v>
      </c>
      <c r="JB83" s="142">
        <f>INDEX('File 13'!Weekly_Adjusted,41,16)</f>
        <v>0</v>
      </c>
      <c r="JC83" s="142">
        <f>INDEX('File 13'!Weekly_Adjusted,41,17)</f>
        <v>0</v>
      </c>
      <c r="JD83" s="142">
        <f>INDEX('File 13'!Weekly_Adjusted,41,18)</f>
        <v>0</v>
      </c>
      <c r="JE83" s="143">
        <f>INDEX('File 14'!Weekly_Adjusted,41,16)</f>
        <v>0</v>
      </c>
      <c r="JF83" s="143">
        <f>INDEX('File 14'!Weekly_Adjusted,41,17)</f>
        <v>0</v>
      </c>
      <c r="JG83" s="143">
        <f>INDEX('File 14'!Weekly_Adjusted,41,18)</f>
        <v>0</v>
      </c>
      <c r="JH83" s="142">
        <f>INDEX('File 15'!Weekly_Adjusted,41,16)</f>
        <v>0</v>
      </c>
      <c r="JI83" s="142">
        <f>INDEX('File 15'!Weekly_Adjusted,41,17)</f>
        <v>0</v>
      </c>
      <c r="JJ83" s="142">
        <f>INDEX('File 15'!Weekly_Adjusted,41,18)</f>
        <v>0</v>
      </c>
      <c r="JK83" s="143">
        <f>INDEX('File 16'!Weekly_Adjusted,41,16)</f>
        <v>0</v>
      </c>
      <c r="JL83" s="143">
        <f>INDEX('File 16'!Weekly_Adjusted,41,17)</f>
        <v>0</v>
      </c>
      <c r="JM83" s="143">
        <f>INDEX('File 16'!Weekly_Adjusted,41,18)</f>
        <v>0</v>
      </c>
      <c r="JN83" s="142">
        <f>INDEX('File 17'!Weekly_Adjusted,41,16)</f>
        <v>0</v>
      </c>
      <c r="JO83" s="142">
        <f>INDEX('File 17'!Weekly_Adjusted,41,17)</f>
        <v>0</v>
      </c>
      <c r="JP83" s="142">
        <f>INDEX('File 17'!Weekly_Adjusted,41,18)</f>
        <v>0</v>
      </c>
      <c r="JQ83" s="143">
        <f>INDEX('File 18'!Weekly_Adjusted,41,16)</f>
        <v>0</v>
      </c>
      <c r="JR83" s="143">
        <f>INDEX('File 18'!Weekly_Adjusted,41,17)</f>
        <v>0</v>
      </c>
      <c r="JS83" s="143">
        <f>INDEX('File 18'!Weekly_Adjusted,41,18)</f>
        <v>0</v>
      </c>
      <c r="JT83" s="142">
        <f>INDEX('File 19'!Weekly_Adjusted,41,16)</f>
        <v>0</v>
      </c>
      <c r="JU83" s="142">
        <f>INDEX('File 19'!Weekly_Adjusted,41,17)</f>
        <v>0</v>
      </c>
      <c r="JV83" s="142">
        <f>INDEX('File 19'!Weekly_Adjusted,41,18)</f>
        <v>0</v>
      </c>
      <c r="JW83" s="143">
        <f>INDEX('File 20'!Weekly_Adjusted,41,16)</f>
        <v>0</v>
      </c>
      <c r="JX83" s="143">
        <f>INDEX('File 20'!Weekly_Adjusted,41,17)</f>
        <v>0</v>
      </c>
      <c r="JY83" s="143">
        <f>INDEX('File 20'!Weekly_Adjusted,41,18)</f>
        <v>0</v>
      </c>
      <c r="JZ83" s="6">
        <f ca="1">SUMIFS(INDEX(CapacityCore_Activity_Weekly,ROW(EC41),0),Demand_Activity_Weekly_Header,HL$42)</f>
        <v>20.933351264120493</v>
      </c>
      <c r="KA83" s="6">
        <f ca="1">SUMIFS(INDEX(CapacityCore_Activity_Weekly,ROW(ED41),0),Demand_Activity_Weekly_Header,HM$42)</f>
        <v>0</v>
      </c>
      <c r="KB83" s="6">
        <f ca="1">SUMIFS(INDEX(CapacityCore_Activity_Weekly,ROW(EE41),0),Demand_Activity_Weekly_Header,HN$42)</f>
        <v>0</v>
      </c>
      <c r="KC83" s="6">
        <f ca="1">SUMIFS(INDEX(CapacityCore_Activity_Weekly,ROW(EF41),0),Demand_Activity_Weekly_Header,HO$42)</f>
        <v>0</v>
      </c>
      <c r="KD83" s="6">
        <f ca="1">SUMIFS(INDEX(CapacityCore_Activity_Weekly,ROW(EG41),0),Demand_Activity_Weekly_Header,HP$42)</f>
        <v>0</v>
      </c>
      <c r="KF83" s="6">
        <f>SUMIFS('Time based aggregation (hide)'!$J:$J,'Time based aggregation (hide)'!$E:$E,1,'Time based aggregation (hide)'!$F:$F,1,'Time based aggregation (hide)'!$A:$A,ROW(A41))</f>
        <v>0</v>
      </c>
      <c r="KG83" s="6">
        <f>SUMIFS('Time based aggregation (hide)'!$J:$J,'Time based aggregation (hide)'!$E:$E,1,'Time based aggregation (hide)'!$F:$F,2,'Time based aggregation (hide)'!$A:$A,ROW(A41))</f>
        <v>0</v>
      </c>
      <c r="KH83" s="6">
        <f>SUMIFS('Time based aggregation (hide)'!$J:$J,'Time based aggregation (hide)'!$E:$E,1,'Time based aggregation (hide)'!$F:$F,3,'Time based aggregation (hide)'!$A:$A,ROW(A41))</f>
        <v>0</v>
      </c>
      <c r="KI83" s="6">
        <f>SUMIFS('Time based aggregation (hide)'!$J:$J,'Time based aggregation (hide)'!$E:$E,2,'Time based aggregation (hide)'!$F:$F,1,'Time based aggregation (hide)'!$A:$A,ROW(A41))</f>
        <v>0</v>
      </c>
      <c r="KJ83" s="6">
        <f>SUMIFS('Time based aggregation (hide)'!$J:$J,'Time based aggregation (hide)'!$E:$E,2,'Time based aggregation (hide)'!$F:$F,2,'Time based aggregation (hide)'!$A:$A,ROW(A41))</f>
        <v>0</v>
      </c>
      <c r="KK83" s="6">
        <f>SUMIFS('Time based aggregation (hide)'!$J:$J,'Time based aggregation (hide)'!$E:$E,2,'Time based aggregation (hide)'!$F:$F,3,'Time based aggregation (hide)'!$A:$A,ROW(A41))</f>
        <v>0</v>
      </c>
      <c r="KL83" s="6">
        <f>SUMIFS('Time based aggregation (hide)'!$J:$J,'Time based aggregation (hide)'!$E:$E,3,'Time based aggregation (hide)'!$F:$F,1,'Time based aggregation (hide)'!$A:$A,ROW(A41))</f>
        <v>0</v>
      </c>
      <c r="KM83" s="6">
        <f>SUMIFS('Time based aggregation (hide)'!$J:$J,'Time based aggregation (hide)'!$E:$E,3,'Time based aggregation (hide)'!$F:$F,2,'Time based aggregation (hide)'!$A:$A,ROW(A41))</f>
        <v>0</v>
      </c>
      <c r="KN83" s="6">
        <f>SUMIFS('Time based aggregation (hide)'!$J:$J,'Time based aggregation (hide)'!$E:$E,3,'Time based aggregation (hide)'!$F:$F,3,'Time based aggregation (hide)'!$A:$A,ROW(A41))</f>
        <v>0</v>
      </c>
      <c r="KO83" s="6">
        <f>SUMIFS('Time based aggregation (hide)'!$J:$J,'Time based aggregation (hide)'!$E:$E,4,'Time based aggregation (hide)'!$F:$F,1,'Time based aggregation (hide)'!$A:$A,ROW(A41))</f>
        <v>0</v>
      </c>
      <c r="KP83" s="6">
        <f>SUMIFS('Time based aggregation (hide)'!$J:$J,'Time based aggregation (hide)'!$E:$E,4,'Time based aggregation (hide)'!$F:$F,2,'Time based aggregation (hide)'!$A:$A,ROW(A41))</f>
        <v>0</v>
      </c>
      <c r="KQ83" s="6">
        <f>SUMIFS('Time based aggregation (hide)'!$J:$J,'Time based aggregation (hide)'!$E:$E,4,'Time based aggregation (hide)'!$F:$F,3,'Time based aggregation (hide)'!$A:$A,ROW(A41))</f>
        <v>0</v>
      </c>
      <c r="KR83" s="6">
        <f>SUMIFS('Time based aggregation (hide)'!$J:$J,'Time based aggregation (hide)'!$E:$E,5,'Time based aggregation (hide)'!$F:$F,1,'Time based aggregation (hide)'!$A:$A,ROW(A41))</f>
        <v>0</v>
      </c>
      <c r="KS83" s="6">
        <f>SUMIFS('Time based aggregation (hide)'!$J:$J,'Time based aggregation (hide)'!$E:$E,5,'Time based aggregation (hide)'!$F:$F,2,'Time based aggregation (hide)'!$A:$A,ROW(A41))</f>
        <v>0</v>
      </c>
      <c r="KT83" s="6">
        <f>SUMIFS('Time based aggregation (hide)'!$J:$J,'Time based aggregation (hide)'!$E:$E,5,'Time based aggregation (hide)'!$F:$F,3,'Time based aggregation (hide)'!$A:$A,ROW(A41))</f>
        <v>0</v>
      </c>
      <c r="KU83" s="6">
        <f>SUMIFS('Time based aggregation (hide)'!$J:$J,'Time based aggregation (hide)'!$E:$E,6,'Time based aggregation (hide)'!$F:$F,1,'Time based aggregation (hide)'!$A:$A,ROW(A41))</f>
        <v>0</v>
      </c>
      <c r="KV83" s="6">
        <f>SUMIFS('Time based aggregation (hide)'!$J:$J,'Time based aggregation (hide)'!$E:$E,6,'Time based aggregation (hide)'!$F:$F,2,'Time based aggregation (hide)'!$A:$A,ROW(A41))</f>
        <v>0</v>
      </c>
      <c r="KW83" s="6">
        <f>SUMIFS('Time based aggregation (hide)'!$J:$J,'Time based aggregation (hide)'!$E:$E,6,'Time based aggregation (hide)'!$F:$F,3,'Time based aggregation (hide)'!$A:$A,ROW(A41))</f>
        <v>0</v>
      </c>
      <c r="KX83" s="6">
        <f>SUMIFS('Time based aggregation (hide)'!$J:$J,'Time based aggregation (hide)'!$E:$E,7,'Time based aggregation (hide)'!$F:$F,1,'Time based aggregation (hide)'!$A:$A,ROW(A41))</f>
        <v>0</v>
      </c>
      <c r="KY83" s="6">
        <f>SUMIFS('Time based aggregation (hide)'!$J:$J,'Time based aggregation (hide)'!$E:$E,7,'Time based aggregation (hide)'!$F:$F,2,'Time based aggregation (hide)'!$A:$A,ROW(A41))</f>
        <v>0</v>
      </c>
      <c r="KZ83" s="6">
        <f>SUMIFS('Time based aggregation (hide)'!$J:$J,'Time based aggregation (hide)'!$E:$E,7,'Time based aggregation (hide)'!$F:$F,3,'Time based aggregation (hide)'!$A:$A,ROW(A41))</f>
        <v>0</v>
      </c>
      <c r="LA83" s="6">
        <f>SUMIFS('Time based aggregation (hide)'!$J:$J,'Time based aggregation (hide)'!$E:$E,8,'Time based aggregation (hide)'!$F:$F,1,'Time based aggregation (hide)'!$A:$A,ROW(A41))</f>
        <v>0</v>
      </c>
      <c r="LB83" s="6">
        <f>SUMIFS('Time based aggregation (hide)'!$J:$J,'Time based aggregation (hide)'!$E:$E,8,'Time based aggregation (hide)'!$F:$F,2,'Time based aggregation (hide)'!$A:$A,ROW(A41))</f>
        <v>0</v>
      </c>
      <c r="LC83" s="6">
        <f>SUMIFS('Time based aggregation (hide)'!$J:$J,'Time based aggregation (hide)'!$E:$E,8,'Time based aggregation (hide)'!$F:$F,3,'Time based aggregation (hide)'!$A:$A,ROW(A41))</f>
        <v>0</v>
      </c>
      <c r="LD83" s="6">
        <f>SUMIFS('Time based aggregation (hide)'!$J:$J,'Time based aggregation (hide)'!$E:$E,9,'Time based aggregation (hide)'!$F:$F,1,'Time based aggregation (hide)'!$A:$A,ROW(A41))</f>
        <v>0</v>
      </c>
      <c r="LE83" s="6">
        <f>SUMIFS('Time based aggregation (hide)'!$J:$J,'Time based aggregation (hide)'!$E:$E,9,'Time based aggregation (hide)'!$F:$F,2,'Time based aggregation (hide)'!$A:$A,ROW(A41))</f>
        <v>0</v>
      </c>
      <c r="LF83" s="6">
        <f>SUMIFS('Time based aggregation (hide)'!$J:$J,'Time based aggregation (hide)'!$E:$E,9,'Time based aggregation (hide)'!$F:$F,3,'Time based aggregation (hide)'!$A:$A,ROW(A41))</f>
        <v>0</v>
      </c>
      <c r="LG83" s="6">
        <f>SUMIFS('Time based aggregation (hide)'!$J:$J,'Time based aggregation (hide)'!$E:$E,10,'Time based aggregation (hide)'!$F:$F,1,'Time based aggregation (hide)'!$A:$A,ROW(A41))</f>
        <v>0</v>
      </c>
      <c r="LH83" s="6">
        <f>SUMIFS('Time based aggregation (hide)'!$J:$J,'Time based aggregation (hide)'!$E:$E,10,'Time based aggregation (hide)'!$F:$F,2,'Time based aggregation (hide)'!$A:$A,ROW(A41))</f>
        <v>0</v>
      </c>
      <c r="LI83" s="6">
        <f>SUMIFS('Time based aggregation (hide)'!$J:$J,'Time based aggregation (hide)'!$E:$E,10,'Time based aggregation (hide)'!$F:$F,3,'Time based aggregation (hide)'!$A:$A,ROW(A41))</f>
        <v>0</v>
      </c>
      <c r="LJ83" s="6">
        <f>SUMIFS('Time based aggregation (hide)'!$J:$J,'Time based aggregation (hide)'!$E:$E,11,'Time based aggregation (hide)'!$F:$F,1,'Time based aggregation (hide)'!$A:$A,ROW(A41))</f>
        <v>0</v>
      </c>
      <c r="LK83" s="6">
        <f>SUMIFS('Time based aggregation (hide)'!$J:$J,'Time based aggregation (hide)'!$E:$E,11,'Time based aggregation (hide)'!$F:$F,2,'Time based aggregation (hide)'!$A:$A,ROW(A41))</f>
        <v>0</v>
      </c>
      <c r="LL83" s="6">
        <f>SUMIFS('Time based aggregation (hide)'!$J:$J,'Time based aggregation (hide)'!$E:$E,11,'Time based aggregation (hide)'!$F:$F,3,'Time based aggregation (hide)'!$A:$A,ROW(A41))</f>
        <v>0</v>
      </c>
      <c r="LM83" s="6">
        <f>SUMIFS('Time based aggregation (hide)'!$J:$J,'Time based aggregation (hide)'!$E:$E,12,'Time based aggregation (hide)'!$F:$F,1,'Time based aggregation (hide)'!$A:$A,ROW(A41))</f>
        <v>0</v>
      </c>
      <c r="LN83" s="6">
        <f>SUMIFS('Time based aggregation (hide)'!$J:$J,'Time based aggregation (hide)'!$E:$E,12,'Time based aggregation (hide)'!$F:$F,2,'Time based aggregation (hide)'!$A:$A,ROW(A41))</f>
        <v>0</v>
      </c>
      <c r="LO83" s="6">
        <f>SUMIFS('Time based aggregation (hide)'!$J:$J,'Time based aggregation (hide)'!$E:$E,12,'Time based aggregation (hide)'!$F:$F,3,'Time based aggregation (hide)'!$A:$A,ROW(A41))</f>
        <v>0</v>
      </c>
      <c r="LP83" s="6">
        <f>SUMIFS('Time based aggregation (hide)'!$J:$J,'Time based aggregation (hide)'!$E:$E,13,'Time based aggregation (hide)'!$F:$F,1,'Time based aggregation (hide)'!$A:$A,ROW(A41))</f>
        <v>0</v>
      </c>
      <c r="LQ83" s="6">
        <f>SUMIFS('Time based aggregation (hide)'!$J:$J,'Time based aggregation (hide)'!$E:$E,13,'Time based aggregation (hide)'!$F:$F,2,'Time based aggregation (hide)'!$A:$A,ROW(A41))</f>
        <v>0</v>
      </c>
      <c r="LR83" s="6">
        <f>SUMIFS('Time based aggregation (hide)'!$J:$J,'Time based aggregation (hide)'!$E:$E,13,'Time based aggregation (hide)'!$F:$F,3,'Time based aggregation (hide)'!$A:$A,ROW(A41))</f>
        <v>0</v>
      </c>
      <c r="LS83" s="6">
        <f>SUMIFS('Time based aggregation (hide)'!$J:$J,'Time based aggregation (hide)'!$E:$E,14,'Time based aggregation (hide)'!$F:$F,1,'Time based aggregation (hide)'!$A:$A,ROW(A41))</f>
        <v>0</v>
      </c>
      <c r="LT83" s="6">
        <f>SUMIFS('Time based aggregation (hide)'!$J:$J,'Time based aggregation (hide)'!$E:$E,14,'Time based aggregation (hide)'!$F:$F,2,'Time based aggregation (hide)'!$A:$A,ROW(A41))</f>
        <v>0</v>
      </c>
      <c r="LU83" s="6">
        <f>SUMIFS('Time based aggregation (hide)'!$J:$J,'Time based aggregation (hide)'!$E:$E,14,'Time based aggregation (hide)'!$F:$F,3,'Time based aggregation (hide)'!$A:$A,ROW(A41))</f>
        <v>0</v>
      </c>
      <c r="LV83" s="6">
        <f>SUMIFS('Time based aggregation (hide)'!$J:$J,'Time based aggregation (hide)'!$E:$E,15,'Time based aggregation (hide)'!$F:$F,1,'Time based aggregation (hide)'!$A:$A,ROW(A41))</f>
        <v>0</v>
      </c>
      <c r="LW83" s="6">
        <f>SUMIFS('Time based aggregation (hide)'!$J:$J,'Time based aggregation (hide)'!$E:$E,15,'Time based aggregation (hide)'!$F:$F,2,'Time based aggregation (hide)'!$A:$A,ROW(A41))</f>
        <v>0</v>
      </c>
      <c r="LX83" s="6">
        <f>SUMIFS('Time based aggregation (hide)'!$J:$J,'Time based aggregation (hide)'!$E:$E,15,'Time based aggregation (hide)'!$F:$F,3,'Time based aggregation (hide)'!$A:$A,ROW(A41))</f>
        <v>0</v>
      </c>
      <c r="LY83" s="6">
        <f>SUMIFS('Time based aggregation (hide)'!$J:$J,'Time based aggregation (hide)'!$E:$E,16,'Time based aggregation (hide)'!$F:$F,1,'Time based aggregation (hide)'!$A:$A,ROW(A41))</f>
        <v>0</v>
      </c>
      <c r="LZ83" s="6">
        <f>SUMIFS('Time based aggregation (hide)'!$J:$J,'Time based aggregation (hide)'!$E:$E,16,'Time based aggregation (hide)'!$F:$F,2,'Time based aggregation (hide)'!$A:$A,ROW(A41))</f>
        <v>0</v>
      </c>
      <c r="MA83" s="6">
        <f>SUMIFS('Time based aggregation (hide)'!$J:$J,'Time based aggregation (hide)'!$E:$E,16,'Time based aggregation (hide)'!$F:$F,3,'Time based aggregation (hide)'!$A:$A,ROW(A41))</f>
        <v>0</v>
      </c>
      <c r="MB83" s="6">
        <f>SUMIFS('Time based aggregation (hide)'!$J:$J,'Time based aggregation (hide)'!$E:$E,17,'Time based aggregation (hide)'!$F:$F,1,'Time based aggregation (hide)'!$A:$A,ROW(A41))</f>
        <v>0</v>
      </c>
      <c r="MC83" s="6">
        <f>SUMIFS('Time based aggregation (hide)'!$J:$J,'Time based aggregation (hide)'!$E:$E,17,'Time based aggregation (hide)'!$F:$F,2,'Time based aggregation (hide)'!$A:$A,ROW(A41))</f>
        <v>0</v>
      </c>
      <c r="MD83" s="6">
        <f>SUMIFS('Time based aggregation (hide)'!$J:$J,'Time based aggregation (hide)'!$E:$E,17,'Time based aggregation (hide)'!$F:$F,3,'Time based aggregation (hide)'!$A:$A,ROW(A41))</f>
        <v>0</v>
      </c>
      <c r="ME83" s="6">
        <f>SUMIFS('Time based aggregation (hide)'!$J:$J,'Time based aggregation (hide)'!$E:$E,18,'Time based aggregation (hide)'!$F:$F,1,'Time based aggregation (hide)'!$A:$A,ROW(A41))</f>
        <v>0</v>
      </c>
      <c r="MF83" s="6">
        <f>SUMIFS('Time based aggregation (hide)'!$J:$J,'Time based aggregation (hide)'!$E:$E,18,'Time based aggregation (hide)'!$F:$F,2,'Time based aggregation (hide)'!$A:$A,ROW(A41))</f>
        <v>0</v>
      </c>
      <c r="MG83" s="6">
        <f>SUMIFS('Time based aggregation (hide)'!$J:$J,'Time based aggregation (hide)'!$E:$E,18,'Time based aggregation (hide)'!$F:$F,3,'Time based aggregation (hide)'!$A:$A,ROW(A41))</f>
        <v>0</v>
      </c>
      <c r="MH83" s="6">
        <f>SUMIFS('Time based aggregation (hide)'!$J:$J,'Time based aggregation (hide)'!$E:$E,19,'Time based aggregation (hide)'!$F:$F,1,'Time based aggregation (hide)'!$A:$A,ROW(A41))</f>
        <v>0</v>
      </c>
      <c r="MI83" s="6">
        <f>SUMIFS('Time based aggregation (hide)'!$J:$J,'Time based aggregation (hide)'!$E:$E,19,'Time based aggregation (hide)'!$F:$F,2,'Time based aggregation (hide)'!$A:$A,ROW(A41))</f>
        <v>0</v>
      </c>
      <c r="MJ83" s="6">
        <f>SUMIFS('Time based aggregation (hide)'!$J:$J,'Time based aggregation (hide)'!$E:$E,19,'Time based aggregation (hide)'!$F:$F,3,'Time based aggregation (hide)'!$A:$A,ROW(A41))</f>
        <v>0</v>
      </c>
      <c r="MK83" s="6">
        <f>SUMIFS('Time based aggregation (hide)'!$J:$J,'Time based aggregation (hide)'!$E:$E,20,'Time based aggregation (hide)'!$F:$F,1,'Time based aggregation (hide)'!$A:$A,ROW(A41))</f>
        <v>0</v>
      </c>
      <c r="ML83" s="6">
        <f>SUMIFS('Time based aggregation (hide)'!$J:$J,'Time based aggregation (hide)'!$E:$E,20,'Time based aggregation (hide)'!$F:$F,2,'Time based aggregation (hide)'!$A:$A,ROW(A41))</f>
        <v>0</v>
      </c>
      <c r="MM83" s="6">
        <f>SUMIFS('Time based aggregation (hide)'!$J:$J,'Time based aggregation (hide)'!$E:$E,20,'Time based aggregation (hide)'!$F:$F,3,'Time based aggregation (hide)'!$A:$A,ROW(A41))</f>
        <v>0</v>
      </c>
      <c r="MN83" s="7">
        <f t="shared" ca="1" si="48"/>
        <v>0</v>
      </c>
      <c r="MO83" s="7">
        <f t="shared" ca="1" si="48"/>
        <v>0</v>
      </c>
      <c r="MP83" s="7">
        <f t="shared" ca="1" si="48"/>
        <v>0</v>
      </c>
      <c r="MQ83" s="7">
        <f t="shared" ca="1" si="48"/>
        <v>0</v>
      </c>
      <c r="MR83" s="7">
        <f t="shared" ca="1" si="48"/>
        <v>0</v>
      </c>
    </row>
    <row r="84" spans="1:356" x14ac:dyDescent="0.25">
      <c r="A84">
        <f>1</f>
        <v>1</v>
      </c>
      <c r="B84" s="85">
        <f t="shared" si="37"/>
        <v>43872</v>
      </c>
      <c r="C84" s="85">
        <f t="shared" si="25"/>
        <v>43871</v>
      </c>
      <c r="D84">
        <f t="shared" ca="1" si="26"/>
        <v>1</v>
      </c>
      <c r="E84" s="85">
        <f t="shared" si="27"/>
        <v>43862</v>
      </c>
      <c r="F84">
        <f t="shared" si="33"/>
        <v>7</v>
      </c>
      <c r="H84">
        <f t="shared" si="34"/>
        <v>42</v>
      </c>
      <c r="I84" s="85">
        <f t="shared" si="38"/>
        <v>44116</v>
      </c>
      <c r="J84">
        <f t="shared" ca="1" si="46"/>
        <v>5</v>
      </c>
      <c r="K84">
        <f t="shared" ca="1" si="47"/>
        <v>1.968503937007874E-2</v>
      </c>
      <c r="L84" s="114"/>
      <c r="N84" s="85">
        <f t="shared" si="35"/>
        <v>44116</v>
      </c>
      <c r="O84" s="122">
        <f t="shared" ca="1" si="49"/>
        <v>0</v>
      </c>
      <c r="P84" s="122">
        <f t="shared" ca="1" si="49"/>
        <v>0</v>
      </c>
      <c r="Q84" s="122">
        <f t="shared" ca="1" si="49"/>
        <v>0</v>
      </c>
      <c r="R84" s="122">
        <f t="shared" ca="1" si="49"/>
        <v>0</v>
      </c>
      <c r="S84" s="122">
        <f t="shared" ca="1" si="49"/>
        <v>0</v>
      </c>
      <c r="T84" s="122">
        <f t="shared" ca="1" si="49"/>
        <v>0</v>
      </c>
      <c r="U84" s="122">
        <f t="shared" ca="1" si="49"/>
        <v>0</v>
      </c>
      <c r="V84" s="122">
        <f t="shared" ca="1" si="49"/>
        <v>0</v>
      </c>
      <c r="W84" s="122">
        <f t="shared" ca="1" si="49"/>
        <v>0</v>
      </c>
      <c r="X84" s="122">
        <f t="shared" ca="1" si="49"/>
        <v>1</v>
      </c>
      <c r="Y84" s="122">
        <f t="shared" ca="1" si="49"/>
        <v>0</v>
      </c>
      <c r="Z84" s="122">
        <f t="shared" ca="1" si="49"/>
        <v>0</v>
      </c>
      <c r="AA84" s="122"/>
      <c r="AB84" s="140">
        <f>INDEX('File 1'!Weekly_Adjusted,42,1)</f>
        <v>388.17143954725253</v>
      </c>
      <c r="AC84" s="140">
        <f>INDEX('File 1'!Weekly_Adjusted,42,2)</f>
        <v>0</v>
      </c>
      <c r="AD84" s="140">
        <f>INDEX('File 1'!Weekly_Adjusted,42,3)</f>
        <v>0</v>
      </c>
      <c r="AE84" s="141">
        <f>INDEX('File 2'!Weekly_Adjusted,42,1)</f>
        <v>0</v>
      </c>
      <c r="AF84" s="141">
        <f>INDEX('File 2'!Weekly_Adjusted,42,2)</f>
        <v>0</v>
      </c>
      <c r="AG84" s="141">
        <f>INDEX('File 2'!Weekly_Adjusted,42,3)</f>
        <v>0</v>
      </c>
      <c r="AH84" s="140">
        <f>INDEX('File 3'!Weekly_Adjusted,42,1)</f>
        <v>0</v>
      </c>
      <c r="AI84" s="140">
        <f>INDEX('File 3'!Weekly_Adjusted,42,2)</f>
        <v>0</v>
      </c>
      <c r="AJ84" s="140">
        <f>INDEX('File 3'!Weekly_Adjusted,42,3)</f>
        <v>0</v>
      </c>
      <c r="AK84" s="141">
        <f>INDEX('File 4'!Weekly_Adjusted,42,1)</f>
        <v>0</v>
      </c>
      <c r="AL84" s="141">
        <f>INDEX('File 4'!Weekly_Adjusted,42,2)</f>
        <v>0</v>
      </c>
      <c r="AM84" s="141">
        <f>INDEX('File 4'!Weekly_Adjusted,42,3)</f>
        <v>0</v>
      </c>
      <c r="AN84" s="140">
        <f>INDEX('File 5'!Weekly_Adjusted,42,1)</f>
        <v>0</v>
      </c>
      <c r="AO84" s="140">
        <f>INDEX('File 5'!Weekly_Adjusted,42,2)</f>
        <v>0</v>
      </c>
      <c r="AP84" s="140">
        <f>INDEX('File 5'!Weekly_Adjusted,42,3)</f>
        <v>0</v>
      </c>
      <c r="AQ84" s="141">
        <f>INDEX('File 6'!Weekly_Adjusted,42,1)</f>
        <v>0</v>
      </c>
      <c r="AR84" s="141">
        <f>INDEX('File 6'!Weekly_Adjusted,42,2)</f>
        <v>0</v>
      </c>
      <c r="AS84" s="141">
        <f>INDEX('File 6'!Weekly_Adjusted,42,3)</f>
        <v>0</v>
      </c>
      <c r="AT84" s="140">
        <f>INDEX('File 7'!Weekly_Adjusted,42,1)</f>
        <v>0</v>
      </c>
      <c r="AU84" s="140">
        <f>INDEX('File 7'!Weekly_Adjusted,42,2)</f>
        <v>0</v>
      </c>
      <c r="AV84" s="140">
        <f>INDEX('File 7'!Weekly_Adjusted,42,3)</f>
        <v>0</v>
      </c>
      <c r="AW84" s="141">
        <f>INDEX('File 8'!Weekly_Adjusted,42,1)</f>
        <v>0</v>
      </c>
      <c r="AX84" s="141">
        <f>INDEX('File 8'!Weekly_Adjusted,42,2)</f>
        <v>0</v>
      </c>
      <c r="AY84" s="141">
        <f>INDEX('File 8'!Weekly_Adjusted,42,3)</f>
        <v>0</v>
      </c>
      <c r="AZ84" s="140">
        <f>INDEX('File 9'!Weekly_Adjusted,42,1)</f>
        <v>0</v>
      </c>
      <c r="BA84" s="140">
        <f>INDEX('File 9'!Weekly_Adjusted,42,2)</f>
        <v>0</v>
      </c>
      <c r="BB84" s="140">
        <f>INDEX('File 9'!Weekly_Adjusted,42,3)</f>
        <v>0</v>
      </c>
      <c r="BC84" s="141">
        <f>INDEX('File 10'!Weekly_Adjusted,42,1)</f>
        <v>0</v>
      </c>
      <c r="BD84" s="141">
        <f>INDEX('File 10'!Weekly_Adjusted,42,2)</f>
        <v>0</v>
      </c>
      <c r="BE84" s="141">
        <f>INDEX('File 10'!Weekly_Adjusted,42,3)</f>
        <v>0</v>
      </c>
      <c r="BF84" s="140">
        <f>INDEX('File 11'!Weekly_Adjusted,42,1)</f>
        <v>0</v>
      </c>
      <c r="BG84" s="140">
        <f>INDEX('File 11'!Weekly_Adjusted,42,2)</f>
        <v>0</v>
      </c>
      <c r="BH84" s="140">
        <f>INDEX('File 11'!Weekly_Adjusted,42,3)</f>
        <v>0</v>
      </c>
      <c r="BI84" s="141">
        <f>INDEX('File 12'!Weekly_Adjusted,42,1)</f>
        <v>0</v>
      </c>
      <c r="BJ84" s="141">
        <f>INDEX('File 12'!Weekly_Adjusted,42,2)</f>
        <v>0</v>
      </c>
      <c r="BK84" s="141">
        <f>INDEX('File 12'!Weekly_Adjusted,42,3)</f>
        <v>0</v>
      </c>
      <c r="BL84" s="140">
        <f>INDEX('File 13'!Weekly_Adjusted,42,1)</f>
        <v>0</v>
      </c>
      <c r="BM84" s="140">
        <f>INDEX('File 13'!Weekly_Adjusted,42,2)</f>
        <v>0</v>
      </c>
      <c r="BN84" s="140">
        <f>INDEX('File 13'!Weekly_Adjusted,42,3)</f>
        <v>0</v>
      </c>
      <c r="BO84" s="141">
        <f>INDEX('File 14'!Weekly_Adjusted,42,1)</f>
        <v>0</v>
      </c>
      <c r="BP84" s="141">
        <f>INDEX('File 14'!Weekly_Adjusted,42,2)</f>
        <v>0</v>
      </c>
      <c r="BQ84" s="141">
        <f>INDEX('File 14'!Weekly_Adjusted,42,3)</f>
        <v>0</v>
      </c>
      <c r="BR84" s="140">
        <f>INDEX('File 15'!Weekly_Adjusted,42,1)</f>
        <v>0</v>
      </c>
      <c r="BS84" s="140">
        <f>INDEX('File 15'!Weekly_Adjusted,42,2)</f>
        <v>0</v>
      </c>
      <c r="BT84" s="140">
        <f>INDEX('File 15'!Weekly_Adjusted,42,3)</f>
        <v>0</v>
      </c>
      <c r="BU84" s="141">
        <f>INDEX('File 16'!Weekly_Adjusted,42,1)</f>
        <v>0</v>
      </c>
      <c r="BV84" s="141">
        <f>INDEX('File 16'!Weekly_Adjusted,42,2)</f>
        <v>0</v>
      </c>
      <c r="BW84" s="141">
        <f>INDEX('File 16'!Weekly_Adjusted,42,3)</f>
        <v>0</v>
      </c>
      <c r="BX84" s="140">
        <f>INDEX('File 17'!Weekly_Adjusted,42,1)</f>
        <v>0</v>
      </c>
      <c r="BY84" s="140">
        <f>INDEX('File 17'!Weekly_Adjusted,42,2)</f>
        <v>0</v>
      </c>
      <c r="BZ84" s="140">
        <f>INDEX('File 17'!Weekly_Adjusted,42,3)</f>
        <v>0</v>
      </c>
      <c r="CA84" s="141">
        <f>INDEX('File 18'!Weekly_Adjusted,42,1)</f>
        <v>0</v>
      </c>
      <c r="CB84" s="141">
        <f>INDEX('File 18'!Weekly_Adjusted,42,2)</f>
        <v>0</v>
      </c>
      <c r="CC84" s="141">
        <f>INDEX('File 18'!Weekly_Adjusted,42,3)</f>
        <v>0</v>
      </c>
      <c r="CD84" s="140">
        <f>INDEX('File 19'!Weekly_Adjusted,42,1)</f>
        <v>0</v>
      </c>
      <c r="CE84" s="140">
        <f>INDEX('File 19'!Weekly_Adjusted,42,2)</f>
        <v>0</v>
      </c>
      <c r="CF84" s="140">
        <f>INDEX('File 19'!Weekly_Adjusted,42,3)</f>
        <v>0</v>
      </c>
      <c r="CG84" s="141">
        <f>INDEX('File 20'!Weekly_Adjusted,42,1)</f>
        <v>0</v>
      </c>
      <c r="CH84" s="141">
        <f>INDEX('File 20'!Weekly_Adjusted,42,2)</f>
        <v>0</v>
      </c>
      <c r="CI84" s="141">
        <f>INDEX('File 20'!Weekly_Adjusted,42,3)</f>
        <v>0</v>
      </c>
      <c r="CJ84" s="6">
        <f ca="1">SUMIFS(INDEX(Demand_Activity_Weekly,ROW(A42),0),Demand_Activity_Weekly_Header,CJ$42)</f>
        <v>388.17143954725253</v>
      </c>
      <c r="CK84" s="6">
        <f ca="1">SUMIFS(INDEX(Demand_Activity_Weekly,ROW(B42),0),Demand_Activity_Weekly_Header,CK$42)</f>
        <v>0</v>
      </c>
      <c r="CL84" s="6">
        <f ca="1">SUMIFS(INDEX(Demand_Activity_Weekly,ROW(C42),0),Demand_Activity_Weekly_Header,CL$42)</f>
        <v>0</v>
      </c>
      <c r="CM84" s="6">
        <f ca="1">SUMIFS(INDEX(Demand_Activity_Weekly,ROW(D42),0),Demand_Activity_Weekly_Header,CM$42)</f>
        <v>0</v>
      </c>
      <c r="CN84" s="6">
        <f ca="1">SUMIFS(INDEX(Demand_Activity_Weekly,ROW(E42),0),Demand_Activity_Weekly_Header,CN$42)</f>
        <v>0</v>
      </c>
      <c r="CP84" s="142">
        <f>INDEX('File 1'!Weekly_Adjusted,42,10)</f>
        <v>24.344712210866053</v>
      </c>
      <c r="CQ84" s="142">
        <f>INDEX('File 1'!Weekly_Adjusted,42,11)</f>
        <v>0</v>
      </c>
      <c r="CR84" s="142">
        <f>INDEX('File 1'!Weekly_Adjusted,42,12)</f>
        <v>0</v>
      </c>
      <c r="CS84" s="143">
        <f>INDEX('File 2'!Weekly_Adjusted,42,10)</f>
        <v>0</v>
      </c>
      <c r="CT84" s="143">
        <f>INDEX('File 2'!Weekly_Adjusted,42,11)</f>
        <v>0</v>
      </c>
      <c r="CU84" s="143">
        <f>INDEX('File 2'!Weekly_Adjusted,42,12)</f>
        <v>0</v>
      </c>
      <c r="CV84" s="142">
        <f>INDEX('File 3'!Weekly_Adjusted,42,10)</f>
        <v>0</v>
      </c>
      <c r="CW84" s="142">
        <f>INDEX('File 3'!Weekly_Adjusted,42,11)</f>
        <v>0</v>
      </c>
      <c r="CX84" s="142">
        <f>INDEX('File 3'!Weekly_Adjusted,42,12)</f>
        <v>0</v>
      </c>
      <c r="CY84" s="143">
        <f>INDEX('File 4'!Weekly_Adjusted,42,10)</f>
        <v>0</v>
      </c>
      <c r="CZ84" s="143">
        <f>INDEX('File 4'!Weekly_Adjusted,42,11)</f>
        <v>0</v>
      </c>
      <c r="DA84" s="143">
        <f>INDEX('File 4'!Weekly_Adjusted,42,12)</f>
        <v>0</v>
      </c>
      <c r="DB84" s="142">
        <f>INDEX('File 5'!Weekly_Adjusted,42,10)</f>
        <v>0</v>
      </c>
      <c r="DC84" s="142">
        <f>INDEX('File 5'!Weekly_Adjusted,42,11)</f>
        <v>0</v>
      </c>
      <c r="DD84" s="142">
        <f>INDEX('File 5'!Weekly_Adjusted,42,12)</f>
        <v>0</v>
      </c>
      <c r="DE84" s="143">
        <f>INDEX('File 6'!Weekly_Adjusted,42,10)</f>
        <v>0</v>
      </c>
      <c r="DF84" s="143">
        <f>INDEX('File 6'!Weekly_Adjusted,42,11)</f>
        <v>0</v>
      </c>
      <c r="DG84" s="143">
        <f>INDEX('File 6'!Weekly_Adjusted,42,12)</f>
        <v>0</v>
      </c>
      <c r="DH84" s="142">
        <f>INDEX('File 7'!Weekly_Adjusted,42,10)</f>
        <v>0</v>
      </c>
      <c r="DI84" s="142">
        <f>INDEX('File 7'!Weekly_Adjusted,42,11)</f>
        <v>0</v>
      </c>
      <c r="DJ84" s="142">
        <f>INDEX('File 7'!Weekly_Adjusted,42,12)</f>
        <v>0</v>
      </c>
      <c r="DK84" s="143">
        <f>INDEX('File 8'!Weekly_Adjusted,42,10)</f>
        <v>0</v>
      </c>
      <c r="DL84" s="143">
        <f>INDEX('File 8'!Weekly_Adjusted,42,11)</f>
        <v>0</v>
      </c>
      <c r="DM84" s="143">
        <f>INDEX('File 8'!Weekly_Adjusted,42,12)</f>
        <v>0</v>
      </c>
      <c r="DN84" s="142">
        <f>INDEX('File 9'!Weekly_Adjusted,42,10)</f>
        <v>0</v>
      </c>
      <c r="DO84" s="142">
        <f>INDEX('File 9'!Weekly_Adjusted,42,11)</f>
        <v>0</v>
      </c>
      <c r="DP84" s="142">
        <f>INDEX('File 9'!Weekly_Adjusted,42,12)</f>
        <v>0</v>
      </c>
      <c r="DQ84" s="143">
        <f>INDEX('File 10'!Weekly_Adjusted,42,10)</f>
        <v>0</v>
      </c>
      <c r="DR84" s="143">
        <f>INDEX('File 10'!Weekly_Adjusted,42,11)</f>
        <v>0</v>
      </c>
      <c r="DS84" s="143">
        <f>INDEX('File 10'!Weekly_Adjusted,42,12)</f>
        <v>0</v>
      </c>
      <c r="DT84" s="142">
        <f>INDEX('File 11'!Weekly_Adjusted,42,10)</f>
        <v>0</v>
      </c>
      <c r="DU84" s="142">
        <f>INDEX('File 11'!Weekly_Adjusted,42,11)</f>
        <v>0</v>
      </c>
      <c r="DV84" s="142">
        <f>INDEX('File 11'!Weekly_Adjusted,42,12)</f>
        <v>0</v>
      </c>
      <c r="DW84" s="143">
        <f>INDEX('File 12'!Weekly_Adjusted,42,10)</f>
        <v>0</v>
      </c>
      <c r="DX84" s="143">
        <f>INDEX('File 12'!Weekly_Adjusted,42,11)</f>
        <v>0</v>
      </c>
      <c r="DY84" s="143">
        <f>INDEX('File 12'!Weekly_Adjusted,42,12)</f>
        <v>0</v>
      </c>
      <c r="DZ84" s="142">
        <f>INDEX('File 13'!Weekly_Adjusted,42,10)</f>
        <v>0</v>
      </c>
      <c r="EA84" s="142">
        <f>INDEX('File 13'!Weekly_Adjusted,42,11)</f>
        <v>0</v>
      </c>
      <c r="EB84" s="142">
        <f>INDEX('File 13'!Weekly_Adjusted,42,12)</f>
        <v>0</v>
      </c>
      <c r="EC84" s="143">
        <f>INDEX('File 14'!Weekly_Adjusted,42,10)</f>
        <v>0</v>
      </c>
      <c r="ED84" s="143">
        <f>INDEX('File 14'!Weekly_Adjusted,42,11)</f>
        <v>0</v>
      </c>
      <c r="EE84" s="143">
        <f>INDEX('File 14'!Weekly_Adjusted,42,12)</f>
        <v>0</v>
      </c>
      <c r="EF84" s="142">
        <f>INDEX('File 15'!Weekly_Adjusted,42,10)</f>
        <v>0</v>
      </c>
      <c r="EG84" s="142">
        <f>INDEX('File 15'!Weekly_Adjusted,42,11)</f>
        <v>0</v>
      </c>
      <c r="EH84" s="142">
        <f>INDEX('File 15'!Weekly_Adjusted,42,12)</f>
        <v>0</v>
      </c>
      <c r="EI84" s="143">
        <f>INDEX('File 16'!Weekly_Adjusted,42,10)</f>
        <v>0</v>
      </c>
      <c r="EJ84" s="143">
        <f>INDEX('File 16'!Weekly_Adjusted,42,11)</f>
        <v>0</v>
      </c>
      <c r="EK84" s="143">
        <f>INDEX('File 16'!Weekly_Adjusted,42,12)</f>
        <v>0</v>
      </c>
      <c r="EL84" s="142">
        <f>INDEX('File 17'!Weekly_Adjusted,42,10)</f>
        <v>0</v>
      </c>
      <c r="EM84" s="142">
        <f>INDEX('File 17'!Weekly_Adjusted,42,11)</f>
        <v>0</v>
      </c>
      <c r="EN84" s="142">
        <f>INDEX('File 17'!Weekly_Adjusted,42,12)</f>
        <v>0</v>
      </c>
      <c r="EO84" s="143">
        <f>INDEX('File 18'!Weekly_Adjusted,42,10)</f>
        <v>0</v>
      </c>
      <c r="EP84" s="143">
        <f>INDEX('File 18'!Weekly_Adjusted,42,11)</f>
        <v>0</v>
      </c>
      <c r="EQ84" s="143">
        <f>INDEX('File 18'!Weekly_Adjusted,42,12)</f>
        <v>0</v>
      </c>
      <c r="ER84" s="142">
        <f>INDEX('File 19'!Weekly_Adjusted,42,10)</f>
        <v>0</v>
      </c>
      <c r="ES84" s="142">
        <f>INDEX('File 19'!Weekly_Adjusted,42,11)</f>
        <v>0</v>
      </c>
      <c r="ET84" s="142">
        <f>INDEX('File 19'!Weekly_Adjusted,42,12)</f>
        <v>0</v>
      </c>
      <c r="EU84" s="143">
        <f>INDEX('File 20'!Weekly_Adjusted,42,10)</f>
        <v>0</v>
      </c>
      <c r="EV84" s="143">
        <f>INDEX('File 20'!Weekly_Adjusted,42,11)</f>
        <v>0</v>
      </c>
      <c r="EW84" s="143">
        <f>INDEX('File 20'!Weekly_Adjusted,42,12)</f>
        <v>0</v>
      </c>
      <c r="EX84" s="6">
        <f ca="1">SUMIFS(INDEX(Capacity_Activity_Weekly,ROW(A42),0),Demand_Activity_Weekly_Header,CJ$42)</f>
        <v>24.344712210866053</v>
      </c>
      <c r="EY84" s="6">
        <f ca="1">SUMIFS(INDEX(Capacity_Activity_Weekly,ROW(B42),0),Demand_Activity_Weekly_Header,CK$42)</f>
        <v>0</v>
      </c>
      <c r="EZ84" s="6">
        <f ca="1">SUMIFS(INDEX(Capacity_Activity_Weekly,ROW(C42),0),Demand_Activity_Weekly_Header,CL$42)</f>
        <v>0</v>
      </c>
      <c r="FA84" s="6">
        <f ca="1">SUMIFS(INDEX(Capacity_Activity_Weekly,ROW(D42),0),Demand_Activity_Weekly_Header,CM$42)</f>
        <v>0</v>
      </c>
      <c r="FB84" s="6">
        <f ca="1">SUMIFS(INDEX(Capacity_Activity_Weekly,ROW(E42),0),Demand_Activity_Weekly_Header,CN$42)</f>
        <v>0</v>
      </c>
      <c r="FD84" s="7">
        <f>'File 1'!$Q$54*'Time based aggregation (hide)'!$Q46</f>
        <v>0</v>
      </c>
      <c r="FE84" s="7">
        <f>'File 1'!$R$54*'Time based aggregation (hide)'!$R46</f>
        <v>0</v>
      </c>
      <c r="FF84" s="7">
        <f>'File 1'!$S$54*'Time based aggregation (hide)'!$S46</f>
        <v>0</v>
      </c>
      <c r="FG84" s="7">
        <f>'File 2'!$Q$54*'Time based aggregation (hide)'!$T46</f>
        <v>0</v>
      </c>
      <c r="FH84" s="7">
        <f>'File 2'!$R$54*'Time based aggregation (hide)'!$U46</f>
        <v>0</v>
      </c>
      <c r="FI84" s="7">
        <f>'File 2'!$S$54*'Time based aggregation (hide)'!$V46</f>
        <v>0</v>
      </c>
      <c r="FJ84" s="7">
        <f>'File 3'!$Q$54*'Time based aggregation (hide)'!$W46</f>
        <v>0</v>
      </c>
      <c r="FK84" s="7">
        <f>'File 3'!$R$54*'Time based aggregation (hide)'!$X46</f>
        <v>0</v>
      </c>
      <c r="FL84" s="7">
        <f>'File 3'!$S$54*'Time based aggregation (hide)'!$Y46</f>
        <v>0</v>
      </c>
      <c r="FM84" s="7">
        <f>'File 4'!$Q$54*'Time based aggregation (hide)'!$Z46</f>
        <v>0</v>
      </c>
      <c r="FN84" s="7">
        <f>'File 4'!$R$54*'Time based aggregation (hide)'!$AA46</f>
        <v>0</v>
      </c>
      <c r="FO84" s="7">
        <f>'File 4'!$S$54*'Time based aggregation (hide)'!$AB46</f>
        <v>0</v>
      </c>
      <c r="FP84" s="7">
        <f>'File 5'!$Q$54*'Time based aggregation (hide)'!$AC46</f>
        <v>0</v>
      </c>
      <c r="FQ84" s="7">
        <f>'File 5'!$R$54*'Time based aggregation (hide)'!$AD46</f>
        <v>0</v>
      </c>
      <c r="FR84" s="7">
        <f>'File 5'!$S$54*'Time based aggregation (hide)'!$AE46</f>
        <v>0</v>
      </c>
      <c r="FS84" s="7">
        <f>'File 6'!$Q$54*'Time based aggregation (hide)'!$AF46</f>
        <v>0</v>
      </c>
      <c r="FT84" s="7">
        <f>'File 6'!$R$54*'Time based aggregation (hide)'!$AG46</f>
        <v>0</v>
      </c>
      <c r="FU84" s="7">
        <f>'File 6'!$S$54*'Time based aggregation (hide)'!$AH46</f>
        <v>0</v>
      </c>
      <c r="FV84" s="7">
        <f>'File 7'!$Q$54*'Time based aggregation (hide)'!$AI46</f>
        <v>0</v>
      </c>
      <c r="FW84" s="7">
        <f>'File 7'!$R$54*'Time based aggregation (hide)'!$AJ46</f>
        <v>0</v>
      </c>
      <c r="FX84" s="7">
        <f>'File 7'!$S$54*'Time based aggregation (hide)'!$AK46</f>
        <v>0</v>
      </c>
      <c r="FY84" s="7">
        <f>'File 8'!$Q$54*'Time based aggregation (hide)'!$AL46</f>
        <v>0</v>
      </c>
      <c r="FZ84" s="7">
        <f>'File 8'!$R$54*'Time based aggregation (hide)'!$AM46</f>
        <v>0</v>
      </c>
      <c r="GA84" s="7">
        <f>'File 8'!$S$54*'Time based aggregation (hide)'!$AN46</f>
        <v>0</v>
      </c>
      <c r="GB84" s="7">
        <f>'File 9'!$Q$54*'Time based aggregation (hide)'!$AO46</f>
        <v>0</v>
      </c>
      <c r="GC84" s="7">
        <f>'File 9'!$R$54*'Time based aggregation (hide)'!$AP46</f>
        <v>0</v>
      </c>
      <c r="GD84" s="7">
        <f>'File 9'!$S$54*'Time based aggregation (hide)'!$AQ46</f>
        <v>0</v>
      </c>
      <c r="GE84" s="7">
        <f>'File 10'!$Q$54*'Time based aggregation (hide)'!$AR46</f>
        <v>0</v>
      </c>
      <c r="GF84" s="7">
        <f>'File 10'!$R$54*'Time based aggregation (hide)'!$AS46</f>
        <v>0</v>
      </c>
      <c r="GG84" s="7">
        <f>'File 10'!$S$54*'Time based aggregation (hide)'!$AT46</f>
        <v>0</v>
      </c>
      <c r="GH84" s="7">
        <f>'File 11'!$Q$54*'Time based aggregation (hide)'!$AU46</f>
        <v>0</v>
      </c>
      <c r="GI84" s="7">
        <f>'File 11'!$R$54*'Time based aggregation (hide)'!$AV46</f>
        <v>0</v>
      </c>
      <c r="GJ84" s="7">
        <f>'File 11'!$S$54*'Time based aggregation (hide)'!$AW46</f>
        <v>0</v>
      </c>
      <c r="GK84" s="7">
        <f>'File 12'!$Q$54*'Time based aggregation (hide)'!$AX46</f>
        <v>0</v>
      </c>
      <c r="GL84" s="7">
        <f>'File 12'!$R$54*'Time based aggregation (hide)'!$AY46</f>
        <v>0</v>
      </c>
      <c r="GM84" s="7">
        <f>'File 12'!$S$54*'Time based aggregation (hide)'!$AZ46</f>
        <v>0</v>
      </c>
      <c r="GN84" s="7">
        <f>'File 13'!$Q$54*'Time based aggregation (hide)'!$BA46</f>
        <v>0</v>
      </c>
      <c r="GO84" s="7">
        <f>'File 13'!$R$54*'Time based aggregation (hide)'!$BB46</f>
        <v>0</v>
      </c>
      <c r="GP84" s="7">
        <f>'File 13'!$S$54*'Time based aggregation (hide)'!$BC46</f>
        <v>0</v>
      </c>
      <c r="GQ84" s="7">
        <f>'File 14'!$Q$54*'Time based aggregation (hide)'!$BD46</f>
        <v>0</v>
      </c>
      <c r="GR84" s="7">
        <f>'File 14'!$R$54*'Time based aggregation (hide)'!$BE46</f>
        <v>0</v>
      </c>
      <c r="GS84" s="7">
        <f>'File 14'!$S$54*'Time based aggregation (hide)'!$BF46</f>
        <v>0</v>
      </c>
      <c r="GT84" s="7">
        <f>'File 15'!$Q$54*'Time based aggregation (hide)'!$BG46</f>
        <v>0</v>
      </c>
      <c r="GU84" s="7">
        <f>'File 15'!$R$54*'Time based aggregation (hide)'!$BH46</f>
        <v>0</v>
      </c>
      <c r="GV84" s="7">
        <f>'File 15'!$S$54*'Time based aggregation (hide)'!$BI46</f>
        <v>0</v>
      </c>
      <c r="GW84" s="7">
        <f>'File 16'!$Q$54*'Time based aggregation (hide)'!$BJ46</f>
        <v>0</v>
      </c>
      <c r="GX84" s="7">
        <f>'File 16'!$R$54*'Time based aggregation (hide)'!$BK46</f>
        <v>0</v>
      </c>
      <c r="GY84" s="7">
        <f>'File 16'!$S$54*'Time based aggregation (hide)'!$BL46</f>
        <v>0</v>
      </c>
      <c r="GZ84" s="7">
        <f>'File 17'!$Q$54*'Time based aggregation (hide)'!$BM46</f>
        <v>0</v>
      </c>
      <c r="HA84" s="7">
        <f>'File 17'!$R$54*'Time based aggregation (hide)'!$BN46</f>
        <v>0</v>
      </c>
      <c r="HB84" s="7">
        <f>'File 17'!$S$54*'Time based aggregation (hide)'!$BO46</f>
        <v>0</v>
      </c>
      <c r="HC84" s="7">
        <f>'File 18'!$Q$54*'Time based aggregation (hide)'!$BP46</f>
        <v>0</v>
      </c>
      <c r="HD84" s="7">
        <f>'File 18'!$R$54*'Time based aggregation (hide)'!$BQ46</f>
        <v>0</v>
      </c>
      <c r="HE84" s="7">
        <f>'File 18'!$S$54*'Time based aggregation (hide)'!$BR46</f>
        <v>0</v>
      </c>
      <c r="HF84" s="7">
        <f>'File 19'!$Q$54*'Time based aggregation (hide)'!$BS46</f>
        <v>0</v>
      </c>
      <c r="HG84" s="7">
        <f>'File 19'!$R$54*'Time based aggregation (hide)'!$BT46</f>
        <v>0</v>
      </c>
      <c r="HH84" s="7">
        <f>'File 19'!$S$54*'Time based aggregation (hide)'!$BU46</f>
        <v>0</v>
      </c>
      <c r="HI84" s="7">
        <f>'File 20'!$Q$54*'Time based aggregation (hide)'!$BV46</f>
        <v>0</v>
      </c>
      <c r="HJ84" s="7">
        <f>'File 20'!$R$54*'Time based aggregation (hide)'!$BW46</f>
        <v>0</v>
      </c>
      <c r="HK84" s="7">
        <f>'File 20'!$S$54*'Time based aggregation (hide)'!$BX46</f>
        <v>0</v>
      </c>
      <c r="HL84" s="7">
        <f t="shared" ca="1" si="50"/>
        <v>0</v>
      </c>
      <c r="HM84" s="7">
        <f t="shared" ca="1" si="50"/>
        <v>0</v>
      </c>
      <c r="HN84" s="7">
        <f t="shared" ca="1" si="50"/>
        <v>0</v>
      </c>
      <c r="HO84" s="7">
        <f t="shared" ca="1" si="50"/>
        <v>0</v>
      </c>
      <c r="HP84" s="7">
        <f t="shared" ca="1" si="50"/>
        <v>0</v>
      </c>
      <c r="HR84" s="142">
        <f>INDEX('File 1'!Weekly_Adjusted,42,16)</f>
        <v>20.933351264120493</v>
      </c>
      <c r="HS84" s="142">
        <f>INDEX('File 1'!Weekly_Adjusted,42,17)</f>
        <v>0</v>
      </c>
      <c r="HT84" s="142">
        <f>INDEX('File 1'!Weekly_Adjusted,42,18)</f>
        <v>0</v>
      </c>
      <c r="HU84" s="143">
        <f>INDEX('File 2'!Weekly_Adjusted,42,16)</f>
        <v>0</v>
      </c>
      <c r="HV84" s="143">
        <f>INDEX('File 2'!Weekly_Adjusted,42,17)</f>
        <v>0</v>
      </c>
      <c r="HW84" s="143">
        <f>INDEX('File 2'!Weekly_Adjusted,42,18)</f>
        <v>0</v>
      </c>
      <c r="HX84" s="142">
        <f>INDEX('File 3'!Weekly_Adjusted,42,16)</f>
        <v>0</v>
      </c>
      <c r="HY84" s="142">
        <f>INDEX('File 3'!Weekly_Adjusted,42,17)</f>
        <v>0</v>
      </c>
      <c r="HZ84" s="142">
        <f>INDEX('File 3'!Weekly_Adjusted,42,18)</f>
        <v>0</v>
      </c>
      <c r="IA84" s="143">
        <f>INDEX('File 4'!Weekly_Adjusted,42,16)</f>
        <v>0</v>
      </c>
      <c r="IB84" s="143">
        <f>INDEX('File 4'!Weekly_Adjusted,42,17)</f>
        <v>0</v>
      </c>
      <c r="IC84" s="143">
        <f>INDEX('File 4'!Weekly_Adjusted,42,18)</f>
        <v>0</v>
      </c>
      <c r="ID84" s="142">
        <f>INDEX('File 5'!Weekly_Adjusted,42,16)</f>
        <v>0</v>
      </c>
      <c r="IE84" s="142">
        <f>INDEX('File 5'!Weekly_Adjusted,42,17)</f>
        <v>0</v>
      </c>
      <c r="IF84" s="142">
        <f>INDEX('File 5'!Weekly_Adjusted,42,18)</f>
        <v>0</v>
      </c>
      <c r="IG84" s="143">
        <f>INDEX('File 6'!Weekly_Adjusted,42,16)</f>
        <v>0</v>
      </c>
      <c r="IH84" s="143">
        <f>INDEX('File 6'!Weekly_Adjusted,42,17)</f>
        <v>0</v>
      </c>
      <c r="II84" s="143">
        <f>INDEX('File 6'!Weekly_Adjusted,42,18)</f>
        <v>0</v>
      </c>
      <c r="IJ84" s="142">
        <f>INDEX('File 7'!Weekly_Adjusted,42,16)</f>
        <v>0</v>
      </c>
      <c r="IK84" s="142">
        <f>INDEX('File 7'!Weekly_Adjusted,42,17)</f>
        <v>0</v>
      </c>
      <c r="IL84" s="142">
        <f>INDEX('File 7'!Weekly_Adjusted,42,18)</f>
        <v>0</v>
      </c>
      <c r="IM84" s="143">
        <f>INDEX('File 8'!Weekly_Adjusted,42,16)</f>
        <v>0</v>
      </c>
      <c r="IN84" s="143">
        <f>INDEX('File 8'!Weekly_Adjusted,42,17)</f>
        <v>0</v>
      </c>
      <c r="IO84" s="143">
        <f>INDEX('File 8'!Weekly_Adjusted,42,18)</f>
        <v>0</v>
      </c>
      <c r="IP84" s="142">
        <f>INDEX('File 9'!Weekly_Adjusted,42,16)</f>
        <v>0</v>
      </c>
      <c r="IQ84" s="142">
        <f>INDEX('File 9'!Weekly_Adjusted,42,17)</f>
        <v>0</v>
      </c>
      <c r="IR84" s="142">
        <f>INDEX('File 9'!Weekly_Adjusted,42,18)</f>
        <v>0</v>
      </c>
      <c r="IS84" s="143">
        <f>INDEX('File 10'!Weekly_Adjusted,42,16)</f>
        <v>0</v>
      </c>
      <c r="IT84" s="143">
        <f>INDEX('File 10'!Weekly_Adjusted,42,17)</f>
        <v>0</v>
      </c>
      <c r="IU84" s="143">
        <f>INDEX('File 10'!Weekly_Adjusted,42,18)</f>
        <v>0</v>
      </c>
      <c r="IV84" s="142">
        <f>INDEX('File 11'!Weekly_Adjusted,42,16)</f>
        <v>0</v>
      </c>
      <c r="IW84" s="142">
        <f>INDEX('File 11'!Weekly_Adjusted,42,17)</f>
        <v>0</v>
      </c>
      <c r="IX84" s="142">
        <f>INDEX('File 11'!Weekly_Adjusted,42,18)</f>
        <v>0</v>
      </c>
      <c r="IY84" s="143">
        <f>INDEX('File 12'!Weekly_Adjusted,42,16)</f>
        <v>0</v>
      </c>
      <c r="IZ84" s="143">
        <f>INDEX('File 12'!Weekly_Adjusted,42,17)</f>
        <v>0</v>
      </c>
      <c r="JA84" s="143">
        <f>INDEX('File 12'!Weekly_Adjusted,42,18)</f>
        <v>0</v>
      </c>
      <c r="JB84" s="142">
        <f>INDEX('File 13'!Weekly_Adjusted,42,16)</f>
        <v>0</v>
      </c>
      <c r="JC84" s="142">
        <f>INDEX('File 13'!Weekly_Adjusted,42,17)</f>
        <v>0</v>
      </c>
      <c r="JD84" s="142">
        <f>INDEX('File 13'!Weekly_Adjusted,42,18)</f>
        <v>0</v>
      </c>
      <c r="JE84" s="143">
        <f>INDEX('File 14'!Weekly_Adjusted,42,16)</f>
        <v>0</v>
      </c>
      <c r="JF84" s="143">
        <f>INDEX('File 14'!Weekly_Adjusted,42,17)</f>
        <v>0</v>
      </c>
      <c r="JG84" s="143">
        <f>INDEX('File 14'!Weekly_Adjusted,42,18)</f>
        <v>0</v>
      </c>
      <c r="JH84" s="142">
        <f>INDEX('File 15'!Weekly_Adjusted,42,16)</f>
        <v>0</v>
      </c>
      <c r="JI84" s="142">
        <f>INDEX('File 15'!Weekly_Adjusted,42,17)</f>
        <v>0</v>
      </c>
      <c r="JJ84" s="142">
        <f>INDEX('File 15'!Weekly_Adjusted,42,18)</f>
        <v>0</v>
      </c>
      <c r="JK84" s="143">
        <f>INDEX('File 16'!Weekly_Adjusted,42,16)</f>
        <v>0</v>
      </c>
      <c r="JL84" s="143">
        <f>INDEX('File 16'!Weekly_Adjusted,42,17)</f>
        <v>0</v>
      </c>
      <c r="JM84" s="143">
        <f>INDEX('File 16'!Weekly_Adjusted,42,18)</f>
        <v>0</v>
      </c>
      <c r="JN84" s="142">
        <f>INDEX('File 17'!Weekly_Adjusted,42,16)</f>
        <v>0</v>
      </c>
      <c r="JO84" s="142">
        <f>INDEX('File 17'!Weekly_Adjusted,42,17)</f>
        <v>0</v>
      </c>
      <c r="JP84" s="142">
        <f>INDEX('File 17'!Weekly_Adjusted,42,18)</f>
        <v>0</v>
      </c>
      <c r="JQ84" s="143">
        <f>INDEX('File 18'!Weekly_Adjusted,42,16)</f>
        <v>0</v>
      </c>
      <c r="JR84" s="143">
        <f>INDEX('File 18'!Weekly_Adjusted,42,17)</f>
        <v>0</v>
      </c>
      <c r="JS84" s="143">
        <f>INDEX('File 18'!Weekly_Adjusted,42,18)</f>
        <v>0</v>
      </c>
      <c r="JT84" s="142">
        <f>INDEX('File 19'!Weekly_Adjusted,42,16)</f>
        <v>0</v>
      </c>
      <c r="JU84" s="142">
        <f>INDEX('File 19'!Weekly_Adjusted,42,17)</f>
        <v>0</v>
      </c>
      <c r="JV84" s="142">
        <f>INDEX('File 19'!Weekly_Adjusted,42,18)</f>
        <v>0</v>
      </c>
      <c r="JW84" s="143">
        <f>INDEX('File 20'!Weekly_Adjusted,42,16)</f>
        <v>0</v>
      </c>
      <c r="JX84" s="143">
        <f>INDEX('File 20'!Weekly_Adjusted,42,17)</f>
        <v>0</v>
      </c>
      <c r="JY84" s="143">
        <f>INDEX('File 20'!Weekly_Adjusted,42,18)</f>
        <v>0</v>
      </c>
      <c r="JZ84" s="6">
        <f ca="1">SUMIFS(INDEX(CapacityCore_Activity_Weekly,ROW(EC42),0),Demand_Activity_Weekly_Header,HL$42)</f>
        <v>20.933351264120493</v>
      </c>
      <c r="KA84" s="6">
        <f ca="1">SUMIFS(INDEX(CapacityCore_Activity_Weekly,ROW(ED42),0),Demand_Activity_Weekly_Header,HM$42)</f>
        <v>0</v>
      </c>
      <c r="KB84" s="6">
        <f ca="1">SUMIFS(INDEX(CapacityCore_Activity_Weekly,ROW(EE42),0),Demand_Activity_Weekly_Header,HN$42)</f>
        <v>0</v>
      </c>
      <c r="KC84" s="6">
        <f ca="1">SUMIFS(INDEX(CapacityCore_Activity_Weekly,ROW(EF42),0),Demand_Activity_Weekly_Header,HO$42)</f>
        <v>0</v>
      </c>
      <c r="KD84" s="6">
        <f ca="1">SUMIFS(INDEX(CapacityCore_Activity_Weekly,ROW(EG42),0),Demand_Activity_Weekly_Header,HP$42)</f>
        <v>0</v>
      </c>
      <c r="KF84" s="6">
        <f>SUMIFS('Time based aggregation (hide)'!$J:$J,'Time based aggregation (hide)'!$E:$E,1,'Time based aggregation (hide)'!$F:$F,1,'Time based aggregation (hide)'!$A:$A,ROW(A42))</f>
        <v>0</v>
      </c>
      <c r="KG84" s="6">
        <f>SUMIFS('Time based aggregation (hide)'!$J:$J,'Time based aggregation (hide)'!$E:$E,1,'Time based aggregation (hide)'!$F:$F,2,'Time based aggregation (hide)'!$A:$A,ROW(A42))</f>
        <v>0</v>
      </c>
      <c r="KH84" s="6">
        <f>SUMIFS('Time based aggregation (hide)'!$J:$J,'Time based aggregation (hide)'!$E:$E,1,'Time based aggregation (hide)'!$F:$F,3,'Time based aggregation (hide)'!$A:$A,ROW(A42))</f>
        <v>0</v>
      </c>
      <c r="KI84" s="6">
        <f>SUMIFS('Time based aggregation (hide)'!$J:$J,'Time based aggregation (hide)'!$E:$E,2,'Time based aggregation (hide)'!$F:$F,1,'Time based aggregation (hide)'!$A:$A,ROW(A42))</f>
        <v>0</v>
      </c>
      <c r="KJ84" s="6">
        <f>SUMIFS('Time based aggregation (hide)'!$J:$J,'Time based aggregation (hide)'!$E:$E,2,'Time based aggregation (hide)'!$F:$F,2,'Time based aggregation (hide)'!$A:$A,ROW(A42))</f>
        <v>0</v>
      </c>
      <c r="KK84" s="6">
        <f>SUMIFS('Time based aggregation (hide)'!$J:$J,'Time based aggregation (hide)'!$E:$E,2,'Time based aggregation (hide)'!$F:$F,3,'Time based aggregation (hide)'!$A:$A,ROW(A42))</f>
        <v>0</v>
      </c>
      <c r="KL84" s="6">
        <f>SUMIFS('Time based aggregation (hide)'!$J:$J,'Time based aggregation (hide)'!$E:$E,3,'Time based aggregation (hide)'!$F:$F,1,'Time based aggregation (hide)'!$A:$A,ROW(A42))</f>
        <v>0</v>
      </c>
      <c r="KM84" s="6">
        <f>SUMIFS('Time based aggregation (hide)'!$J:$J,'Time based aggregation (hide)'!$E:$E,3,'Time based aggregation (hide)'!$F:$F,2,'Time based aggregation (hide)'!$A:$A,ROW(A42))</f>
        <v>0</v>
      </c>
      <c r="KN84" s="6">
        <f>SUMIFS('Time based aggregation (hide)'!$J:$J,'Time based aggregation (hide)'!$E:$E,3,'Time based aggregation (hide)'!$F:$F,3,'Time based aggregation (hide)'!$A:$A,ROW(A42))</f>
        <v>0</v>
      </c>
      <c r="KO84" s="6">
        <f>SUMIFS('Time based aggregation (hide)'!$J:$J,'Time based aggregation (hide)'!$E:$E,4,'Time based aggregation (hide)'!$F:$F,1,'Time based aggregation (hide)'!$A:$A,ROW(A42))</f>
        <v>0</v>
      </c>
      <c r="KP84" s="6">
        <f>SUMIFS('Time based aggregation (hide)'!$J:$J,'Time based aggregation (hide)'!$E:$E,4,'Time based aggregation (hide)'!$F:$F,2,'Time based aggregation (hide)'!$A:$A,ROW(A42))</f>
        <v>0</v>
      </c>
      <c r="KQ84" s="6">
        <f>SUMIFS('Time based aggregation (hide)'!$J:$J,'Time based aggregation (hide)'!$E:$E,4,'Time based aggregation (hide)'!$F:$F,3,'Time based aggregation (hide)'!$A:$A,ROW(A42))</f>
        <v>0</v>
      </c>
      <c r="KR84" s="6">
        <f>SUMIFS('Time based aggregation (hide)'!$J:$J,'Time based aggregation (hide)'!$E:$E,5,'Time based aggregation (hide)'!$F:$F,1,'Time based aggregation (hide)'!$A:$A,ROW(A42))</f>
        <v>0</v>
      </c>
      <c r="KS84" s="6">
        <f>SUMIFS('Time based aggregation (hide)'!$J:$J,'Time based aggregation (hide)'!$E:$E,5,'Time based aggregation (hide)'!$F:$F,2,'Time based aggregation (hide)'!$A:$A,ROW(A42))</f>
        <v>0</v>
      </c>
      <c r="KT84" s="6">
        <f>SUMIFS('Time based aggregation (hide)'!$J:$J,'Time based aggregation (hide)'!$E:$E,5,'Time based aggregation (hide)'!$F:$F,3,'Time based aggregation (hide)'!$A:$A,ROW(A42))</f>
        <v>0</v>
      </c>
      <c r="KU84" s="6">
        <f>SUMIFS('Time based aggregation (hide)'!$J:$J,'Time based aggregation (hide)'!$E:$E,6,'Time based aggregation (hide)'!$F:$F,1,'Time based aggregation (hide)'!$A:$A,ROW(A42))</f>
        <v>0</v>
      </c>
      <c r="KV84" s="6">
        <f>SUMIFS('Time based aggregation (hide)'!$J:$J,'Time based aggregation (hide)'!$E:$E,6,'Time based aggregation (hide)'!$F:$F,2,'Time based aggregation (hide)'!$A:$A,ROW(A42))</f>
        <v>0</v>
      </c>
      <c r="KW84" s="6">
        <f>SUMIFS('Time based aggregation (hide)'!$J:$J,'Time based aggregation (hide)'!$E:$E,6,'Time based aggregation (hide)'!$F:$F,3,'Time based aggregation (hide)'!$A:$A,ROW(A42))</f>
        <v>0</v>
      </c>
      <c r="KX84" s="6">
        <f>SUMIFS('Time based aggregation (hide)'!$J:$J,'Time based aggregation (hide)'!$E:$E,7,'Time based aggregation (hide)'!$F:$F,1,'Time based aggregation (hide)'!$A:$A,ROW(A42))</f>
        <v>0</v>
      </c>
      <c r="KY84" s="6">
        <f>SUMIFS('Time based aggregation (hide)'!$J:$J,'Time based aggregation (hide)'!$E:$E,7,'Time based aggregation (hide)'!$F:$F,2,'Time based aggregation (hide)'!$A:$A,ROW(A42))</f>
        <v>0</v>
      </c>
      <c r="KZ84" s="6">
        <f>SUMIFS('Time based aggregation (hide)'!$J:$J,'Time based aggregation (hide)'!$E:$E,7,'Time based aggregation (hide)'!$F:$F,3,'Time based aggregation (hide)'!$A:$A,ROW(A42))</f>
        <v>0</v>
      </c>
      <c r="LA84" s="6">
        <f>SUMIFS('Time based aggregation (hide)'!$J:$J,'Time based aggregation (hide)'!$E:$E,8,'Time based aggregation (hide)'!$F:$F,1,'Time based aggregation (hide)'!$A:$A,ROW(A42))</f>
        <v>0</v>
      </c>
      <c r="LB84" s="6">
        <f>SUMIFS('Time based aggregation (hide)'!$J:$J,'Time based aggregation (hide)'!$E:$E,8,'Time based aggregation (hide)'!$F:$F,2,'Time based aggregation (hide)'!$A:$A,ROW(A42))</f>
        <v>0</v>
      </c>
      <c r="LC84" s="6">
        <f>SUMIFS('Time based aggregation (hide)'!$J:$J,'Time based aggregation (hide)'!$E:$E,8,'Time based aggregation (hide)'!$F:$F,3,'Time based aggregation (hide)'!$A:$A,ROW(A42))</f>
        <v>0</v>
      </c>
      <c r="LD84" s="6">
        <f>SUMIFS('Time based aggregation (hide)'!$J:$J,'Time based aggregation (hide)'!$E:$E,9,'Time based aggregation (hide)'!$F:$F,1,'Time based aggregation (hide)'!$A:$A,ROW(A42))</f>
        <v>0</v>
      </c>
      <c r="LE84" s="6">
        <f>SUMIFS('Time based aggregation (hide)'!$J:$J,'Time based aggregation (hide)'!$E:$E,9,'Time based aggregation (hide)'!$F:$F,2,'Time based aggregation (hide)'!$A:$A,ROW(A42))</f>
        <v>0</v>
      </c>
      <c r="LF84" s="6">
        <f>SUMIFS('Time based aggregation (hide)'!$J:$J,'Time based aggregation (hide)'!$E:$E,9,'Time based aggregation (hide)'!$F:$F,3,'Time based aggregation (hide)'!$A:$A,ROW(A42))</f>
        <v>0</v>
      </c>
      <c r="LG84" s="6">
        <f>SUMIFS('Time based aggregation (hide)'!$J:$J,'Time based aggregation (hide)'!$E:$E,10,'Time based aggregation (hide)'!$F:$F,1,'Time based aggregation (hide)'!$A:$A,ROW(A42))</f>
        <v>0</v>
      </c>
      <c r="LH84" s="6">
        <f>SUMIFS('Time based aggregation (hide)'!$J:$J,'Time based aggregation (hide)'!$E:$E,10,'Time based aggregation (hide)'!$F:$F,2,'Time based aggregation (hide)'!$A:$A,ROW(A42))</f>
        <v>0</v>
      </c>
      <c r="LI84" s="6">
        <f>SUMIFS('Time based aggregation (hide)'!$J:$J,'Time based aggregation (hide)'!$E:$E,10,'Time based aggregation (hide)'!$F:$F,3,'Time based aggregation (hide)'!$A:$A,ROW(A42))</f>
        <v>0</v>
      </c>
      <c r="LJ84" s="6">
        <f>SUMIFS('Time based aggregation (hide)'!$J:$J,'Time based aggregation (hide)'!$E:$E,11,'Time based aggregation (hide)'!$F:$F,1,'Time based aggregation (hide)'!$A:$A,ROW(A42))</f>
        <v>0</v>
      </c>
      <c r="LK84" s="6">
        <f>SUMIFS('Time based aggregation (hide)'!$J:$J,'Time based aggregation (hide)'!$E:$E,11,'Time based aggregation (hide)'!$F:$F,2,'Time based aggregation (hide)'!$A:$A,ROW(A42))</f>
        <v>0</v>
      </c>
      <c r="LL84" s="6">
        <f>SUMIFS('Time based aggregation (hide)'!$J:$J,'Time based aggregation (hide)'!$E:$E,11,'Time based aggregation (hide)'!$F:$F,3,'Time based aggregation (hide)'!$A:$A,ROW(A42))</f>
        <v>0</v>
      </c>
      <c r="LM84" s="6">
        <f>SUMIFS('Time based aggregation (hide)'!$J:$J,'Time based aggregation (hide)'!$E:$E,12,'Time based aggregation (hide)'!$F:$F,1,'Time based aggregation (hide)'!$A:$A,ROW(A42))</f>
        <v>0</v>
      </c>
      <c r="LN84" s="6">
        <f>SUMIFS('Time based aggregation (hide)'!$J:$J,'Time based aggregation (hide)'!$E:$E,12,'Time based aggregation (hide)'!$F:$F,2,'Time based aggregation (hide)'!$A:$A,ROW(A42))</f>
        <v>0</v>
      </c>
      <c r="LO84" s="6">
        <f>SUMIFS('Time based aggregation (hide)'!$J:$J,'Time based aggregation (hide)'!$E:$E,12,'Time based aggregation (hide)'!$F:$F,3,'Time based aggregation (hide)'!$A:$A,ROW(A42))</f>
        <v>0</v>
      </c>
      <c r="LP84" s="6">
        <f>SUMIFS('Time based aggregation (hide)'!$J:$J,'Time based aggregation (hide)'!$E:$E,13,'Time based aggregation (hide)'!$F:$F,1,'Time based aggregation (hide)'!$A:$A,ROW(A42))</f>
        <v>0</v>
      </c>
      <c r="LQ84" s="6">
        <f>SUMIFS('Time based aggregation (hide)'!$J:$J,'Time based aggregation (hide)'!$E:$E,13,'Time based aggregation (hide)'!$F:$F,2,'Time based aggregation (hide)'!$A:$A,ROW(A42))</f>
        <v>0</v>
      </c>
      <c r="LR84" s="6">
        <f>SUMIFS('Time based aggregation (hide)'!$J:$J,'Time based aggregation (hide)'!$E:$E,13,'Time based aggregation (hide)'!$F:$F,3,'Time based aggregation (hide)'!$A:$A,ROW(A42))</f>
        <v>0</v>
      </c>
      <c r="LS84" s="6">
        <f>SUMIFS('Time based aggregation (hide)'!$J:$J,'Time based aggregation (hide)'!$E:$E,14,'Time based aggregation (hide)'!$F:$F,1,'Time based aggregation (hide)'!$A:$A,ROW(A42))</f>
        <v>0</v>
      </c>
      <c r="LT84" s="6">
        <f>SUMIFS('Time based aggregation (hide)'!$J:$J,'Time based aggregation (hide)'!$E:$E,14,'Time based aggregation (hide)'!$F:$F,2,'Time based aggregation (hide)'!$A:$A,ROW(A42))</f>
        <v>0</v>
      </c>
      <c r="LU84" s="6">
        <f>SUMIFS('Time based aggregation (hide)'!$J:$J,'Time based aggregation (hide)'!$E:$E,14,'Time based aggregation (hide)'!$F:$F,3,'Time based aggregation (hide)'!$A:$A,ROW(A42))</f>
        <v>0</v>
      </c>
      <c r="LV84" s="6">
        <f>SUMIFS('Time based aggregation (hide)'!$J:$J,'Time based aggregation (hide)'!$E:$E,15,'Time based aggregation (hide)'!$F:$F,1,'Time based aggregation (hide)'!$A:$A,ROW(A42))</f>
        <v>0</v>
      </c>
      <c r="LW84" s="6">
        <f>SUMIFS('Time based aggregation (hide)'!$J:$J,'Time based aggregation (hide)'!$E:$E,15,'Time based aggregation (hide)'!$F:$F,2,'Time based aggregation (hide)'!$A:$A,ROW(A42))</f>
        <v>0</v>
      </c>
      <c r="LX84" s="6">
        <f>SUMIFS('Time based aggregation (hide)'!$J:$J,'Time based aggregation (hide)'!$E:$E,15,'Time based aggregation (hide)'!$F:$F,3,'Time based aggregation (hide)'!$A:$A,ROW(A42))</f>
        <v>0</v>
      </c>
      <c r="LY84" s="6">
        <f>SUMIFS('Time based aggregation (hide)'!$J:$J,'Time based aggregation (hide)'!$E:$E,16,'Time based aggregation (hide)'!$F:$F,1,'Time based aggregation (hide)'!$A:$A,ROW(A42))</f>
        <v>0</v>
      </c>
      <c r="LZ84" s="6">
        <f>SUMIFS('Time based aggregation (hide)'!$J:$J,'Time based aggregation (hide)'!$E:$E,16,'Time based aggregation (hide)'!$F:$F,2,'Time based aggregation (hide)'!$A:$A,ROW(A42))</f>
        <v>0</v>
      </c>
      <c r="MA84" s="6">
        <f>SUMIFS('Time based aggregation (hide)'!$J:$J,'Time based aggregation (hide)'!$E:$E,16,'Time based aggregation (hide)'!$F:$F,3,'Time based aggregation (hide)'!$A:$A,ROW(A42))</f>
        <v>0</v>
      </c>
      <c r="MB84" s="6">
        <f>SUMIFS('Time based aggregation (hide)'!$J:$J,'Time based aggregation (hide)'!$E:$E,17,'Time based aggregation (hide)'!$F:$F,1,'Time based aggregation (hide)'!$A:$A,ROW(A42))</f>
        <v>0</v>
      </c>
      <c r="MC84" s="6">
        <f>SUMIFS('Time based aggregation (hide)'!$J:$J,'Time based aggregation (hide)'!$E:$E,17,'Time based aggregation (hide)'!$F:$F,2,'Time based aggregation (hide)'!$A:$A,ROW(A42))</f>
        <v>0</v>
      </c>
      <c r="MD84" s="6">
        <f>SUMIFS('Time based aggregation (hide)'!$J:$J,'Time based aggregation (hide)'!$E:$E,17,'Time based aggregation (hide)'!$F:$F,3,'Time based aggregation (hide)'!$A:$A,ROW(A42))</f>
        <v>0</v>
      </c>
      <c r="ME84" s="6">
        <f>SUMIFS('Time based aggregation (hide)'!$J:$J,'Time based aggregation (hide)'!$E:$E,18,'Time based aggregation (hide)'!$F:$F,1,'Time based aggregation (hide)'!$A:$A,ROW(A42))</f>
        <v>0</v>
      </c>
      <c r="MF84" s="6">
        <f>SUMIFS('Time based aggregation (hide)'!$J:$J,'Time based aggregation (hide)'!$E:$E,18,'Time based aggregation (hide)'!$F:$F,2,'Time based aggregation (hide)'!$A:$A,ROW(A42))</f>
        <v>0</v>
      </c>
      <c r="MG84" s="6">
        <f>SUMIFS('Time based aggregation (hide)'!$J:$J,'Time based aggregation (hide)'!$E:$E,18,'Time based aggregation (hide)'!$F:$F,3,'Time based aggregation (hide)'!$A:$A,ROW(A42))</f>
        <v>0</v>
      </c>
      <c r="MH84" s="6">
        <f>SUMIFS('Time based aggregation (hide)'!$J:$J,'Time based aggregation (hide)'!$E:$E,19,'Time based aggregation (hide)'!$F:$F,1,'Time based aggregation (hide)'!$A:$A,ROW(A42))</f>
        <v>0</v>
      </c>
      <c r="MI84" s="6">
        <f>SUMIFS('Time based aggregation (hide)'!$J:$J,'Time based aggregation (hide)'!$E:$E,19,'Time based aggregation (hide)'!$F:$F,2,'Time based aggregation (hide)'!$A:$A,ROW(A42))</f>
        <v>0</v>
      </c>
      <c r="MJ84" s="6">
        <f>SUMIFS('Time based aggregation (hide)'!$J:$J,'Time based aggregation (hide)'!$E:$E,19,'Time based aggregation (hide)'!$F:$F,3,'Time based aggregation (hide)'!$A:$A,ROW(A42))</f>
        <v>0</v>
      </c>
      <c r="MK84" s="6">
        <f>SUMIFS('Time based aggregation (hide)'!$J:$J,'Time based aggregation (hide)'!$E:$E,20,'Time based aggregation (hide)'!$F:$F,1,'Time based aggregation (hide)'!$A:$A,ROW(A42))</f>
        <v>0</v>
      </c>
      <c r="ML84" s="6">
        <f>SUMIFS('Time based aggregation (hide)'!$J:$J,'Time based aggregation (hide)'!$E:$E,20,'Time based aggregation (hide)'!$F:$F,2,'Time based aggregation (hide)'!$A:$A,ROW(A42))</f>
        <v>0</v>
      </c>
      <c r="MM84" s="6">
        <f>SUMIFS('Time based aggregation (hide)'!$J:$J,'Time based aggregation (hide)'!$E:$E,20,'Time based aggregation (hide)'!$F:$F,3,'Time based aggregation (hide)'!$A:$A,ROW(A42))</f>
        <v>0</v>
      </c>
      <c r="MN84" s="7">
        <f t="shared" ca="1" si="48"/>
        <v>0</v>
      </c>
      <c r="MO84" s="7">
        <f t="shared" ca="1" si="48"/>
        <v>0</v>
      </c>
      <c r="MP84" s="7">
        <f t="shared" ca="1" si="48"/>
        <v>0</v>
      </c>
      <c r="MQ84" s="7">
        <f t="shared" ca="1" si="48"/>
        <v>0</v>
      </c>
      <c r="MR84" s="7">
        <f t="shared" ca="1" si="48"/>
        <v>0</v>
      </c>
    </row>
    <row r="85" spans="1:356" x14ac:dyDescent="0.25">
      <c r="A85">
        <f>1</f>
        <v>1</v>
      </c>
      <c r="B85" s="85">
        <f t="shared" si="37"/>
        <v>43873</v>
      </c>
      <c r="C85" s="85">
        <f t="shared" si="25"/>
        <v>43871</v>
      </c>
      <c r="D85">
        <f t="shared" ca="1" si="26"/>
        <v>1</v>
      </c>
      <c r="E85" s="85">
        <f t="shared" si="27"/>
        <v>43862</v>
      </c>
      <c r="F85">
        <f t="shared" si="33"/>
        <v>7</v>
      </c>
      <c r="H85">
        <f t="shared" si="34"/>
        <v>43</v>
      </c>
      <c r="I85" s="85">
        <f t="shared" si="38"/>
        <v>44123</v>
      </c>
      <c r="J85">
        <f t="shared" ca="1" si="46"/>
        <v>5</v>
      </c>
      <c r="K85">
        <f t="shared" ca="1" si="47"/>
        <v>1.968503937007874E-2</v>
      </c>
      <c r="L85" s="114"/>
      <c r="N85" s="85">
        <f t="shared" si="35"/>
        <v>44123</v>
      </c>
      <c r="O85" s="122">
        <f t="shared" ca="1" si="49"/>
        <v>0</v>
      </c>
      <c r="P85" s="122">
        <f t="shared" ca="1" si="49"/>
        <v>0</v>
      </c>
      <c r="Q85" s="122">
        <f t="shared" ca="1" si="49"/>
        <v>0</v>
      </c>
      <c r="R85" s="122">
        <f t="shared" ca="1" si="49"/>
        <v>0</v>
      </c>
      <c r="S85" s="122">
        <f t="shared" ca="1" si="49"/>
        <v>0</v>
      </c>
      <c r="T85" s="122">
        <f t="shared" ca="1" si="49"/>
        <v>0</v>
      </c>
      <c r="U85" s="122">
        <f t="shared" ca="1" si="49"/>
        <v>0</v>
      </c>
      <c r="V85" s="122">
        <f t="shared" ca="1" si="49"/>
        <v>0</v>
      </c>
      <c r="W85" s="122">
        <f t="shared" ca="1" si="49"/>
        <v>0</v>
      </c>
      <c r="X85" s="122">
        <f t="shared" ca="1" si="49"/>
        <v>1</v>
      </c>
      <c r="Y85" s="122">
        <f t="shared" ca="1" si="49"/>
        <v>0</v>
      </c>
      <c r="Z85" s="122">
        <f t="shared" ca="1" si="49"/>
        <v>0</v>
      </c>
      <c r="AA85" s="122"/>
      <c r="AB85" s="140">
        <f>INDEX('File 1'!Weekly_Adjusted,43,1)</f>
        <v>388.17143954725253</v>
      </c>
      <c r="AC85" s="140">
        <f>INDEX('File 1'!Weekly_Adjusted,43,2)</f>
        <v>0</v>
      </c>
      <c r="AD85" s="140">
        <f>INDEX('File 1'!Weekly_Adjusted,43,3)</f>
        <v>0</v>
      </c>
      <c r="AE85" s="141">
        <f>INDEX('File 2'!Weekly_Adjusted,43,1)</f>
        <v>0</v>
      </c>
      <c r="AF85" s="141">
        <f>INDEX('File 2'!Weekly_Adjusted,43,2)</f>
        <v>0</v>
      </c>
      <c r="AG85" s="141">
        <f>INDEX('File 2'!Weekly_Adjusted,43,3)</f>
        <v>0</v>
      </c>
      <c r="AH85" s="140">
        <f>INDEX('File 3'!Weekly_Adjusted,43,1)</f>
        <v>0</v>
      </c>
      <c r="AI85" s="140">
        <f>INDEX('File 3'!Weekly_Adjusted,43,2)</f>
        <v>0</v>
      </c>
      <c r="AJ85" s="140">
        <f>INDEX('File 3'!Weekly_Adjusted,43,3)</f>
        <v>0</v>
      </c>
      <c r="AK85" s="141">
        <f>INDEX('File 4'!Weekly_Adjusted,43,1)</f>
        <v>0</v>
      </c>
      <c r="AL85" s="141">
        <f>INDEX('File 4'!Weekly_Adjusted,43,2)</f>
        <v>0</v>
      </c>
      <c r="AM85" s="141">
        <f>INDEX('File 4'!Weekly_Adjusted,43,3)</f>
        <v>0</v>
      </c>
      <c r="AN85" s="140">
        <f>INDEX('File 5'!Weekly_Adjusted,43,1)</f>
        <v>0</v>
      </c>
      <c r="AO85" s="140">
        <f>INDEX('File 5'!Weekly_Adjusted,43,2)</f>
        <v>0</v>
      </c>
      <c r="AP85" s="140">
        <f>INDEX('File 5'!Weekly_Adjusted,43,3)</f>
        <v>0</v>
      </c>
      <c r="AQ85" s="141">
        <f>INDEX('File 6'!Weekly_Adjusted,43,1)</f>
        <v>0</v>
      </c>
      <c r="AR85" s="141">
        <f>INDEX('File 6'!Weekly_Adjusted,43,2)</f>
        <v>0</v>
      </c>
      <c r="AS85" s="141">
        <f>INDEX('File 6'!Weekly_Adjusted,43,3)</f>
        <v>0</v>
      </c>
      <c r="AT85" s="140">
        <f>INDEX('File 7'!Weekly_Adjusted,43,1)</f>
        <v>0</v>
      </c>
      <c r="AU85" s="140">
        <f>INDEX('File 7'!Weekly_Adjusted,43,2)</f>
        <v>0</v>
      </c>
      <c r="AV85" s="140">
        <f>INDEX('File 7'!Weekly_Adjusted,43,3)</f>
        <v>0</v>
      </c>
      <c r="AW85" s="141">
        <f>INDEX('File 8'!Weekly_Adjusted,43,1)</f>
        <v>0</v>
      </c>
      <c r="AX85" s="141">
        <f>INDEX('File 8'!Weekly_Adjusted,43,2)</f>
        <v>0</v>
      </c>
      <c r="AY85" s="141">
        <f>INDEX('File 8'!Weekly_Adjusted,43,3)</f>
        <v>0</v>
      </c>
      <c r="AZ85" s="140">
        <f>INDEX('File 9'!Weekly_Adjusted,43,1)</f>
        <v>0</v>
      </c>
      <c r="BA85" s="140">
        <f>INDEX('File 9'!Weekly_Adjusted,43,2)</f>
        <v>0</v>
      </c>
      <c r="BB85" s="140">
        <f>INDEX('File 9'!Weekly_Adjusted,43,3)</f>
        <v>0</v>
      </c>
      <c r="BC85" s="141">
        <f>INDEX('File 10'!Weekly_Adjusted,43,1)</f>
        <v>0</v>
      </c>
      <c r="BD85" s="141">
        <f>INDEX('File 10'!Weekly_Adjusted,43,2)</f>
        <v>0</v>
      </c>
      <c r="BE85" s="141">
        <f>INDEX('File 10'!Weekly_Adjusted,43,3)</f>
        <v>0</v>
      </c>
      <c r="BF85" s="140">
        <f>INDEX('File 11'!Weekly_Adjusted,43,1)</f>
        <v>0</v>
      </c>
      <c r="BG85" s="140">
        <f>INDEX('File 11'!Weekly_Adjusted,43,2)</f>
        <v>0</v>
      </c>
      <c r="BH85" s="140">
        <f>INDEX('File 11'!Weekly_Adjusted,43,3)</f>
        <v>0</v>
      </c>
      <c r="BI85" s="141">
        <f>INDEX('File 12'!Weekly_Adjusted,43,1)</f>
        <v>0</v>
      </c>
      <c r="BJ85" s="141">
        <f>INDEX('File 12'!Weekly_Adjusted,43,2)</f>
        <v>0</v>
      </c>
      <c r="BK85" s="141">
        <f>INDEX('File 12'!Weekly_Adjusted,43,3)</f>
        <v>0</v>
      </c>
      <c r="BL85" s="140">
        <f>INDEX('File 13'!Weekly_Adjusted,43,1)</f>
        <v>0</v>
      </c>
      <c r="BM85" s="140">
        <f>INDEX('File 13'!Weekly_Adjusted,43,2)</f>
        <v>0</v>
      </c>
      <c r="BN85" s="140">
        <f>INDEX('File 13'!Weekly_Adjusted,43,3)</f>
        <v>0</v>
      </c>
      <c r="BO85" s="141">
        <f>INDEX('File 14'!Weekly_Adjusted,43,1)</f>
        <v>0</v>
      </c>
      <c r="BP85" s="141">
        <f>INDEX('File 14'!Weekly_Adjusted,43,2)</f>
        <v>0</v>
      </c>
      <c r="BQ85" s="141">
        <f>INDEX('File 14'!Weekly_Adjusted,43,3)</f>
        <v>0</v>
      </c>
      <c r="BR85" s="140">
        <f>INDEX('File 15'!Weekly_Adjusted,43,1)</f>
        <v>0</v>
      </c>
      <c r="BS85" s="140">
        <f>INDEX('File 15'!Weekly_Adjusted,43,2)</f>
        <v>0</v>
      </c>
      <c r="BT85" s="140">
        <f>INDEX('File 15'!Weekly_Adjusted,43,3)</f>
        <v>0</v>
      </c>
      <c r="BU85" s="141">
        <f>INDEX('File 16'!Weekly_Adjusted,43,1)</f>
        <v>0</v>
      </c>
      <c r="BV85" s="141">
        <f>INDEX('File 16'!Weekly_Adjusted,43,2)</f>
        <v>0</v>
      </c>
      <c r="BW85" s="141">
        <f>INDEX('File 16'!Weekly_Adjusted,43,3)</f>
        <v>0</v>
      </c>
      <c r="BX85" s="140">
        <f>INDEX('File 17'!Weekly_Adjusted,43,1)</f>
        <v>0</v>
      </c>
      <c r="BY85" s="140">
        <f>INDEX('File 17'!Weekly_Adjusted,43,2)</f>
        <v>0</v>
      </c>
      <c r="BZ85" s="140">
        <f>INDEX('File 17'!Weekly_Adjusted,43,3)</f>
        <v>0</v>
      </c>
      <c r="CA85" s="141">
        <f>INDEX('File 18'!Weekly_Adjusted,43,1)</f>
        <v>0</v>
      </c>
      <c r="CB85" s="141">
        <f>INDEX('File 18'!Weekly_Adjusted,43,2)</f>
        <v>0</v>
      </c>
      <c r="CC85" s="141">
        <f>INDEX('File 18'!Weekly_Adjusted,43,3)</f>
        <v>0</v>
      </c>
      <c r="CD85" s="140">
        <f>INDEX('File 19'!Weekly_Adjusted,43,1)</f>
        <v>0</v>
      </c>
      <c r="CE85" s="140">
        <f>INDEX('File 19'!Weekly_Adjusted,43,2)</f>
        <v>0</v>
      </c>
      <c r="CF85" s="140">
        <f>INDEX('File 19'!Weekly_Adjusted,43,3)</f>
        <v>0</v>
      </c>
      <c r="CG85" s="141">
        <f>INDEX('File 20'!Weekly_Adjusted,43,1)</f>
        <v>0</v>
      </c>
      <c r="CH85" s="141">
        <f>INDEX('File 20'!Weekly_Adjusted,43,2)</f>
        <v>0</v>
      </c>
      <c r="CI85" s="141">
        <f>INDEX('File 20'!Weekly_Adjusted,43,3)</f>
        <v>0</v>
      </c>
      <c r="CJ85" s="6">
        <f ca="1">SUMIFS(INDEX(Demand_Activity_Weekly,ROW(A43),0),Demand_Activity_Weekly_Header,CJ$42)</f>
        <v>388.17143954725253</v>
      </c>
      <c r="CK85" s="6">
        <f ca="1">SUMIFS(INDEX(Demand_Activity_Weekly,ROW(B43),0),Demand_Activity_Weekly_Header,CK$42)</f>
        <v>0</v>
      </c>
      <c r="CL85" s="6">
        <f ca="1">SUMIFS(INDEX(Demand_Activity_Weekly,ROW(C43),0),Demand_Activity_Weekly_Header,CL$42)</f>
        <v>0</v>
      </c>
      <c r="CM85" s="6">
        <f ca="1">SUMIFS(INDEX(Demand_Activity_Weekly,ROW(D43),0),Demand_Activity_Weekly_Header,CM$42)</f>
        <v>0</v>
      </c>
      <c r="CN85" s="6">
        <f ca="1">SUMIFS(INDEX(Demand_Activity_Weekly,ROW(E43),0),Demand_Activity_Weekly_Header,CN$42)</f>
        <v>0</v>
      </c>
      <c r="CP85" s="142">
        <f>INDEX('File 1'!Weekly_Adjusted,43,10)</f>
        <v>24.344712210866053</v>
      </c>
      <c r="CQ85" s="142">
        <f>INDEX('File 1'!Weekly_Adjusted,43,11)</f>
        <v>0</v>
      </c>
      <c r="CR85" s="142">
        <f>INDEX('File 1'!Weekly_Adjusted,43,12)</f>
        <v>0</v>
      </c>
      <c r="CS85" s="143">
        <f>INDEX('File 2'!Weekly_Adjusted,43,10)</f>
        <v>0</v>
      </c>
      <c r="CT85" s="143">
        <f>INDEX('File 2'!Weekly_Adjusted,43,11)</f>
        <v>0</v>
      </c>
      <c r="CU85" s="143">
        <f>INDEX('File 2'!Weekly_Adjusted,43,12)</f>
        <v>0</v>
      </c>
      <c r="CV85" s="142">
        <f>INDEX('File 3'!Weekly_Adjusted,43,10)</f>
        <v>0</v>
      </c>
      <c r="CW85" s="142">
        <f>INDEX('File 3'!Weekly_Adjusted,43,11)</f>
        <v>0</v>
      </c>
      <c r="CX85" s="142">
        <f>INDEX('File 3'!Weekly_Adjusted,43,12)</f>
        <v>0</v>
      </c>
      <c r="CY85" s="143">
        <f>INDEX('File 4'!Weekly_Adjusted,43,10)</f>
        <v>0</v>
      </c>
      <c r="CZ85" s="143">
        <f>INDEX('File 4'!Weekly_Adjusted,43,11)</f>
        <v>0</v>
      </c>
      <c r="DA85" s="143">
        <f>INDEX('File 4'!Weekly_Adjusted,43,12)</f>
        <v>0</v>
      </c>
      <c r="DB85" s="142">
        <f>INDEX('File 5'!Weekly_Adjusted,43,10)</f>
        <v>0</v>
      </c>
      <c r="DC85" s="142">
        <f>INDEX('File 5'!Weekly_Adjusted,43,11)</f>
        <v>0</v>
      </c>
      <c r="DD85" s="142">
        <f>INDEX('File 5'!Weekly_Adjusted,43,12)</f>
        <v>0</v>
      </c>
      <c r="DE85" s="143">
        <f>INDEX('File 6'!Weekly_Adjusted,43,10)</f>
        <v>0</v>
      </c>
      <c r="DF85" s="143">
        <f>INDEX('File 6'!Weekly_Adjusted,43,11)</f>
        <v>0</v>
      </c>
      <c r="DG85" s="143">
        <f>INDEX('File 6'!Weekly_Adjusted,43,12)</f>
        <v>0</v>
      </c>
      <c r="DH85" s="142">
        <f>INDEX('File 7'!Weekly_Adjusted,43,10)</f>
        <v>0</v>
      </c>
      <c r="DI85" s="142">
        <f>INDEX('File 7'!Weekly_Adjusted,43,11)</f>
        <v>0</v>
      </c>
      <c r="DJ85" s="142">
        <f>INDEX('File 7'!Weekly_Adjusted,43,12)</f>
        <v>0</v>
      </c>
      <c r="DK85" s="143">
        <f>INDEX('File 8'!Weekly_Adjusted,43,10)</f>
        <v>0</v>
      </c>
      <c r="DL85" s="143">
        <f>INDEX('File 8'!Weekly_Adjusted,43,11)</f>
        <v>0</v>
      </c>
      <c r="DM85" s="143">
        <f>INDEX('File 8'!Weekly_Adjusted,43,12)</f>
        <v>0</v>
      </c>
      <c r="DN85" s="142">
        <f>INDEX('File 9'!Weekly_Adjusted,43,10)</f>
        <v>0</v>
      </c>
      <c r="DO85" s="142">
        <f>INDEX('File 9'!Weekly_Adjusted,43,11)</f>
        <v>0</v>
      </c>
      <c r="DP85" s="142">
        <f>INDEX('File 9'!Weekly_Adjusted,43,12)</f>
        <v>0</v>
      </c>
      <c r="DQ85" s="143">
        <f>INDEX('File 10'!Weekly_Adjusted,43,10)</f>
        <v>0</v>
      </c>
      <c r="DR85" s="143">
        <f>INDEX('File 10'!Weekly_Adjusted,43,11)</f>
        <v>0</v>
      </c>
      <c r="DS85" s="143">
        <f>INDEX('File 10'!Weekly_Adjusted,43,12)</f>
        <v>0</v>
      </c>
      <c r="DT85" s="142">
        <f>INDEX('File 11'!Weekly_Adjusted,43,10)</f>
        <v>0</v>
      </c>
      <c r="DU85" s="142">
        <f>INDEX('File 11'!Weekly_Adjusted,43,11)</f>
        <v>0</v>
      </c>
      <c r="DV85" s="142">
        <f>INDEX('File 11'!Weekly_Adjusted,43,12)</f>
        <v>0</v>
      </c>
      <c r="DW85" s="143">
        <f>INDEX('File 12'!Weekly_Adjusted,43,10)</f>
        <v>0</v>
      </c>
      <c r="DX85" s="143">
        <f>INDEX('File 12'!Weekly_Adjusted,43,11)</f>
        <v>0</v>
      </c>
      <c r="DY85" s="143">
        <f>INDEX('File 12'!Weekly_Adjusted,43,12)</f>
        <v>0</v>
      </c>
      <c r="DZ85" s="142">
        <f>INDEX('File 13'!Weekly_Adjusted,43,10)</f>
        <v>0</v>
      </c>
      <c r="EA85" s="142">
        <f>INDEX('File 13'!Weekly_Adjusted,43,11)</f>
        <v>0</v>
      </c>
      <c r="EB85" s="142">
        <f>INDEX('File 13'!Weekly_Adjusted,43,12)</f>
        <v>0</v>
      </c>
      <c r="EC85" s="143">
        <f>INDEX('File 14'!Weekly_Adjusted,43,10)</f>
        <v>0</v>
      </c>
      <c r="ED85" s="143">
        <f>INDEX('File 14'!Weekly_Adjusted,43,11)</f>
        <v>0</v>
      </c>
      <c r="EE85" s="143">
        <f>INDEX('File 14'!Weekly_Adjusted,43,12)</f>
        <v>0</v>
      </c>
      <c r="EF85" s="142">
        <f>INDEX('File 15'!Weekly_Adjusted,43,10)</f>
        <v>0</v>
      </c>
      <c r="EG85" s="142">
        <f>INDEX('File 15'!Weekly_Adjusted,43,11)</f>
        <v>0</v>
      </c>
      <c r="EH85" s="142">
        <f>INDEX('File 15'!Weekly_Adjusted,43,12)</f>
        <v>0</v>
      </c>
      <c r="EI85" s="143">
        <f>INDEX('File 16'!Weekly_Adjusted,43,10)</f>
        <v>0</v>
      </c>
      <c r="EJ85" s="143">
        <f>INDEX('File 16'!Weekly_Adjusted,43,11)</f>
        <v>0</v>
      </c>
      <c r="EK85" s="143">
        <f>INDEX('File 16'!Weekly_Adjusted,43,12)</f>
        <v>0</v>
      </c>
      <c r="EL85" s="142">
        <f>INDEX('File 17'!Weekly_Adjusted,43,10)</f>
        <v>0</v>
      </c>
      <c r="EM85" s="142">
        <f>INDEX('File 17'!Weekly_Adjusted,43,11)</f>
        <v>0</v>
      </c>
      <c r="EN85" s="142">
        <f>INDEX('File 17'!Weekly_Adjusted,43,12)</f>
        <v>0</v>
      </c>
      <c r="EO85" s="143">
        <f>INDEX('File 18'!Weekly_Adjusted,43,10)</f>
        <v>0</v>
      </c>
      <c r="EP85" s="143">
        <f>INDEX('File 18'!Weekly_Adjusted,43,11)</f>
        <v>0</v>
      </c>
      <c r="EQ85" s="143">
        <f>INDEX('File 18'!Weekly_Adjusted,43,12)</f>
        <v>0</v>
      </c>
      <c r="ER85" s="142">
        <f>INDEX('File 19'!Weekly_Adjusted,43,10)</f>
        <v>0</v>
      </c>
      <c r="ES85" s="142">
        <f>INDEX('File 19'!Weekly_Adjusted,43,11)</f>
        <v>0</v>
      </c>
      <c r="ET85" s="142">
        <f>INDEX('File 19'!Weekly_Adjusted,43,12)</f>
        <v>0</v>
      </c>
      <c r="EU85" s="143">
        <f>INDEX('File 20'!Weekly_Adjusted,43,10)</f>
        <v>0</v>
      </c>
      <c r="EV85" s="143">
        <f>INDEX('File 20'!Weekly_Adjusted,43,11)</f>
        <v>0</v>
      </c>
      <c r="EW85" s="143">
        <f>INDEX('File 20'!Weekly_Adjusted,43,12)</f>
        <v>0</v>
      </c>
      <c r="EX85" s="6">
        <f ca="1">SUMIFS(INDEX(Capacity_Activity_Weekly,ROW(A43),0),Demand_Activity_Weekly_Header,CJ$42)</f>
        <v>24.344712210866053</v>
      </c>
      <c r="EY85" s="6">
        <f ca="1">SUMIFS(INDEX(Capacity_Activity_Weekly,ROW(B43),0),Demand_Activity_Weekly_Header,CK$42)</f>
        <v>0</v>
      </c>
      <c r="EZ85" s="6">
        <f ca="1">SUMIFS(INDEX(Capacity_Activity_Weekly,ROW(C43),0),Demand_Activity_Weekly_Header,CL$42)</f>
        <v>0</v>
      </c>
      <c r="FA85" s="6">
        <f ca="1">SUMIFS(INDEX(Capacity_Activity_Weekly,ROW(D43),0),Demand_Activity_Weekly_Header,CM$42)</f>
        <v>0</v>
      </c>
      <c r="FB85" s="6">
        <f ca="1">SUMIFS(INDEX(Capacity_Activity_Weekly,ROW(E43),0),Demand_Activity_Weekly_Header,CN$42)</f>
        <v>0</v>
      </c>
      <c r="FD85" s="7">
        <f>'File 1'!$Q$54*'Time based aggregation (hide)'!$Q47</f>
        <v>0</v>
      </c>
      <c r="FE85" s="7">
        <f>'File 1'!$R$54*'Time based aggregation (hide)'!$R47</f>
        <v>0</v>
      </c>
      <c r="FF85" s="7">
        <f>'File 1'!$S$54*'Time based aggregation (hide)'!$S47</f>
        <v>0</v>
      </c>
      <c r="FG85" s="7">
        <f>'File 2'!$Q$54*'Time based aggregation (hide)'!$T47</f>
        <v>0</v>
      </c>
      <c r="FH85" s="7">
        <f>'File 2'!$R$54*'Time based aggregation (hide)'!$U47</f>
        <v>0</v>
      </c>
      <c r="FI85" s="7">
        <f>'File 2'!$S$54*'Time based aggregation (hide)'!$V47</f>
        <v>0</v>
      </c>
      <c r="FJ85" s="7">
        <f>'File 3'!$Q$54*'Time based aggregation (hide)'!$W47</f>
        <v>0</v>
      </c>
      <c r="FK85" s="7">
        <f>'File 3'!$R$54*'Time based aggregation (hide)'!$X47</f>
        <v>0</v>
      </c>
      <c r="FL85" s="7">
        <f>'File 3'!$S$54*'Time based aggregation (hide)'!$Y47</f>
        <v>0</v>
      </c>
      <c r="FM85" s="7">
        <f>'File 4'!$Q$54*'Time based aggregation (hide)'!$Z47</f>
        <v>0</v>
      </c>
      <c r="FN85" s="7">
        <f>'File 4'!$R$54*'Time based aggregation (hide)'!$AA47</f>
        <v>0</v>
      </c>
      <c r="FO85" s="7">
        <f>'File 4'!$S$54*'Time based aggregation (hide)'!$AB47</f>
        <v>0</v>
      </c>
      <c r="FP85" s="7">
        <f>'File 5'!$Q$54*'Time based aggregation (hide)'!$AC47</f>
        <v>0</v>
      </c>
      <c r="FQ85" s="7">
        <f>'File 5'!$R$54*'Time based aggregation (hide)'!$AD47</f>
        <v>0</v>
      </c>
      <c r="FR85" s="7">
        <f>'File 5'!$S$54*'Time based aggregation (hide)'!$AE47</f>
        <v>0</v>
      </c>
      <c r="FS85" s="7">
        <f>'File 6'!$Q$54*'Time based aggregation (hide)'!$AF47</f>
        <v>0</v>
      </c>
      <c r="FT85" s="7">
        <f>'File 6'!$R$54*'Time based aggregation (hide)'!$AG47</f>
        <v>0</v>
      </c>
      <c r="FU85" s="7">
        <f>'File 6'!$S$54*'Time based aggregation (hide)'!$AH47</f>
        <v>0</v>
      </c>
      <c r="FV85" s="7">
        <f>'File 7'!$Q$54*'Time based aggregation (hide)'!$AI47</f>
        <v>0</v>
      </c>
      <c r="FW85" s="7">
        <f>'File 7'!$R$54*'Time based aggregation (hide)'!$AJ47</f>
        <v>0</v>
      </c>
      <c r="FX85" s="7">
        <f>'File 7'!$S$54*'Time based aggregation (hide)'!$AK47</f>
        <v>0</v>
      </c>
      <c r="FY85" s="7">
        <f>'File 8'!$Q$54*'Time based aggregation (hide)'!$AL47</f>
        <v>0</v>
      </c>
      <c r="FZ85" s="7">
        <f>'File 8'!$R$54*'Time based aggregation (hide)'!$AM47</f>
        <v>0</v>
      </c>
      <c r="GA85" s="7">
        <f>'File 8'!$S$54*'Time based aggregation (hide)'!$AN47</f>
        <v>0</v>
      </c>
      <c r="GB85" s="7">
        <f>'File 9'!$Q$54*'Time based aggregation (hide)'!$AO47</f>
        <v>0</v>
      </c>
      <c r="GC85" s="7">
        <f>'File 9'!$R$54*'Time based aggregation (hide)'!$AP47</f>
        <v>0</v>
      </c>
      <c r="GD85" s="7">
        <f>'File 9'!$S$54*'Time based aggregation (hide)'!$AQ47</f>
        <v>0</v>
      </c>
      <c r="GE85" s="7">
        <f>'File 10'!$Q$54*'Time based aggregation (hide)'!$AR47</f>
        <v>0</v>
      </c>
      <c r="GF85" s="7">
        <f>'File 10'!$R$54*'Time based aggregation (hide)'!$AS47</f>
        <v>0</v>
      </c>
      <c r="GG85" s="7">
        <f>'File 10'!$S$54*'Time based aggregation (hide)'!$AT47</f>
        <v>0</v>
      </c>
      <c r="GH85" s="7">
        <f>'File 11'!$Q$54*'Time based aggregation (hide)'!$AU47</f>
        <v>0</v>
      </c>
      <c r="GI85" s="7">
        <f>'File 11'!$R$54*'Time based aggregation (hide)'!$AV47</f>
        <v>0</v>
      </c>
      <c r="GJ85" s="7">
        <f>'File 11'!$S$54*'Time based aggregation (hide)'!$AW47</f>
        <v>0</v>
      </c>
      <c r="GK85" s="7">
        <f>'File 12'!$Q$54*'Time based aggregation (hide)'!$AX47</f>
        <v>0</v>
      </c>
      <c r="GL85" s="7">
        <f>'File 12'!$R$54*'Time based aggregation (hide)'!$AY47</f>
        <v>0</v>
      </c>
      <c r="GM85" s="7">
        <f>'File 12'!$S$54*'Time based aggregation (hide)'!$AZ47</f>
        <v>0</v>
      </c>
      <c r="GN85" s="7">
        <f>'File 13'!$Q$54*'Time based aggregation (hide)'!$BA47</f>
        <v>0</v>
      </c>
      <c r="GO85" s="7">
        <f>'File 13'!$R$54*'Time based aggregation (hide)'!$BB47</f>
        <v>0</v>
      </c>
      <c r="GP85" s="7">
        <f>'File 13'!$S$54*'Time based aggregation (hide)'!$BC47</f>
        <v>0</v>
      </c>
      <c r="GQ85" s="7">
        <f>'File 14'!$Q$54*'Time based aggregation (hide)'!$BD47</f>
        <v>0</v>
      </c>
      <c r="GR85" s="7">
        <f>'File 14'!$R$54*'Time based aggregation (hide)'!$BE47</f>
        <v>0</v>
      </c>
      <c r="GS85" s="7">
        <f>'File 14'!$S$54*'Time based aggregation (hide)'!$BF47</f>
        <v>0</v>
      </c>
      <c r="GT85" s="7">
        <f>'File 15'!$Q$54*'Time based aggregation (hide)'!$BG47</f>
        <v>0</v>
      </c>
      <c r="GU85" s="7">
        <f>'File 15'!$R$54*'Time based aggregation (hide)'!$BH47</f>
        <v>0</v>
      </c>
      <c r="GV85" s="7">
        <f>'File 15'!$S$54*'Time based aggregation (hide)'!$BI47</f>
        <v>0</v>
      </c>
      <c r="GW85" s="7">
        <f>'File 16'!$Q$54*'Time based aggregation (hide)'!$BJ47</f>
        <v>0</v>
      </c>
      <c r="GX85" s="7">
        <f>'File 16'!$R$54*'Time based aggregation (hide)'!$BK47</f>
        <v>0</v>
      </c>
      <c r="GY85" s="7">
        <f>'File 16'!$S$54*'Time based aggregation (hide)'!$BL47</f>
        <v>0</v>
      </c>
      <c r="GZ85" s="7">
        <f>'File 17'!$Q$54*'Time based aggregation (hide)'!$BM47</f>
        <v>0</v>
      </c>
      <c r="HA85" s="7">
        <f>'File 17'!$R$54*'Time based aggregation (hide)'!$BN47</f>
        <v>0</v>
      </c>
      <c r="HB85" s="7">
        <f>'File 17'!$S$54*'Time based aggregation (hide)'!$BO47</f>
        <v>0</v>
      </c>
      <c r="HC85" s="7">
        <f>'File 18'!$Q$54*'Time based aggregation (hide)'!$BP47</f>
        <v>0</v>
      </c>
      <c r="HD85" s="7">
        <f>'File 18'!$R$54*'Time based aggregation (hide)'!$BQ47</f>
        <v>0</v>
      </c>
      <c r="HE85" s="7">
        <f>'File 18'!$S$54*'Time based aggregation (hide)'!$BR47</f>
        <v>0</v>
      </c>
      <c r="HF85" s="7">
        <f>'File 19'!$Q$54*'Time based aggregation (hide)'!$BS47</f>
        <v>0</v>
      </c>
      <c r="HG85" s="7">
        <f>'File 19'!$R$54*'Time based aggregation (hide)'!$BT47</f>
        <v>0</v>
      </c>
      <c r="HH85" s="7">
        <f>'File 19'!$S$54*'Time based aggregation (hide)'!$BU47</f>
        <v>0</v>
      </c>
      <c r="HI85" s="7">
        <f>'File 20'!$Q$54*'Time based aggregation (hide)'!$BV47</f>
        <v>0</v>
      </c>
      <c r="HJ85" s="7">
        <f>'File 20'!$R$54*'Time based aggregation (hide)'!$BW47</f>
        <v>0</v>
      </c>
      <c r="HK85" s="7">
        <f>'File 20'!$S$54*'Time based aggregation (hide)'!$BX47</f>
        <v>0</v>
      </c>
      <c r="HL85" s="7">
        <f t="shared" ca="1" si="50"/>
        <v>0</v>
      </c>
      <c r="HM85" s="7">
        <f t="shared" ca="1" si="50"/>
        <v>0</v>
      </c>
      <c r="HN85" s="7">
        <f t="shared" ca="1" si="50"/>
        <v>0</v>
      </c>
      <c r="HO85" s="7">
        <f t="shared" ca="1" si="50"/>
        <v>0</v>
      </c>
      <c r="HP85" s="7">
        <f t="shared" ca="1" si="50"/>
        <v>0</v>
      </c>
      <c r="HR85" s="142">
        <f>INDEX('File 1'!Weekly_Adjusted,43,16)</f>
        <v>20.933351264120493</v>
      </c>
      <c r="HS85" s="142">
        <f>INDEX('File 1'!Weekly_Adjusted,43,17)</f>
        <v>0</v>
      </c>
      <c r="HT85" s="142">
        <f>INDEX('File 1'!Weekly_Adjusted,43,18)</f>
        <v>0</v>
      </c>
      <c r="HU85" s="143">
        <f>INDEX('File 2'!Weekly_Adjusted,43,16)</f>
        <v>0</v>
      </c>
      <c r="HV85" s="143">
        <f>INDEX('File 2'!Weekly_Adjusted,43,17)</f>
        <v>0</v>
      </c>
      <c r="HW85" s="143">
        <f>INDEX('File 2'!Weekly_Adjusted,43,18)</f>
        <v>0</v>
      </c>
      <c r="HX85" s="142">
        <f>INDEX('File 3'!Weekly_Adjusted,43,16)</f>
        <v>0</v>
      </c>
      <c r="HY85" s="142">
        <f>INDEX('File 3'!Weekly_Adjusted,43,17)</f>
        <v>0</v>
      </c>
      <c r="HZ85" s="142">
        <f>INDEX('File 3'!Weekly_Adjusted,43,18)</f>
        <v>0</v>
      </c>
      <c r="IA85" s="143">
        <f>INDEX('File 4'!Weekly_Adjusted,43,16)</f>
        <v>0</v>
      </c>
      <c r="IB85" s="143">
        <f>INDEX('File 4'!Weekly_Adjusted,43,17)</f>
        <v>0</v>
      </c>
      <c r="IC85" s="143">
        <f>INDEX('File 4'!Weekly_Adjusted,43,18)</f>
        <v>0</v>
      </c>
      <c r="ID85" s="142">
        <f>INDEX('File 5'!Weekly_Adjusted,43,16)</f>
        <v>0</v>
      </c>
      <c r="IE85" s="142">
        <f>INDEX('File 5'!Weekly_Adjusted,43,17)</f>
        <v>0</v>
      </c>
      <c r="IF85" s="142">
        <f>INDEX('File 5'!Weekly_Adjusted,43,18)</f>
        <v>0</v>
      </c>
      <c r="IG85" s="143">
        <f>INDEX('File 6'!Weekly_Adjusted,43,16)</f>
        <v>0</v>
      </c>
      <c r="IH85" s="143">
        <f>INDEX('File 6'!Weekly_Adjusted,43,17)</f>
        <v>0</v>
      </c>
      <c r="II85" s="143">
        <f>INDEX('File 6'!Weekly_Adjusted,43,18)</f>
        <v>0</v>
      </c>
      <c r="IJ85" s="142">
        <f>INDEX('File 7'!Weekly_Adjusted,43,16)</f>
        <v>0</v>
      </c>
      <c r="IK85" s="142">
        <f>INDEX('File 7'!Weekly_Adjusted,43,17)</f>
        <v>0</v>
      </c>
      <c r="IL85" s="142">
        <f>INDEX('File 7'!Weekly_Adjusted,43,18)</f>
        <v>0</v>
      </c>
      <c r="IM85" s="143">
        <f>INDEX('File 8'!Weekly_Adjusted,43,16)</f>
        <v>0</v>
      </c>
      <c r="IN85" s="143">
        <f>INDEX('File 8'!Weekly_Adjusted,43,17)</f>
        <v>0</v>
      </c>
      <c r="IO85" s="143">
        <f>INDEX('File 8'!Weekly_Adjusted,43,18)</f>
        <v>0</v>
      </c>
      <c r="IP85" s="142">
        <f>INDEX('File 9'!Weekly_Adjusted,43,16)</f>
        <v>0</v>
      </c>
      <c r="IQ85" s="142">
        <f>INDEX('File 9'!Weekly_Adjusted,43,17)</f>
        <v>0</v>
      </c>
      <c r="IR85" s="142">
        <f>INDEX('File 9'!Weekly_Adjusted,43,18)</f>
        <v>0</v>
      </c>
      <c r="IS85" s="143">
        <f>INDEX('File 10'!Weekly_Adjusted,43,16)</f>
        <v>0</v>
      </c>
      <c r="IT85" s="143">
        <f>INDEX('File 10'!Weekly_Adjusted,43,17)</f>
        <v>0</v>
      </c>
      <c r="IU85" s="143">
        <f>INDEX('File 10'!Weekly_Adjusted,43,18)</f>
        <v>0</v>
      </c>
      <c r="IV85" s="142">
        <f>INDEX('File 11'!Weekly_Adjusted,43,16)</f>
        <v>0</v>
      </c>
      <c r="IW85" s="142">
        <f>INDEX('File 11'!Weekly_Adjusted,43,17)</f>
        <v>0</v>
      </c>
      <c r="IX85" s="142">
        <f>INDEX('File 11'!Weekly_Adjusted,43,18)</f>
        <v>0</v>
      </c>
      <c r="IY85" s="143">
        <f>INDEX('File 12'!Weekly_Adjusted,43,16)</f>
        <v>0</v>
      </c>
      <c r="IZ85" s="143">
        <f>INDEX('File 12'!Weekly_Adjusted,43,17)</f>
        <v>0</v>
      </c>
      <c r="JA85" s="143">
        <f>INDEX('File 12'!Weekly_Adjusted,43,18)</f>
        <v>0</v>
      </c>
      <c r="JB85" s="142">
        <f>INDEX('File 13'!Weekly_Adjusted,43,16)</f>
        <v>0</v>
      </c>
      <c r="JC85" s="142">
        <f>INDEX('File 13'!Weekly_Adjusted,43,17)</f>
        <v>0</v>
      </c>
      <c r="JD85" s="142">
        <f>INDEX('File 13'!Weekly_Adjusted,43,18)</f>
        <v>0</v>
      </c>
      <c r="JE85" s="143">
        <f>INDEX('File 14'!Weekly_Adjusted,43,16)</f>
        <v>0</v>
      </c>
      <c r="JF85" s="143">
        <f>INDEX('File 14'!Weekly_Adjusted,43,17)</f>
        <v>0</v>
      </c>
      <c r="JG85" s="143">
        <f>INDEX('File 14'!Weekly_Adjusted,43,18)</f>
        <v>0</v>
      </c>
      <c r="JH85" s="142">
        <f>INDEX('File 15'!Weekly_Adjusted,43,16)</f>
        <v>0</v>
      </c>
      <c r="JI85" s="142">
        <f>INDEX('File 15'!Weekly_Adjusted,43,17)</f>
        <v>0</v>
      </c>
      <c r="JJ85" s="142">
        <f>INDEX('File 15'!Weekly_Adjusted,43,18)</f>
        <v>0</v>
      </c>
      <c r="JK85" s="143">
        <f>INDEX('File 16'!Weekly_Adjusted,43,16)</f>
        <v>0</v>
      </c>
      <c r="JL85" s="143">
        <f>INDEX('File 16'!Weekly_Adjusted,43,17)</f>
        <v>0</v>
      </c>
      <c r="JM85" s="143">
        <f>INDEX('File 16'!Weekly_Adjusted,43,18)</f>
        <v>0</v>
      </c>
      <c r="JN85" s="142">
        <f>INDEX('File 17'!Weekly_Adjusted,43,16)</f>
        <v>0</v>
      </c>
      <c r="JO85" s="142">
        <f>INDEX('File 17'!Weekly_Adjusted,43,17)</f>
        <v>0</v>
      </c>
      <c r="JP85" s="142">
        <f>INDEX('File 17'!Weekly_Adjusted,43,18)</f>
        <v>0</v>
      </c>
      <c r="JQ85" s="143">
        <f>INDEX('File 18'!Weekly_Adjusted,43,16)</f>
        <v>0</v>
      </c>
      <c r="JR85" s="143">
        <f>INDEX('File 18'!Weekly_Adjusted,43,17)</f>
        <v>0</v>
      </c>
      <c r="JS85" s="143">
        <f>INDEX('File 18'!Weekly_Adjusted,43,18)</f>
        <v>0</v>
      </c>
      <c r="JT85" s="142">
        <f>INDEX('File 19'!Weekly_Adjusted,43,16)</f>
        <v>0</v>
      </c>
      <c r="JU85" s="142">
        <f>INDEX('File 19'!Weekly_Adjusted,43,17)</f>
        <v>0</v>
      </c>
      <c r="JV85" s="142">
        <f>INDEX('File 19'!Weekly_Adjusted,43,18)</f>
        <v>0</v>
      </c>
      <c r="JW85" s="143">
        <f>INDEX('File 20'!Weekly_Adjusted,43,16)</f>
        <v>0</v>
      </c>
      <c r="JX85" s="143">
        <f>INDEX('File 20'!Weekly_Adjusted,43,17)</f>
        <v>0</v>
      </c>
      <c r="JY85" s="143">
        <f>INDEX('File 20'!Weekly_Adjusted,43,18)</f>
        <v>0</v>
      </c>
      <c r="JZ85" s="6">
        <f ca="1">SUMIFS(INDEX(CapacityCore_Activity_Weekly,ROW(EC43),0),Demand_Activity_Weekly_Header,HL$42)</f>
        <v>20.933351264120493</v>
      </c>
      <c r="KA85" s="6">
        <f ca="1">SUMIFS(INDEX(CapacityCore_Activity_Weekly,ROW(ED43),0),Demand_Activity_Weekly_Header,HM$42)</f>
        <v>0</v>
      </c>
      <c r="KB85" s="6">
        <f ca="1">SUMIFS(INDEX(CapacityCore_Activity_Weekly,ROW(EE43),0),Demand_Activity_Weekly_Header,HN$42)</f>
        <v>0</v>
      </c>
      <c r="KC85" s="6">
        <f ca="1">SUMIFS(INDEX(CapacityCore_Activity_Weekly,ROW(EF43),0),Demand_Activity_Weekly_Header,HO$42)</f>
        <v>0</v>
      </c>
      <c r="KD85" s="6">
        <f ca="1">SUMIFS(INDEX(CapacityCore_Activity_Weekly,ROW(EG43),0),Demand_Activity_Weekly_Header,HP$42)</f>
        <v>0</v>
      </c>
      <c r="KF85" s="6">
        <f>SUMIFS('Time based aggregation (hide)'!$J:$J,'Time based aggregation (hide)'!$E:$E,1,'Time based aggregation (hide)'!$F:$F,1,'Time based aggregation (hide)'!$A:$A,ROW(A43))</f>
        <v>0</v>
      </c>
      <c r="KG85" s="6">
        <f>SUMIFS('Time based aggregation (hide)'!$J:$J,'Time based aggregation (hide)'!$E:$E,1,'Time based aggregation (hide)'!$F:$F,2,'Time based aggregation (hide)'!$A:$A,ROW(A43))</f>
        <v>0</v>
      </c>
      <c r="KH85" s="6">
        <f>SUMIFS('Time based aggregation (hide)'!$J:$J,'Time based aggregation (hide)'!$E:$E,1,'Time based aggregation (hide)'!$F:$F,3,'Time based aggregation (hide)'!$A:$A,ROW(A43))</f>
        <v>0</v>
      </c>
      <c r="KI85" s="6">
        <f>SUMIFS('Time based aggregation (hide)'!$J:$J,'Time based aggregation (hide)'!$E:$E,2,'Time based aggregation (hide)'!$F:$F,1,'Time based aggregation (hide)'!$A:$A,ROW(A43))</f>
        <v>0</v>
      </c>
      <c r="KJ85" s="6">
        <f>SUMIFS('Time based aggregation (hide)'!$J:$J,'Time based aggregation (hide)'!$E:$E,2,'Time based aggregation (hide)'!$F:$F,2,'Time based aggregation (hide)'!$A:$A,ROW(A43))</f>
        <v>0</v>
      </c>
      <c r="KK85" s="6">
        <f>SUMIFS('Time based aggregation (hide)'!$J:$J,'Time based aggregation (hide)'!$E:$E,2,'Time based aggregation (hide)'!$F:$F,3,'Time based aggregation (hide)'!$A:$A,ROW(A43))</f>
        <v>0</v>
      </c>
      <c r="KL85" s="6">
        <f>SUMIFS('Time based aggregation (hide)'!$J:$J,'Time based aggregation (hide)'!$E:$E,3,'Time based aggregation (hide)'!$F:$F,1,'Time based aggregation (hide)'!$A:$A,ROW(A43))</f>
        <v>0</v>
      </c>
      <c r="KM85" s="6">
        <f>SUMIFS('Time based aggregation (hide)'!$J:$J,'Time based aggregation (hide)'!$E:$E,3,'Time based aggregation (hide)'!$F:$F,2,'Time based aggregation (hide)'!$A:$A,ROW(A43))</f>
        <v>0</v>
      </c>
      <c r="KN85" s="6">
        <f>SUMIFS('Time based aggregation (hide)'!$J:$J,'Time based aggregation (hide)'!$E:$E,3,'Time based aggregation (hide)'!$F:$F,3,'Time based aggregation (hide)'!$A:$A,ROW(A43))</f>
        <v>0</v>
      </c>
      <c r="KO85" s="6">
        <f>SUMIFS('Time based aggregation (hide)'!$J:$J,'Time based aggregation (hide)'!$E:$E,4,'Time based aggregation (hide)'!$F:$F,1,'Time based aggregation (hide)'!$A:$A,ROW(A43))</f>
        <v>0</v>
      </c>
      <c r="KP85" s="6">
        <f>SUMIFS('Time based aggregation (hide)'!$J:$J,'Time based aggregation (hide)'!$E:$E,4,'Time based aggregation (hide)'!$F:$F,2,'Time based aggregation (hide)'!$A:$A,ROW(A43))</f>
        <v>0</v>
      </c>
      <c r="KQ85" s="6">
        <f>SUMIFS('Time based aggregation (hide)'!$J:$J,'Time based aggregation (hide)'!$E:$E,4,'Time based aggregation (hide)'!$F:$F,3,'Time based aggregation (hide)'!$A:$A,ROW(A43))</f>
        <v>0</v>
      </c>
      <c r="KR85" s="6">
        <f>SUMIFS('Time based aggregation (hide)'!$J:$J,'Time based aggregation (hide)'!$E:$E,5,'Time based aggregation (hide)'!$F:$F,1,'Time based aggregation (hide)'!$A:$A,ROW(A43))</f>
        <v>0</v>
      </c>
      <c r="KS85" s="6">
        <f>SUMIFS('Time based aggregation (hide)'!$J:$J,'Time based aggregation (hide)'!$E:$E,5,'Time based aggregation (hide)'!$F:$F,2,'Time based aggregation (hide)'!$A:$A,ROW(A43))</f>
        <v>0</v>
      </c>
      <c r="KT85" s="6">
        <f>SUMIFS('Time based aggregation (hide)'!$J:$J,'Time based aggregation (hide)'!$E:$E,5,'Time based aggregation (hide)'!$F:$F,3,'Time based aggregation (hide)'!$A:$A,ROW(A43))</f>
        <v>0</v>
      </c>
      <c r="KU85" s="6">
        <f>SUMIFS('Time based aggregation (hide)'!$J:$J,'Time based aggregation (hide)'!$E:$E,6,'Time based aggregation (hide)'!$F:$F,1,'Time based aggregation (hide)'!$A:$A,ROW(A43))</f>
        <v>0</v>
      </c>
      <c r="KV85" s="6">
        <f>SUMIFS('Time based aggregation (hide)'!$J:$J,'Time based aggregation (hide)'!$E:$E,6,'Time based aggregation (hide)'!$F:$F,2,'Time based aggregation (hide)'!$A:$A,ROW(A43))</f>
        <v>0</v>
      </c>
      <c r="KW85" s="6">
        <f>SUMIFS('Time based aggregation (hide)'!$J:$J,'Time based aggregation (hide)'!$E:$E,6,'Time based aggregation (hide)'!$F:$F,3,'Time based aggregation (hide)'!$A:$A,ROW(A43))</f>
        <v>0</v>
      </c>
      <c r="KX85" s="6">
        <f>SUMIFS('Time based aggregation (hide)'!$J:$J,'Time based aggregation (hide)'!$E:$E,7,'Time based aggregation (hide)'!$F:$F,1,'Time based aggregation (hide)'!$A:$A,ROW(A43))</f>
        <v>0</v>
      </c>
      <c r="KY85" s="6">
        <f>SUMIFS('Time based aggregation (hide)'!$J:$J,'Time based aggregation (hide)'!$E:$E,7,'Time based aggregation (hide)'!$F:$F,2,'Time based aggregation (hide)'!$A:$A,ROW(A43))</f>
        <v>0</v>
      </c>
      <c r="KZ85" s="6">
        <f>SUMIFS('Time based aggregation (hide)'!$J:$J,'Time based aggregation (hide)'!$E:$E,7,'Time based aggregation (hide)'!$F:$F,3,'Time based aggregation (hide)'!$A:$A,ROW(A43))</f>
        <v>0</v>
      </c>
      <c r="LA85" s="6">
        <f>SUMIFS('Time based aggregation (hide)'!$J:$J,'Time based aggregation (hide)'!$E:$E,8,'Time based aggregation (hide)'!$F:$F,1,'Time based aggregation (hide)'!$A:$A,ROW(A43))</f>
        <v>0</v>
      </c>
      <c r="LB85" s="6">
        <f>SUMIFS('Time based aggregation (hide)'!$J:$J,'Time based aggregation (hide)'!$E:$E,8,'Time based aggregation (hide)'!$F:$F,2,'Time based aggregation (hide)'!$A:$A,ROW(A43))</f>
        <v>0</v>
      </c>
      <c r="LC85" s="6">
        <f>SUMIFS('Time based aggregation (hide)'!$J:$J,'Time based aggregation (hide)'!$E:$E,8,'Time based aggregation (hide)'!$F:$F,3,'Time based aggregation (hide)'!$A:$A,ROW(A43))</f>
        <v>0</v>
      </c>
      <c r="LD85" s="6">
        <f>SUMIFS('Time based aggregation (hide)'!$J:$J,'Time based aggregation (hide)'!$E:$E,9,'Time based aggregation (hide)'!$F:$F,1,'Time based aggregation (hide)'!$A:$A,ROW(A43))</f>
        <v>0</v>
      </c>
      <c r="LE85" s="6">
        <f>SUMIFS('Time based aggregation (hide)'!$J:$J,'Time based aggregation (hide)'!$E:$E,9,'Time based aggregation (hide)'!$F:$F,2,'Time based aggregation (hide)'!$A:$A,ROW(A43))</f>
        <v>0</v>
      </c>
      <c r="LF85" s="6">
        <f>SUMIFS('Time based aggregation (hide)'!$J:$J,'Time based aggregation (hide)'!$E:$E,9,'Time based aggregation (hide)'!$F:$F,3,'Time based aggregation (hide)'!$A:$A,ROW(A43))</f>
        <v>0</v>
      </c>
      <c r="LG85" s="6">
        <f>SUMIFS('Time based aggregation (hide)'!$J:$J,'Time based aggregation (hide)'!$E:$E,10,'Time based aggregation (hide)'!$F:$F,1,'Time based aggregation (hide)'!$A:$A,ROW(A43))</f>
        <v>0</v>
      </c>
      <c r="LH85" s="6">
        <f>SUMIFS('Time based aggregation (hide)'!$J:$J,'Time based aggregation (hide)'!$E:$E,10,'Time based aggregation (hide)'!$F:$F,2,'Time based aggregation (hide)'!$A:$A,ROW(A43))</f>
        <v>0</v>
      </c>
      <c r="LI85" s="6">
        <f>SUMIFS('Time based aggregation (hide)'!$J:$J,'Time based aggregation (hide)'!$E:$E,10,'Time based aggregation (hide)'!$F:$F,3,'Time based aggregation (hide)'!$A:$A,ROW(A43))</f>
        <v>0</v>
      </c>
      <c r="LJ85" s="6">
        <f>SUMIFS('Time based aggregation (hide)'!$J:$J,'Time based aggregation (hide)'!$E:$E,11,'Time based aggregation (hide)'!$F:$F,1,'Time based aggregation (hide)'!$A:$A,ROW(A43))</f>
        <v>0</v>
      </c>
      <c r="LK85" s="6">
        <f>SUMIFS('Time based aggregation (hide)'!$J:$J,'Time based aggregation (hide)'!$E:$E,11,'Time based aggregation (hide)'!$F:$F,2,'Time based aggregation (hide)'!$A:$A,ROW(A43))</f>
        <v>0</v>
      </c>
      <c r="LL85" s="6">
        <f>SUMIFS('Time based aggregation (hide)'!$J:$J,'Time based aggregation (hide)'!$E:$E,11,'Time based aggregation (hide)'!$F:$F,3,'Time based aggregation (hide)'!$A:$A,ROW(A43))</f>
        <v>0</v>
      </c>
      <c r="LM85" s="6">
        <f>SUMIFS('Time based aggregation (hide)'!$J:$J,'Time based aggregation (hide)'!$E:$E,12,'Time based aggregation (hide)'!$F:$F,1,'Time based aggregation (hide)'!$A:$A,ROW(A43))</f>
        <v>0</v>
      </c>
      <c r="LN85" s="6">
        <f>SUMIFS('Time based aggregation (hide)'!$J:$J,'Time based aggregation (hide)'!$E:$E,12,'Time based aggregation (hide)'!$F:$F,2,'Time based aggregation (hide)'!$A:$A,ROW(A43))</f>
        <v>0</v>
      </c>
      <c r="LO85" s="6">
        <f>SUMIFS('Time based aggregation (hide)'!$J:$J,'Time based aggregation (hide)'!$E:$E,12,'Time based aggregation (hide)'!$F:$F,3,'Time based aggregation (hide)'!$A:$A,ROW(A43))</f>
        <v>0</v>
      </c>
      <c r="LP85" s="6">
        <f>SUMIFS('Time based aggregation (hide)'!$J:$J,'Time based aggregation (hide)'!$E:$E,13,'Time based aggregation (hide)'!$F:$F,1,'Time based aggregation (hide)'!$A:$A,ROW(A43))</f>
        <v>0</v>
      </c>
      <c r="LQ85" s="6">
        <f>SUMIFS('Time based aggregation (hide)'!$J:$J,'Time based aggregation (hide)'!$E:$E,13,'Time based aggregation (hide)'!$F:$F,2,'Time based aggregation (hide)'!$A:$A,ROW(A43))</f>
        <v>0</v>
      </c>
      <c r="LR85" s="6">
        <f>SUMIFS('Time based aggregation (hide)'!$J:$J,'Time based aggregation (hide)'!$E:$E,13,'Time based aggregation (hide)'!$F:$F,3,'Time based aggregation (hide)'!$A:$A,ROW(A43))</f>
        <v>0</v>
      </c>
      <c r="LS85" s="6">
        <f>SUMIFS('Time based aggregation (hide)'!$J:$J,'Time based aggregation (hide)'!$E:$E,14,'Time based aggregation (hide)'!$F:$F,1,'Time based aggregation (hide)'!$A:$A,ROW(A43))</f>
        <v>0</v>
      </c>
      <c r="LT85" s="6">
        <f>SUMIFS('Time based aggregation (hide)'!$J:$J,'Time based aggregation (hide)'!$E:$E,14,'Time based aggregation (hide)'!$F:$F,2,'Time based aggregation (hide)'!$A:$A,ROW(A43))</f>
        <v>0</v>
      </c>
      <c r="LU85" s="6">
        <f>SUMIFS('Time based aggregation (hide)'!$J:$J,'Time based aggregation (hide)'!$E:$E,14,'Time based aggregation (hide)'!$F:$F,3,'Time based aggregation (hide)'!$A:$A,ROW(A43))</f>
        <v>0</v>
      </c>
      <c r="LV85" s="6">
        <f>SUMIFS('Time based aggregation (hide)'!$J:$J,'Time based aggregation (hide)'!$E:$E,15,'Time based aggregation (hide)'!$F:$F,1,'Time based aggregation (hide)'!$A:$A,ROW(A43))</f>
        <v>0</v>
      </c>
      <c r="LW85" s="6">
        <f>SUMIFS('Time based aggregation (hide)'!$J:$J,'Time based aggregation (hide)'!$E:$E,15,'Time based aggregation (hide)'!$F:$F,2,'Time based aggregation (hide)'!$A:$A,ROW(A43))</f>
        <v>0</v>
      </c>
      <c r="LX85" s="6">
        <f>SUMIFS('Time based aggregation (hide)'!$J:$J,'Time based aggregation (hide)'!$E:$E,15,'Time based aggregation (hide)'!$F:$F,3,'Time based aggregation (hide)'!$A:$A,ROW(A43))</f>
        <v>0</v>
      </c>
      <c r="LY85" s="6">
        <f>SUMIFS('Time based aggregation (hide)'!$J:$J,'Time based aggregation (hide)'!$E:$E,16,'Time based aggregation (hide)'!$F:$F,1,'Time based aggregation (hide)'!$A:$A,ROW(A43))</f>
        <v>0</v>
      </c>
      <c r="LZ85" s="6">
        <f>SUMIFS('Time based aggregation (hide)'!$J:$J,'Time based aggregation (hide)'!$E:$E,16,'Time based aggregation (hide)'!$F:$F,2,'Time based aggregation (hide)'!$A:$A,ROW(A43))</f>
        <v>0</v>
      </c>
      <c r="MA85" s="6">
        <f>SUMIFS('Time based aggregation (hide)'!$J:$J,'Time based aggregation (hide)'!$E:$E,16,'Time based aggregation (hide)'!$F:$F,3,'Time based aggregation (hide)'!$A:$A,ROW(A43))</f>
        <v>0</v>
      </c>
      <c r="MB85" s="6">
        <f>SUMIFS('Time based aggregation (hide)'!$J:$J,'Time based aggregation (hide)'!$E:$E,17,'Time based aggregation (hide)'!$F:$F,1,'Time based aggregation (hide)'!$A:$A,ROW(A43))</f>
        <v>0</v>
      </c>
      <c r="MC85" s="6">
        <f>SUMIFS('Time based aggregation (hide)'!$J:$J,'Time based aggregation (hide)'!$E:$E,17,'Time based aggregation (hide)'!$F:$F,2,'Time based aggregation (hide)'!$A:$A,ROW(A43))</f>
        <v>0</v>
      </c>
      <c r="MD85" s="6">
        <f>SUMIFS('Time based aggregation (hide)'!$J:$J,'Time based aggregation (hide)'!$E:$E,17,'Time based aggregation (hide)'!$F:$F,3,'Time based aggregation (hide)'!$A:$A,ROW(A43))</f>
        <v>0</v>
      </c>
      <c r="ME85" s="6">
        <f>SUMIFS('Time based aggregation (hide)'!$J:$J,'Time based aggregation (hide)'!$E:$E,18,'Time based aggregation (hide)'!$F:$F,1,'Time based aggregation (hide)'!$A:$A,ROW(A43))</f>
        <v>0</v>
      </c>
      <c r="MF85" s="6">
        <f>SUMIFS('Time based aggregation (hide)'!$J:$J,'Time based aggregation (hide)'!$E:$E,18,'Time based aggregation (hide)'!$F:$F,2,'Time based aggregation (hide)'!$A:$A,ROW(A43))</f>
        <v>0</v>
      </c>
      <c r="MG85" s="6">
        <f>SUMIFS('Time based aggregation (hide)'!$J:$J,'Time based aggregation (hide)'!$E:$E,18,'Time based aggregation (hide)'!$F:$F,3,'Time based aggregation (hide)'!$A:$A,ROW(A43))</f>
        <v>0</v>
      </c>
      <c r="MH85" s="6">
        <f>SUMIFS('Time based aggregation (hide)'!$J:$J,'Time based aggregation (hide)'!$E:$E,19,'Time based aggregation (hide)'!$F:$F,1,'Time based aggregation (hide)'!$A:$A,ROW(A43))</f>
        <v>0</v>
      </c>
      <c r="MI85" s="6">
        <f>SUMIFS('Time based aggregation (hide)'!$J:$J,'Time based aggregation (hide)'!$E:$E,19,'Time based aggregation (hide)'!$F:$F,2,'Time based aggregation (hide)'!$A:$A,ROW(A43))</f>
        <v>0</v>
      </c>
      <c r="MJ85" s="6">
        <f>SUMIFS('Time based aggregation (hide)'!$J:$J,'Time based aggregation (hide)'!$E:$E,19,'Time based aggregation (hide)'!$F:$F,3,'Time based aggregation (hide)'!$A:$A,ROW(A43))</f>
        <v>0</v>
      </c>
      <c r="MK85" s="6">
        <f>SUMIFS('Time based aggregation (hide)'!$J:$J,'Time based aggregation (hide)'!$E:$E,20,'Time based aggregation (hide)'!$F:$F,1,'Time based aggregation (hide)'!$A:$A,ROW(A43))</f>
        <v>0</v>
      </c>
      <c r="ML85" s="6">
        <f>SUMIFS('Time based aggregation (hide)'!$J:$J,'Time based aggregation (hide)'!$E:$E,20,'Time based aggregation (hide)'!$F:$F,2,'Time based aggregation (hide)'!$A:$A,ROW(A43))</f>
        <v>0</v>
      </c>
      <c r="MM85" s="6">
        <f>SUMIFS('Time based aggregation (hide)'!$J:$J,'Time based aggregation (hide)'!$E:$E,20,'Time based aggregation (hide)'!$F:$F,3,'Time based aggregation (hide)'!$A:$A,ROW(A43))</f>
        <v>0</v>
      </c>
      <c r="MN85" s="7">
        <f t="shared" ca="1" si="48"/>
        <v>0</v>
      </c>
      <c r="MO85" s="7">
        <f t="shared" ca="1" si="48"/>
        <v>0</v>
      </c>
      <c r="MP85" s="7">
        <f t="shared" ca="1" si="48"/>
        <v>0</v>
      </c>
      <c r="MQ85" s="7">
        <f t="shared" ca="1" si="48"/>
        <v>0</v>
      </c>
      <c r="MR85" s="7">
        <f t="shared" ca="1" si="48"/>
        <v>0</v>
      </c>
    </row>
    <row r="86" spans="1:356" x14ac:dyDescent="0.25">
      <c r="A86">
        <f>1</f>
        <v>1</v>
      </c>
      <c r="B86" s="85">
        <f t="shared" si="37"/>
        <v>43874</v>
      </c>
      <c r="C86" s="85">
        <f t="shared" si="25"/>
        <v>43871</v>
      </c>
      <c r="D86">
        <f t="shared" ca="1" si="26"/>
        <v>1</v>
      </c>
      <c r="E86" s="85">
        <f t="shared" si="27"/>
        <v>43862</v>
      </c>
      <c r="F86">
        <f t="shared" si="33"/>
        <v>7</v>
      </c>
      <c r="H86">
        <f t="shared" si="34"/>
        <v>44</v>
      </c>
      <c r="I86" s="85">
        <f t="shared" si="38"/>
        <v>44130</v>
      </c>
      <c r="J86">
        <f t="shared" ca="1" si="46"/>
        <v>5</v>
      </c>
      <c r="K86">
        <f t="shared" ca="1" si="47"/>
        <v>1.968503937007874E-2</v>
      </c>
      <c r="L86" s="114"/>
      <c r="N86" s="85">
        <f t="shared" si="35"/>
        <v>44130</v>
      </c>
      <c r="O86" s="122">
        <f t="shared" ca="1" si="49"/>
        <v>0</v>
      </c>
      <c r="P86" s="122">
        <f t="shared" ca="1" si="49"/>
        <v>0</v>
      </c>
      <c r="Q86" s="122">
        <f t="shared" ca="1" si="49"/>
        <v>0</v>
      </c>
      <c r="R86" s="122">
        <f t="shared" ca="1" si="49"/>
        <v>0</v>
      </c>
      <c r="S86" s="122">
        <f t="shared" ca="1" si="49"/>
        <v>0</v>
      </c>
      <c r="T86" s="122">
        <f t="shared" ca="1" si="49"/>
        <v>0</v>
      </c>
      <c r="U86" s="122">
        <f t="shared" ca="1" si="49"/>
        <v>0</v>
      </c>
      <c r="V86" s="122">
        <f t="shared" ca="1" si="49"/>
        <v>0</v>
      </c>
      <c r="W86" s="122">
        <f t="shared" ca="1" si="49"/>
        <v>0</v>
      </c>
      <c r="X86" s="122">
        <f t="shared" ca="1" si="49"/>
        <v>1</v>
      </c>
      <c r="Y86" s="122">
        <f t="shared" ca="1" si="49"/>
        <v>0</v>
      </c>
      <c r="Z86" s="122">
        <f t="shared" ca="1" si="49"/>
        <v>0</v>
      </c>
      <c r="AA86" s="122"/>
      <c r="AB86" s="140">
        <f>INDEX('File 1'!Weekly_Adjusted,44,1)</f>
        <v>388.17143954725253</v>
      </c>
      <c r="AC86" s="140">
        <f>INDEX('File 1'!Weekly_Adjusted,44,2)</f>
        <v>0</v>
      </c>
      <c r="AD86" s="140">
        <f>INDEX('File 1'!Weekly_Adjusted,44,3)</f>
        <v>0</v>
      </c>
      <c r="AE86" s="141">
        <f>INDEX('File 2'!Weekly_Adjusted,44,1)</f>
        <v>0</v>
      </c>
      <c r="AF86" s="141">
        <f>INDEX('File 2'!Weekly_Adjusted,44,2)</f>
        <v>0</v>
      </c>
      <c r="AG86" s="141">
        <f>INDEX('File 2'!Weekly_Adjusted,44,3)</f>
        <v>0</v>
      </c>
      <c r="AH86" s="140">
        <f>INDEX('File 3'!Weekly_Adjusted,44,1)</f>
        <v>0</v>
      </c>
      <c r="AI86" s="140">
        <f>INDEX('File 3'!Weekly_Adjusted,44,2)</f>
        <v>0</v>
      </c>
      <c r="AJ86" s="140">
        <f>INDEX('File 3'!Weekly_Adjusted,44,3)</f>
        <v>0</v>
      </c>
      <c r="AK86" s="141">
        <f>INDEX('File 4'!Weekly_Adjusted,44,1)</f>
        <v>0</v>
      </c>
      <c r="AL86" s="141">
        <f>INDEX('File 4'!Weekly_Adjusted,44,2)</f>
        <v>0</v>
      </c>
      <c r="AM86" s="141">
        <f>INDEX('File 4'!Weekly_Adjusted,44,3)</f>
        <v>0</v>
      </c>
      <c r="AN86" s="140">
        <f>INDEX('File 5'!Weekly_Adjusted,44,1)</f>
        <v>0</v>
      </c>
      <c r="AO86" s="140">
        <f>INDEX('File 5'!Weekly_Adjusted,44,2)</f>
        <v>0</v>
      </c>
      <c r="AP86" s="140">
        <f>INDEX('File 5'!Weekly_Adjusted,44,3)</f>
        <v>0</v>
      </c>
      <c r="AQ86" s="141">
        <f>INDEX('File 6'!Weekly_Adjusted,44,1)</f>
        <v>0</v>
      </c>
      <c r="AR86" s="141">
        <f>INDEX('File 6'!Weekly_Adjusted,44,2)</f>
        <v>0</v>
      </c>
      <c r="AS86" s="141">
        <f>INDEX('File 6'!Weekly_Adjusted,44,3)</f>
        <v>0</v>
      </c>
      <c r="AT86" s="140">
        <f>INDEX('File 7'!Weekly_Adjusted,44,1)</f>
        <v>0</v>
      </c>
      <c r="AU86" s="140">
        <f>INDEX('File 7'!Weekly_Adjusted,44,2)</f>
        <v>0</v>
      </c>
      <c r="AV86" s="140">
        <f>INDEX('File 7'!Weekly_Adjusted,44,3)</f>
        <v>0</v>
      </c>
      <c r="AW86" s="141">
        <f>INDEX('File 8'!Weekly_Adjusted,44,1)</f>
        <v>0</v>
      </c>
      <c r="AX86" s="141">
        <f>INDEX('File 8'!Weekly_Adjusted,44,2)</f>
        <v>0</v>
      </c>
      <c r="AY86" s="141">
        <f>INDEX('File 8'!Weekly_Adjusted,44,3)</f>
        <v>0</v>
      </c>
      <c r="AZ86" s="140">
        <f>INDEX('File 9'!Weekly_Adjusted,44,1)</f>
        <v>0</v>
      </c>
      <c r="BA86" s="140">
        <f>INDEX('File 9'!Weekly_Adjusted,44,2)</f>
        <v>0</v>
      </c>
      <c r="BB86" s="140">
        <f>INDEX('File 9'!Weekly_Adjusted,44,3)</f>
        <v>0</v>
      </c>
      <c r="BC86" s="141">
        <f>INDEX('File 10'!Weekly_Adjusted,44,1)</f>
        <v>0</v>
      </c>
      <c r="BD86" s="141">
        <f>INDEX('File 10'!Weekly_Adjusted,44,2)</f>
        <v>0</v>
      </c>
      <c r="BE86" s="141">
        <f>INDEX('File 10'!Weekly_Adjusted,44,3)</f>
        <v>0</v>
      </c>
      <c r="BF86" s="140">
        <f>INDEX('File 11'!Weekly_Adjusted,44,1)</f>
        <v>0</v>
      </c>
      <c r="BG86" s="140">
        <f>INDEX('File 11'!Weekly_Adjusted,44,2)</f>
        <v>0</v>
      </c>
      <c r="BH86" s="140">
        <f>INDEX('File 11'!Weekly_Adjusted,44,3)</f>
        <v>0</v>
      </c>
      <c r="BI86" s="141">
        <f>INDEX('File 12'!Weekly_Adjusted,44,1)</f>
        <v>0</v>
      </c>
      <c r="BJ86" s="141">
        <f>INDEX('File 12'!Weekly_Adjusted,44,2)</f>
        <v>0</v>
      </c>
      <c r="BK86" s="141">
        <f>INDEX('File 12'!Weekly_Adjusted,44,3)</f>
        <v>0</v>
      </c>
      <c r="BL86" s="140">
        <f>INDEX('File 13'!Weekly_Adjusted,44,1)</f>
        <v>0</v>
      </c>
      <c r="BM86" s="140">
        <f>INDEX('File 13'!Weekly_Adjusted,44,2)</f>
        <v>0</v>
      </c>
      <c r="BN86" s="140">
        <f>INDEX('File 13'!Weekly_Adjusted,44,3)</f>
        <v>0</v>
      </c>
      <c r="BO86" s="141">
        <f>INDEX('File 14'!Weekly_Adjusted,44,1)</f>
        <v>0</v>
      </c>
      <c r="BP86" s="141">
        <f>INDEX('File 14'!Weekly_Adjusted,44,2)</f>
        <v>0</v>
      </c>
      <c r="BQ86" s="141">
        <f>INDEX('File 14'!Weekly_Adjusted,44,3)</f>
        <v>0</v>
      </c>
      <c r="BR86" s="140">
        <f>INDEX('File 15'!Weekly_Adjusted,44,1)</f>
        <v>0</v>
      </c>
      <c r="BS86" s="140">
        <f>INDEX('File 15'!Weekly_Adjusted,44,2)</f>
        <v>0</v>
      </c>
      <c r="BT86" s="140">
        <f>INDEX('File 15'!Weekly_Adjusted,44,3)</f>
        <v>0</v>
      </c>
      <c r="BU86" s="141">
        <f>INDEX('File 16'!Weekly_Adjusted,44,1)</f>
        <v>0</v>
      </c>
      <c r="BV86" s="141">
        <f>INDEX('File 16'!Weekly_Adjusted,44,2)</f>
        <v>0</v>
      </c>
      <c r="BW86" s="141">
        <f>INDEX('File 16'!Weekly_Adjusted,44,3)</f>
        <v>0</v>
      </c>
      <c r="BX86" s="140">
        <f>INDEX('File 17'!Weekly_Adjusted,44,1)</f>
        <v>0</v>
      </c>
      <c r="BY86" s="140">
        <f>INDEX('File 17'!Weekly_Adjusted,44,2)</f>
        <v>0</v>
      </c>
      <c r="BZ86" s="140">
        <f>INDEX('File 17'!Weekly_Adjusted,44,3)</f>
        <v>0</v>
      </c>
      <c r="CA86" s="141">
        <f>INDEX('File 18'!Weekly_Adjusted,44,1)</f>
        <v>0</v>
      </c>
      <c r="CB86" s="141">
        <f>INDEX('File 18'!Weekly_Adjusted,44,2)</f>
        <v>0</v>
      </c>
      <c r="CC86" s="141">
        <f>INDEX('File 18'!Weekly_Adjusted,44,3)</f>
        <v>0</v>
      </c>
      <c r="CD86" s="140">
        <f>INDEX('File 19'!Weekly_Adjusted,44,1)</f>
        <v>0</v>
      </c>
      <c r="CE86" s="140">
        <f>INDEX('File 19'!Weekly_Adjusted,44,2)</f>
        <v>0</v>
      </c>
      <c r="CF86" s="140">
        <f>INDEX('File 19'!Weekly_Adjusted,44,3)</f>
        <v>0</v>
      </c>
      <c r="CG86" s="141">
        <f>INDEX('File 20'!Weekly_Adjusted,44,1)</f>
        <v>0</v>
      </c>
      <c r="CH86" s="141">
        <f>INDEX('File 20'!Weekly_Adjusted,44,2)</f>
        <v>0</v>
      </c>
      <c r="CI86" s="141">
        <f>INDEX('File 20'!Weekly_Adjusted,44,3)</f>
        <v>0</v>
      </c>
      <c r="CJ86" s="6">
        <f ca="1">SUMIFS(INDEX(Demand_Activity_Weekly,ROW(A44),0),Demand_Activity_Weekly_Header,CJ$42)</f>
        <v>388.17143954725253</v>
      </c>
      <c r="CK86" s="6">
        <f ca="1">SUMIFS(INDEX(Demand_Activity_Weekly,ROW(B44),0),Demand_Activity_Weekly_Header,CK$42)</f>
        <v>0</v>
      </c>
      <c r="CL86" s="6">
        <f ca="1">SUMIFS(INDEX(Demand_Activity_Weekly,ROW(C44),0),Demand_Activity_Weekly_Header,CL$42)</f>
        <v>0</v>
      </c>
      <c r="CM86" s="6">
        <f ca="1">SUMIFS(INDEX(Demand_Activity_Weekly,ROW(D44),0),Demand_Activity_Weekly_Header,CM$42)</f>
        <v>0</v>
      </c>
      <c r="CN86" s="6">
        <f ca="1">SUMIFS(INDEX(Demand_Activity_Weekly,ROW(E44),0),Demand_Activity_Weekly_Header,CN$42)</f>
        <v>0</v>
      </c>
      <c r="CP86" s="142">
        <f>INDEX('File 1'!Weekly_Adjusted,44,10)</f>
        <v>24.344712210866053</v>
      </c>
      <c r="CQ86" s="142">
        <f>INDEX('File 1'!Weekly_Adjusted,44,11)</f>
        <v>0</v>
      </c>
      <c r="CR86" s="142">
        <f>INDEX('File 1'!Weekly_Adjusted,44,12)</f>
        <v>0</v>
      </c>
      <c r="CS86" s="143">
        <f>INDEX('File 2'!Weekly_Adjusted,44,10)</f>
        <v>0</v>
      </c>
      <c r="CT86" s="143">
        <f>INDEX('File 2'!Weekly_Adjusted,44,11)</f>
        <v>0</v>
      </c>
      <c r="CU86" s="143">
        <f>INDEX('File 2'!Weekly_Adjusted,44,12)</f>
        <v>0</v>
      </c>
      <c r="CV86" s="142">
        <f>INDEX('File 3'!Weekly_Adjusted,44,10)</f>
        <v>0</v>
      </c>
      <c r="CW86" s="142">
        <f>INDEX('File 3'!Weekly_Adjusted,44,11)</f>
        <v>0</v>
      </c>
      <c r="CX86" s="142">
        <f>INDEX('File 3'!Weekly_Adjusted,44,12)</f>
        <v>0</v>
      </c>
      <c r="CY86" s="143">
        <f>INDEX('File 4'!Weekly_Adjusted,44,10)</f>
        <v>0</v>
      </c>
      <c r="CZ86" s="143">
        <f>INDEX('File 4'!Weekly_Adjusted,44,11)</f>
        <v>0</v>
      </c>
      <c r="DA86" s="143">
        <f>INDEX('File 4'!Weekly_Adjusted,44,12)</f>
        <v>0</v>
      </c>
      <c r="DB86" s="142">
        <f>INDEX('File 5'!Weekly_Adjusted,44,10)</f>
        <v>0</v>
      </c>
      <c r="DC86" s="142">
        <f>INDEX('File 5'!Weekly_Adjusted,44,11)</f>
        <v>0</v>
      </c>
      <c r="DD86" s="142">
        <f>INDEX('File 5'!Weekly_Adjusted,44,12)</f>
        <v>0</v>
      </c>
      <c r="DE86" s="143">
        <f>INDEX('File 6'!Weekly_Adjusted,44,10)</f>
        <v>0</v>
      </c>
      <c r="DF86" s="143">
        <f>INDEX('File 6'!Weekly_Adjusted,44,11)</f>
        <v>0</v>
      </c>
      <c r="DG86" s="143">
        <f>INDEX('File 6'!Weekly_Adjusted,44,12)</f>
        <v>0</v>
      </c>
      <c r="DH86" s="142">
        <f>INDEX('File 7'!Weekly_Adjusted,44,10)</f>
        <v>0</v>
      </c>
      <c r="DI86" s="142">
        <f>INDEX('File 7'!Weekly_Adjusted,44,11)</f>
        <v>0</v>
      </c>
      <c r="DJ86" s="142">
        <f>INDEX('File 7'!Weekly_Adjusted,44,12)</f>
        <v>0</v>
      </c>
      <c r="DK86" s="143">
        <f>INDEX('File 8'!Weekly_Adjusted,44,10)</f>
        <v>0</v>
      </c>
      <c r="DL86" s="143">
        <f>INDEX('File 8'!Weekly_Adjusted,44,11)</f>
        <v>0</v>
      </c>
      <c r="DM86" s="143">
        <f>INDEX('File 8'!Weekly_Adjusted,44,12)</f>
        <v>0</v>
      </c>
      <c r="DN86" s="142">
        <f>INDEX('File 9'!Weekly_Adjusted,44,10)</f>
        <v>0</v>
      </c>
      <c r="DO86" s="142">
        <f>INDEX('File 9'!Weekly_Adjusted,44,11)</f>
        <v>0</v>
      </c>
      <c r="DP86" s="142">
        <f>INDEX('File 9'!Weekly_Adjusted,44,12)</f>
        <v>0</v>
      </c>
      <c r="DQ86" s="143">
        <f>INDEX('File 10'!Weekly_Adjusted,44,10)</f>
        <v>0</v>
      </c>
      <c r="DR86" s="143">
        <f>INDEX('File 10'!Weekly_Adjusted,44,11)</f>
        <v>0</v>
      </c>
      <c r="DS86" s="143">
        <f>INDEX('File 10'!Weekly_Adjusted,44,12)</f>
        <v>0</v>
      </c>
      <c r="DT86" s="142">
        <f>INDEX('File 11'!Weekly_Adjusted,44,10)</f>
        <v>0</v>
      </c>
      <c r="DU86" s="142">
        <f>INDEX('File 11'!Weekly_Adjusted,44,11)</f>
        <v>0</v>
      </c>
      <c r="DV86" s="142">
        <f>INDEX('File 11'!Weekly_Adjusted,44,12)</f>
        <v>0</v>
      </c>
      <c r="DW86" s="143">
        <f>INDEX('File 12'!Weekly_Adjusted,44,10)</f>
        <v>0</v>
      </c>
      <c r="DX86" s="143">
        <f>INDEX('File 12'!Weekly_Adjusted,44,11)</f>
        <v>0</v>
      </c>
      <c r="DY86" s="143">
        <f>INDEX('File 12'!Weekly_Adjusted,44,12)</f>
        <v>0</v>
      </c>
      <c r="DZ86" s="142">
        <f>INDEX('File 13'!Weekly_Adjusted,44,10)</f>
        <v>0</v>
      </c>
      <c r="EA86" s="142">
        <f>INDEX('File 13'!Weekly_Adjusted,44,11)</f>
        <v>0</v>
      </c>
      <c r="EB86" s="142">
        <f>INDEX('File 13'!Weekly_Adjusted,44,12)</f>
        <v>0</v>
      </c>
      <c r="EC86" s="143">
        <f>INDEX('File 14'!Weekly_Adjusted,44,10)</f>
        <v>0</v>
      </c>
      <c r="ED86" s="143">
        <f>INDEX('File 14'!Weekly_Adjusted,44,11)</f>
        <v>0</v>
      </c>
      <c r="EE86" s="143">
        <f>INDEX('File 14'!Weekly_Adjusted,44,12)</f>
        <v>0</v>
      </c>
      <c r="EF86" s="142">
        <f>INDEX('File 15'!Weekly_Adjusted,44,10)</f>
        <v>0</v>
      </c>
      <c r="EG86" s="142">
        <f>INDEX('File 15'!Weekly_Adjusted,44,11)</f>
        <v>0</v>
      </c>
      <c r="EH86" s="142">
        <f>INDEX('File 15'!Weekly_Adjusted,44,12)</f>
        <v>0</v>
      </c>
      <c r="EI86" s="143">
        <f>INDEX('File 16'!Weekly_Adjusted,44,10)</f>
        <v>0</v>
      </c>
      <c r="EJ86" s="143">
        <f>INDEX('File 16'!Weekly_Adjusted,44,11)</f>
        <v>0</v>
      </c>
      <c r="EK86" s="143">
        <f>INDEX('File 16'!Weekly_Adjusted,44,12)</f>
        <v>0</v>
      </c>
      <c r="EL86" s="142">
        <f>INDEX('File 17'!Weekly_Adjusted,44,10)</f>
        <v>0</v>
      </c>
      <c r="EM86" s="142">
        <f>INDEX('File 17'!Weekly_Adjusted,44,11)</f>
        <v>0</v>
      </c>
      <c r="EN86" s="142">
        <f>INDEX('File 17'!Weekly_Adjusted,44,12)</f>
        <v>0</v>
      </c>
      <c r="EO86" s="143">
        <f>INDEX('File 18'!Weekly_Adjusted,44,10)</f>
        <v>0</v>
      </c>
      <c r="EP86" s="143">
        <f>INDEX('File 18'!Weekly_Adjusted,44,11)</f>
        <v>0</v>
      </c>
      <c r="EQ86" s="143">
        <f>INDEX('File 18'!Weekly_Adjusted,44,12)</f>
        <v>0</v>
      </c>
      <c r="ER86" s="142">
        <f>INDEX('File 19'!Weekly_Adjusted,44,10)</f>
        <v>0</v>
      </c>
      <c r="ES86" s="142">
        <f>INDEX('File 19'!Weekly_Adjusted,44,11)</f>
        <v>0</v>
      </c>
      <c r="ET86" s="142">
        <f>INDEX('File 19'!Weekly_Adjusted,44,12)</f>
        <v>0</v>
      </c>
      <c r="EU86" s="143">
        <f>INDEX('File 20'!Weekly_Adjusted,44,10)</f>
        <v>0</v>
      </c>
      <c r="EV86" s="143">
        <f>INDEX('File 20'!Weekly_Adjusted,44,11)</f>
        <v>0</v>
      </c>
      <c r="EW86" s="143">
        <f>INDEX('File 20'!Weekly_Adjusted,44,12)</f>
        <v>0</v>
      </c>
      <c r="EX86" s="6">
        <f ca="1">SUMIFS(INDEX(Capacity_Activity_Weekly,ROW(A44),0),Demand_Activity_Weekly_Header,CJ$42)</f>
        <v>24.344712210866053</v>
      </c>
      <c r="EY86" s="6">
        <f ca="1">SUMIFS(INDEX(Capacity_Activity_Weekly,ROW(B44),0),Demand_Activity_Weekly_Header,CK$42)</f>
        <v>0</v>
      </c>
      <c r="EZ86" s="6">
        <f ca="1">SUMIFS(INDEX(Capacity_Activity_Weekly,ROW(C44),0),Demand_Activity_Weekly_Header,CL$42)</f>
        <v>0</v>
      </c>
      <c r="FA86" s="6">
        <f ca="1">SUMIFS(INDEX(Capacity_Activity_Weekly,ROW(D44),0),Demand_Activity_Weekly_Header,CM$42)</f>
        <v>0</v>
      </c>
      <c r="FB86" s="6">
        <f ca="1">SUMIFS(INDEX(Capacity_Activity_Weekly,ROW(E44),0),Demand_Activity_Weekly_Header,CN$42)</f>
        <v>0</v>
      </c>
      <c r="FD86" s="7">
        <f>'File 1'!$Q$54*'Time based aggregation (hide)'!$Q48</f>
        <v>0</v>
      </c>
      <c r="FE86" s="7">
        <f>'File 1'!$R$54*'Time based aggregation (hide)'!$R48</f>
        <v>0</v>
      </c>
      <c r="FF86" s="7">
        <f>'File 1'!$S$54*'Time based aggregation (hide)'!$S48</f>
        <v>0</v>
      </c>
      <c r="FG86" s="7">
        <f>'File 2'!$Q$54*'Time based aggregation (hide)'!$T48</f>
        <v>0</v>
      </c>
      <c r="FH86" s="7">
        <f>'File 2'!$R$54*'Time based aggregation (hide)'!$U48</f>
        <v>0</v>
      </c>
      <c r="FI86" s="7">
        <f>'File 2'!$S$54*'Time based aggregation (hide)'!$V48</f>
        <v>0</v>
      </c>
      <c r="FJ86" s="7">
        <f>'File 3'!$Q$54*'Time based aggregation (hide)'!$W48</f>
        <v>0</v>
      </c>
      <c r="FK86" s="7">
        <f>'File 3'!$R$54*'Time based aggregation (hide)'!$X48</f>
        <v>0</v>
      </c>
      <c r="FL86" s="7">
        <f>'File 3'!$S$54*'Time based aggregation (hide)'!$Y48</f>
        <v>0</v>
      </c>
      <c r="FM86" s="7">
        <f>'File 4'!$Q$54*'Time based aggregation (hide)'!$Z48</f>
        <v>0</v>
      </c>
      <c r="FN86" s="7">
        <f>'File 4'!$R$54*'Time based aggregation (hide)'!$AA48</f>
        <v>0</v>
      </c>
      <c r="FO86" s="7">
        <f>'File 4'!$S$54*'Time based aggregation (hide)'!$AB48</f>
        <v>0</v>
      </c>
      <c r="FP86" s="7">
        <f>'File 5'!$Q$54*'Time based aggregation (hide)'!$AC48</f>
        <v>0</v>
      </c>
      <c r="FQ86" s="7">
        <f>'File 5'!$R$54*'Time based aggregation (hide)'!$AD48</f>
        <v>0</v>
      </c>
      <c r="FR86" s="7">
        <f>'File 5'!$S$54*'Time based aggregation (hide)'!$AE48</f>
        <v>0</v>
      </c>
      <c r="FS86" s="7">
        <f>'File 6'!$Q$54*'Time based aggregation (hide)'!$AF48</f>
        <v>0</v>
      </c>
      <c r="FT86" s="7">
        <f>'File 6'!$R$54*'Time based aggregation (hide)'!$AG48</f>
        <v>0</v>
      </c>
      <c r="FU86" s="7">
        <f>'File 6'!$S$54*'Time based aggregation (hide)'!$AH48</f>
        <v>0</v>
      </c>
      <c r="FV86" s="7">
        <f>'File 7'!$Q$54*'Time based aggregation (hide)'!$AI48</f>
        <v>0</v>
      </c>
      <c r="FW86" s="7">
        <f>'File 7'!$R$54*'Time based aggregation (hide)'!$AJ48</f>
        <v>0</v>
      </c>
      <c r="FX86" s="7">
        <f>'File 7'!$S$54*'Time based aggregation (hide)'!$AK48</f>
        <v>0</v>
      </c>
      <c r="FY86" s="7">
        <f>'File 8'!$Q$54*'Time based aggregation (hide)'!$AL48</f>
        <v>0</v>
      </c>
      <c r="FZ86" s="7">
        <f>'File 8'!$R$54*'Time based aggregation (hide)'!$AM48</f>
        <v>0</v>
      </c>
      <c r="GA86" s="7">
        <f>'File 8'!$S$54*'Time based aggregation (hide)'!$AN48</f>
        <v>0</v>
      </c>
      <c r="GB86" s="7">
        <f>'File 9'!$Q$54*'Time based aggregation (hide)'!$AO48</f>
        <v>0</v>
      </c>
      <c r="GC86" s="7">
        <f>'File 9'!$R$54*'Time based aggregation (hide)'!$AP48</f>
        <v>0</v>
      </c>
      <c r="GD86" s="7">
        <f>'File 9'!$S$54*'Time based aggregation (hide)'!$AQ48</f>
        <v>0</v>
      </c>
      <c r="GE86" s="7">
        <f>'File 10'!$Q$54*'Time based aggregation (hide)'!$AR48</f>
        <v>0</v>
      </c>
      <c r="GF86" s="7">
        <f>'File 10'!$R$54*'Time based aggregation (hide)'!$AS48</f>
        <v>0</v>
      </c>
      <c r="GG86" s="7">
        <f>'File 10'!$S$54*'Time based aggregation (hide)'!$AT48</f>
        <v>0</v>
      </c>
      <c r="GH86" s="7">
        <f>'File 11'!$Q$54*'Time based aggregation (hide)'!$AU48</f>
        <v>0</v>
      </c>
      <c r="GI86" s="7">
        <f>'File 11'!$R$54*'Time based aggregation (hide)'!$AV48</f>
        <v>0</v>
      </c>
      <c r="GJ86" s="7">
        <f>'File 11'!$S$54*'Time based aggregation (hide)'!$AW48</f>
        <v>0</v>
      </c>
      <c r="GK86" s="7">
        <f>'File 12'!$Q$54*'Time based aggregation (hide)'!$AX48</f>
        <v>0</v>
      </c>
      <c r="GL86" s="7">
        <f>'File 12'!$R$54*'Time based aggregation (hide)'!$AY48</f>
        <v>0</v>
      </c>
      <c r="GM86" s="7">
        <f>'File 12'!$S$54*'Time based aggregation (hide)'!$AZ48</f>
        <v>0</v>
      </c>
      <c r="GN86" s="7">
        <f>'File 13'!$Q$54*'Time based aggregation (hide)'!$BA48</f>
        <v>0</v>
      </c>
      <c r="GO86" s="7">
        <f>'File 13'!$R$54*'Time based aggregation (hide)'!$BB48</f>
        <v>0</v>
      </c>
      <c r="GP86" s="7">
        <f>'File 13'!$S$54*'Time based aggregation (hide)'!$BC48</f>
        <v>0</v>
      </c>
      <c r="GQ86" s="7">
        <f>'File 14'!$Q$54*'Time based aggregation (hide)'!$BD48</f>
        <v>0</v>
      </c>
      <c r="GR86" s="7">
        <f>'File 14'!$R$54*'Time based aggregation (hide)'!$BE48</f>
        <v>0</v>
      </c>
      <c r="GS86" s="7">
        <f>'File 14'!$S$54*'Time based aggregation (hide)'!$BF48</f>
        <v>0</v>
      </c>
      <c r="GT86" s="7">
        <f>'File 15'!$Q$54*'Time based aggregation (hide)'!$BG48</f>
        <v>0</v>
      </c>
      <c r="GU86" s="7">
        <f>'File 15'!$R$54*'Time based aggregation (hide)'!$BH48</f>
        <v>0</v>
      </c>
      <c r="GV86" s="7">
        <f>'File 15'!$S$54*'Time based aggregation (hide)'!$BI48</f>
        <v>0</v>
      </c>
      <c r="GW86" s="7">
        <f>'File 16'!$Q$54*'Time based aggregation (hide)'!$BJ48</f>
        <v>0</v>
      </c>
      <c r="GX86" s="7">
        <f>'File 16'!$R$54*'Time based aggregation (hide)'!$BK48</f>
        <v>0</v>
      </c>
      <c r="GY86" s="7">
        <f>'File 16'!$S$54*'Time based aggregation (hide)'!$BL48</f>
        <v>0</v>
      </c>
      <c r="GZ86" s="7">
        <f>'File 17'!$Q$54*'Time based aggregation (hide)'!$BM48</f>
        <v>0</v>
      </c>
      <c r="HA86" s="7">
        <f>'File 17'!$R$54*'Time based aggregation (hide)'!$BN48</f>
        <v>0</v>
      </c>
      <c r="HB86" s="7">
        <f>'File 17'!$S$54*'Time based aggregation (hide)'!$BO48</f>
        <v>0</v>
      </c>
      <c r="HC86" s="7">
        <f>'File 18'!$Q$54*'Time based aggregation (hide)'!$BP48</f>
        <v>0</v>
      </c>
      <c r="HD86" s="7">
        <f>'File 18'!$R$54*'Time based aggregation (hide)'!$BQ48</f>
        <v>0</v>
      </c>
      <c r="HE86" s="7">
        <f>'File 18'!$S$54*'Time based aggregation (hide)'!$BR48</f>
        <v>0</v>
      </c>
      <c r="HF86" s="7">
        <f>'File 19'!$Q$54*'Time based aggregation (hide)'!$BS48</f>
        <v>0</v>
      </c>
      <c r="HG86" s="7">
        <f>'File 19'!$R$54*'Time based aggregation (hide)'!$BT48</f>
        <v>0</v>
      </c>
      <c r="HH86" s="7">
        <f>'File 19'!$S$54*'Time based aggregation (hide)'!$BU48</f>
        <v>0</v>
      </c>
      <c r="HI86" s="7">
        <f>'File 20'!$Q$54*'Time based aggregation (hide)'!$BV48</f>
        <v>0</v>
      </c>
      <c r="HJ86" s="7">
        <f>'File 20'!$R$54*'Time based aggregation (hide)'!$BW48</f>
        <v>0</v>
      </c>
      <c r="HK86" s="7">
        <f>'File 20'!$S$54*'Time based aggregation (hide)'!$BX48</f>
        <v>0</v>
      </c>
      <c r="HL86" s="7">
        <f t="shared" ca="1" si="50"/>
        <v>0</v>
      </c>
      <c r="HM86" s="7">
        <f t="shared" ca="1" si="50"/>
        <v>0</v>
      </c>
      <c r="HN86" s="7">
        <f t="shared" ca="1" si="50"/>
        <v>0</v>
      </c>
      <c r="HO86" s="7">
        <f t="shared" ca="1" si="50"/>
        <v>0</v>
      </c>
      <c r="HP86" s="7">
        <f t="shared" ca="1" si="50"/>
        <v>0</v>
      </c>
      <c r="HR86" s="142">
        <f>INDEX('File 1'!Weekly_Adjusted,44,16)</f>
        <v>20.933351264120493</v>
      </c>
      <c r="HS86" s="142">
        <f>INDEX('File 1'!Weekly_Adjusted,44,17)</f>
        <v>0</v>
      </c>
      <c r="HT86" s="142">
        <f>INDEX('File 1'!Weekly_Adjusted,44,18)</f>
        <v>0</v>
      </c>
      <c r="HU86" s="143">
        <f>INDEX('File 2'!Weekly_Adjusted,44,16)</f>
        <v>0</v>
      </c>
      <c r="HV86" s="143">
        <f>INDEX('File 2'!Weekly_Adjusted,44,17)</f>
        <v>0</v>
      </c>
      <c r="HW86" s="143">
        <f>INDEX('File 2'!Weekly_Adjusted,44,18)</f>
        <v>0</v>
      </c>
      <c r="HX86" s="142">
        <f>INDEX('File 3'!Weekly_Adjusted,44,16)</f>
        <v>0</v>
      </c>
      <c r="HY86" s="142">
        <f>INDEX('File 3'!Weekly_Adjusted,44,17)</f>
        <v>0</v>
      </c>
      <c r="HZ86" s="142">
        <f>INDEX('File 3'!Weekly_Adjusted,44,18)</f>
        <v>0</v>
      </c>
      <c r="IA86" s="143">
        <f>INDEX('File 4'!Weekly_Adjusted,44,16)</f>
        <v>0</v>
      </c>
      <c r="IB86" s="143">
        <f>INDEX('File 4'!Weekly_Adjusted,44,17)</f>
        <v>0</v>
      </c>
      <c r="IC86" s="143">
        <f>INDEX('File 4'!Weekly_Adjusted,44,18)</f>
        <v>0</v>
      </c>
      <c r="ID86" s="142">
        <f>INDEX('File 5'!Weekly_Adjusted,44,16)</f>
        <v>0</v>
      </c>
      <c r="IE86" s="142">
        <f>INDEX('File 5'!Weekly_Adjusted,44,17)</f>
        <v>0</v>
      </c>
      <c r="IF86" s="142">
        <f>INDEX('File 5'!Weekly_Adjusted,44,18)</f>
        <v>0</v>
      </c>
      <c r="IG86" s="143">
        <f>INDEX('File 6'!Weekly_Adjusted,44,16)</f>
        <v>0</v>
      </c>
      <c r="IH86" s="143">
        <f>INDEX('File 6'!Weekly_Adjusted,44,17)</f>
        <v>0</v>
      </c>
      <c r="II86" s="143">
        <f>INDEX('File 6'!Weekly_Adjusted,44,18)</f>
        <v>0</v>
      </c>
      <c r="IJ86" s="142">
        <f>INDEX('File 7'!Weekly_Adjusted,44,16)</f>
        <v>0</v>
      </c>
      <c r="IK86" s="142">
        <f>INDEX('File 7'!Weekly_Adjusted,44,17)</f>
        <v>0</v>
      </c>
      <c r="IL86" s="142">
        <f>INDEX('File 7'!Weekly_Adjusted,44,18)</f>
        <v>0</v>
      </c>
      <c r="IM86" s="143">
        <f>INDEX('File 8'!Weekly_Adjusted,44,16)</f>
        <v>0</v>
      </c>
      <c r="IN86" s="143">
        <f>INDEX('File 8'!Weekly_Adjusted,44,17)</f>
        <v>0</v>
      </c>
      <c r="IO86" s="143">
        <f>INDEX('File 8'!Weekly_Adjusted,44,18)</f>
        <v>0</v>
      </c>
      <c r="IP86" s="142">
        <f>INDEX('File 9'!Weekly_Adjusted,44,16)</f>
        <v>0</v>
      </c>
      <c r="IQ86" s="142">
        <f>INDEX('File 9'!Weekly_Adjusted,44,17)</f>
        <v>0</v>
      </c>
      <c r="IR86" s="142">
        <f>INDEX('File 9'!Weekly_Adjusted,44,18)</f>
        <v>0</v>
      </c>
      <c r="IS86" s="143">
        <f>INDEX('File 10'!Weekly_Adjusted,44,16)</f>
        <v>0</v>
      </c>
      <c r="IT86" s="143">
        <f>INDEX('File 10'!Weekly_Adjusted,44,17)</f>
        <v>0</v>
      </c>
      <c r="IU86" s="143">
        <f>INDEX('File 10'!Weekly_Adjusted,44,18)</f>
        <v>0</v>
      </c>
      <c r="IV86" s="142">
        <f>INDEX('File 11'!Weekly_Adjusted,44,16)</f>
        <v>0</v>
      </c>
      <c r="IW86" s="142">
        <f>INDEX('File 11'!Weekly_Adjusted,44,17)</f>
        <v>0</v>
      </c>
      <c r="IX86" s="142">
        <f>INDEX('File 11'!Weekly_Adjusted,44,18)</f>
        <v>0</v>
      </c>
      <c r="IY86" s="143">
        <f>INDEX('File 12'!Weekly_Adjusted,44,16)</f>
        <v>0</v>
      </c>
      <c r="IZ86" s="143">
        <f>INDEX('File 12'!Weekly_Adjusted,44,17)</f>
        <v>0</v>
      </c>
      <c r="JA86" s="143">
        <f>INDEX('File 12'!Weekly_Adjusted,44,18)</f>
        <v>0</v>
      </c>
      <c r="JB86" s="142">
        <f>INDEX('File 13'!Weekly_Adjusted,44,16)</f>
        <v>0</v>
      </c>
      <c r="JC86" s="142">
        <f>INDEX('File 13'!Weekly_Adjusted,44,17)</f>
        <v>0</v>
      </c>
      <c r="JD86" s="142">
        <f>INDEX('File 13'!Weekly_Adjusted,44,18)</f>
        <v>0</v>
      </c>
      <c r="JE86" s="143">
        <f>INDEX('File 14'!Weekly_Adjusted,44,16)</f>
        <v>0</v>
      </c>
      <c r="JF86" s="143">
        <f>INDEX('File 14'!Weekly_Adjusted,44,17)</f>
        <v>0</v>
      </c>
      <c r="JG86" s="143">
        <f>INDEX('File 14'!Weekly_Adjusted,44,18)</f>
        <v>0</v>
      </c>
      <c r="JH86" s="142">
        <f>INDEX('File 15'!Weekly_Adjusted,44,16)</f>
        <v>0</v>
      </c>
      <c r="JI86" s="142">
        <f>INDEX('File 15'!Weekly_Adjusted,44,17)</f>
        <v>0</v>
      </c>
      <c r="JJ86" s="142">
        <f>INDEX('File 15'!Weekly_Adjusted,44,18)</f>
        <v>0</v>
      </c>
      <c r="JK86" s="143">
        <f>INDEX('File 16'!Weekly_Adjusted,44,16)</f>
        <v>0</v>
      </c>
      <c r="JL86" s="143">
        <f>INDEX('File 16'!Weekly_Adjusted,44,17)</f>
        <v>0</v>
      </c>
      <c r="JM86" s="143">
        <f>INDEX('File 16'!Weekly_Adjusted,44,18)</f>
        <v>0</v>
      </c>
      <c r="JN86" s="142">
        <f>INDEX('File 17'!Weekly_Adjusted,44,16)</f>
        <v>0</v>
      </c>
      <c r="JO86" s="142">
        <f>INDEX('File 17'!Weekly_Adjusted,44,17)</f>
        <v>0</v>
      </c>
      <c r="JP86" s="142">
        <f>INDEX('File 17'!Weekly_Adjusted,44,18)</f>
        <v>0</v>
      </c>
      <c r="JQ86" s="143">
        <f>INDEX('File 18'!Weekly_Adjusted,44,16)</f>
        <v>0</v>
      </c>
      <c r="JR86" s="143">
        <f>INDEX('File 18'!Weekly_Adjusted,44,17)</f>
        <v>0</v>
      </c>
      <c r="JS86" s="143">
        <f>INDEX('File 18'!Weekly_Adjusted,44,18)</f>
        <v>0</v>
      </c>
      <c r="JT86" s="142">
        <f>INDEX('File 19'!Weekly_Adjusted,44,16)</f>
        <v>0</v>
      </c>
      <c r="JU86" s="142">
        <f>INDEX('File 19'!Weekly_Adjusted,44,17)</f>
        <v>0</v>
      </c>
      <c r="JV86" s="142">
        <f>INDEX('File 19'!Weekly_Adjusted,44,18)</f>
        <v>0</v>
      </c>
      <c r="JW86" s="143">
        <f>INDEX('File 20'!Weekly_Adjusted,44,16)</f>
        <v>0</v>
      </c>
      <c r="JX86" s="143">
        <f>INDEX('File 20'!Weekly_Adjusted,44,17)</f>
        <v>0</v>
      </c>
      <c r="JY86" s="143">
        <f>INDEX('File 20'!Weekly_Adjusted,44,18)</f>
        <v>0</v>
      </c>
      <c r="JZ86" s="6">
        <f ca="1">SUMIFS(INDEX(CapacityCore_Activity_Weekly,ROW(EC44),0),Demand_Activity_Weekly_Header,HL$42)</f>
        <v>20.933351264120493</v>
      </c>
      <c r="KA86" s="6">
        <f ca="1">SUMIFS(INDEX(CapacityCore_Activity_Weekly,ROW(ED44),0),Demand_Activity_Weekly_Header,HM$42)</f>
        <v>0</v>
      </c>
      <c r="KB86" s="6">
        <f ca="1">SUMIFS(INDEX(CapacityCore_Activity_Weekly,ROW(EE44),0),Demand_Activity_Weekly_Header,HN$42)</f>
        <v>0</v>
      </c>
      <c r="KC86" s="6">
        <f ca="1">SUMIFS(INDEX(CapacityCore_Activity_Weekly,ROW(EF44),0),Demand_Activity_Weekly_Header,HO$42)</f>
        <v>0</v>
      </c>
      <c r="KD86" s="6">
        <f ca="1">SUMIFS(INDEX(CapacityCore_Activity_Weekly,ROW(EG44),0),Demand_Activity_Weekly_Header,HP$42)</f>
        <v>0</v>
      </c>
      <c r="KF86" s="6">
        <f>SUMIFS('Time based aggregation (hide)'!$J:$J,'Time based aggregation (hide)'!$E:$E,1,'Time based aggregation (hide)'!$F:$F,1,'Time based aggregation (hide)'!$A:$A,ROW(A44))</f>
        <v>0</v>
      </c>
      <c r="KG86" s="6">
        <f>SUMIFS('Time based aggregation (hide)'!$J:$J,'Time based aggregation (hide)'!$E:$E,1,'Time based aggregation (hide)'!$F:$F,2,'Time based aggregation (hide)'!$A:$A,ROW(A44))</f>
        <v>0</v>
      </c>
      <c r="KH86" s="6">
        <f>SUMIFS('Time based aggregation (hide)'!$J:$J,'Time based aggregation (hide)'!$E:$E,1,'Time based aggregation (hide)'!$F:$F,3,'Time based aggregation (hide)'!$A:$A,ROW(A44))</f>
        <v>0</v>
      </c>
      <c r="KI86" s="6">
        <f>SUMIFS('Time based aggregation (hide)'!$J:$J,'Time based aggregation (hide)'!$E:$E,2,'Time based aggregation (hide)'!$F:$F,1,'Time based aggregation (hide)'!$A:$A,ROW(A44))</f>
        <v>0</v>
      </c>
      <c r="KJ86" s="6">
        <f>SUMIFS('Time based aggregation (hide)'!$J:$J,'Time based aggregation (hide)'!$E:$E,2,'Time based aggregation (hide)'!$F:$F,2,'Time based aggregation (hide)'!$A:$A,ROW(A44))</f>
        <v>0</v>
      </c>
      <c r="KK86" s="6">
        <f>SUMIFS('Time based aggregation (hide)'!$J:$J,'Time based aggregation (hide)'!$E:$E,2,'Time based aggregation (hide)'!$F:$F,3,'Time based aggregation (hide)'!$A:$A,ROW(A44))</f>
        <v>0</v>
      </c>
      <c r="KL86" s="6">
        <f>SUMIFS('Time based aggregation (hide)'!$J:$J,'Time based aggregation (hide)'!$E:$E,3,'Time based aggregation (hide)'!$F:$F,1,'Time based aggregation (hide)'!$A:$A,ROW(A44))</f>
        <v>0</v>
      </c>
      <c r="KM86" s="6">
        <f>SUMIFS('Time based aggregation (hide)'!$J:$J,'Time based aggregation (hide)'!$E:$E,3,'Time based aggregation (hide)'!$F:$F,2,'Time based aggregation (hide)'!$A:$A,ROW(A44))</f>
        <v>0</v>
      </c>
      <c r="KN86" s="6">
        <f>SUMIFS('Time based aggregation (hide)'!$J:$J,'Time based aggregation (hide)'!$E:$E,3,'Time based aggregation (hide)'!$F:$F,3,'Time based aggregation (hide)'!$A:$A,ROW(A44))</f>
        <v>0</v>
      </c>
      <c r="KO86" s="6">
        <f>SUMIFS('Time based aggregation (hide)'!$J:$J,'Time based aggregation (hide)'!$E:$E,4,'Time based aggregation (hide)'!$F:$F,1,'Time based aggregation (hide)'!$A:$A,ROW(A44))</f>
        <v>0</v>
      </c>
      <c r="KP86" s="6">
        <f>SUMIFS('Time based aggregation (hide)'!$J:$J,'Time based aggregation (hide)'!$E:$E,4,'Time based aggregation (hide)'!$F:$F,2,'Time based aggregation (hide)'!$A:$A,ROW(A44))</f>
        <v>0</v>
      </c>
      <c r="KQ86" s="6">
        <f>SUMIFS('Time based aggregation (hide)'!$J:$J,'Time based aggregation (hide)'!$E:$E,4,'Time based aggregation (hide)'!$F:$F,3,'Time based aggregation (hide)'!$A:$A,ROW(A44))</f>
        <v>0</v>
      </c>
      <c r="KR86" s="6">
        <f>SUMIFS('Time based aggregation (hide)'!$J:$J,'Time based aggregation (hide)'!$E:$E,5,'Time based aggregation (hide)'!$F:$F,1,'Time based aggregation (hide)'!$A:$A,ROW(A44))</f>
        <v>0</v>
      </c>
      <c r="KS86" s="6">
        <f>SUMIFS('Time based aggregation (hide)'!$J:$J,'Time based aggregation (hide)'!$E:$E,5,'Time based aggregation (hide)'!$F:$F,2,'Time based aggregation (hide)'!$A:$A,ROW(A44))</f>
        <v>0</v>
      </c>
      <c r="KT86" s="6">
        <f>SUMIFS('Time based aggregation (hide)'!$J:$J,'Time based aggregation (hide)'!$E:$E,5,'Time based aggregation (hide)'!$F:$F,3,'Time based aggregation (hide)'!$A:$A,ROW(A44))</f>
        <v>0</v>
      </c>
      <c r="KU86" s="6">
        <f>SUMIFS('Time based aggregation (hide)'!$J:$J,'Time based aggregation (hide)'!$E:$E,6,'Time based aggregation (hide)'!$F:$F,1,'Time based aggregation (hide)'!$A:$A,ROW(A44))</f>
        <v>0</v>
      </c>
      <c r="KV86" s="6">
        <f>SUMIFS('Time based aggregation (hide)'!$J:$J,'Time based aggregation (hide)'!$E:$E,6,'Time based aggregation (hide)'!$F:$F,2,'Time based aggregation (hide)'!$A:$A,ROW(A44))</f>
        <v>0</v>
      </c>
      <c r="KW86" s="6">
        <f>SUMIFS('Time based aggregation (hide)'!$J:$J,'Time based aggregation (hide)'!$E:$E,6,'Time based aggregation (hide)'!$F:$F,3,'Time based aggregation (hide)'!$A:$A,ROW(A44))</f>
        <v>0</v>
      </c>
      <c r="KX86" s="6">
        <f>SUMIFS('Time based aggregation (hide)'!$J:$J,'Time based aggregation (hide)'!$E:$E,7,'Time based aggregation (hide)'!$F:$F,1,'Time based aggregation (hide)'!$A:$A,ROW(A44))</f>
        <v>0</v>
      </c>
      <c r="KY86" s="6">
        <f>SUMIFS('Time based aggregation (hide)'!$J:$J,'Time based aggregation (hide)'!$E:$E,7,'Time based aggregation (hide)'!$F:$F,2,'Time based aggregation (hide)'!$A:$A,ROW(A44))</f>
        <v>0</v>
      </c>
      <c r="KZ86" s="6">
        <f>SUMIFS('Time based aggregation (hide)'!$J:$J,'Time based aggregation (hide)'!$E:$E,7,'Time based aggregation (hide)'!$F:$F,3,'Time based aggregation (hide)'!$A:$A,ROW(A44))</f>
        <v>0</v>
      </c>
      <c r="LA86" s="6">
        <f>SUMIFS('Time based aggregation (hide)'!$J:$J,'Time based aggregation (hide)'!$E:$E,8,'Time based aggregation (hide)'!$F:$F,1,'Time based aggregation (hide)'!$A:$A,ROW(A44))</f>
        <v>0</v>
      </c>
      <c r="LB86" s="6">
        <f>SUMIFS('Time based aggregation (hide)'!$J:$J,'Time based aggregation (hide)'!$E:$E,8,'Time based aggregation (hide)'!$F:$F,2,'Time based aggregation (hide)'!$A:$A,ROW(A44))</f>
        <v>0</v>
      </c>
      <c r="LC86" s="6">
        <f>SUMIFS('Time based aggregation (hide)'!$J:$J,'Time based aggregation (hide)'!$E:$E,8,'Time based aggregation (hide)'!$F:$F,3,'Time based aggregation (hide)'!$A:$A,ROW(A44))</f>
        <v>0</v>
      </c>
      <c r="LD86" s="6">
        <f>SUMIFS('Time based aggregation (hide)'!$J:$J,'Time based aggregation (hide)'!$E:$E,9,'Time based aggregation (hide)'!$F:$F,1,'Time based aggregation (hide)'!$A:$A,ROW(A44))</f>
        <v>0</v>
      </c>
      <c r="LE86" s="6">
        <f>SUMIFS('Time based aggregation (hide)'!$J:$J,'Time based aggregation (hide)'!$E:$E,9,'Time based aggregation (hide)'!$F:$F,2,'Time based aggregation (hide)'!$A:$A,ROW(A44))</f>
        <v>0</v>
      </c>
      <c r="LF86" s="6">
        <f>SUMIFS('Time based aggregation (hide)'!$J:$J,'Time based aggregation (hide)'!$E:$E,9,'Time based aggregation (hide)'!$F:$F,3,'Time based aggregation (hide)'!$A:$A,ROW(A44))</f>
        <v>0</v>
      </c>
      <c r="LG86" s="6">
        <f>SUMIFS('Time based aggregation (hide)'!$J:$J,'Time based aggregation (hide)'!$E:$E,10,'Time based aggregation (hide)'!$F:$F,1,'Time based aggregation (hide)'!$A:$A,ROW(A44))</f>
        <v>0</v>
      </c>
      <c r="LH86" s="6">
        <f>SUMIFS('Time based aggregation (hide)'!$J:$J,'Time based aggregation (hide)'!$E:$E,10,'Time based aggregation (hide)'!$F:$F,2,'Time based aggregation (hide)'!$A:$A,ROW(A44))</f>
        <v>0</v>
      </c>
      <c r="LI86" s="6">
        <f>SUMIFS('Time based aggregation (hide)'!$J:$J,'Time based aggregation (hide)'!$E:$E,10,'Time based aggregation (hide)'!$F:$F,3,'Time based aggregation (hide)'!$A:$A,ROW(A44))</f>
        <v>0</v>
      </c>
      <c r="LJ86" s="6">
        <f>SUMIFS('Time based aggregation (hide)'!$J:$J,'Time based aggregation (hide)'!$E:$E,11,'Time based aggregation (hide)'!$F:$F,1,'Time based aggregation (hide)'!$A:$A,ROW(A44))</f>
        <v>0</v>
      </c>
      <c r="LK86" s="6">
        <f>SUMIFS('Time based aggregation (hide)'!$J:$J,'Time based aggregation (hide)'!$E:$E,11,'Time based aggregation (hide)'!$F:$F,2,'Time based aggregation (hide)'!$A:$A,ROW(A44))</f>
        <v>0</v>
      </c>
      <c r="LL86" s="6">
        <f>SUMIFS('Time based aggregation (hide)'!$J:$J,'Time based aggregation (hide)'!$E:$E,11,'Time based aggregation (hide)'!$F:$F,3,'Time based aggregation (hide)'!$A:$A,ROW(A44))</f>
        <v>0</v>
      </c>
      <c r="LM86" s="6">
        <f>SUMIFS('Time based aggregation (hide)'!$J:$J,'Time based aggregation (hide)'!$E:$E,12,'Time based aggregation (hide)'!$F:$F,1,'Time based aggregation (hide)'!$A:$A,ROW(A44))</f>
        <v>0</v>
      </c>
      <c r="LN86" s="6">
        <f>SUMIFS('Time based aggregation (hide)'!$J:$J,'Time based aggregation (hide)'!$E:$E,12,'Time based aggregation (hide)'!$F:$F,2,'Time based aggregation (hide)'!$A:$A,ROW(A44))</f>
        <v>0</v>
      </c>
      <c r="LO86" s="6">
        <f>SUMIFS('Time based aggregation (hide)'!$J:$J,'Time based aggregation (hide)'!$E:$E,12,'Time based aggregation (hide)'!$F:$F,3,'Time based aggregation (hide)'!$A:$A,ROW(A44))</f>
        <v>0</v>
      </c>
      <c r="LP86" s="6">
        <f>SUMIFS('Time based aggregation (hide)'!$J:$J,'Time based aggregation (hide)'!$E:$E,13,'Time based aggregation (hide)'!$F:$F,1,'Time based aggregation (hide)'!$A:$A,ROW(A44))</f>
        <v>0</v>
      </c>
      <c r="LQ86" s="6">
        <f>SUMIFS('Time based aggregation (hide)'!$J:$J,'Time based aggregation (hide)'!$E:$E,13,'Time based aggregation (hide)'!$F:$F,2,'Time based aggregation (hide)'!$A:$A,ROW(A44))</f>
        <v>0</v>
      </c>
      <c r="LR86" s="6">
        <f>SUMIFS('Time based aggregation (hide)'!$J:$J,'Time based aggregation (hide)'!$E:$E,13,'Time based aggregation (hide)'!$F:$F,3,'Time based aggregation (hide)'!$A:$A,ROW(A44))</f>
        <v>0</v>
      </c>
      <c r="LS86" s="6">
        <f>SUMIFS('Time based aggregation (hide)'!$J:$J,'Time based aggregation (hide)'!$E:$E,14,'Time based aggregation (hide)'!$F:$F,1,'Time based aggregation (hide)'!$A:$A,ROW(A44))</f>
        <v>0</v>
      </c>
      <c r="LT86" s="6">
        <f>SUMIFS('Time based aggregation (hide)'!$J:$J,'Time based aggregation (hide)'!$E:$E,14,'Time based aggregation (hide)'!$F:$F,2,'Time based aggregation (hide)'!$A:$A,ROW(A44))</f>
        <v>0</v>
      </c>
      <c r="LU86" s="6">
        <f>SUMIFS('Time based aggregation (hide)'!$J:$J,'Time based aggregation (hide)'!$E:$E,14,'Time based aggregation (hide)'!$F:$F,3,'Time based aggregation (hide)'!$A:$A,ROW(A44))</f>
        <v>0</v>
      </c>
      <c r="LV86" s="6">
        <f>SUMIFS('Time based aggregation (hide)'!$J:$J,'Time based aggregation (hide)'!$E:$E,15,'Time based aggregation (hide)'!$F:$F,1,'Time based aggregation (hide)'!$A:$A,ROW(A44))</f>
        <v>0</v>
      </c>
      <c r="LW86" s="6">
        <f>SUMIFS('Time based aggregation (hide)'!$J:$J,'Time based aggregation (hide)'!$E:$E,15,'Time based aggregation (hide)'!$F:$F,2,'Time based aggregation (hide)'!$A:$A,ROW(A44))</f>
        <v>0</v>
      </c>
      <c r="LX86" s="6">
        <f>SUMIFS('Time based aggregation (hide)'!$J:$J,'Time based aggregation (hide)'!$E:$E,15,'Time based aggregation (hide)'!$F:$F,3,'Time based aggregation (hide)'!$A:$A,ROW(A44))</f>
        <v>0</v>
      </c>
      <c r="LY86" s="6">
        <f>SUMIFS('Time based aggregation (hide)'!$J:$J,'Time based aggregation (hide)'!$E:$E,16,'Time based aggregation (hide)'!$F:$F,1,'Time based aggregation (hide)'!$A:$A,ROW(A44))</f>
        <v>0</v>
      </c>
      <c r="LZ86" s="6">
        <f>SUMIFS('Time based aggregation (hide)'!$J:$J,'Time based aggregation (hide)'!$E:$E,16,'Time based aggregation (hide)'!$F:$F,2,'Time based aggregation (hide)'!$A:$A,ROW(A44))</f>
        <v>0</v>
      </c>
      <c r="MA86" s="6">
        <f>SUMIFS('Time based aggregation (hide)'!$J:$J,'Time based aggregation (hide)'!$E:$E,16,'Time based aggregation (hide)'!$F:$F,3,'Time based aggregation (hide)'!$A:$A,ROW(A44))</f>
        <v>0</v>
      </c>
      <c r="MB86" s="6">
        <f>SUMIFS('Time based aggregation (hide)'!$J:$J,'Time based aggregation (hide)'!$E:$E,17,'Time based aggregation (hide)'!$F:$F,1,'Time based aggregation (hide)'!$A:$A,ROW(A44))</f>
        <v>0</v>
      </c>
      <c r="MC86" s="6">
        <f>SUMIFS('Time based aggregation (hide)'!$J:$J,'Time based aggregation (hide)'!$E:$E,17,'Time based aggregation (hide)'!$F:$F,2,'Time based aggregation (hide)'!$A:$A,ROW(A44))</f>
        <v>0</v>
      </c>
      <c r="MD86" s="6">
        <f>SUMIFS('Time based aggregation (hide)'!$J:$J,'Time based aggregation (hide)'!$E:$E,17,'Time based aggregation (hide)'!$F:$F,3,'Time based aggregation (hide)'!$A:$A,ROW(A44))</f>
        <v>0</v>
      </c>
      <c r="ME86" s="6">
        <f>SUMIFS('Time based aggregation (hide)'!$J:$J,'Time based aggregation (hide)'!$E:$E,18,'Time based aggregation (hide)'!$F:$F,1,'Time based aggregation (hide)'!$A:$A,ROW(A44))</f>
        <v>0</v>
      </c>
      <c r="MF86" s="6">
        <f>SUMIFS('Time based aggregation (hide)'!$J:$J,'Time based aggregation (hide)'!$E:$E,18,'Time based aggregation (hide)'!$F:$F,2,'Time based aggregation (hide)'!$A:$A,ROW(A44))</f>
        <v>0</v>
      </c>
      <c r="MG86" s="6">
        <f>SUMIFS('Time based aggregation (hide)'!$J:$J,'Time based aggregation (hide)'!$E:$E,18,'Time based aggregation (hide)'!$F:$F,3,'Time based aggregation (hide)'!$A:$A,ROW(A44))</f>
        <v>0</v>
      </c>
      <c r="MH86" s="6">
        <f>SUMIFS('Time based aggregation (hide)'!$J:$J,'Time based aggregation (hide)'!$E:$E,19,'Time based aggregation (hide)'!$F:$F,1,'Time based aggregation (hide)'!$A:$A,ROW(A44))</f>
        <v>0</v>
      </c>
      <c r="MI86" s="6">
        <f>SUMIFS('Time based aggregation (hide)'!$J:$J,'Time based aggregation (hide)'!$E:$E,19,'Time based aggregation (hide)'!$F:$F,2,'Time based aggregation (hide)'!$A:$A,ROW(A44))</f>
        <v>0</v>
      </c>
      <c r="MJ86" s="6">
        <f>SUMIFS('Time based aggregation (hide)'!$J:$J,'Time based aggregation (hide)'!$E:$E,19,'Time based aggregation (hide)'!$F:$F,3,'Time based aggregation (hide)'!$A:$A,ROW(A44))</f>
        <v>0</v>
      </c>
      <c r="MK86" s="6">
        <f>SUMIFS('Time based aggregation (hide)'!$J:$J,'Time based aggregation (hide)'!$E:$E,20,'Time based aggregation (hide)'!$F:$F,1,'Time based aggregation (hide)'!$A:$A,ROW(A44))</f>
        <v>0</v>
      </c>
      <c r="ML86" s="6">
        <f>SUMIFS('Time based aggregation (hide)'!$J:$J,'Time based aggregation (hide)'!$E:$E,20,'Time based aggregation (hide)'!$F:$F,2,'Time based aggregation (hide)'!$A:$A,ROW(A44))</f>
        <v>0</v>
      </c>
      <c r="MM86" s="6">
        <f>SUMIFS('Time based aggregation (hide)'!$J:$J,'Time based aggregation (hide)'!$E:$E,20,'Time based aggregation (hide)'!$F:$F,3,'Time based aggregation (hide)'!$A:$A,ROW(A44))</f>
        <v>0</v>
      </c>
      <c r="MN86" s="7">
        <f t="shared" ca="1" si="48"/>
        <v>0</v>
      </c>
      <c r="MO86" s="7">
        <f t="shared" ca="1" si="48"/>
        <v>0</v>
      </c>
      <c r="MP86" s="7">
        <f t="shared" ca="1" si="48"/>
        <v>0</v>
      </c>
      <c r="MQ86" s="7">
        <f t="shared" ca="1" si="48"/>
        <v>0</v>
      </c>
      <c r="MR86" s="7">
        <f t="shared" ca="1" si="48"/>
        <v>0</v>
      </c>
    </row>
    <row r="87" spans="1:356" x14ac:dyDescent="0.25">
      <c r="A87">
        <f>1</f>
        <v>1</v>
      </c>
      <c r="B87" s="85">
        <f t="shared" si="37"/>
        <v>43875</v>
      </c>
      <c r="C87" s="85">
        <f t="shared" si="25"/>
        <v>43871</v>
      </c>
      <c r="D87">
        <f t="shared" ca="1" si="26"/>
        <v>1</v>
      </c>
      <c r="E87" s="85">
        <f t="shared" si="27"/>
        <v>43862</v>
      </c>
      <c r="F87">
        <f t="shared" si="33"/>
        <v>7</v>
      </c>
      <c r="H87">
        <f t="shared" si="34"/>
        <v>45</v>
      </c>
      <c r="I87" s="85">
        <f t="shared" si="38"/>
        <v>44137</v>
      </c>
      <c r="J87">
        <f t="shared" ca="1" si="46"/>
        <v>5</v>
      </c>
      <c r="K87">
        <f t="shared" ca="1" si="47"/>
        <v>1.968503937007874E-2</v>
      </c>
      <c r="L87" s="114"/>
      <c r="N87" s="85">
        <f t="shared" si="35"/>
        <v>44137</v>
      </c>
      <c r="O87" s="122">
        <f t="shared" ca="1" si="49"/>
        <v>0</v>
      </c>
      <c r="P87" s="122">
        <f t="shared" ca="1" si="49"/>
        <v>0</v>
      </c>
      <c r="Q87" s="122">
        <f t="shared" ca="1" si="49"/>
        <v>0</v>
      </c>
      <c r="R87" s="122">
        <f t="shared" ca="1" si="49"/>
        <v>0</v>
      </c>
      <c r="S87" s="122">
        <f t="shared" ca="1" si="49"/>
        <v>0</v>
      </c>
      <c r="T87" s="122">
        <f t="shared" ca="1" si="49"/>
        <v>0</v>
      </c>
      <c r="U87" s="122">
        <f t="shared" ca="1" si="49"/>
        <v>0</v>
      </c>
      <c r="V87" s="122">
        <f t="shared" ca="1" si="49"/>
        <v>0</v>
      </c>
      <c r="W87" s="122">
        <f t="shared" ca="1" si="49"/>
        <v>0</v>
      </c>
      <c r="X87" s="122">
        <f t="shared" ca="1" si="49"/>
        <v>0</v>
      </c>
      <c r="Y87" s="122">
        <f t="shared" ca="1" si="49"/>
        <v>1</v>
      </c>
      <c r="Z87" s="122">
        <f t="shared" ca="1" si="49"/>
        <v>0</v>
      </c>
      <c r="AA87" s="122"/>
      <c r="AB87" s="140">
        <f>INDEX('File 1'!Weekly_Adjusted,45,1)</f>
        <v>388.17143954725253</v>
      </c>
      <c r="AC87" s="140">
        <f>INDEX('File 1'!Weekly_Adjusted,45,2)</f>
        <v>0</v>
      </c>
      <c r="AD87" s="140">
        <f>INDEX('File 1'!Weekly_Adjusted,45,3)</f>
        <v>0</v>
      </c>
      <c r="AE87" s="141">
        <f>INDEX('File 2'!Weekly_Adjusted,45,1)</f>
        <v>0</v>
      </c>
      <c r="AF87" s="141">
        <f>INDEX('File 2'!Weekly_Adjusted,45,2)</f>
        <v>0</v>
      </c>
      <c r="AG87" s="141">
        <f>INDEX('File 2'!Weekly_Adjusted,45,3)</f>
        <v>0</v>
      </c>
      <c r="AH87" s="140">
        <f>INDEX('File 3'!Weekly_Adjusted,45,1)</f>
        <v>0</v>
      </c>
      <c r="AI87" s="140">
        <f>INDEX('File 3'!Weekly_Adjusted,45,2)</f>
        <v>0</v>
      </c>
      <c r="AJ87" s="140">
        <f>INDEX('File 3'!Weekly_Adjusted,45,3)</f>
        <v>0</v>
      </c>
      <c r="AK87" s="141">
        <f>INDEX('File 4'!Weekly_Adjusted,45,1)</f>
        <v>0</v>
      </c>
      <c r="AL87" s="141">
        <f>INDEX('File 4'!Weekly_Adjusted,45,2)</f>
        <v>0</v>
      </c>
      <c r="AM87" s="141">
        <f>INDEX('File 4'!Weekly_Adjusted,45,3)</f>
        <v>0</v>
      </c>
      <c r="AN87" s="140">
        <f>INDEX('File 5'!Weekly_Adjusted,45,1)</f>
        <v>0</v>
      </c>
      <c r="AO87" s="140">
        <f>INDEX('File 5'!Weekly_Adjusted,45,2)</f>
        <v>0</v>
      </c>
      <c r="AP87" s="140">
        <f>INDEX('File 5'!Weekly_Adjusted,45,3)</f>
        <v>0</v>
      </c>
      <c r="AQ87" s="141">
        <f>INDEX('File 6'!Weekly_Adjusted,45,1)</f>
        <v>0</v>
      </c>
      <c r="AR87" s="141">
        <f>INDEX('File 6'!Weekly_Adjusted,45,2)</f>
        <v>0</v>
      </c>
      <c r="AS87" s="141">
        <f>INDEX('File 6'!Weekly_Adjusted,45,3)</f>
        <v>0</v>
      </c>
      <c r="AT87" s="140">
        <f>INDEX('File 7'!Weekly_Adjusted,45,1)</f>
        <v>0</v>
      </c>
      <c r="AU87" s="140">
        <f>INDEX('File 7'!Weekly_Adjusted,45,2)</f>
        <v>0</v>
      </c>
      <c r="AV87" s="140">
        <f>INDEX('File 7'!Weekly_Adjusted,45,3)</f>
        <v>0</v>
      </c>
      <c r="AW87" s="141">
        <f>INDEX('File 8'!Weekly_Adjusted,45,1)</f>
        <v>0</v>
      </c>
      <c r="AX87" s="141">
        <f>INDEX('File 8'!Weekly_Adjusted,45,2)</f>
        <v>0</v>
      </c>
      <c r="AY87" s="141">
        <f>INDEX('File 8'!Weekly_Adjusted,45,3)</f>
        <v>0</v>
      </c>
      <c r="AZ87" s="140">
        <f>INDEX('File 9'!Weekly_Adjusted,45,1)</f>
        <v>0</v>
      </c>
      <c r="BA87" s="140">
        <f>INDEX('File 9'!Weekly_Adjusted,45,2)</f>
        <v>0</v>
      </c>
      <c r="BB87" s="140">
        <f>INDEX('File 9'!Weekly_Adjusted,45,3)</f>
        <v>0</v>
      </c>
      <c r="BC87" s="141">
        <f>INDEX('File 10'!Weekly_Adjusted,45,1)</f>
        <v>0</v>
      </c>
      <c r="BD87" s="141">
        <f>INDEX('File 10'!Weekly_Adjusted,45,2)</f>
        <v>0</v>
      </c>
      <c r="BE87" s="141">
        <f>INDEX('File 10'!Weekly_Adjusted,45,3)</f>
        <v>0</v>
      </c>
      <c r="BF87" s="140">
        <f>INDEX('File 11'!Weekly_Adjusted,45,1)</f>
        <v>0</v>
      </c>
      <c r="BG87" s="140">
        <f>INDEX('File 11'!Weekly_Adjusted,45,2)</f>
        <v>0</v>
      </c>
      <c r="BH87" s="140">
        <f>INDEX('File 11'!Weekly_Adjusted,45,3)</f>
        <v>0</v>
      </c>
      <c r="BI87" s="141">
        <f>INDEX('File 12'!Weekly_Adjusted,45,1)</f>
        <v>0</v>
      </c>
      <c r="BJ87" s="141">
        <f>INDEX('File 12'!Weekly_Adjusted,45,2)</f>
        <v>0</v>
      </c>
      <c r="BK87" s="141">
        <f>INDEX('File 12'!Weekly_Adjusted,45,3)</f>
        <v>0</v>
      </c>
      <c r="BL87" s="140">
        <f>INDEX('File 13'!Weekly_Adjusted,45,1)</f>
        <v>0</v>
      </c>
      <c r="BM87" s="140">
        <f>INDEX('File 13'!Weekly_Adjusted,45,2)</f>
        <v>0</v>
      </c>
      <c r="BN87" s="140">
        <f>INDEX('File 13'!Weekly_Adjusted,45,3)</f>
        <v>0</v>
      </c>
      <c r="BO87" s="141">
        <f>INDEX('File 14'!Weekly_Adjusted,45,1)</f>
        <v>0</v>
      </c>
      <c r="BP87" s="141">
        <f>INDEX('File 14'!Weekly_Adjusted,45,2)</f>
        <v>0</v>
      </c>
      <c r="BQ87" s="141">
        <f>INDEX('File 14'!Weekly_Adjusted,45,3)</f>
        <v>0</v>
      </c>
      <c r="BR87" s="140">
        <f>INDEX('File 15'!Weekly_Adjusted,45,1)</f>
        <v>0</v>
      </c>
      <c r="BS87" s="140">
        <f>INDEX('File 15'!Weekly_Adjusted,45,2)</f>
        <v>0</v>
      </c>
      <c r="BT87" s="140">
        <f>INDEX('File 15'!Weekly_Adjusted,45,3)</f>
        <v>0</v>
      </c>
      <c r="BU87" s="141">
        <f>INDEX('File 16'!Weekly_Adjusted,45,1)</f>
        <v>0</v>
      </c>
      <c r="BV87" s="141">
        <f>INDEX('File 16'!Weekly_Adjusted,45,2)</f>
        <v>0</v>
      </c>
      <c r="BW87" s="141">
        <f>INDEX('File 16'!Weekly_Adjusted,45,3)</f>
        <v>0</v>
      </c>
      <c r="BX87" s="140">
        <f>INDEX('File 17'!Weekly_Adjusted,45,1)</f>
        <v>0</v>
      </c>
      <c r="BY87" s="140">
        <f>INDEX('File 17'!Weekly_Adjusted,45,2)</f>
        <v>0</v>
      </c>
      <c r="BZ87" s="140">
        <f>INDEX('File 17'!Weekly_Adjusted,45,3)</f>
        <v>0</v>
      </c>
      <c r="CA87" s="141">
        <f>INDEX('File 18'!Weekly_Adjusted,45,1)</f>
        <v>0</v>
      </c>
      <c r="CB87" s="141">
        <f>INDEX('File 18'!Weekly_Adjusted,45,2)</f>
        <v>0</v>
      </c>
      <c r="CC87" s="141">
        <f>INDEX('File 18'!Weekly_Adjusted,45,3)</f>
        <v>0</v>
      </c>
      <c r="CD87" s="140">
        <f>INDEX('File 19'!Weekly_Adjusted,45,1)</f>
        <v>0</v>
      </c>
      <c r="CE87" s="140">
        <f>INDEX('File 19'!Weekly_Adjusted,45,2)</f>
        <v>0</v>
      </c>
      <c r="CF87" s="140">
        <f>INDEX('File 19'!Weekly_Adjusted,45,3)</f>
        <v>0</v>
      </c>
      <c r="CG87" s="141">
        <f>INDEX('File 20'!Weekly_Adjusted,45,1)</f>
        <v>0</v>
      </c>
      <c r="CH87" s="141">
        <f>INDEX('File 20'!Weekly_Adjusted,45,2)</f>
        <v>0</v>
      </c>
      <c r="CI87" s="141">
        <f>INDEX('File 20'!Weekly_Adjusted,45,3)</f>
        <v>0</v>
      </c>
      <c r="CJ87" s="6">
        <f ca="1">SUMIFS(INDEX(Demand_Activity_Weekly,ROW(A45),0),Demand_Activity_Weekly_Header,CJ$42)</f>
        <v>388.17143954725253</v>
      </c>
      <c r="CK87" s="6">
        <f ca="1">SUMIFS(INDEX(Demand_Activity_Weekly,ROW(B45),0),Demand_Activity_Weekly_Header,CK$42)</f>
        <v>0</v>
      </c>
      <c r="CL87" s="6">
        <f ca="1">SUMIFS(INDEX(Demand_Activity_Weekly,ROW(C45),0),Demand_Activity_Weekly_Header,CL$42)</f>
        <v>0</v>
      </c>
      <c r="CM87" s="6">
        <f ca="1">SUMIFS(INDEX(Demand_Activity_Weekly,ROW(D45),0),Demand_Activity_Weekly_Header,CM$42)</f>
        <v>0</v>
      </c>
      <c r="CN87" s="6">
        <f ca="1">SUMIFS(INDEX(Demand_Activity_Weekly,ROW(E45),0),Demand_Activity_Weekly_Header,CN$42)</f>
        <v>0</v>
      </c>
      <c r="CP87" s="142">
        <f>INDEX('File 1'!Weekly_Adjusted,45,10)</f>
        <v>24.344712210866053</v>
      </c>
      <c r="CQ87" s="142">
        <f>INDEX('File 1'!Weekly_Adjusted,45,11)</f>
        <v>0</v>
      </c>
      <c r="CR87" s="142">
        <f>INDEX('File 1'!Weekly_Adjusted,45,12)</f>
        <v>0</v>
      </c>
      <c r="CS87" s="143">
        <f>INDEX('File 2'!Weekly_Adjusted,45,10)</f>
        <v>0</v>
      </c>
      <c r="CT87" s="143">
        <f>INDEX('File 2'!Weekly_Adjusted,45,11)</f>
        <v>0</v>
      </c>
      <c r="CU87" s="143">
        <f>INDEX('File 2'!Weekly_Adjusted,45,12)</f>
        <v>0</v>
      </c>
      <c r="CV87" s="142">
        <f>INDEX('File 3'!Weekly_Adjusted,45,10)</f>
        <v>0</v>
      </c>
      <c r="CW87" s="142">
        <f>INDEX('File 3'!Weekly_Adjusted,45,11)</f>
        <v>0</v>
      </c>
      <c r="CX87" s="142">
        <f>INDEX('File 3'!Weekly_Adjusted,45,12)</f>
        <v>0</v>
      </c>
      <c r="CY87" s="143">
        <f>INDEX('File 4'!Weekly_Adjusted,45,10)</f>
        <v>0</v>
      </c>
      <c r="CZ87" s="143">
        <f>INDEX('File 4'!Weekly_Adjusted,45,11)</f>
        <v>0</v>
      </c>
      <c r="DA87" s="143">
        <f>INDEX('File 4'!Weekly_Adjusted,45,12)</f>
        <v>0</v>
      </c>
      <c r="DB87" s="142">
        <f>INDEX('File 5'!Weekly_Adjusted,45,10)</f>
        <v>0</v>
      </c>
      <c r="DC87" s="142">
        <f>INDEX('File 5'!Weekly_Adjusted,45,11)</f>
        <v>0</v>
      </c>
      <c r="DD87" s="142">
        <f>INDEX('File 5'!Weekly_Adjusted,45,12)</f>
        <v>0</v>
      </c>
      <c r="DE87" s="143">
        <f>INDEX('File 6'!Weekly_Adjusted,45,10)</f>
        <v>0</v>
      </c>
      <c r="DF87" s="143">
        <f>INDEX('File 6'!Weekly_Adjusted,45,11)</f>
        <v>0</v>
      </c>
      <c r="DG87" s="143">
        <f>INDEX('File 6'!Weekly_Adjusted,45,12)</f>
        <v>0</v>
      </c>
      <c r="DH87" s="142">
        <f>INDEX('File 7'!Weekly_Adjusted,45,10)</f>
        <v>0</v>
      </c>
      <c r="DI87" s="142">
        <f>INDEX('File 7'!Weekly_Adjusted,45,11)</f>
        <v>0</v>
      </c>
      <c r="DJ87" s="142">
        <f>INDEX('File 7'!Weekly_Adjusted,45,12)</f>
        <v>0</v>
      </c>
      <c r="DK87" s="143">
        <f>INDEX('File 8'!Weekly_Adjusted,45,10)</f>
        <v>0</v>
      </c>
      <c r="DL87" s="143">
        <f>INDEX('File 8'!Weekly_Adjusted,45,11)</f>
        <v>0</v>
      </c>
      <c r="DM87" s="143">
        <f>INDEX('File 8'!Weekly_Adjusted,45,12)</f>
        <v>0</v>
      </c>
      <c r="DN87" s="142">
        <f>INDEX('File 9'!Weekly_Adjusted,45,10)</f>
        <v>0</v>
      </c>
      <c r="DO87" s="142">
        <f>INDEX('File 9'!Weekly_Adjusted,45,11)</f>
        <v>0</v>
      </c>
      <c r="DP87" s="142">
        <f>INDEX('File 9'!Weekly_Adjusted,45,12)</f>
        <v>0</v>
      </c>
      <c r="DQ87" s="143">
        <f>INDEX('File 10'!Weekly_Adjusted,45,10)</f>
        <v>0</v>
      </c>
      <c r="DR87" s="143">
        <f>INDEX('File 10'!Weekly_Adjusted,45,11)</f>
        <v>0</v>
      </c>
      <c r="DS87" s="143">
        <f>INDEX('File 10'!Weekly_Adjusted,45,12)</f>
        <v>0</v>
      </c>
      <c r="DT87" s="142">
        <f>INDEX('File 11'!Weekly_Adjusted,45,10)</f>
        <v>0</v>
      </c>
      <c r="DU87" s="142">
        <f>INDEX('File 11'!Weekly_Adjusted,45,11)</f>
        <v>0</v>
      </c>
      <c r="DV87" s="142">
        <f>INDEX('File 11'!Weekly_Adjusted,45,12)</f>
        <v>0</v>
      </c>
      <c r="DW87" s="143">
        <f>INDEX('File 12'!Weekly_Adjusted,45,10)</f>
        <v>0</v>
      </c>
      <c r="DX87" s="143">
        <f>INDEX('File 12'!Weekly_Adjusted,45,11)</f>
        <v>0</v>
      </c>
      <c r="DY87" s="143">
        <f>INDEX('File 12'!Weekly_Adjusted,45,12)</f>
        <v>0</v>
      </c>
      <c r="DZ87" s="142">
        <f>INDEX('File 13'!Weekly_Adjusted,45,10)</f>
        <v>0</v>
      </c>
      <c r="EA87" s="142">
        <f>INDEX('File 13'!Weekly_Adjusted,45,11)</f>
        <v>0</v>
      </c>
      <c r="EB87" s="142">
        <f>INDEX('File 13'!Weekly_Adjusted,45,12)</f>
        <v>0</v>
      </c>
      <c r="EC87" s="143">
        <f>INDEX('File 14'!Weekly_Adjusted,45,10)</f>
        <v>0</v>
      </c>
      <c r="ED87" s="143">
        <f>INDEX('File 14'!Weekly_Adjusted,45,11)</f>
        <v>0</v>
      </c>
      <c r="EE87" s="143">
        <f>INDEX('File 14'!Weekly_Adjusted,45,12)</f>
        <v>0</v>
      </c>
      <c r="EF87" s="142">
        <f>INDEX('File 15'!Weekly_Adjusted,45,10)</f>
        <v>0</v>
      </c>
      <c r="EG87" s="142">
        <f>INDEX('File 15'!Weekly_Adjusted,45,11)</f>
        <v>0</v>
      </c>
      <c r="EH87" s="142">
        <f>INDEX('File 15'!Weekly_Adjusted,45,12)</f>
        <v>0</v>
      </c>
      <c r="EI87" s="143">
        <f>INDEX('File 16'!Weekly_Adjusted,45,10)</f>
        <v>0</v>
      </c>
      <c r="EJ87" s="143">
        <f>INDEX('File 16'!Weekly_Adjusted,45,11)</f>
        <v>0</v>
      </c>
      <c r="EK87" s="143">
        <f>INDEX('File 16'!Weekly_Adjusted,45,12)</f>
        <v>0</v>
      </c>
      <c r="EL87" s="142">
        <f>INDEX('File 17'!Weekly_Adjusted,45,10)</f>
        <v>0</v>
      </c>
      <c r="EM87" s="142">
        <f>INDEX('File 17'!Weekly_Adjusted,45,11)</f>
        <v>0</v>
      </c>
      <c r="EN87" s="142">
        <f>INDEX('File 17'!Weekly_Adjusted,45,12)</f>
        <v>0</v>
      </c>
      <c r="EO87" s="143">
        <f>INDEX('File 18'!Weekly_Adjusted,45,10)</f>
        <v>0</v>
      </c>
      <c r="EP87" s="143">
        <f>INDEX('File 18'!Weekly_Adjusted,45,11)</f>
        <v>0</v>
      </c>
      <c r="EQ87" s="143">
        <f>INDEX('File 18'!Weekly_Adjusted,45,12)</f>
        <v>0</v>
      </c>
      <c r="ER87" s="142">
        <f>INDEX('File 19'!Weekly_Adjusted,45,10)</f>
        <v>0</v>
      </c>
      <c r="ES87" s="142">
        <f>INDEX('File 19'!Weekly_Adjusted,45,11)</f>
        <v>0</v>
      </c>
      <c r="ET87" s="142">
        <f>INDEX('File 19'!Weekly_Adjusted,45,12)</f>
        <v>0</v>
      </c>
      <c r="EU87" s="143">
        <f>INDEX('File 20'!Weekly_Adjusted,45,10)</f>
        <v>0</v>
      </c>
      <c r="EV87" s="143">
        <f>INDEX('File 20'!Weekly_Adjusted,45,11)</f>
        <v>0</v>
      </c>
      <c r="EW87" s="143">
        <f>INDEX('File 20'!Weekly_Adjusted,45,12)</f>
        <v>0</v>
      </c>
      <c r="EX87" s="6">
        <f ca="1">SUMIFS(INDEX(Capacity_Activity_Weekly,ROW(A45),0),Demand_Activity_Weekly_Header,CJ$42)</f>
        <v>24.344712210866053</v>
      </c>
      <c r="EY87" s="6">
        <f ca="1">SUMIFS(INDEX(Capacity_Activity_Weekly,ROW(B45),0),Demand_Activity_Weekly_Header,CK$42)</f>
        <v>0</v>
      </c>
      <c r="EZ87" s="6">
        <f ca="1">SUMIFS(INDEX(Capacity_Activity_Weekly,ROW(C45),0),Demand_Activity_Weekly_Header,CL$42)</f>
        <v>0</v>
      </c>
      <c r="FA87" s="6">
        <f ca="1">SUMIFS(INDEX(Capacity_Activity_Weekly,ROW(D45),0),Demand_Activity_Weekly_Header,CM$42)</f>
        <v>0</v>
      </c>
      <c r="FB87" s="6">
        <f ca="1">SUMIFS(INDEX(Capacity_Activity_Weekly,ROW(E45),0),Demand_Activity_Weekly_Header,CN$42)</f>
        <v>0</v>
      </c>
      <c r="FD87" s="7">
        <f>'File 1'!$Q$54*'Time based aggregation (hide)'!$Q49</f>
        <v>0</v>
      </c>
      <c r="FE87" s="7">
        <f>'File 1'!$R$54*'Time based aggregation (hide)'!$R49</f>
        <v>0</v>
      </c>
      <c r="FF87" s="7">
        <f>'File 1'!$S$54*'Time based aggregation (hide)'!$S49</f>
        <v>0</v>
      </c>
      <c r="FG87" s="7">
        <f>'File 2'!$Q$54*'Time based aggregation (hide)'!$T49</f>
        <v>0</v>
      </c>
      <c r="FH87" s="7">
        <f>'File 2'!$R$54*'Time based aggregation (hide)'!$U49</f>
        <v>0</v>
      </c>
      <c r="FI87" s="7">
        <f>'File 2'!$S$54*'Time based aggregation (hide)'!$V49</f>
        <v>0</v>
      </c>
      <c r="FJ87" s="7">
        <f>'File 3'!$Q$54*'Time based aggregation (hide)'!$W49</f>
        <v>0</v>
      </c>
      <c r="FK87" s="7">
        <f>'File 3'!$R$54*'Time based aggregation (hide)'!$X49</f>
        <v>0</v>
      </c>
      <c r="FL87" s="7">
        <f>'File 3'!$S$54*'Time based aggregation (hide)'!$Y49</f>
        <v>0</v>
      </c>
      <c r="FM87" s="7">
        <f>'File 4'!$Q$54*'Time based aggregation (hide)'!$Z49</f>
        <v>0</v>
      </c>
      <c r="FN87" s="7">
        <f>'File 4'!$R$54*'Time based aggregation (hide)'!$AA49</f>
        <v>0</v>
      </c>
      <c r="FO87" s="7">
        <f>'File 4'!$S$54*'Time based aggregation (hide)'!$AB49</f>
        <v>0</v>
      </c>
      <c r="FP87" s="7">
        <f>'File 5'!$Q$54*'Time based aggregation (hide)'!$AC49</f>
        <v>0</v>
      </c>
      <c r="FQ87" s="7">
        <f>'File 5'!$R$54*'Time based aggregation (hide)'!$AD49</f>
        <v>0</v>
      </c>
      <c r="FR87" s="7">
        <f>'File 5'!$S$54*'Time based aggregation (hide)'!$AE49</f>
        <v>0</v>
      </c>
      <c r="FS87" s="7">
        <f>'File 6'!$Q$54*'Time based aggregation (hide)'!$AF49</f>
        <v>0</v>
      </c>
      <c r="FT87" s="7">
        <f>'File 6'!$R$54*'Time based aggregation (hide)'!$AG49</f>
        <v>0</v>
      </c>
      <c r="FU87" s="7">
        <f>'File 6'!$S$54*'Time based aggregation (hide)'!$AH49</f>
        <v>0</v>
      </c>
      <c r="FV87" s="7">
        <f>'File 7'!$Q$54*'Time based aggregation (hide)'!$AI49</f>
        <v>0</v>
      </c>
      <c r="FW87" s="7">
        <f>'File 7'!$R$54*'Time based aggregation (hide)'!$AJ49</f>
        <v>0</v>
      </c>
      <c r="FX87" s="7">
        <f>'File 7'!$S$54*'Time based aggregation (hide)'!$AK49</f>
        <v>0</v>
      </c>
      <c r="FY87" s="7">
        <f>'File 8'!$Q$54*'Time based aggregation (hide)'!$AL49</f>
        <v>0</v>
      </c>
      <c r="FZ87" s="7">
        <f>'File 8'!$R$54*'Time based aggregation (hide)'!$AM49</f>
        <v>0</v>
      </c>
      <c r="GA87" s="7">
        <f>'File 8'!$S$54*'Time based aggregation (hide)'!$AN49</f>
        <v>0</v>
      </c>
      <c r="GB87" s="7">
        <f>'File 9'!$Q$54*'Time based aggregation (hide)'!$AO49</f>
        <v>0</v>
      </c>
      <c r="GC87" s="7">
        <f>'File 9'!$R$54*'Time based aggregation (hide)'!$AP49</f>
        <v>0</v>
      </c>
      <c r="GD87" s="7">
        <f>'File 9'!$S$54*'Time based aggregation (hide)'!$AQ49</f>
        <v>0</v>
      </c>
      <c r="GE87" s="7">
        <f>'File 10'!$Q$54*'Time based aggregation (hide)'!$AR49</f>
        <v>0</v>
      </c>
      <c r="GF87" s="7">
        <f>'File 10'!$R$54*'Time based aggregation (hide)'!$AS49</f>
        <v>0</v>
      </c>
      <c r="GG87" s="7">
        <f>'File 10'!$S$54*'Time based aggregation (hide)'!$AT49</f>
        <v>0</v>
      </c>
      <c r="GH87" s="7">
        <f>'File 11'!$Q$54*'Time based aggregation (hide)'!$AU49</f>
        <v>0</v>
      </c>
      <c r="GI87" s="7">
        <f>'File 11'!$R$54*'Time based aggregation (hide)'!$AV49</f>
        <v>0</v>
      </c>
      <c r="GJ87" s="7">
        <f>'File 11'!$S$54*'Time based aggregation (hide)'!$AW49</f>
        <v>0</v>
      </c>
      <c r="GK87" s="7">
        <f>'File 12'!$Q$54*'Time based aggregation (hide)'!$AX49</f>
        <v>0</v>
      </c>
      <c r="GL87" s="7">
        <f>'File 12'!$R$54*'Time based aggregation (hide)'!$AY49</f>
        <v>0</v>
      </c>
      <c r="GM87" s="7">
        <f>'File 12'!$S$54*'Time based aggregation (hide)'!$AZ49</f>
        <v>0</v>
      </c>
      <c r="GN87" s="7">
        <f>'File 13'!$Q$54*'Time based aggregation (hide)'!$BA49</f>
        <v>0</v>
      </c>
      <c r="GO87" s="7">
        <f>'File 13'!$R$54*'Time based aggregation (hide)'!$BB49</f>
        <v>0</v>
      </c>
      <c r="GP87" s="7">
        <f>'File 13'!$S$54*'Time based aggregation (hide)'!$BC49</f>
        <v>0</v>
      </c>
      <c r="GQ87" s="7">
        <f>'File 14'!$Q$54*'Time based aggregation (hide)'!$BD49</f>
        <v>0</v>
      </c>
      <c r="GR87" s="7">
        <f>'File 14'!$R$54*'Time based aggregation (hide)'!$BE49</f>
        <v>0</v>
      </c>
      <c r="GS87" s="7">
        <f>'File 14'!$S$54*'Time based aggregation (hide)'!$BF49</f>
        <v>0</v>
      </c>
      <c r="GT87" s="7">
        <f>'File 15'!$Q$54*'Time based aggregation (hide)'!$BG49</f>
        <v>0</v>
      </c>
      <c r="GU87" s="7">
        <f>'File 15'!$R$54*'Time based aggregation (hide)'!$BH49</f>
        <v>0</v>
      </c>
      <c r="GV87" s="7">
        <f>'File 15'!$S$54*'Time based aggregation (hide)'!$BI49</f>
        <v>0</v>
      </c>
      <c r="GW87" s="7">
        <f>'File 16'!$Q$54*'Time based aggregation (hide)'!$BJ49</f>
        <v>0</v>
      </c>
      <c r="GX87" s="7">
        <f>'File 16'!$R$54*'Time based aggregation (hide)'!$BK49</f>
        <v>0</v>
      </c>
      <c r="GY87" s="7">
        <f>'File 16'!$S$54*'Time based aggregation (hide)'!$BL49</f>
        <v>0</v>
      </c>
      <c r="GZ87" s="7">
        <f>'File 17'!$Q$54*'Time based aggregation (hide)'!$BM49</f>
        <v>0</v>
      </c>
      <c r="HA87" s="7">
        <f>'File 17'!$R$54*'Time based aggregation (hide)'!$BN49</f>
        <v>0</v>
      </c>
      <c r="HB87" s="7">
        <f>'File 17'!$S$54*'Time based aggregation (hide)'!$BO49</f>
        <v>0</v>
      </c>
      <c r="HC87" s="7">
        <f>'File 18'!$Q$54*'Time based aggregation (hide)'!$BP49</f>
        <v>0</v>
      </c>
      <c r="HD87" s="7">
        <f>'File 18'!$R$54*'Time based aggregation (hide)'!$BQ49</f>
        <v>0</v>
      </c>
      <c r="HE87" s="7">
        <f>'File 18'!$S$54*'Time based aggregation (hide)'!$BR49</f>
        <v>0</v>
      </c>
      <c r="HF87" s="7">
        <f>'File 19'!$Q$54*'Time based aggregation (hide)'!$BS49</f>
        <v>0</v>
      </c>
      <c r="HG87" s="7">
        <f>'File 19'!$R$54*'Time based aggregation (hide)'!$BT49</f>
        <v>0</v>
      </c>
      <c r="HH87" s="7">
        <f>'File 19'!$S$54*'Time based aggregation (hide)'!$BU49</f>
        <v>0</v>
      </c>
      <c r="HI87" s="7">
        <f>'File 20'!$Q$54*'Time based aggregation (hide)'!$BV49</f>
        <v>0</v>
      </c>
      <c r="HJ87" s="7">
        <f>'File 20'!$R$54*'Time based aggregation (hide)'!$BW49</f>
        <v>0</v>
      </c>
      <c r="HK87" s="7">
        <f>'File 20'!$S$54*'Time based aggregation (hide)'!$BX49</f>
        <v>0</v>
      </c>
      <c r="HL87" s="7">
        <f t="shared" ca="1" si="50"/>
        <v>0</v>
      </c>
      <c r="HM87" s="7">
        <f t="shared" ca="1" si="50"/>
        <v>0</v>
      </c>
      <c r="HN87" s="7">
        <f t="shared" ca="1" si="50"/>
        <v>0</v>
      </c>
      <c r="HO87" s="7">
        <f t="shared" ca="1" si="50"/>
        <v>0</v>
      </c>
      <c r="HP87" s="7">
        <f t="shared" ca="1" si="50"/>
        <v>0</v>
      </c>
      <c r="HR87" s="142">
        <f>INDEX('File 1'!Weekly_Adjusted,45,16)</f>
        <v>20.933351264120493</v>
      </c>
      <c r="HS87" s="142">
        <f>INDEX('File 1'!Weekly_Adjusted,45,17)</f>
        <v>0</v>
      </c>
      <c r="HT87" s="142">
        <f>INDEX('File 1'!Weekly_Adjusted,45,18)</f>
        <v>0</v>
      </c>
      <c r="HU87" s="143">
        <f>INDEX('File 2'!Weekly_Adjusted,45,16)</f>
        <v>0</v>
      </c>
      <c r="HV87" s="143">
        <f>INDEX('File 2'!Weekly_Adjusted,45,17)</f>
        <v>0</v>
      </c>
      <c r="HW87" s="143">
        <f>INDEX('File 2'!Weekly_Adjusted,45,18)</f>
        <v>0</v>
      </c>
      <c r="HX87" s="142">
        <f>INDEX('File 3'!Weekly_Adjusted,45,16)</f>
        <v>0</v>
      </c>
      <c r="HY87" s="142">
        <f>INDEX('File 3'!Weekly_Adjusted,45,17)</f>
        <v>0</v>
      </c>
      <c r="HZ87" s="142">
        <f>INDEX('File 3'!Weekly_Adjusted,45,18)</f>
        <v>0</v>
      </c>
      <c r="IA87" s="143">
        <f>INDEX('File 4'!Weekly_Adjusted,45,16)</f>
        <v>0</v>
      </c>
      <c r="IB87" s="143">
        <f>INDEX('File 4'!Weekly_Adjusted,45,17)</f>
        <v>0</v>
      </c>
      <c r="IC87" s="143">
        <f>INDEX('File 4'!Weekly_Adjusted,45,18)</f>
        <v>0</v>
      </c>
      <c r="ID87" s="142">
        <f>INDEX('File 5'!Weekly_Adjusted,45,16)</f>
        <v>0</v>
      </c>
      <c r="IE87" s="142">
        <f>INDEX('File 5'!Weekly_Adjusted,45,17)</f>
        <v>0</v>
      </c>
      <c r="IF87" s="142">
        <f>INDEX('File 5'!Weekly_Adjusted,45,18)</f>
        <v>0</v>
      </c>
      <c r="IG87" s="143">
        <f>INDEX('File 6'!Weekly_Adjusted,45,16)</f>
        <v>0</v>
      </c>
      <c r="IH87" s="143">
        <f>INDEX('File 6'!Weekly_Adjusted,45,17)</f>
        <v>0</v>
      </c>
      <c r="II87" s="143">
        <f>INDEX('File 6'!Weekly_Adjusted,45,18)</f>
        <v>0</v>
      </c>
      <c r="IJ87" s="142">
        <f>INDEX('File 7'!Weekly_Adjusted,45,16)</f>
        <v>0</v>
      </c>
      <c r="IK87" s="142">
        <f>INDEX('File 7'!Weekly_Adjusted,45,17)</f>
        <v>0</v>
      </c>
      <c r="IL87" s="142">
        <f>INDEX('File 7'!Weekly_Adjusted,45,18)</f>
        <v>0</v>
      </c>
      <c r="IM87" s="143">
        <f>INDEX('File 8'!Weekly_Adjusted,45,16)</f>
        <v>0</v>
      </c>
      <c r="IN87" s="143">
        <f>INDEX('File 8'!Weekly_Adjusted,45,17)</f>
        <v>0</v>
      </c>
      <c r="IO87" s="143">
        <f>INDEX('File 8'!Weekly_Adjusted,45,18)</f>
        <v>0</v>
      </c>
      <c r="IP87" s="142">
        <f>INDEX('File 9'!Weekly_Adjusted,45,16)</f>
        <v>0</v>
      </c>
      <c r="IQ87" s="142">
        <f>INDEX('File 9'!Weekly_Adjusted,45,17)</f>
        <v>0</v>
      </c>
      <c r="IR87" s="142">
        <f>INDEX('File 9'!Weekly_Adjusted,45,18)</f>
        <v>0</v>
      </c>
      <c r="IS87" s="143">
        <f>INDEX('File 10'!Weekly_Adjusted,45,16)</f>
        <v>0</v>
      </c>
      <c r="IT87" s="143">
        <f>INDEX('File 10'!Weekly_Adjusted,45,17)</f>
        <v>0</v>
      </c>
      <c r="IU87" s="143">
        <f>INDEX('File 10'!Weekly_Adjusted,45,18)</f>
        <v>0</v>
      </c>
      <c r="IV87" s="142">
        <f>INDEX('File 11'!Weekly_Adjusted,45,16)</f>
        <v>0</v>
      </c>
      <c r="IW87" s="142">
        <f>INDEX('File 11'!Weekly_Adjusted,45,17)</f>
        <v>0</v>
      </c>
      <c r="IX87" s="142">
        <f>INDEX('File 11'!Weekly_Adjusted,45,18)</f>
        <v>0</v>
      </c>
      <c r="IY87" s="143">
        <f>INDEX('File 12'!Weekly_Adjusted,45,16)</f>
        <v>0</v>
      </c>
      <c r="IZ87" s="143">
        <f>INDEX('File 12'!Weekly_Adjusted,45,17)</f>
        <v>0</v>
      </c>
      <c r="JA87" s="143">
        <f>INDEX('File 12'!Weekly_Adjusted,45,18)</f>
        <v>0</v>
      </c>
      <c r="JB87" s="142">
        <f>INDEX('File 13'!Weekly_Adjusted,45,16)</f>
        <v>0</v>
      </c>
      <c r="JC87" s="142">
        <f>INDEX('File 13'!Weekly_Adjusted,45,17)</f>
        <v>0</v>
      </c>
      <c r="JD87" s="142">
        <f>INDEX('File 13'!Weekly_Adjusted,45,18)</f>
        <v>0</v>
      </c>
      <c r="JE87" s="143">
        <f>INDEX('File 14'!Weekly_Adjusted,45,16)</f>
        <v>0</v>
      </c>
      <c r="JF87" s="143">
        <f>INDEX('File 14'!Weekly_Adjusted,45,17)</f>
        <v>0</v>
      </c>
      <c r="JG87" s="143">
        <f>INDEX('File 14'!Weekly_Adjusted,45,18)</f>
        <v>0</v>
      </c>
      <c r="JH87" s="142">
        <f>INDEX('File 15'!Weekly_Adjusted,45,16)</f>
        <v>0</v>
      </c>
      <c r="JI87" s="142">
        <f>INDEX('File 15'!Weekly_Adjusted,45,17)</f>
        <v>0</v>
      </c>
      <c r="JJ87" s="142">
        <f>INDEX('File 15'!Weekly_Adjusted,45,18)</f>
        <v>0</v>
      </c>
      <c r="JK87" s="143">
        <f>INDEX('File 16'!Weekly_Adjusted,45,16)</f>
        <v>0</v>
      </c>
      <c r="JL87" s="143">
        <f>INDEX('File 16'!Weekly_Adjusted,45,17)</f>
        <v>0</v>
      </c>
      <c r="JM87" s="143">
        <f>INDEX('File 16'!Weekly_Adjusted,45,18)</f>
        <v>0</v>
      </c>
      <c r="JN87" s="142">
        <f>INDEX('File 17'!Weekly_Adjusted,45,16)</f>
        <v>0</v>
      </c>
      <c r="JO87" s="142">
        <f>INDEX('File 17'!Weekly_Adjusted,45,17)</f>
        <v>0</v>
      </c>
      <c r="JP87" s="142">
        <f>INDEX('File 17'!Weekly_Adjusted,45,18)</f>
        <v>0</v>
      </c>
      <c r="JQ87" s="143">
        <f>INDEX('File 18'!Weekly_Adjusted,45,16)</f>
        <v>0</v>
      </c>
      <c r="JR87" s="143">
        <f>INDEX('File 18'!Weekly_Adjusted,45,17)</f>
        <v>0</v>
      </c>
      <c r="JS87" s="143">
        <f>INDEX('File 18'!Weekly_Adjusted,45,18)</f>
        <v>0</v>
      </c>
      <c r="JT87" s="142">
        <f>INDEX('File 19'!Weekly_Adjusted,45,16)</f>
        <v>0</v>
      </c>
      <c r="JU87" s="142">
        <f>INDEX('File 19'!Weekly_Adjusted,45,17)</f>
        <v>0</v>
      </c>
      <c r="JV87" s="142">
        <f>INDEX('File 19'!Weekly_Adjusted,45,18)</f>
        <v>0</v>
      </c>
      <c r="JW87" s="143">
        <f>INDEX('File 20'!Weekly_Adjusted,45,16)</f>
        <v>0</v>
      </c>
      <c r="JX87" s="143">
        <f>INDEX('File 20'!Weekly_Adjusted,45,17)</f>
        <v>0</v>
      </c>
      <c r="JY87" s="143">
        <f>INDEX('File 20'!Weekly_Adjusted,45,18)</f>
        <v>0</v>
      </c>
      <c r="JZ87" s="6">
        <f ca="1">SUMIFS(INDEX(CapacityCore_Activity_Weekly,ROW(EC45),0),Demand_Activity_Weekly_Header,HL$42)</f>
        <v>20.933351264120493</v>
      </c>
      <c r="KA87" s="6">
        <f ca="1">SUMIFS(INDEX(CapacityCore_Activity_Weekly,ROW(ED45),0),Demand_Activity_Weekly_Header,HM$42)</f>
        <v>0</v>
      </c>
      <c r="KB87" s="6">
        <f ca="1">SUMIFS(INDEX(CapacityCore_Activity_Weekly,ROW(EE45),0),Demand_Activity_Weekly_Header,HN$42)</f>
        <v>0</v>
      </c>
      <c r="KC87" s="6">
        <f ca="1">SUMIFS(INDEX(CapacityCore_Activity_Weekly,ROW(EF45),0),Demand_Activity_Weekly_Header,HO$42)</f>
        <v>0</v>
      </c>
      <c r="KD87" s="6">
        <f ca="1">SUMIFS(INDEX(CapacityCore_Activity_Weekly,ROW(EG45),0),Demand_Activity_Weekly_Header,HP$42)</f>
        <v>0</v>
      </c>
      <c r="KF87" s="6">
        <f>SUMIFS('Time based aggregation (hide)'!$J:$J,'Time based aggregation (hide)'!$E:$E,1,'Time based aggregation (hide)'!$F:$F,1,'Time based aggregation (hide)'!$A:$A,ROW(A45))</f>
        <v>0</v>
      </c>
      <c r="KG87" s="6">
        <f>SUMIFS('Time based aggregation (hide)'!$J:$J,'Time based aggregation (hide)'!$E:$E,1,'Time based aggregation (hide)'!$F:$F,2,'Time based aggregation (hide)'!$A:$A,ROW(A45))</f>
        <v>0</v>
      </c>
      <c r="KH87" s="6">
        <f>SUMIFS('Time based aggregation (hide)'!$J:$J,'Time based aggregation (hide)'!$E:$E,1,'Time based aggregation (hide)'!$F:$F,3,'Time based aggregation (hide)'!$A:$A,ROW(A45))</f>
        <v>0</v>
      </c>
      <c r="KI87" s="6">
        <f>SUMIFS('Time based aggregation (hide)'!$J:$J,'Time based aggregation (hide)'!$E:$E,2,'Time based aggregation (hide)'!$F:$F,1,'Time based aggregation (hide)'!$A:$A,ROW(A45))</f>
        <v>0</v>
      </c>
      <c r="KJ87" s="6">
        <f>SUMIFS('Time based aggregation (hide)'!$J:$J,'Time based aggregation (hide)'!$E:$E,2,'Time based aggregation (hide)'!$F:$F,2,'Time based aggregation (hide)'!$A:$A,ROW(A45))</f>
        <v>0</v>
      </c>
      <c r="KK87" s="6">
        <f>SUMIFS('Time based aggregation (hide)'!$J:$J,'Time based aggregation (hide)'!$E:$E,2,'Time based aggregation (hide)'!$F:$F,3,'Time based aggregation (hide)'!$A:$A,ROW(A45))</f>
        <v>0</v>
      </c>
      <c r="KL87" s="6">
        <f>SUMIFS('Time based aggregation (hide)'!$J:$J,'Time based aggregation (hide)'!$E:$E,3,'Time based aggregation (hide)'!$F:$F,1,'Time based aggregation (hide)'!$A:$A,ROW(A45))</f>
        <v>0</v>
      </c>
      <c r="KM87" s="6">
        <f>SUMIFS('Time based aggregation (hide)'!$J:$J,'Time based aggregation (hide)'!$E:$E,3,'Time based aggregation (hide)'!$F:$F,2,'Time based aggregation (hide)'!$A:$A,ROW(A45))</f>
        <v>0</v>
      </c>
      <c r="KN87" s="6">
        <f>SUMIFS('Time based aggregation (hide)'!$J:$J,'Time based aggregation (hide)'!$E:$E,3,'Time based aggregation (hide)'!$F:$F,3,'Time based aggregation (hide)'!$A:$A,ROW(A45))</f>
        <v>0</v>
      </c>
      <c r="KO87" s="6">
        <f>SUMIFS('Time based aggregation (hide)'!$J:$J,'Time based aggregation (hide)'!$E:$E,4,'Time based aggregation (hide)'!$F:$F,1,'Time based aggregation (hide)'!$A:$A,ROW(A45))</f>
        <v>0</v>
      </c>
      <c r="KP87" s="6">
        <f>SUMIFS('Time based aggregation (hide)'!$J:$J,'Time based aggregation (hide)'!$E:$E,4,'Time based aggregation (hide)'!$F:$F,2,'Time based aggregation (hide)'!$A:$A,ROW(A45))</f>
        <v>0</v>
      </c>
      <c r="KQ87" s="6">
        <f>SUMIFS('Time based aggregation (hide)'!$J:$J,'Time based aggregation (hide)'!$E:$E,4,'Time based aggregation (hide)'!$F:$F,3,'Time based aggregation (hide)'!$A:$A,ROW(A45))</f>
        <v>0</v>
      </c>
      <c r="KR87" s="6">
        <f>SUMIFS('Time based aggregation (hide)'!$J:$J,'Time based aggregation (hide)'!$E:$E,5,'Time based aggregation (hide)'!$F:$F,1,'Time based aggregation (hide)'!$A:$A,ROW(A45))</f>
        <v>0</v>
      </c>
      <c r="KS87" s="6">
        <f>SUMIFS('Time based aggregation (hide)'!$J:$J,'Time based aggregation (hide)'!$E:$E,5,'Time based aggregation (hide)'!$F:$F,2,'Time based aggregation (hide)'!$A:$A,ROW(A45))</f>
        <v>0</v>
      </c>
      <c r="KT87" s="6">
        <f>SUMIFS('Time based aggregation (hide)'!$J:$J,'Time based aggregation (hide)'!$E:$E,5,'Time based aggregation (hide)'!$F:$F,3,'Time based aggregation (hide)'!$A:$A,ROW(A45))</f>
        <v>0</v>
      </c>
      <c r="KU87" s="6">
        <f>SUMIFS('Time based aggregation (hide)'!$J:$J,'Time based aggregation (hide)'!$E:$E,6,'Time based aggregation (hide)'!$F:$F,1,'Time based aggregation (hide)'!$A:$A,ROW(A45))</f>
        <v>0</v>
      </c>
      <c r="KV87" s="6">
        <f>SUMIFS('Time based aggregation (hide)'!$J:$J,'Time based aggregation (hide)'!$E:$E,6,'Time based aggregation (hide)'!$F:$F,2,'Time based aggregation (hide)'!$A:$A,ROW(A45))</f>
        <v>0</v>
      </c>
      <c r="KW87" s="6">
        <f>SUMIFS('Time based aggregation (hide)'!$J:$J,'Time based aggregation (hide)'!$E:$E,6,'Time based aggregation (hide)'!$F:$F,3,'Time based aggregation (hide)'!$A:$A,ROW(A45))</f>
        <v>0</v>
      </c>
      <c r="KX87" s="6">
        <f>SUMIFS('Time based aggregation (hide)'!$J:$J,'Time based aggregation (hide)'!$E:$E,7,'Time based aggregation (hide)'!$F:$F,1,'Time based aggregation (hide)'!$A:$A,ROW(A45))</f>
        <v>0</v>
      </c>
      <c r="KY87" s="6">
        <f>SUMIFS('Time based aggregation (hide)'!$J:$J,'Time based aggregation (hide)'!$E:$E,7,'Time based aggregation (hide)'!$F:$F,2,'Time based aggregation (hide)'!$A:$A,ROW(A45))</f>
        <v>0</v>
      </c>
      <c r="KZ87" s="6">
        <f>SUMIFS('Time based aggregation (hide)'!$J:$J,'Time based aggregation (hide)'!$E:$E,7,'Time based aggregation (hide)'!$F:$F,3,'Time based aggregation (hide)'!$A:$A,ROW(A45))</f>
        <v>0</v>
      </c>
      <c r="LA87" s="6">
        <f>SUMIFS('Time based aggregation (hide)'!$J:$J,'Time based aggregation (hide)'!$E:$E,8,'Time based aggregation (hide)'!$F:$F,1,'Time based aggregation (hide)'!$A:$A,ROW(A45))</f>
        <v>0</v>
      </c>
      <c r="LB87" s="6">
        <f>SUMIFS('Time based aggregation (hide)'!$J:$J,'Time based aggregation (hide)'!$E:$E,8,'Time based aggregation (hide)'!$F:$F,2,'Time based aggregation (hide)'!$A:$A,ROW(A45))</f>
        <v>0</v>
      </c>
      <c r="LC87" s="6">
        <f>SUMIFS('Time based aggregation (hide)'!$J:$J,'Time based aggregation (hide)'!$E:$E,8,'Time based aggregation (hide)'!$F:$F,3,'Time based aggregation (hide)'!$A:$A,ROW(A45))</f>
        <v>0</v>
      </c>
      <c r="LD87" s="6">
        <f>SUMIFS('Time based aggregation (hide)'!$J:$J,'Time based aggregation (hide)'!$E:$E,9,'Time based aggregation (hide)'!$F:$F,1,'Time based aggregation (hide)'!$A:$A,ROW(A45))</f>
        <v>0</v>
      </c>
      <c r="LE87" s="6">
        <f>SUMIFS('Time based aggregation (hide)'!$J:$J,'Time based aggregation (hide)'!$E:$E,9,'Time based aggregation (hide)'!$F:$F,2,'Time based aggregation (hide)'!$A:$A,ROW(A45))</f>
        <v>0</v>
      </c>
      <c r="LF87" s="6">
        <f>SUMIFS('Time based aggregation (hide)'!$J:$J,'Time based aggregation (hide)'!$E:$E,9,'Time based aggregation (hide)'!$F:$F,3,'Time based aggregation (hide)'!$A:$A,ROW(A45))</f>
        <v>0</v>
      </c>
      <c r="LG87" s="6">
        <f>SUMIFS('Time based aggregation (hide)'!$J:$J,'Time based aggregation (hide)'!$E:$E,10,'Time based aggregation (hide)'!$F:$F,1,'Time based aggregation (hide)'!$A:$A,ROW(A45))</f>
        <v>0</v>
      </c>
      <c r="LH87" s="6">
        <f>SUMIFS('Time based aggregation (hide)'!$J:$J,'Time based aggregation (hide)'!$E:$E,10,'Time based aggregation (hide)'!$F:$F,2,'Time based aggregation (hide)'!$A:$A,ROW(A45))</f>
        <v>0</v>
      </c>
      <c r="LI87" s="6">
        <f>SUMIFS('Time based aggregation (hide)'!$J:$J,'Time based aggregation (hide)'!$E:$E,10,'Time based aggregation (hide)'!$F:$F,3,'Time based aggregation (hide)'!$A:$A,ROW(A45))</f>
        <v>0</v>
      </c>
      <c r="LJ87" s="6">
        <f>SUMIFS('Time based aggregation (hide)'!$J:$J,'Time based aggregation (hide)'!$E:$E,11,'Time based aggregation (hide)'!$F:$F,1,'Time based aggregation (hide)'!$A:$A,ROW(A45))</f>
        <v>0</v>
      </c>
      <c r="LK87" s="6">
        <f>SUMIFS('Time based aggregation (hide)'!$J:$J,'Time based aggregation (hide)'!$E:$E,11,'Time based aggregation (hide)'!$F:$F,2,'Time based aggregation (hide)'!$A:$A,ROW(A45))</f>
        <v>0</v>
      </c>
      <c r="LL87" s="6">
        <f>SUMIFS('Time based aggregation (hide)'!$J:$J,'Time based aggregation (hide)'!$E:$E,11,'Time based aggregation (hide)'!$F:$F,3,'Time based aggregation (hide)'!$A:$A,ROW(A45))</f>
        <v>0</v>
      </c>
      <c r="LM87" s="6">
        <f>SUMIFS('Time based aggregation (hide)'!$J:$J,'Time based aggregation (hide)'!$E:$E,12,'Time based aggregation (hide)'!$F:$F,1,'Time based aggregation (hide)'!$A:$A,ROW(A45))</f>
        <v>0</v>
      </c>
      <c r="LN87" s="6">
        <f>SUMIFS('Time based aggregation (hide)'!$J:$J,'Time based aggregation (hide)'!$E:$E,12,'Time based aggregation (hide)'!$F:$F,2,'Time based aggregation (hide)'!$A:$A,ROW(A45))</f>
        <v>0</v>
      </c>
      <c r="LO87" s="6">
        <f>SUMIFS('Time based aggregation (hide)'!$J:$J,'Time based aggregation (hide)'!$E:$E,12,'Time based aggregation (hide)'!$F:$F,3,'Time based aggregation (hide)'!$A:$A,ROW(A45))</f>
        <v>0</v>
      </c>
      <c r="LP87" s="6">
        <f>SUMIFS('Time based aggregation (hide)'!$J:$J,'Time based aggregation (hide)'!$E:$E,13,'Time based aggregation (hide)'!$F:$F,1,'Time based aggregation (hide)'!$A:$A,ROW(A45))</f>
        <v>0</v>
      </c>
      <c r="LQ87" s="6">
        <f>SUMIFS('Time based aggregation (hide)'!$J:$J,'Time based aggregation (hide)'!$E:$E,13,'Time based aggregation (hide)'!$F:$F,2,'Time based aggregation (hide)'!$A:$A,ROW(A45))</f>
        <v>0</v>
      </c>
      <c r="LR87" s="6">
        <f>SUMIFS('Time based aggregation (hide)'!$J:$J,'Time based aggregation (hide)'!$E:$E,13,'Time based aggregation (hide)'!$F:$F,3,'Time based aggregation (hide)'!$A:$A,ROW(A45))</f>
        <v>0</v>
      </c>
      <c r="LS87" s="6">
        <f>SUMIFS('Time based aggregation (hide)'!$J:$J,'Time based aggregation (hide)'!$E:$E,14,'Time based aggregation (hide)'!$F:$F,1,'Time based aggregation (hide)'!$A:$A,ROW(A45))</f>
        <v>0</v>
      </c>
      <c r="LT87" s="6">
        <f>SUMIFS('Time based aggregation (hide)'!$J:$J,'Time based aggregation (hide)'!$E:$E,14,'Time based aggregation (hide)'!$F:$F,2,'Time based aggregation (hide)'!$A:$A,ROW(A45))</f>
        <v>0</v>
      </c>
      <c r="LU87" s="6">
        <f>SUMIFS('Time based aggregation (hide)'!$J:$J,'Time based aggregation (hide)'!$E:$E,14,'Time based aggregation (hide)'!$F:$F,3,'Time based aggregation (hide)'!$A:$A,ROW(A45))</f>
        <v>0</v>
      </c>
      <c r="LV87" s="6">
        <f>SUMIFS('Time based aggregation (hide)'!$J:$J,'Time based aggregation (hide)'!$E:$E,15,'Time based aggregation (hide)'!$F:$F,1,'Time based aggregation (hide)'!$A:$A,ROW(A45))</f>
        <v>0</v>
      </c>
      <c r="LW87" s="6">
        <f>SUMIFS('Time based aggregation (hide)'!$J:$J,'Time based aggregation (hide)'!$E:$E,15,'Time based aggregation (hide)'!$F:$F,2,'Time based aggregation (hide)'!$A:$A,ROW(A45))</f>
        <v>0</v>
      </c>
      <c r="LX87" s="6">
        <f>SUMIFS('Time based aggregation (hide)'!$J:$J,'Time based aggregation (hide)'!$E:$E,15,'Time based aggregation (hide)'!$F:$F,3,'Time based aggregation (hide)'!$A:$A,ROW(A45))</f>
        <v>0</v>
      </c>
      <c r="LY87" s="6">
        <f>SUMIFS('Time based aggregation (hide)'!$J:$J,'Time based aggregation (hide)'!$E:$E,16,'Time based aggregation (hide)'!$F:$F,1,'Time based aggregation (hide)'!$A:$A,ROW(A45))</f>
        <v>0</v>
      </c>
      <c r="LZ87" s="6">
        <f>SUMIFS('Time based aggregation (hide)'!$J:$J,'Time based aggregation (hide)'!$E:$E,16,'Time based aggregation (hide)'!$F:$F,2,'Time based aggregation (hide)'!$A:$A,ROW(A45))</f>
        <v>0</v>
      </c>
      <c r="MA87" s="6">
        <f>SUMIFS('Time based aggregation (hide)'!$J:$J,'Time based aggregation (hide)'!$E:$E,16,'Time based aggregation (hide)'!$F:$F,3,'Time based aggregation (hide)'!$A:$A,ROW(A45))</f>
        <v>0</v>
      </c>
      <c r="MB87" s="6">
        <f>SUMIFS('Time based aggregation (hide)'!$J:$J,'Time based aggregation (hide)'!$E:$E,17,'Time based aggregation (hide)'!$F:$F,1,'Time based aggregation (hide)'!$A:$A,ROW(A45))</f>
        <v>0</v>
      </c>
      <c r="MC87" s="6">
        <f>SUMIFS('Time based aggregation (hide)'!$J:$J,'Time based aggregation (hide)'!$E:$E,17,'Time based aggregation (hide)'!$F:$F,2,'Time based aggregation (hide)'!$A:$A,ROW(A45))</f>
        <v>0</v>
      </c>
      <c r="MD87" s="6">
        <f>SUMIFS('Time based aggregation (hide)'!$J:$J,'Time based aggregation (hide)'!$E:$E,17,'Time based aggregation (hide)'!$F:$F,3,'Time based aggregation (hide)'!$A:$A,ROW(A45))</f>
        <v>0</v>
      </c>
      <c r="ME87" s="6">
        <f>SUMIFS('Time based aggregation (hide)'!$J:$J,'Time based aggregation (hide)'!$E:$E,18,'Time based aggregation (hide)'!$F:$F,1,'Time based aggregation (hide)'!$A:$A,ROW(A45))</f>
        <v>0</v>
      </c>
      <c r="MF87" s="6">
        <f>SUMIFS('Time based aggregation (hide)'!$J:$J,'Time based aggregation (hide)'!$E:$E,18,'Time based aggregation (hide)'!$F:$F,2,'Time based aggregation (hide)'!$A:$A,ROW(A45))</f>
        <v>0</v>
      </c>
      <c r="MG87" s="6">
        <f>SUMIFS('Time based aggregation (hide)'!$J:$J,'Time based aggregation (hide)'!$E:$E,18,'Time based aggregation (hide)'!$F:$F,3,'Time based aggregation (hide)'!$A:$A,ROW(A45))</f>
        <v>0</v>
      </c>
      <c r="MH87" s="6">
        <f>SUMIFS('Time based aggregation (hide)'!$J:$J,'Time based aggregation (hide)'!$E:$E,19,'Time based aggregation (hide)'!$F:$F,1,'Time based aggregation (hide)'!$A:$A,ROW(A45))</f>
        <v>0</v>
      </c>
      <c r="MI87" s="6">
        <f>SUMIFS('Time based aggregation (hide)'!$J:$J,'Time based aggregation (hide)'!$E:$E,19,'Time based aggregation (hide)'!$F:$F,2,'Time based aggregation (hide)'!$A:$A,ROW(A45))</f>
        <v>0</v>
      </c>
      <c r="MJ87" s="6">
        <f>SUMIFS('Time based aggregation (hide)'!$J:$J,'Time based aggregation (hide)'!$E:$E,19,'Time based aggregation (hide)'!$F:$F,3,'Time based aggregation (hide)'!$A:$A,ROW(A45))</f>
        <v>0</v>
      </c>
      <c r="MK87" s="6">
        <f>SUMIFS('Time based aggregation (hide)'!$J:$J,'Time based aggregation (hide)'!$E:$E,20,'Time based aggregation (hide)'!$F:$F,1,'Time based aggregation (hide)'!$A:$A,ROW(A45))</f>
        <v>0</v>
      </c>
      <c r="ML87" s="6">
        <f>SUMIFS('Time based aggregation (hide)'!$J:$J,'Time based aggregation (hide)'!$E:$E,20,'Time based aggregation (hide)'!$F:$F,2,'Time based aggregation (hide)'!$A:$A,ROW(A45))</f>
        <v>0</v>
      </c>
      <c r="MM87" s="6">
        <f>SUMIFS('Time based aggregation (hide)'!$J:$J,'Time based aggregation (hide)'!$E:$E,20,'Time based aggregation (hide)'!$F:$F,3,'Time based aggregation (hide)'!$A:$A,ROW(A45))</f>
        <v>0</v>
      </c>
      <c r="MN87" s="7">
        <f t="shared" ca="1" si="48"/>
        <v>0</v>
      </c>
      <c r="MO87" s="7">
        <f t="shared" ca="1" si="48"/>
        <v>0</v>
      </c>
      <c r="MP87" s="7">
        <f t="shared" ca="1" si="48"/>
        <v>0</v>
      </c>
      <c r="MQ87" s="7">
        <f t="shared" ca="1" si="48"/>
        <v>0</v>
      </c>
      <c r="MR87" s="7">
        <f t="shared" ca="1" si="48"/>
        <v>0</v>
      </c>
    </row>
    <row r="88" spans="1:356" x14ac:dyDescent="0.25">
      <c r="A88">
        <f>1</f>
        <v>1</v>
      </c>
      <c r="B88" s="85">
        <f t="shared" si="37"/>
        <v>43876</v>
      </c>
      <c r="C88" s="85">
        <f t="shared" si="25"/>
        <v>43871</v>
      </c>
      <c r="D88">
        <f t="shared" ca="1" si="26"/>
        <v>0</v>
      </c>
      <c r="E88" s="85">
        <f t="shared" si="27"/>
        <v>43862</v>
      </c>
      <c r="F88">
        <f t="shared" si="33"/>
        <v>7</v>
      </c>
      <c r="H88">
        <f t="shared" si="34"/>
        <v>46</v>
      </c>
      <c r="I88" s="85">
        <f t="shared" si="38"/>
        <v>44144</v>
      </c>
      <c r="J88">
        <f t="shared" ca="1" si="46"/>
        <v>5</v>
      </c>
      <c r="K88">
        <f t="shared" ca="1" si="47"/>
        <v>1.968503937007874E-2</v>
      </c>
      <c r="L88" s="114"/>
      <c r="N88" s="85">
        <f t="shared" si="35"/>
        <v>44144</v>
      </c>
      <c r="O88" s="122">
        <f t="shared" ca="1" si="49"/>
        <v>0</v>
      </c>
      <c r="P88" s="122">
        <f t="shared" ca="1" si="49"/>
        <v>0</v>
      </c>
      <c r="Q88" s="122">
        <f t="shared" ca="1" si="49"/>
        <v>0</v>
      </c>
      <c r="R88" s="122">
        <f t="shared" ca="1" si="49"/>
        <v>0</v>
      </c>
      <c r="S88" s="122">
        <f t="shared" ca="1" si="49"/>
        <v>0</v>
      </c>
      <c r="T88" s="122">
        <f t="shared" ca="1" si="49"/>
        <v>0</v>
      </c>
      <c r="U88" s="122">
        <f t="shared" ca="1" si="49"/>
        <v>0</v>
      </c>
      <c r="V88" s="122">
        <f t="shared" ca="1" si="49"/>
        <v>0</v>
      </c>
      <c r="W88" s="122">
        <f t="shared" ca="1" si="49"/>
        <v>0</v>
      </c>
      <c r="X88" s="122">
        <f t="shared" ca="1" si="49"/>
        <v>0</v>
      </c>
      <c r="Y88" s="122">
        <f t="shared" ca="1" si="49"/>
        <v>1</v>
      </c>
      <c r="Z88" s="122">
        <f t="shared" ca="1" si="49"/>
        <v>0</v>
      </c>
      <c r="AA88" s="122"/>
      <c r="AB88" s="140">
        <f>INDEX('File 1'!Weekly_Adjusted,46,1)</f>
        <v>388.17143954725253</v>
      </c>
      <c r="AC88" s="140">
        <f>INDEX('File 1'!Weekly_Adjusted,46,2)</f>
        <v>0</v>
      </c>
      <c r="AD88" s="140">
        <f>INDEX('File 1'!Weekly_Adjusted,46,3)</f>
        <v>0</v>
      </c>
      <c r="AE88" s="141">
        <f>INDEX('File 2'!Weekly_Adjusted,46,1)</f>
        <v>0</v>
      </c>
      <c r="AF88" s="141">
        <f>INDEX('File 2'!Weekly_Adjusted,46,2)</f>
        <v>0</v>
      </c>
      <c r="AG88" s="141">
        <f>INDEX('File 2'!Weekly_Adjusted,46,3)</f>
        <v>0</v>
      </c>
      <c r="AH88" s="140">
        <f>INDEX('File 3'!Weekly_Adjusted,46,1)</f>
        <v>0</v>
      </c>
      <c r="AI88" s="140">
        <f>INDEX('File 3'!Weekly_Adjusted,46,2)</f>
        <v>0</v>
      </c>
      <c r="AJ88" s="140">
        <f>INDEX('File 3'!Weekly_Adjusted,46,3)</f>
        <v>0</v>
      </c>
      <c r="AK88" s="141">
        <f>INDEX('File 4'!Weekly_Adjusted,46,1)</f>
        <v>0</v>
      </c>
      <c r="AL88" s="141">
        <f>INDEX('File 4'!Weekly_Adjusted,46,2)</f>
        <v>0</v>
      </c>
      <c r="AM88" s="141">
        <f>INDEX('File 4'!Weekly_Adjusted,46,3)</f>
        <v>0</v>
      </c>
      <c r="AN88" s="140">
        <f>INDEX('File 5'!Weekly_Adjusted,46,1)</f>
        <v>0</v>
      </c>
      <c r="AO88" s="140">
        <f>INDEX('File 5'!Weekly_Adjusted,46,2)</f>
        <v>0</v>
      </c>
      <c r="AP88" s="140">
        <f>INDEX('File 5'!Weekly_Adjusted,46,3)</f>
        <v>0</v>
      </c>
      <c r="AQ88" s="141">
        <f>INDEX('File 6'!Weekly_Adjusted,46,1)</f>
        <v>0</v>
      </c>
      <c r="AR88" s="141">
        <f>INDEX('File 6'!Weekly_Adjusted,46,2)</f>
        <v>0</v>
      </c>
      <c r="AS88" s="141">
        <f>INDEX('File 6'!Weekly_Adjusted,46,3)</f>
        <v>0</v>
      </c>
      <c r="AT88" s="140">
        <f>INDEX('File 7'!Weekly_Adjusted,46,1)</f>
        <v>0</v>
      </c>
      <c r="AU88" s="140">
        <f>INDEX('File 7'!Weekly_Adjusted,46,2)</f>
        <v>0</v>
      </c>
      <c r="AV88" s="140">
        <f>INDEX('File 7'!Weekly_Adjusted,46,3)</f>
        <v>0</v>
      </c>
      <c r="AW88" s="141">
        <f>INDEX('File 8'!Weekly_Adjusted,46,1)</f>
        <v>0</v>
      </c>
      <c r="AX88" s="141">
        <f>INDEX('File 8'!Weekly_Adjusted,46,2)</f>
        <v>0</v>
      </c>
      <c r="AY88" s="141">
        <f>INDEX('File 8'!Weekly_Adjusted,46,3)</f>
        <v>0</v>
      </c>
      <c r="AZ88" s="140">
        <f>INDEX('File 9'!Weekly_Adjusted,46,1)</f>
        <v>0</v>
      </c>
      <c r="BA88" s="140">
        <f>INDEX('File 9'!Weekly_Adjusted,46,2)</f>
        <v>0</v>
      </c>
      <c r="BB88" s="140">
        <f>INDEX('File 9'!Weekly_Adjusted,46,3)</f>
        <v>0</v>
      </c>
      <c r="BC88" s="141">
        <f>INDEX('File 10'!Weekly_Adjusted,46,1)</f>
        <v>0</v>
      </c>
      <c r="BD88" s="141">
        <f>INDEX('File 10'!Weekly_Adjusted,46,2)</f>
        <v>0</v>
      </c>
      <c r="BE88" s="141">
        <f>INDEX('File 10'!Weekly_Adjusted,46,3)</f>
        <v>0</v>
      </c>
      <c r="BF88" s="140">
        <f>INDEX('File 11'!Weekly_Adjusted,46,1)</f>
        <v>0</v>
      </c>
      <c r="BG88" s="140">
        <f>INDEX('File 11'!Weekly_Adjusted,46,2)</f>
        <v>0</v>
      </c>
      <c r="BH88" s="140">
        <f>INDEX('File 11'!Weekly_Adjusted,46,3)</f>
        <v>0</v>
      </c>
      <c r="BI88" s="141">
        <f>INDEX('File 12'!Weekly_Adjusted,46,1)</f>
        <v>0</v>
      </c>
      <c r="BJ88" s="141">
        <f>INDEX('File 12'!Weekly_Adjusted,46,2)</f>
        <v>0</v>
      </c>
      <c r="BK88" s="141">
        <f>INDEX('File 12'!Weekly_Adjusted,46,3)</f>
        <v>0</v>
      </c>
      <c r="BL88" s="140">
        <f>INDEX('File 13'!Weekly_Adjusted,46,1)</f>
        <v>0</v>
      </c>
      <c r="BM88" s="140">
        <f>INDEX('File 13'!Weekly_Adjusted,46,2)</f>
        <v>0</v>
      </c>
      <c r="BN88" s="140">
        <f>INDEX('File 13'!Weekly_Adjusted,46,3)</f>
        <v>0</v>
      </c>
      <c r="BO88" s="141">
        <f>INDEX('File 14'!Weekly_Adjusted,46,1)</f>
        <v>0</v>
      </c>
      <c r="BP88" s="141">
        <f>INDEX('File 14'!Weekly_Adjusted,46,2)</f>
        <v>0</v>
      </c>
      <c r="BQ88" s="141">
        <f>INDEX('File 14'!Weekly_Adjusted,46,3)</f>
        <v>0</v>
      </c>
      <c r="BR88" s="140">
        <f>INDEX('File 15'!Weekly_Adjusted,46,1)</f>
        <v>0</v>
      </c>
      <c r="BS88" s="140">
        <f>INDEX('File 15'!Weekly_Adjusted,46,2)</f>
        <v>0</v>
      </c>
      <c r="BT88" s="140">
        <f>INDEX('File 15'!Weekly_Adjusted,46,3)</f>
        <v>0</v>
      </c>
      <c r="BU88" s="141">
        <f>INDEX('File 16'!Weekly_Adjusted,46,1)</f>
        <v>0</v>
      </c>
      <c r="BV88" s="141">
        <f>INDEX('File 16'!Weekly_Adjusted,46,2)</f>
        <v>0</v>
      </c>
      <c r="BW88" s="141">
        <f>INDEX('File 16'!Weekly_Adjusted,46,3)</f>
        <v>0</v>
      </c>
      <c r="BX88" s="140">
        <f>INDEX('File 17'!Weekly_Adjusted,46,1)</f>
        <v>0</v>
      </c>
      <c r="BY88" s="140">
        <f>INDEX('File 17'!Weekly_Adjusted,46,2)</f>
        <v>0</v>
      </c>
      <c r="BZ88" s="140">
        <f>INDEX('File 17'!Weekly_Adjusted,46,3)</f>
        <v>0</v>
      </c>
      <c r="CA88" s="141">
        <f>INDEX('File 18'!Weekly_Adjusted,46,1)</f>
        <v>0</v>
      </c>
      <c r="CB88" s="141">
        <f>INDEX('File 18'!Weekly_Adjusted,46,2)</f>
        <v>0</v>
      </c>
      <c r="CC88" s="141">
        <f>INDEX('File 18'!Weekly_Adjusted,46,3)</f>
        <v>0</v>
      </c>
      <c r="CD88" s="140">
        <f>INDEX('File 19'!Weekly_Adjusted,46,1)</f>
        <v>0</v>
      </c>
      <c r="CE88" s="140">
        <f>INDEX('File 19'!Weekly_Adjusted,46,2)</f>
        <v>0</v>
      </c>
      <c r="CF88" s="140">
        <f>INDEX('File 19'!Weekly_Adjusted,46,3)</f>
        <v>0</v>
      </c>
      <c r="CG88" s="141">
        <f>INDEX('File 20'!Weekly_Adjusted,46,1)</f>
        <v>0</v>
      </c>
      <c r="CH88" s="141">
        <f>INDEX('File 20'!Weekly_Adjusted,46,2)</f>
        <v>0</v>
      </c>
      <c r="CI88" s="141">
        <f>INDEX('File 20'!Weekly_Adjusted,46,3)</f>
        <v>0</v>
      </c>
      <c r="CJ88" s="6">
        <f ca="1">SUMIFS(INDEX(Demand_Activity_Weekly,ROW(A46),0),Demand_Activity_Weekly_Header,CJ$42)</f>
        <v>388.17143954725253</v>
      </c>
      <c r="CK88" s="6">
        <f ca="1">SUMIFS(INDEX(Demand_Activity_Weekly,ROW(B46),0),Demand_Activity_Weekly_Header,CK$42)</f>
        <v>0</v>
      </c>
      <c r="CL88" s="6">
        <f ca="1">SUMIFS(INDEX(Demand_Activity_Weekly,ROW(C46),0),Demand_Activity_Weekly_Header,CL$42)</f>
        <v>0</v>
      </c>
      <c r="CM88" s="6">
        <f ca="1">SUMIFS(INDEX(Demand_Activity_Weekly,ROW(D46),0),Demand_Activity_Weekly_Header,CM$42)</f>
        <v>0</v>
      </c>
      <c r="CN88" s="6">
        <f ca="1">SUMIFS(INDEX(Demand_Activity_Weekly,ROW(E46),0),Demand_Activity_Weekly_Header,CN$42)</f>
        <v>0</v>
      </c>
      <c r="CP88" s="142">
        <f>INDEX('File 1'!Weekly_Adjusted,46,10)</f>
        <v>24.344712210866053</v>
      </c>
      <c r="CQ88" s="142">
        <f>INDEX('File 1'!Weekly_Adjusted,46,11)</f>
        <v>0</v>
      </c>
      <c r="CR88" s="142">
        <f>INDEX('File 1'!Weekly_Adjusted,46,12)</f>
        <v>0</v>
      </c>
      <c r="CS88" s="143">
        <f>INDEX('File 2'!Weekly_Adjusted,46,10)</f>
        <v>0</v>
      </c>
      <c r="CT88" s="143">
        <f>INDEX('File 2'!Weekly_Adjusted,46,11)</f>
        <v>0</v>
      </c>
      <c r="CU88" s="143">
        <f>INDEX('File 2'!Weekly_Adjusted,46,12)</f>
        <v>0</v>
      </c>
      <c r="CV88" s="142">
        <f>INDEX('File 3'!Weekly_Adjusted,46,10)</f>
        <v>0</v>
      </c>
      <c r="CW88" s="142">
        <f>INDEX('File 3'!Weekly_Adjusted,46,11)</f>
        <v>0</v>
      </c>
      <c r="CX88" s="142">
        <f>INDEX('File 3'!Weekly_Adjusted,46,12)</f>
        <v>0</v>
      </c>
      <c r="CY88" s="143">
        <f>INDEX('File 4'!Weekly_Adjusted,46,10)</f>
        <v>0</v>
      </c>
      <c r="CZ88" s="143">
        <f>INDEX('File 4'!Weekly_Adjusted,46,11)</f>
        <v>0</v>
      </c>
      <c r="DA88" s="143">
        <f>INDEX('File 4'!Weekly_Adjusted,46,12)</f>
        <v>0</v>
      </c>
      <c r="DB88" s="142">
        <f>INDEX('File 5'!Weekly_Adjusted,46,10)</f>
        <v>0</v>
      </c>
      <c r="DC88" s="142">
        <f>INDEX('File 5'!Weekly_Adjusted,46,11)</f>
        <v>0</v>
      </c>
      <c r="DD88" s="142">
        <f>INDEX('File 5'!Weekly_Adjusted,46,12)</f>
        <v>0</v>
      </c>
      <c r="DE88" s="143">
        <f>INDEX('File 6'!Weekly_Adjusted,46,10)</f>
        <v>0</v>
      </c>
      <c r="DF88" s="143">
        <f>INDEX('File 6'!Weekly_Adjusted,46,11)</f>
        <v>0</v>
      </c>
      <c r="DG88" s="143">
        <f>INDEX('File 6'!Weekly_Adjusted,46,12)</f>
        <v>0</v>
      </c>
      <c r="DH88" s="142">
        <f>INDEX('File 7'!Weekly_Adjusted,46,10)</f>
        <v>0</v>
      </c>
      <c r="DI88" s="142">
        <f>INDEX('File 7'!Weekly_Adjusted,46,11)</f>
        <v>0</v>
      </c>
      <c r="DJ88" s="142">
        <f>INDEX('File 7'!Weekly_Adjusted,46,12)</f>
        <v>0</v>
      </c>
      <c r="DK88" s="143">
        <f>INDEX('File 8'!Weekly_Adjusted,46,10)</f>
        <v>0</v>
      </c>
      <c r="DL88" s="143">
        <f>INDEX('File 8'!Weekly_Adjusted,46,11)</f>
        <v>0</v>
      </c>
      <c r="DM88" s="143">
        <f>INDEX('File 8'!Weekly_Adjusted,46,12)</f>
        <v>0</v>
      </c>
      <c r="DN88" s="142">
        <f>INDEX('File 9'!Weekly_Adjusted,46,10)</f>
        <v>0</v>
      </c>
      <c r="DO88" s="142">
        <f>INDEX('File 9'!Weekly_Adjusted,46,11)</f>
        <v>0</v>
      </c>
      <c r="DP88" s="142">
        <f>INDEX('File 9'!Weekly_Adjusted,46,12)</f>
        <v>0</v>
      </c>
      <c r="DQ88" s="143">
        <f>INDEX('File 10'!Weekly_Adjusted,46,10)</f>
        <v>0</v>
      </c>
      <c r="DR88" s="143">
        <f>INDEX('File 10'!Weekly_Adjusted,46,11)</f>
        <v>0</v>
      </c>
      <c r="DS88" s="143">
        <f>INDEX('File 10'!Weekly_Adjusted,46,12)</f>
        <v>0</v>
      </c>
      <c r="DT88" s="142">
        <f>INDEX('File 11'!Weekly_Adjusted,46,10)</f>
        <v>0</v>
      </c>
      <c r="DU88" s="142">
        <f>INDEX('File 11'!Weekly_Adjusted,46,11)</f>
        <v>0</v>
      </c>
      <c r="DV88" s="142">
        <f>INDEX('File 11'!Weekly_Adjusted,46,12)</f>
        <v>0</v>
      </c>
      <c r="DW88" s="143">
        <f>INDEX('File 12'!Weekly_Adjusted,46,10)</f>
        <v>0</v>
      </c>
      <c r="DX88" s="143">
        <f>INDEX('File 12'!Weekly_Adjusted,46,11)</f>
        <v>0</v>
      </c>
      <c r="DY88" s="143">
        <f>INDEX('File 12'!Weekly_Adjusted,46,12)</f>
        <v>0</v>
      </c>
      <c r="DZ88" s="142">
        <f>INDEX('File 13'!Weekly_Adjusted,46,10)</f>
        <v>0</v>
      </c>
      <c r="EA88" s="142">
        <f>INDEX('File 13'!Weekly_Adjusted,46,11)</f>
        <v>0</v>
      </c>
      <c r="EB88" s="142">
        <f>INDEX('File 13'!Weekly_Adjusted,46,12)</f>
        <v>0</v>
      </c>
      <c r="EC88" s="143">
        <f>INDEX('File 14'!Weekly_Adjusted,46,10)</f>
        <v>0</v>
      </c>
      <c r="ED88" s="143">
        <f>INDEX('File 14'!Weekly_Adjusted,46,11)</f>
        <v>0</v>
      </c>
      <c r="EE88" s="143">
        <f>INDEX('File 14'!Weekly_Adjusted,46,12)</f>
        <v>0</v>
      </c>
      <c r="EF88" s="142">
        <f>INDEX('File 15'!Weekly_Adjusted,46,10)</f>
        <v>0</v>
      </c>
      <c r="EG88" s="142">
        <f>INDEX('File 15'!Weekly_Adjusted,46,11)</f>
        <v>0</v>
      </c>
      <c r="EH88" s="142">
        <f>INDEX('File 15'!Weekly_Adjusted,46,12)</f>
        <v>0</v>
      </c>
      <c r="EI88" s="143">
        <f>INDEX('File 16'!Weekly_Adjusted,46,10)</f>
        <v>0</v>
      </c>
      <c r="EJ88" s="143">
        <f>INDEX('File 16'!Weekly_Adjusted,46,11)</f>
        <v>0</v>
      </c>
      <c r="EK88" s="143">
        <f>INDEX('File 16'!Weekly_Adjusted,46,12)</f>
        <v>0</v>
      </c>
      <c r="EL88" s="142">
        <f>INDEX('File 17'!Weekly_Adjusted,46,10)</f>
        <v>0</v>
      </c>
      <c r="EM88" s="142">
        <f>INDEX('File 17'!Weekly_Adjusted,46,11)</f>
        <v>0</v>
      </c>
      <c r="EN88" s="142">
        <f>INDEX('File 17'!Weekly_Adjusted,46,12)</f>
        <v>0</v>
      </c>
      <c r="EO88" s="143">
        <f>INDEX('File 18'!Weekly_Adjusted,46,10)</f>
        <v>0</v>
      </c>
      <c r="EP88" s="143">
        <f>INDEX('File 18'!Weekly_Adjusted,46,11)</f>
        <v>0</v>
      </c>
      <c r="EQ88" s="143">
        <f>INDEX('File 18'!Weekly_Adjusted,46,12)</f>
        <v>0</v>
      </c>
      <c r="ER88" s="142">
        <f>INDEX('File 19'!Weekly_Adjusted,46,10)</f>
        <v>0</v>
      </c>
      <c r="ES88" s="142">
        <f>INDEX('File 19'!Weekly_Adjusted,46,11)</f>
        <v>0</v>
      </c>
      <c r="ET88" s="142">
        <f>INDEX('File 19'!Weekly_Adjusted,46,12)</f>
        <v>0</v>
      </c>
      <c r="EU88" s="143">
        <f>INDEX('File 20'!Weekly_Adjusted,46,10)</f>
        <v>0</v>
      </c>
      <c r="EV88" s="143">
        <f>INDEX('File 20'!Weekly_Adjusted,46,11)</f>
        <v>0</v>
      </c>
      <c r="EW88" s="143">
        <f>INDEX('File 20'!Weekly_Adjusted,46,12)</f>
        <v>0</v>
      </c>
      <c r="EX88" s="6">
        <f ca="1">SUMIFS(INDEX(Capacity_Activity_Weekly,ROW(A46),0),Demand_Activity_Weekly_Header,CJ$42)</f>
        <v>24.344712210866053</v>
      </c>
      <c r="EY88" s="6">
        <f ca="1">SUMIFS(INDEX(Capacity_Activity_Weekly,ROW(B46),0),Demand_Activity_Weekly_Header,CK$42)</f>
        <v>0</v>
      </c>
      <c r="EZ88" s="6">
        <f ca="1">SUMIFS(INDEX(Capacity_Activity_Weekly,ROW(C46),0),Demand_Activity_Weekly_Header,CL$42)</f>
        <v>0</v>
      </c>
      <c r="FA88" s="6">
        <f ca="1">SUMIFS(INDEX(Capacity_Activity_Weekly,ROW(D46),0),Demand_Activity_Weekly_Header,CM$42)</f>
        <v>0</v>
      </c>
      <c r="FB88" s="6">
        <f ca="1">SUMIFS(INDEX(Capacity_Activity_Weekly,ROW(E46),0),Demand_Activity_Weekly_Header,CN$42)</f>
        <v>0</v>
      </c>
      <c r="FD88" s="7">
        <f>'File 1'!$Q$54*'Time based aggregation (hide)'!$Q50</f>
        <v>0</v>
      </c>
      <c r="FE88" s="7">
        <f>'File 1'!$R$54*'Time based aggregation (hide)'!$R50</f>
        <v>0</v>
      </c>
      <c r="FF88" s="7">
        <f>'File 1'!$S$54*'Time based aggregation (hide)'!$S50</f>
        <v>0</v>
      </c>
      <c r="FG88" s="7">
        <f>'File 2'!$Q$54*'Time based aggregation (hide)'!$T50</f>
        <v>0</v>
      </c>
      <c r="FH88" s="7">
        <f>'File 2'!$R$54*'Time based aggregation (hide)'!$U50</f>
        <v>0</v>
      </c>
      <c r="FI88" s="7">
        <f>'File 2'!$S$54*'Time based aggregation (hide)'!$V50</f>
        <v>0</v>
      </c>
      <c r="FJ88" s="7">
        <f>'File 3'!$Q$54*'Time based aggregation (hide)'!$W50</f>
        <v>0</v>
      </c>
      <c r="FK88" s="7">
        <f>'File 3'!$R$54*'Time based aggregation (hide)'!$X50</f>
        <v>0</v>
      </c>
      <c r="FL88" s="7">
        <f>'File 3'!$S$54*'Time based aggregation (hide)'!$Y50</f>
        <v>0</v>
      </c>
      <c r="FM88" s="7">
        <f>'File 4'!$Q$54*'Time based aggregation (hide)'!$Z50</f>
        <v>0</v>
      </c>
      <c r="FN88" s="7">
        <f>'File 4'!$R$54*'Time based aggregation (hide)'!$AA50</f>
        <v>0</v>
      </c>
      <c r="FO88" s="7">
        <f>'File 4'!$S$54*'Time based aggregation (hide)'!$AB50</f>
        <v>0</v>
      </c>
      <c r="FP88" s="7">
        <f>'File 5'!$Q$54*'Time based aggregation (hide)'!$AC50</f>
        <v>0</v>
      </c>
      <c r="FQ88" s="7">
        <f>'File 5'!$R$54*'Time based aggregation (hide)'!$AD50</f>
        <v>0</v>
      </c>
      <c r="FR88" s="7">
        <f>'File 5'!$S$54*'Time based aggregation (hide)'!$AE50</f>
        <v>0</v>
      </c>
      <c r="FS88" s="7">
        <f>'File 6'!$Q$54*'Time based aggregation (hide)'!$AF50</f>
        <v>0</v>
      </c>
      <c r="FT88" s="7">
        <f>'File 6'!$R$54*'Time based aggregation (hide)'!$AG50</f>
        <v>0</v>
      </c>
      <c r="FU88" s="7">
        <f>'File 6'!$S$54*'Time based aggregation (hide)'!$AH50</f>
        <v>0</v>
      </c>
      <c r="FV88" s="7">
        <f>'File 7'!$Q$54*'Time based aggregation (hide)'!$AI50</f>
        <v>0</v>
      </c>
      <c r="FW88" s="7">
        <f>'File 7'!$R$54*'Time based aggregation (hide)'!$AJ50</f>
        <v>0</v>
      </c>
      <c r="FX88" s="7">
        <f>'File 7'!$S$54*'Time based aggregation (hide)'!$AK50</f>
        <v>0</v>
      </c>
      <c r="FY88" s="7">
        <f>'File 8'!$Q$54*'Time based aggregation (hide)'!$AL50</f>
        <v>0</v>
      </c>
      <c r="FZ88" s="7">
        <f>'File 8'!$R$54*'Time based aggregation (hide)'!$AM50</f>
        <v>0</v>
      </c>
      <c r="GA88" s="7">
        <f>'File 8'!$S$54*'Time based aggregation (hide)'!$AN50</f>
        <v>0</v>
      </c>
      <c r="GB88" s="7">
        <f>'File 9'!$Q$54*'Time based aggregation (hide)'!$AO50</f>
        <v>0</v>
      </c>
      <c r="GC88" s="7">
        <f>'File 9'!$R$54*'Time based aggregation (hide)'!$AP50</f>
        <v>0</v>
      </c>
      <c r="GD88" s="7">
        <f>'File 9'!$S$54*'Time based aggregation (hide)'!$AQ50</f>
        <v>0</v>
      </c>
      <c r="GE88" s="7">
        <f>'File 10'!$Q$54*'Time based aggregation (hide)'!$AR50</f>
        <v>0</v>
      </c>
      <c r="GF88" s="7">
        <f>'File 10'!$R$54*'Time based aggregation (hide)'!$AS50</f>
        <v>0</v>
      </c>
      <c r="GG88" s="7">
        <f>'File 10'!$S$54*'Time based aggregation (hide)'!$AT50</f>
        <v>0</v>
      </c>
      <c r="GH88" s="7">
        <f>'File 11'!$Q$54*'Time based aggregation (hide)'!$AU50</f>
        <v>0</v>
      </c>
      <c r="GI88" s="7">
        <f>'File 11'!$R$54*'Time based aggregation (hide)'!$AV50</f>
        <v>0</v>
      </c>
      <c r="GJ88" s="7">
        <f>'File 11'!$S$54*'Time based aggregation (hide)'!$AW50</f>
        <v>0</v>
      </c>
      <c r="GK88" s="7">
        <f>'File 12'!$Q$54*'Time based aggregation (hide)'!$AX50</f>
        <v>0</v>
      </c>
      <c r="GL88" s="7">
        <f>'File 12'!$R$54*'Time based aggregation (hide)'!$AY50</f>
        <v>0</v>
      </c>
      <c r="GM88" s="7">
        <f>'File 12'!$S$54*'Time based aggregation (hide)'!$AZ50</f>
        <v>0</v>
      </c>
      <c r="GN88" s="7">
        <f>'File 13'!$Q$54*'Time based aggregation (hide)'!$BA50</f>
        <v>0</v>
      </c>
      <c r="GO88" s="7">
        <f>'File 13'!$R$54*'Time based aggregation (hide)'!$BB50</f>
        <v>0</v>
      </c>
      <c r="GP88" s="7">
        <f>'File 13'!$S$54*'Time based aggregation (hide)'!$BC50</f>
        <v>0</v>
      </c>
      <c r="GQ88" s="7">
        <f>'File 14'!$Q$54*'Time based aggregation (hide)'!$BD50</f>
        <v>0</v>
      </c>
      <c r="GR88" s="7">
        <f>'File 14'!$R$54*'Time based aggregation (hide)'!$BE50</f>
        <v>0</v>
      </c>
      <c r="GS88" s="7">
        <f>'File 14'!$S$54*'Time based aggregation (hide)'!$BF50</f>
        <v>0</v>
      </c>
      <c r="GT88" s="7">
        <f>'File 15'!$Q$54*'Time based aggregation (hide)'!$BG50</f>
        <v>0</v>
      </c>
      <c r="GU88" s="7">
        <f>'File 15'!$R$54*'Time based aggregation (hide)'!$BH50</f>
        <v>0</v>
      </c>
      <c r="GV88" s="7">
        <f>'File 15'!$S$54*'Time based aggregation (hide)'!$BI50</f>
        <v>0</v>
      </c>
      <c r="GW88" s="7">
        <f>'File 16'!$Q$54*'Time based aggregation (hide)'!$BJ50</f>
        <v>0</v>
      </c>
      <c r="GX88" s="7">
        <f>'File 16'!$R$54*'Time based aggregation (hide)'!$BK50</f>
        <v>0</v>
      </c>
      <c r="GY88" s="7">
        <f>'File 16'!$S$54*'Time based aggregation (hide)'!$BL50</f>
        <v>0</v>
      </c>
      <c r="GZ88" s="7">
        <f>'File 17'!$Q$54*'Time based aggregation (hide)'!$BM50</f>
        <v>0</v>
      </c>
      <c r="HA88" s="7">
        <f>'File 17'!$R$54*'Time based aggregation (hide)'!$BN50</f>
        <v>0</v>
      </c>
      <c r="HB88" s="7">
        <f>'File 17'!$S$54*'Time based aggregation (hide)'!$BO50</f>
        <v>0</v>
      </c>
      <c r="HC88" s="7">
        <f>'File 18'!$Q$54*'Time based aggregation (hide)'!$BP50</f>
        <v>0</v>
      </c>
      <c r="HD88" s="7">
        <f>'File 18'!$R$54*'Time based aggregation (hide)'!$BQ50</f>
        <v>0</v>
      </c>
      <c r="HE88" s="7">
        <f>'File 18'!$S$54*'Time based aggregation (hide)'!$BR50</f>
        <v>0</v>
      </c>
      <c r="HF88" s="7">
        <f>'File 19'!$Q$54*'Time based aggregation (hide)'!$BS50</f>
        <v>0</v>
      </c>
      <c r="HG88" s="7">
        <f>'File 19'!$R$54*'Time based aggregation (hide)'!$BT50</f>
        <v>0</v>
      </c>
      <c r="HH88" s="7">
        <f>'File 19'!$S$54*'Time based aggregation (hide)'!$BU50</f>
        <v>0</v>
      </c>
      <c r="HI88" s="7">
        <f>'File 20'!$Q$54*'Time based aggregation (hide)'!$BV50</f>
        <v>0</v>
      </c>
      <c r="HJ88" s="7">
        <f>'File 20'!$R$54*'Time based aggregation (hide)'!$BW50</f>
        <v>0</v>
      </c>
      <c r="HK88" s="7">
        <f>'File 20'!$S$54*'Time based aggregation (hide)'!$BX50</f>
        <v>0</v>
      </c>
      <c r="HL88" s="7">
        <f t="shared" ca="1" si="50"/>
        <v>0</v>
      </c>
      <c r="HM88" s="7">
        <f t="shared" ca="1" si="50"/>
        <v>0</v>
      </c>
      <c r="HN88" s="7">
        <f t="shared" ca="1" si="50"/>
        <v>0</v>
      </c>
      <c r="HO88" s="7">
        <f t="shared" ca="1" si="50"/>
        <v>0</v>
      </c>
      <c r="HP88" s="7">
        <f t="shared" ca="1" si="50"/>
        <v>0</v>
      </c>
      <c r="HR88" s="142">
        <f>INDEX('File 1'!Weekly_Adjusted,46,16)</f>
        <v>20.933351264120493</v>
      </c>
      <c r="HS88" s="142">
        <f>INDEX('File 1'!Weekly_Adjusted,46,17)</f>
        <v>0</v>
      </c>
      <c r="HT88" s="142">
        <f>INDEX('File 1'!Weekly_Adjusted,46,18)</f>
        <v>0</v>
      </c>
      <c r="HU88" s="143">
        <f>INDEX('File 2'!Weekly_Adjusted,46,16)</f>
        <v>0</v>
      </c>
      <c r="HV88" s="143">
        <f>INDEX('File 2'!Weekly_Adjusted,46,17)</f>
        <v>0</v>
      </c>
      <c r="HW88" s="143">
        <f>INDEX('File 2'!Weekly_Adjusted,46,18)</f>
        <v>0</v>
      </c>
      <c r="HX88" s="142">
        <f>INDEX('File 3'!Weekly_Adjusted,46,16)</f>
        <v>0</v>
      </c>
      <c r="HY88" s="142">
        <f>INDEX('File 3'!Weekly_Adjusted,46,17)</f>
        <v>0</v>
      </c>
      <c r="HZ88" s="142">
        <f>INDEX('File 3'!Weekly_Adjusted,46,18)</f>
        <v>0</v>
      </c>
      <c r="IA88" s="143">
        <f>INDEX('File 4'!Weekly_Adjusted,46,16)</f>
        <v>0</v>
      </c>
      <c r="IB88" s="143">
        <f>INDEX('File 4'!Weekly_Adjusted,46,17)</f>
        <v>0</v>
      </c>
      <c r="IC88" s="143">
        <f>INDEX('File 4'!Weekly_Adjusted,46,18)</f>
        <v>0</v>
      </c>
      <c r="ID88" s="142">
        <f>INDEX('File 5'!Weekly_Adjusted,46,16)</f>
        <v>0</v>
      </c>
      <c r="IE88" s="142">
        <f>INDEX('File 5'!Weekly_Adjusted,46,17)</f>
        <v>0</v>
      </c>
      <c r="IF88" s="142">
        <f>INDEX('File 5'!Weekly_Adjusted,46,18)</f>
        <v>0</v>
      </c>
      <c r="IG88" s="143">
        <f>INDEX('File 6'!Weekly_Adjusted,46,16)</f>
        <v>0</v>
      </c>
      <c r="IH88" s="143">
        <f>INDEX('File 6'!Weekly_Adjusted,46,17)</f>
        <v>0</v>
      </c>
      <c r="II88" s="143">
        <f>INDEX('File 6'!Weekly_Adjusted,46,18)</f>
        <v>0</v>
      </c>
      <c r="IJ88" s="142">
        <f>INDEX('File 7'!Weekly_Adjusted,46,16)</f>
        <v>0</v>
      </c>
      <c r="IK88" s="142">
        <f>INDEX('File 7'!Weekly_Adjusted,46,17)</f>
        <v>0</v>
      </c>
      <c r="IL88" s="142">
        <f>INDEX('File 7'!Weekly_Adjusted,46,18)</f>
        <v>0</v>
      </c>
      <c r="IM88" s="143">
        <f>INDEX('File 8'!Weekly_Adjusted,46,16)</f>
        <v>0</v>
      </c>
      <c r="IN88" s="143">
        <f>INDEX('File 8'!Weekly_Adjusted,46,17)</f>
        <v>0</v>
      </c>
      <c r="IO88" s="143">
        <f>INDEX('File 8'!Weekly_Adjusted,46,18)</f>
        <v>0</v>
      </c>
      <c r="IP88" s="142">
        <f>INDEX('File 9'!Weekly_Adjusted,46,16)</f>
        <v>0</v>
      </c>
      <c r="IQ88" s="142">
        <f>INDEX('File 9'!Weekly_Adjusted,46,17)</f>
        <v>0</v>
      </c>
      <c r="IR88" s="142">
        <f>INDEX('File 9'!Weekly_Adjusted,46,18)</f>
        <v>0</v>
      </c>
      <c r="IS88" s="143">
        <f>INDEX('File 10'!Weekly_Adjusted,46,16)</f>
        <v>0</v>
      </c>
      <c r="IT88" s="143">
        <f>INDEX('File 10'!Weekly_Adjusted,46,17)</f>
        <v>0</v>
      </c>
      <c r="IU88" s="143">
        <f>INDEX('File 10'!Weekly_Adjusted,46,18)</f>
        <v>0</v>
      </c>
      <c r="IV88" s="142">
        <f>INDEX('File 11'!Weekly_Adjusted,46,16)</f>
        <v>0</v>
      </c>
      <c r="IW88" s="142">
        <f>INDEX('File 11'!Weekly_Adjusted,46,17)</f>
        <v>0</v>
      </c>
      <c r="IX88" s="142">
        <f>INDEX('File 11'!Weekly_Adjusted,46,18)</f>
        <v>0</v>
      </c>
      <c r="IY88" s="143">
        <f>INDEX('File 12'!Weekly_Adjusted,46,16)</f>
        <v>0</v>
      </c>
      <c r="IZ88" s="143">
        <f>INDEX('File 12'!Weekly_Adjusted,46,17)</f>
        <v>0</v>
      </c>
      <c r="JA88" s="143">
        <f>INDEX('File 12'!Weekly_Adjusted,46,18)</f>
        <v>0</v>
      </c>
      <c r="JB88" s="142">
        <f>INDEX('File 13'!Weekly_Adjusted,46,16)</f>
        <v>0</v>
      </c>
      <c r="JC88" s="142">
        <f>INDEX('File 13'!Weekly_Adjusted,46,17)</f>
        <v>0</v>
      </c>
      <c r="JD88" s="142">
        <f>INDEX('File 13'!Weekly_Adjusted,46,18)</f>
        <v>0</v>
      </c>
      <c r="JE88" s="143">
        <f>INDEX('File 14'!Weekly_Adjusted,46,16)</f>
        <v>0</v>
      </c>
      <c r="JF88" s="143">
        <f>INDEX('File 14'!Weekly_Adjusted,46,17)</f>
        <v>0</v>
      </c>
      <c r="JG88" s="143">
        <f>INDEX('File 14'!Weekly_Adjusted,46,18)</f>
        <v>0</v>
      </c>
      <c r="JH88" s="142">
        <f>INDEX('File 15'!Weekly_Adjusted,46,16)</f>
        <v>0</v>
      </c>
      <c r="JI88" s="142">
        <f>INDEX('File 15'!Weekly_Adjusted,46,17)</f>
        <v>0</v>
      </c>
      <c r="JJ88" s="142">
        <f>INDEX('File 15'!Weekly_Adjusted,46,18)</f>
        <v>0</v>
      </c>
      <c r="JK88" s="143">
        <f>INDEX('File 16'!Weekly_Adjusted,46,16)</f>
        <v>0</v>
      </c>
      <c r="JL88" s="143">
        <f>INDEX('File 16'!Weekly_Adjusted,46,17)</f>
        <v>0</v>
      </c>
      <c r="JM88" s="143">
        <f>INDEX('File 16'!Weekly_Adjusted,46,18)</f>
        <v>0</v>
      </c>
      <c r="JN88" s="142">
        <f>INDEX('File 17'!Weekly_Adjusted,46,16)</f>
        <v>0</v>
      </c>
      <c r="JO88" s="142">
        <f>INDEX('File 17'!Weekly_Adjusted,46,17)</f>
        <v>0</v>
      </c>
      <c r="JP88" s="142">
        <f>INDEX('File 17'!Weekly_Adjusted,46,18)</f>
        <v>0</v>
      </c>
      <c r="JQ88" s="143">
        <f>INDEX('File 18'!Weekly_Adjusted,46,16)</f>
        <v>0</v>
      </c>
      <c r="JR88" s="143">
        <f>INDEX('File 18'!Weekly_Adjusted,46,17)</f>
        <v>0</v>
      </c>
      <c r="JS88" s="143">
        <f>INDEX('File 18'!Weekly_Adjusted,46,18)</f>
        <v>0</v>
      </c>
      <c r="JT88" s="142">
        <f>INDEX('File 19'!Weekly_Adjusted,46,16)</f>
        <v>0</v>
      </c>
      <c r="JU88" s="142">
        <f>INDEX('File 19'!Weekly_Adjusted,46,17)</f>
        <v>0</v>
      </c>
      <c r="JV88" s="142">
        <f>INDEX('File 19'!Weekly_Adjusted,46,18)</f>
        <v>0</v>
      </c>
      <c r="JW88" s="143">
        <f>INDEX('File 20'!Weekly_Adjusted,46,16)</f>
        <v>0</v>
      </c>
      <c r="JX88" s="143">
        <f>INDEX('File 20'!Weekly_Adjusted,46,17)</f>
        <v>0</v>
      </c>
      <c r="JY88" s="143">
        <f>INDEX('File 20'!Weekly_Adjusted,46,18)</f>
        <v>0</v>
      </c>
      <c r="JZ88" s="6">
        <f ca="1">SUMIFS(INDEX(CapacityCore_Activity_Weekly,ROW(EC46),0),Demand_Activity_Weekly_Header,HL$42)</f>
        <v>20.933351264120493</v>
      </c>
      <c r="KA88" s="6">
        <f ca="1">SUMIFS(INDEX(CapacityCore_Activity_Weekly,ROW(ED46),0),Demand_Activity_Weekly_Header,HM$42)</f>
        <v>0</v>
      </c>
      <c r="KB88" s="6">
        <f ca="1">SUMIFS(INDEX(CapacityCore_Activity_Weekly,ROW(EE46),0),Demand_Activity_Weekly_Header,HN$42)</f>
        <v>0</v>
      </c>
      <c r="KC88" s="6">
        <f ca="1">SUMIFS(INDEX(CapacityCore_Activity_Weekly,ROW(EF46),0),Demand_Activity_Weekly_Header,HO$42)</f>
        <v>0</v>
      </c>
      <c r="KD88" s="6">
        <f ca="1">SUMIFS(INDEX(CapacityCore_Activity_Weekly,ROW(EG46),0),Demand_Activity_Weekly_Header,HP$42)</f>
        <v>0</v>
      </c>
      <c r="KF88" s="6">
        <f>SUMIFS('Time based aggregation (hide)'!$J:$J,'Time based aggregation (hide)'!$E:$E,1,'Time based aggregation (hide)'!$F:$F,1,'Time based aggregation (hide)'!$A:$A,ROW(A46))</f>
        <v>0</v>
      </c>
      <c r="KG88" s="6">
        <f>SUMIFS('Time based aggregation (hide)'!$J:$J,'Time based aggregation (hide)'!$E:$E,1,'Time based aggregation (hide)'!$F:$F,2,'Time based aggregation (hide)'!$A:$A,ROW(A46))</f>
        <v>0</v>
      </c>
      <c r="KH88" s="6">
        <f>SUMIFS('Time based aggregation (hide)'!$J:$J,'Time based aggregation (hide)'!$E:$E,1,'Time based aggregation (hide)'!$F:$F,3,'Time based aggregation (hide)'!$A:$A,ROW(A46))</f>
        <v>0</v>
      </c>
      <c r="KI88" s="6">
        <f>SUMIFS('Time based aggregation (hide)'!$J:$J,'Time based aggregation (hide)'!$E:$E,2,'Time based aggregation (hide)'!$F:$F,1,'Time based aggregation (hide)'!$A:$A,ROW(A46))</f>
        <v>0</v>
      </c>
      <c r="KJ88" s="6">
        <f>SUMIFS('Time based aggregation (hide)'!$J:$J,'Time based aggregation (hide)'!$E:$E,2,'Time based aggregation (hide)'!$F:$F,2,'Time based aggregation (hide)'!$A:$A,ROW(A46))</f>
        <v>0</v>
      </c>
      <c r="KK88" s="6">
        <f>SUMIFS('Time based aggregation (hide)'!$J:$J,'Time based aggregation (hide)'!$E:$E,2,'Time based aggregation (hide)'!$F:$F,3,'Time based aggregation (hide)'!$A:$A,ROW(A46))</f>
        <v>0</v>
      </c>
      <c r="KL88" s="6">
        <f>SUMIFS('Time based aggregation (hide)'!$J:$J,'Time based aggregation (hide)'!$E:$E,3,'Time based aggregation (hide)'!$F:$F,1,'Time based aggregation (hide)'!$A:$A,ROW(A46))</f>
        <v>0</v>
      </c>
      <c r="KM88" s="6">
        <f>SUMIFS('Time based aggregation (hide)'!$J:$J,'Time based aggregation (hide)'!$E:$E,3,'Time based aggregation (hide)'!$F:$F,2,'Time based aggregation (hide)'!$A:$A,ROW(A46))</f>
        <v>0</v>
      </c>
      <c r="KN88" s="6">
        <f>SUMIFS('Time based aggregation (hide)'!$J:$J,'Time based aggregation (hide)'!$E:$E,3,'Time based aggregation (hide)'!$F:$F,3,'Time based aggregation (hide)'!$A:$A,ROW(A46))</f>
        <v>0</v>
      </c>
      <c r="KO88" s="6">
        <f>SUMIFS('Time based aggregation (hide)'!$J:$J,'Time based aggregation (hide)'!$E:$E,4,'Time based aggregation (hide)'!$F:$F,1,'Time based aggregation (hide)'!$A:$A,ROW(A46))</f>
        <v>0</v>
      </c>
      <c r="KP88" s="6">
        <f>SUMIFS('Time based aggregation (hide)'!$J:$J,'Time based aggregation (hide)'!$E:$E,4,'Time based aggregation (hide)'!$F:$F,2,'Time based aggregation (hide)'!$A:$A,ROW(A46))</f>
        <v>0</v>
      </c>
      <c r="KQ88" s="6">
        <f>SUMIFS('Time based aggregation (hide)'!$J:$J,'Time based aggregation (hide)'!$E:$E,4,'Time based aggregation (hide)'!$F:$F,3,'Time based aggregation (hide)'!$A:$A,ROW(A46))</f>
        <v>0</v>
      </c>
      <c r="KR88" s="6">
        <f>SUMIFS('Time based aggregation (hide)'!$J:$J,'Time based aggregation (hide)'!$E:$E,5,'Time based aggregation (hide)'!$F:$F,1,'Time based aggregation (hide)'!$A:$A,ROW(A46))</f>
        <v>0</v>
      </c>
      <c r="KS88" s="6">
        <f>SUMIFS('Time based aggregation (hide)'!$J:$J,'Time based aggregation (hide)'!$E:$E,5,'Time based aggregation (hide)'!$F:$F,2,'Time based aggregation (hide)'!$A:$A,ROW(A46))</f>
        <v>0</v>
      </c>
      <c r="KT88" s="6">
        <f>SUMIFS('Time based aggregation (hide)'!$J:$J,'Time based aggregation (hide)'!$E:$E,5,'Time based aggregation (hide)'!$F:$F,3,'Time based aggregation (hide)'!$A:$A,ROW(A46))</f>
        <v>0</v>
      </c>
      <c r="KU88" s="6">
        <f>SUMIFS('Time based aggregation (hide)'!$J:$J,'Time based aggregation (hide)'!$E:$E,6,'Time based aggregation (hide)'!$F:$F,1,'Time based aggregation (hide)'!$A:$A,ROW(A46))</f>
        <v>0</v>
      </c>
      <c r="KV88" s="6">
        <f>SUMIFS('Time based aggregation (hide)'!$J:$J,'Time based aggregation (hide)'!$E:$E,6,'Time based aggregation (hide)'!$F:$F,2,'Time based aggregation (hide)'!$A:$A,ROW(A46))</f>
        <v>0</v>
      </c>
      <c r="KW88" s="6">
        <f>SUMIFS('Time based aggregation (hide)'!$J:$J,'Time based aggregation (hide)'!$E:$E,6,'Time based aggregation (hide)'!$F:$F,3,'Time based aggregation (hide)'!$A:$A,ROW(A46))</f>
        <v>0</v>
      </c>
      <c r="KX88" s="6">
        <f>SUMIFS('Time based aggregation (hide)'!$J:$J,'Time based aggregation (hide)'!$E:$E,7,'Time based aggregation (hide)'!$F:$F,1,'Time based aggregation (hide)'!$A:$A,ROW(A46))</f>
        <v>0</v>
      </c>
      <c r="KY88" s="6">
        <f>SUMIFS('Time based aggregation (hide)'!$J:$J,'Time based aggregation (hide)'!$E:$E,7,'Time based aggregation (hide)'!$F:$F,2,'Time based aggregation (hide)'!$A:$A,ROW(A46))</f>
        <v>0</v>
      </c>
      <c r="KZ88" s="6">
        <f>SUMIFS('Time based aggregation (hide)'!$J:$J,'Time based aggregation (hide)'!$E:$E,7,'Time based aggregation (hide)'!$F:$F,3,'Time based aggregation (hide)'!$A:$A,ROW(A46))</f>
        <v>0</v>
      </c>
      <c r="LA88" s="6">
        <f>SUMIFS('Time based aggregation (hide)'!$J:$J,'Time based aggregation (hide)'!$E:$E,8,'Time based aggregation (hide)'!$F:$F,1,'Time based aggregation (hide)'!$A:$A,ROW(A46))</f>
        <v>0</v>
      </c>
      <c r="LB88" s="6">
        <f>SUMIFS('Time based aggregation (hide)'!$J:$J,'Time based aggregation (hide)'!$E:$E,8,'Time based aggregation (hide)'!$F:$F,2,'Time based aggregation (hide)'!$A:$A,ROW(A46))</f>
        <v>0</v>
      </c>
      <c r="LC88" s="6">
        <f>SUMIFS('Time based aggregation (hide)'!$J:$J,'Time based aggregation (hide)'!$E:$E,8,'Time based aggregation (hide)'!$F:$F,3,'Time based aggregation (hide)'!$A:$A,ROW(A46))</f>
        <v>0</v>
      </c>
      <c r="LD88" s="6">
        <f>SUMIFS('Time based aggregation (hide)'!$J:$J,'Time based aggregation (hide)'!$E:$E,9,'Time based aggregation (hide)'!$F:$F,1,'Time based aggregation (hide)'!$A:$A,ROW(A46))</f>
        <v>0</v>
      </c>
      <c r="LE88" s="6">
        <f>SUMIFS('Time based aggregation (hide)'!$J:$J,'Time based aggregation (hide)'!$E:$E,9,'Time based aggregation (hide)'!$F:$F,2,'Time based aggregation (hide)'!$A:$A,ROW(A46))</f>
        <v>0</v>
      </c>
      <c r="LF88" s="6">
        <f>SUMIFS('Time based aggregation (hide)'!$J:$J,'Time based aggregation (hide)'!$E:$E,9,'Time based aggregation (hide)'!$F:$F,3,'Time based aggregation (hide)'!$A:$A,ROW(A46))</f>
        <v>0</v>
      </c>
      <c r="LG88" s="6">
        <f>SUMIFS('Time based aggregation (hide)'!$J:$J,'Time based aggregation (hide)'!$E:$E,10,'Time based aggregation (hide)'!$F:$F,1,'Time based aggregation (hide)'!$A:$A,ROW(A46))</f>
        <v>0</v>
      </c>
      <c r="LH88" s="6">
        <f>SUMIFS('Time based aggregation (hide)'!$J:$J,'Time based aggregation (hide)'!$E:$E,10,'Time based aggregation (hide)'!$F:$F,2,'Time based aggregation (hide)'!$A:$A,ROW(A46))</f>
        <v>0</v>
      </c>
      <c r="LI88" s="6">
        <f>SUMIFS('Time based aggregation (hide)'!$J:$J,'Time based aggregation (hide)'!$E:$E,10,'Time based aggregation (hide)'!$F:$F,3,'Time based aggregation (hide)'!$A:$A,ROW(A46))</f>
        <v>0</v>
      </c>
      <c r="LJ88" s="6">
        <f>SUMIFS('Time based aggregation (hide)'!$J:$J,'Time based aggregation (hide)'!$E:$E,11,'Time based aggregation (hide)'!$F:$F,1,'Time based aggregation (hide)'!$A:$A,ROW(A46))</f>
        <v>0</v>
      </c>
      <c r="LK88" s="6">
        <f>SUMIFS('Time based aggregation (hide)'!$J:$J,'Time based aggregation (hide)'!$E:$E,11,'Time based aggregation (hide)'!$F:$F,2,'Time based aggregation (hide)'!$A:$A,ROW(A46))</f>
        <v>0</v>
      </c>
      <c r="LL88" s="6">
        <f>SUMIFS('Time based aggregation (hide)'!$J:$J,'Time based aggregation (hide)'!$E:$E,11,'Time based aggregation (hide)'!$F:$F,3,'Time based aggregation (hide)'!$A:$A,ROW(A46))</f>
        <v>0</v>
      </c>
      <c r="LM88" s="6">
        <f>SUMIFS('Time based aggregation (hide)'!$J:$J,'Time based aggregation (hide)'!$E:$E,12,'Time based aggregation (hide)'!$F:$F,1,'Time based aggregation (hide)'!$A:$A,ROW(A46))</f>
        <v>0</v>
      </c>
      <c r="LN88" s="6">
        <f>SUMIFS('Time based aggregation (hide)'!$J:$J,'Time based aggregation (hide)'!$E:$E,12,'Time based aggregation (hide)'!$F:$F,2,'Time based aggregation (hide)'!$A:$A,ROW(A46))</f>
        <v>0</v>
      </c>
      <c r="LO88" s="6">
        <f>SUMIFS('Time based aggregation (hide)'!$J:$J,'Time based aggregation (hide)'!$E:$E,12,'Time based aggregation (hide)'!$F:$F,3,'Time based aggregation (hide)'!$A:$A,ROW(A46))</f>
        <v>0</v>
      </c>
      <c r="LP88" s="6">
        <f>SUMIFS('Time based aggregation (hide)'!$J:$J,'Time based aggregation (hide)'!$E:$E,13,'Time based aggregation (hide)'!$F:$F,1,'Time based aggregation (hide)'!$A:$A,ROW(A46))</f>
        <v>0</v>
      </c>
      <c r="LQ88" s="6">
        <f>SUMIFS('Time based aggregation (hide)'!$J:$J,'Time based aggregation (hide)'!$E:$E,13,'Time based aggregation (hide)'!$F:$F,2,'Time based aggregation (hide)'!$A:$A,ROW(A46))</f>
        <v>0</v>
      </c>
      <c r="LR88" s="6">
        <f>SUMIFS('Time based aggregation (hide)'!$J:$J,'Time based aggregation (hide)'!$E:$E,13,'Time based aggregation (hide)'!$F:$F,3,'Time based aggregation (hide)'!$A:$A,ROW(A46))</f>
        <v>0</v>
      </c>
      <c r="LS88" s="6">
        <f>SUMIFS('Time based aggregation (hide)'!$J:$J,'Time based aggregation (hide)'!$E:$E,14,'Time based aggregation (hide)'!$F:$F,1,'Time based aggregation (hide)'!$A:$A,ROW(A46))</f>
        <v>0</v>
      </c>
      <c r="LT88" s="6">
        <f>SUMIFS('Time based aggregation (hide)'!$J:$J,'Time based aggregation (hide)'!$E:$E,14,'Time based aggregation (hide)'!$F:$F,2,'Time based aggregation (hide)'!$A:$A,ROW(A46))</f>
        <v>0</v>
      </c>
      <c r="LU88" s="6">
        <f>SUMIFS('Time based aggregation (hide)'!$J:$J,'Time based aggregation (hide)'!$E:$E,14,'Time based aggregation (hide)'!$F:$F,3,'Time based aggregation (hide)'!$A:$A,ROW(A46))</f>
        <v>0</v>
      </c>
      <c r="LV88" s="6">
        <f>SUMIFS('Time based aggregation (hide)'!$J:$J,'Time based aggregation (hide)'!$E:$E,15,'Time based aggregation (hide)'!$F:$F,1,'Time based aggregation (hide)'!$A:$A,ROW(A46))</f>
        <v>0</v>
      </c>
      <c r="LW88" s="6">
        <f>SUMIFS('Time based aggregation (hide)'!$J:$J,'Time based aggregation (hide)'!$E:$E,15,'Time based aggregation (hide)'!$F:$F,2,'Time based aggregation (hide)'!$A:$A,ROW(A46))</f>
        <v>0</v>
      </c>
      <c r="LX88" s="6">
        <f>SUMIFS('Time based aggregation (hide)'!$J:$J,'Time based aggregation (hide)'!$E:$E,15,'Time based aggregation (hide)'!$F:$F,3,'Time based aggregation (hide)'!$A:$A,ROW(A46))</f>
        <v>0</v>
      </c>
      <c r="LY88" s="6">
        <f>SUMIFS('Time based aggregation (hide)'!$J:$J,'Time based aggregation (hide)'!$E:$E,16,'Time based aggregation (hide)'!$F:$F,1,'Time based aggregation (hide)'!$A:$A,ROW(A46))</f>
        <v>0</v>
      </c>
      <c r="LZ88" s="6">
        <f>SUMIFS('Time based aggregation (hide)'!$J:$J,'Time based aggregation (hide)'!$E:$E,16,'Time based aggregation (hide)'!$F:$F,2,'Time based aggregation (hide)'!$A:$A,ROW(A46))</f>
        <v>0</v>
      </c>
      <c r="MA88" s="6">
        <f>SUMIFS('Time based aggregation (hide)'!$J:$J,'Time based aggregation (hide)'!$E:$E,16,'Time based aggregation (hide)'!$F:$F,3,'Time based aggregation (hide)'!$A:$A,ROW(A46))</f>
        <v>0</v>
      </c>
      <c r="MB88" s="6">
        <f>SUMIFS('Time based aggregation (hide)'!$J:$J,'Time based aggregation (hide)'!$E:$E,17,'Time based aggregation (hide)'!$F:$F,1,'Time based aggregation (hide)'!$A:$A,ROW(A46))</f>
        <v>0</v>
      </c>
      <c r="MC88" s="6">
        <f>SUMIFS('Time based aggregation (hide)'!$J:$J,'Time based aggregation (hide)'!$E:$E,17,'Time based aggregation (hide)'!$F:$F,2,'Time based aggregation (hide)'!$A:$A,ROW(A46))</f>
        <v>0</v>
      </c>
      <c r="MD88" s="6">
        <f>SUMIFS('Time based aggregation (hide)'!$J:$J,'Time based aggregation (hide)'!$E:$E,17,'Time based aggregation (hide)'!$F:$F,3,'Time based aggregation (hide)'!$A:$A,ROW(A46))</f>
        <v>0</v>
      </c>
      <c r="ME88" s="6">
        <f>SUMIFS('Time based aggregation (hide)'!$J:$J,'Time based aggregation (hide)'!$E:$E,18,'Time based aggregation (hide)'!$F:$F,1,'Time based aggregation (hide)'!$A:$A,ROW(A46))</f>
        <v>0</v>
      </c>
      <c r="MF88" s="6">
        <f>SUMIFS('Time based aggregation (hide)'!$J:$J,'Time based aggregation (hide)'!$E:$E,18,'Time based aggregation (hide)'!$F:$F,2,'Time based aggregation (hide)'!$A:$A,ROW(A46))</f>
        <v>0</v>
      </c>
      <c r="MG88" s="6">
        <f>SUMIFS('Time based aggregation (hide)'!$J:$J,'Time based aggregation (hide)'!$E:$E,18,'Time based aggregation (hide)'!$F:$F,3,'Time based aggregation (hide)'!$A:$A,ROW(A46))</f>
        <v>0</v>
      </c>
      <c r="MH88" s="6">
        <f>SUMIFS('Time based aggregation (hide)'!$J:$J,'Time based aggregation (hide)'!$E:$E,19,'Time based aggregation (hide)'!$F:$F,1,'Time based aggregation (hide)'!$A:$A,ROW(A46))</f>
        <v>0</v>
      </c>
      <c r="MI88" s="6">
        <f>SUMIFS('Time based aggregation (hide)'!$J:$J,'Time based aggregation (hide)'!$E:$E,19,'Time based aggregation (hide)'!$F:$F,2,'Time based aggregation (hide)'!$A:$A,ROW(A46))</f>
        <v>0</v>
      </c>
      <c r="MJ88" s="6">
        <f>SUMIFS('Time based aggregation (hide)'!$J:$J,'Time based aggregation (hide)'!$E:$E,19,'Time based aggregation (hide)'!$F:$F,3,'Time based aggregation (hide)'!$A:$A,ROW(A46))</f>
        <v>0</v>
      </c>
      <c r="MK88" s="6">
        <f>SUMIFS('Time based aggregation (hide)'!$J:$J,'Time based aggregation (hide)'!$E:$E,20,'Time based aggregation (hide)'!$F:$F,1,'Time based aggregation (hide)'!$A:$A,ROW(A46))</f>
        <v>0</v>
      </c>
      <c r="ML88" s="6">
        <f>SUMIFS('Time based aggregation (hide)'!$J:$J,'Time based aggregation (hide)'!$E:$E,20,'Time based aggregation (hide)'!$F:$F,2,'Time based aggregation (hide)'!$A:$A,ROW(A46))</f>
        <v>0</v>
      </c>
      <c r="MM88" s="6">
        <f>SUMIFS('Time based aggregation (hide)'!$J:$J,'Time based aggregation (hide)'!$E:$E,20,'Time based aggregation (hide)'!$F:$F,3,'Time based aggregation (hide)'!$A:$A,ROW(A46))</f>
        <v>0</v>
      </c>
      <c r="MN88" s="7">
        <f t="shared" ca="1" si="48"/>
        <v>0</v>
      </c>
      <c r="MO88" s="7">
        <f t="shared" ca="1" si="48"/>
        <v>0</v>
      </c>
      <c r="MP88" s="7">
        <f t="shared" ca="1" si="48"/>
        <v>0</v>
      </c>
      <c r="MQ88" s="7">
        <f t="shared" ca="1" si="48"/>
        <v>0</v>
      </c>
      <c r="MR88" s="7">
        <f t="shared" ca="1" si="48"/>
        <v>0</v>
      </c>
    </row>
    <row r="89" spans="1:356" x14ac:dyDescent="0.25">
      <c r="A89">
        <f>1</f>
        <v>1</v>
      </c>
      <c r="B89" s="85">
        <f t="shared" si="37"/>
        <v>43877</v>
      </c>
      <c r="C89" s="85">
        <f t="shared" si="25"/>
        <v>43871</v>
      </c>
      <c r="D89">
        <f t="shared" ca="1" si="26"/>
        <v>0</v>
      </c>
      <c r="E89" s="85">
        <f t="shared" si="27"/>
        <v>43862</v>
      </c>
      <c r="F89">
        <f t="shared" si="33"/>
        <v>7</v>
      </c>
      <c r="H89">
        <f t="shared" si="34"/>
        <v>47</v>
      </c>
      <c r="I89" s="85">
        <f t="shared" si="38"/>
        <v>44151</v>
      </c>
      <c r="J89">
        <f t="shared" ca="1" si="46"/>
        <v>5</v>
      </c>
      <c r="K89">
        <f t="shared" ca="1" si="47"/>
        <v>1.968503937007874E-2</v>
      </c>
      <c r="L89" s="114"/>
      <c r="N89" s="85">
        <f t="shared" si="35"/>
        <v>44151</v>
      </c>
      <c r="O89" s="122">
        <f t="shared" ca="1" si="49"/>
        <v>0</v>
      </c>
      <c r="P89" s="122">
        <f t="shared" ca="1" si="49"/>
        <v>0</v>
      </c>
      <c r="Q89" s="122">
        <f t="shared" ca="1" si="49"/>
        <v>0</v>
      </c>
      <c r="R89" s="122">
        <f t="shared" ca="1" si="49"/>
        <v>0</v>
      </c>
      <c r="S89" s="122">
        <f t="shared" ca="1" si="49"/>
        <v>0</v>
      </c>
      <c r="T89" s="122">
        <f t="shared" ca="1" si="49"/>
        <v>0</v>
      </c>
      <c r="U89" s="122">
        <f t="shared" ca="1" si="49"/>
        <v>0</v>
      </c>
      <c r="V89" s="122">
        <f t="shared" ca="1" si="49"/>
        <v>0</v>
      </c>
      <c r="W89" s="122">
        <f t="shared" ca="1" si="49"/>
        <v>0</v>
      </c>
      <c r="X89" s="122">
        <f t="shared" ca="1" si="49"/>
        <v>0</v>
      </c>
      <c r="Y89" s="122">
        <f t="shared" ca="1" si="49"/>
        <v>1</v>
      </c>
      <c r="Z89" s="122">
        <f t="shared" ca="1" si="49"/>
        <v>0</v>
      </c>
      <c r="AA89" s="122"/>
      <c r="AB89" s="140">
        <f>INDEX('File 1'!Weekly_Adjusted,47,1)</f>
        <v>388.17143954725253</v>
      </c>
      <c r="AC89" s="140">
        <f>INDEX('File 1'!Weekly_Adjusted,47,2)</f>
        <v>0</v>
      </c>
      <c r="AD89" s="140">
        <f>INDEX('File 1'!Weekly_Adjusted,47,3)</f>
        <v>0</v>
      </c>
      <c r="AE89" s="141">
        <f>INDEX('File 2'!Weekly_Adjusted,47,1)</f>
        <v>0</v>
      </c>
      <c r="AF89" s="141">
        <f>INDEX('File 2'!Weekly_Adjusted,47,2)</f>
        <v>0</v>
      </c>
      <c r="AG89" s="141">
        <f>INDEX('File 2'!Weekly_Adjusted,47,3)</f>
        <v>0</v>
      </c>
      <c r="AH89" s="140">
        <f>INDEX('File 3'!Weekly_Adjusted,47,1)</f>
        <v>0</v>
      </c>
      <c r="AI89" s="140">
        <f>INDEX('File 3'!Weekly_Adjusted,47,2)</f>
        <v>0</v>
      </c>
      <c r="AJ89" s="140">
        <f>INDEX('File 3'!Weekly_Adjusted,47,3)</f>
        <v>0</v>
      </c>
      <c r="AK89" s="141">
        <f>INDEX('File 4'!Weekly_Adjusted,47,1)</f>
        <v>0</v>
      </c>
      <c r="AL89" s="141">
        <f>INDEX('File 4'!Weekly_Adjusted,47,2)</f>
        <v>0</v>
      </c>
      <c r="AM89" s="141">
        <f>INDEX('File 4'!Weekly_Adjusted,47,3)</f>
        <v>0</v>
      </c>
      <c r="AN89" s="140">
        <f>INDEX('File 5'!Weekly_Adjusted,47,1)</f>
        <v>0</v>
      </c>
      <c r="AO89" s="140">
        <f>INDEX('File 5'!Weekly_Adjusted,47,2)</f>
        <v>0</v>
      </c>
      <c r="AP89" s="140">
        <f>INDEX('File 5'!Weekly_Adjusted,47,3)</f>
        <v>0</v>
      </c>
      <c r="AQ89" s="141">
        <f>INDEX('File 6'!Weekly_Adjusted,47,1)</f>
        <v>0</v>
      </c>
      <c r="AR89" s="141">
        <f>INDEX('File 6'!Weekly_Adjusted,47,2)</f>
        <v>0</v>
      </c>
      <c r="AS89" s="141">
        <f>INDEX('File 6'!Weekly_Adjusted,47,3)</f>
        <v>0</v>
      </c>
      <c r="AT89" s="140">
        <f>INDEX('File 7'!Weekly_Adjusted,47,1)</f>
        <v>0</v>
      </c>
      <c r="AU89" s="140">
        <f>INDEX('File 7'!Weekly_Adjusted,47,2)</f>
        <v>0</v>
      </c>
      <c r="AV89" s="140">
        <f>INDEX('File 7'!Weekly_Adjusted,47,3)</f>
        <v>0</v>
      </c>
      <c r="AW89" s="141">
        <f>INDEX('File 8'!Weekly_Adjusted,47,1)</f>
        <v>0</v>
      </c>
      <c r="AX89" s="141">
        <f>INDEX('File 8'!Weekly_Adjusted,47,2)</f>
        <v>0</v>
      </c>
      <c r="AY89" s="141">
        <f>INDEX('File 8'!Weekly_Adjusted,47,3)</f>
        <v>0</v>
      </c>
      <c r="AZ89" s="140">
        <f>INDEX('File 9'!Weekly_Adjusted,47,1)</f>
        <v>0</v>
      </c>
      <c r="BA89" s="140">
        <f>INDEX('File 9'!Weekly_Adjusted,47,2)</f>
        <v>0</v>
      </c>
      <c r="BB89" s="140">
        <f>INDEX('File 9'!Weekly_Adjusted,47,3)</f>
        <v>0</v>
      </c>
      <c r="BC89" s="141">
        <f>INDEX('File 10'!Weekly_Adjusted,47,1)</f>
        <v>0</v>
      </c>
      <c r="BD89" s="141">
        <f>INDEX('File 10'!Weekly_Adjusted,47,2)</f>
        <v>0</v>
      </c>
      <c r="BE89" s="141">
        <f>INDEX('File 10'!Weekly_Adjusted,47,3)</f>
        <v>0</v>
      </c>
      <c r="BF89" s="140">
        <f>INDEX('File 11'!Weekly_Adjusted,47,1)</f>
        <v>0</v>
      </c>
      <c r="BG89" s="140">
        <f>INDEX('File 11'!Weekly_Adjusted,47,2)</f>
        <v>0</v>
      </c>
      <c r="BH89" s="140">
        <f>INDEX('File 11'!Weekly_Adjusted,47,3)</f>
        <v>0</v>
      </c>
      <c r="BI89" s="141">
        <f>INDEX('File 12'!Weekly_Adjusted,47,1)</f>
        <v>0</v>
      </c>
      <c r="BJ89" s="141">
        <f>INDEX('File 12'!Weekly_Adjusted,47,2)</f>
        <v>0</v>
      </c>
      <c r="BK89" s="141">
        <f>INDEX('File 12'!Weekly_Adjusted,47,3)</f>
        <v>0</v>
      </c>
      <c r="BL89" s="140">
        <f>INDEX('File 13'!Weekly_Adjusted,47,1)</f>
        <v>0</v>
      </c>
      <c r="BM89" s="140">
        <f>INDEX('File 13'!Weekly_Adjusted,47,2)</f>
        <v>0</v>
      </c>
      <c r="BN89" s="140">
        <f>INDEX('File 13'!Weekly_Adjusted,47,3)</f>
        <v>0</v>
      </c>
      <c r="BO89" s="141">
        <f>INDEX('File 14'!Weekly_Adjusted,47,1)</f>
        <v>0</v>
      </c>
      <c r="BP89" s="141">
        <f>INDEX('File 14'!Weekly_Adjusted,47,2)</f>
        <v>0</v>
      </c>
      <c r="BQ89" s="141">
        <f>INDEX('File 14'!Weekly_Adjusted,47,3)</f>
        <v>0</v>
      </c>
      <c r="BR89" s="140">
        <f>INDEX('File 15'!Weekly_Adjusted,47,1)</f>
        <v>0</v>
      </c>
      <c r="BS89" s="140">
        <f>INDEX('File 15'!Weekly_Adjusted,47,2)</f>
        <v>0</v>
      </c>
      <c r="BT89" s="140">
        <f>INDEX('File 15'!Weekly_Adjusted,47,3)</f>
        <v>0</v>
      </c>
      <c r="BU89" s="141">
        <f>INDEX('File 16'!Weekly_Adjusted,47,1)</f>
        <v>0</v>
      </c>
      <c r="BV89" s="141">
        <f>INDEX('File 16'!Weekly_Adjusted,47,2)</f>
        <v>0</v>
      </c>
      <c r="BW89" s="141">
        <f>INDEX('File 16'!Weekly_Adjusted,47,3)</f>
        <v>0</v>
      </c>
      <c r="BX89" s="140">
        <f>INDEX('File 17'!Weekly_Adjusted,47,1)</f>
        <v>0</v>
      </c>
      <c r="BY89" s="140">
        <f>INDEX('File 17'!Weekly_Adjusted,47,2)</f>
        <v>0</v>
      </c>
      <c r="BZ89" s="140">
        <f>INDEX('File 17'!Weekly_Adjusted,47,3)</f>
        <v>0</v>
      </c>
      <c r="CA89" s="141">
        <f>INDEX('File 18'!Weekly_Adjusted,47,1)</f>
        <v>0</v>
      </c>
      <c r="CB89" s="141">
        <f>INDEX('File 18'!Weekly_Adjusted,47,2)</f>
        <v>0</v>
      </c>
      <c r="CC89" s="141">
        <f>INDEX('File 18'!Weekly_Adjusted,47,3)</f>
        <v>0</v>
      </c>
      <c r="CD89" s="140">
        <f>INDEX('File 19'!Weekly_Adjusted,47,1)</f>
        <v>0</v>
      </c>
      <c r="CE89" s="140">
        <f>INDEX('File 19'!Weekly_Adjusted,47,2)</f>
        <v>0</v>
      </c>
      <c r="CF89" s="140">
        <f>INDEX('File 19'!Weekly_Adjusted,47,3)</f>
        <v>0</v>
      </c>
      <c r="CG89" s="141">
        <f>INDEX('File 20'!Weekly_Adjusted,47,1)</f>
        <v>0</v>
      </c>
      <c r="CH89" s="141">
        <f>INDEX('File 20'!Weekly_Adjusted,47,2)</f>
        <v>0</v>
      </c>
      <c r="CI89" s="141">
        <f>INDEX('File 20'!Weekly_Adjusted,47,3)</f>
        <v>0</v>
      </c>
      <c r="CJ89" s="6">
        <f ca="1">SUMIFS(INDEX(Demand_Activity_Weekly,ROW(A47),0),Demand_Activity_Weekly_Header,CJ$42)</f>
        <v>388.17143954725253</v>
      </c>
      <c r="CK89" s="6">
        <f ca="1">SUMIFS(INDEX(Demand_Activity_Weekly,ROW(B47),0),Demand_Activity_Weekly_Header,CK$42)</f>
        <v>0</v>
      </c>
      <c r="CL89" s="6">
        <f ca="1">SUMIFS(INDEX(Demand_Activity_Weekly,ROW(C47),0),Demand_Activity_Weekly_Header,CL$42)</f>
        <v>0</v>
      </c>
      <c r="CM89" s="6">
        <f ca="1">SUMIFS(INDEX(Demand_Activity_Weekly,ROW(D47),0),Demand_Activity_Weekly_Header,CM$42)</f>
        <v>0</v>
      </c>
      <c r="CN89" s="6">
        <f ca="1">SUMIFS(INDEX(Demand_Activity_Weekly,ROW(E47),0),Demand_Activity_Weekly_Header,CN$42)</f>
        <v>0</v>
      </c>
      <c r="CP89" s="142">
        <f>INDEX('File 1'!Weekly_Adjusted,47,10)</f>
        <v>24.344712210866053</v>
      </c>
      <c r="CQ89" s="142">
        <f>INDEX('File 1'!Weekly_Adjusted,47,11)</f>
        <v>0</v>
      </c>
      <c r="CR89" s="142">
        <f>INDEX('File 1'!Weekly_Adjusted,47,12)</f>
        <v>0</v>
      </c>
      <c r="CS89" s="143">
        <f>INDEX('File 2'!Weekly_Adjusted,47,10)</f>
        <v>0</v>
      </c>
      <c r="CT89" s="143">
        <f>INDEX('File 2'!Weekly_Adjusted,47,11)</f>
        <v>0</v>
      </c>
      <c r="CU89" s="143">
        <f>INDEX('File 2'!Weekly_Adjusted,47,12)</f>
        <v>0</v>
      </c>
      <c r="CV89" s="142">
        <f>INDEX('File 3'!Weekly_Adjusted,47,10)</f>
        <v>0</v>
      </c>
      <c r="CW89" s="142">
        <f>INDEX('File 3'!Weekly_Adjusted,47,11)</f>
        <v>0</v>
      </c>
      <c r="CX89" s="142">
        <f>INDEX('File 3'!Weekly_Adjusted,47,12)</f>
        <v>0</v>
      </c>
      <c r="CY89" s="143">
        <f>INDEX('File 4'!Weekly_Adjusted,47,10)</f>
        <v>0</v>
      </c>
      <c r="CZ89" s="143">
        <f>INDEX('File 4'!Weekly_Adjusted,47,11)</f>
        <v>0</v>
      </c>
      <c r="DA89" s="143">
        <f>INDEX('File 4'!Weekly_Adjusted,47,12)</f>
        <v>0</v>
      </c>
      <c r="DB89" s="142">
        <f>INDEX('File 5'!Weekly_Adjusted,47,10)</f>
        <v>0</v>
      </c>
      <c r="DC89" s="142">
        <f>INDEX('File 5'!Weekly_Adjusted,47,11)</f>
        <v>0</v>
      </c>
      <c r="DD89" s="142">
        <f>INDEX('File 5'!Weekly_Adjusted,47,12)</f>
        <v>0</v>
      </c>
      <c r="DE89" s="143">
        <f>INDEX('File 6'!Weekly_Adjusted,47,10)</f>
        <v>0</v>
      </c>
      <c r="DF89" s="143">
        <f>INDEX('File 6'!Weekly_Adjusted,47,11)</f>
        <v>0</v>
      </c>
      <c r="DG89" s="143">
        <f>INDEX('File 6'!Weekly_Adjusted,47,12)</f>
        <v>0</v>
      </c>
      <c r="DH89" s="142">
        <f>INDEX('File 7'!Weekly_Adjusted,47,10)</f>
        <v>0</v>
      </c>
      <c r="DI89" s="142">
        <f>INDEX('File 7'!Weekly_Adjusted,47,11)</f>
        <v>0</v>
      </c>
      <c r="DJ89" s="142">
        <f>INDEX('File 7'!Weekly_Adjusted,47,12)</f>
        <v>0</v>
      </c>
      <c r="DK89" s="143">
        <f>INDEX('File 8'!Weekly_Adjusted,47,10)</f>
        <v>0</v>
      </c>
      <c r="DL89" s="143">
        <f>INDEX('File 8'!Weekly_Adjusted,47,11)</f>
        <v>0</v>
      </c>
      <c r="DM89" s="143">
        <f>INDEX('File 8'!Weekly_Adjusted,47,12)</f>
        <v>0</v>
      </c>
      <c r="DN89" s="142">
        <f>INDEX('File 9'!Weekly_Adjusted,47,10)</f>
        <v>0</v>
      </c>
      <c r="DO89" s="142">
        <f>INDEX('File 9'!Weekly_Adjusted,47,11)</f>
        <v>0</v>
      </c>
      <c r="DP89" s="142">
        <f>INDEX('File 9'!Weekly_Adjusted,47,12)</f>
        <v>0</v>
      </c>
      <c r="DQ89" s="143">
        <f>INDEX('File 10'!Weekly_Adjusted,47,10)</f>
        <v>0</v>
      </c>
      <c r="DR89" s="143">
        <f>INDEX('File 10'!Weekly_Adjusted,47,11)</f>
        <v>0</v>
      </c>
      <c r="DS89" s="143">
        <f>INDEX('File 10'!Weekly_Adjusted,47,12)</f>
        <v>0</v>
      </c>
      <c r="DT89" s="142">
        <f>INDEX('File 11'!Weekly_Adjusted,47,10)</f>
        <v>0</v>
      </c>
      <c r="DU89" s="142">
        <f>INDEX('File 11'!Weekly_Adjusted,47,11)</f>
        <v>0</v>
      </c>
      <c r="DV89" s="142">
        <f>INDEX('File 11'!Weekly_Adjusted,47,12)</f>
        <v>0</v>
      </c>
      <c r="DW89" s="143">
        <f>INDEX('File 12'!Weekly_Adjusted,47,10)</f>
        <v>0</v>
      </c>
      <c r="DX89" s="143">
        <f>INDEX('File 12'!Weekly_Adjusted,47,11)</f>
        <v>0</v>
      </c>
      <c r="DY89" s="143">
        <f>INDEX('File 12'!Weekly_Adjusted,47,12)</f>
        <v>0</v>
      </c>
      <c r="DZ89" s="142">
        <f>INDEX('File 13'!Weekly_Adjusted,47,10)</f>
        <v>0</v>
      </c>
      <c r="EA89" s="142">
        <f>INDEX('File 13'!Weekly_Adjusted,47,11)</f>
        <v>0</v>
      </c>
      <c r="EB89" s="142">
        <f>INDEX('File 13'!Weekly_Adjusted,47,12)</f>
        <v>0</v>
      </c>
      <c r="EC89" s="143">
        <f>INDEX('File 14'!Weekly_Adjusted,47,10)</f>
        <v>0</v>
      </c>
      <c r="ED89" s="143">
        <f>INDEX('File 14'!Weekly_Adjusted,47,11)</f>
        <v>0</v>
      </c>
      <c r="EE89" s="143">
        <f>INDEX('File 14'!Weekly_Adjusted,47,12)</f>
        <v>0</v>
      </c>
      <c r="EF89" s="142">
        <f>INDEX('File 15'!Weekly_Adjusted,47,10)</f>
        <v>0</v>
      </c>
      <c r="EG89" s="142">
        <f>INDEX('File 15'!Weekly_Adjusted,47,11)</f>
        <v>0</v>
      </c>
      <c r="EH89" s="142">
        <f>INDEX('File 15'!Weekly_Adjusted,47,12)</f>
        <v>0</v>
      </c>
      <c r="EI89" s="143">
        <f>INDEX('File 16'!Weekly_Adjusted,47,10)</f>
        <v>0</v>
      </c>
      <c r="EJ89" s="143">
        <f>INDEX('File 16'!Weekly_Adjusted,47,11)</f>
        <v>0</v>
      </c>
      <c r="EK89" s="143">
        <f>INDEX('File 16'!Weekly_Adjusted,47,12)</f>
        <v>0</v>
      </c>
      <c r="EL89" s="142">
        <f>INDEX('File 17'!Weekly_Adjusted,47,10)</f>
        <v>0</v>
      </c>
      <c r="EM89" s="142">
        <f>INDEX('File 17'!Weekly_Adjusted,47,11)</f>
        <v>0</v>
      </c>
      <c r="EN89" s="142">
        <f>INDEX('File 17'!Weekly_Adjusted,47,12)</f>
        <v>0</v>
      </c>
      <c r="EO89" s="143">
        <f>INDEX('File 18'!Weekly_Adjusted,47,10)</f>
        <v>0</v>
      </c>
      <c r="EP89" s="143">
        <f>INDEX('File 18'!Weekly_Adjusted,47,11)</f>
        <v>0</v>
      </c>
      <c r="EQ89" s="143">
        <f>INDEX('File 18'!Weekly_Adjusted,47,12)</f>
        <v>0</v>
      </c>
      <c r="ER89" s="142">
        <f>INDEX('File 19'!Weekly_Adjusted,47,10)</f>
        <v>0</v>
      </c>
      <c r="ES89" s="142">
        <f>INDEX('File 19'!Weekly_Adjusted,47,11)</f>
        <v>0</v>
      </c>
      <c r="ET89" s="142">
        <f>INDEX('File 19'!Weekly_Adjusted,47,12)</f>
        <v>0</v>
      </c>
      <c r="EU89" s="143">
        <f>INDEX('File 20'!Weekly_Adjusted,47,10)</f>
        <v>0</v>
      </c>
      <c r="EV89" s="143">
        <f>INDEX('File 20'!Weekly_Adjusted,47,11)</f>
        <v>0</v>
      </c>
      <c r="EW89" s="143">
        <f>INDEX('File 20'!Weekly_Adjusted,47,12)</f>
        <v>0</v>
      </c>
      <c r="EX89" s="6">
        <f ca="1">SUMIFS(INDEX(Capacity_Activity_Weekly,ROW(A47),0),Demand_Activity_Weekly_Header,CJ$42)</f>
        <v>24.344712210866053</v>
      </c>
      <c r="EY89" s="6">
        <f ca="1">SUMIFS(INDEX(Capacity_Activity_Weekly,ROW(B47),0),Demand_Activity_Weekly_Header,CK$42)</f>
        <v>0</v>
      </c>
      <c r="EZ89" s="6">
        <f ca="1">SUMIFS(INDEX(Capacity_Activity_Weekly,ROW(C47),0),Demand_Activity_Weekly_Header,CL$42)</f>
        <v>0</v>
      </c>
      <c r="FA89" s="6">
        <f ca="1">SUMIFS(INDEX(Capacity_Activity_Weekly,ROW(D47),0),Demand_Activity_Weekly_Header,CM$42)</f>
        <v>0</v>
      </c>
      <c r="FB89" s="6">
        <f ca="1">SUMIFS(INDEX(Capacity_Activity_Weekly,ROW(E47),0),Demand_Activity_Weekly_Header,CN$42)</f>
        <v>0</v>
      </c>
      <c r="FD89" s="7">
        <f>'File 1'!$Q$54*'Time based aggregation (hide)'!$Q51</f>
        <v>0</v>
      </c>
      <c r="FE89" s="7">
        <f>'File 1'!$R$54*'Time based aggregation (hide)'!$R51</f>
        <v>0</v>
      </c>
      <c r="FF89" s="7">
        <f>'File 1'!$S$54*'Time based aggregation (hide)'!$S51</f>
        <v>0</v>
      </c>
      <c r="FG89" s="7">
        <f>'File 2'!$Q$54*'Time based aggregation (hide)'!$T51</f>
        <v>0</v>
      </c>
      <c r="FH89" s="7">
        <f>'File 2'!$R$54*'Time based aggregation (hide)'!$U51</f>
        <v>0</v>
      </c>
      <c r="FI89" s="7">
        <f>'File 2'!$S$54*'Time based aggregation (hide)'!$V51</f>
        <v>0</v>
      </c>
      <c r="FJ89" s="7">
        <f>'File 3'!$Q$54*'Time based aggregation (hide)'!$W51</f>
        <v>0</v>
      </c>
      <c r="FK89" s="7">
        <f>'File 3'!$R$54*'Time based aggregation (hide)'!$X51</f>
        <v>0</v>
      </c>
      <c r="FL89" s="7">
        <f>'File 3'!$S$54*'Time based aggregation (hide)'!$Y51</f>
        <v>0</v>
      </c>
      <c r="FM89" s="7">
        <f>'File 4'!$Q$54*'Time based aggregation (hide)'!$Z51</f>
        <v>0</v>
      </c>
      <c r="FN89" s="7">
        <f>'File 4'!$R$54*'Time based aggregation (hide)'!$AA51</f>
        <v>0</v>
      </c>
      <c r="FO89" s="7">
        <f>'File 4'!$S$54*'Time based aggregation (hide)'!$AB51</f>
        <v>0</v>
      </c>
      <c r="FP89" s="7">
        <f>'File 5'!$Q$54*'Time based aggregation (hide)'!$AC51</f>
        <v>0</v>
      </c>
      <c r="FQ89" s="7">
        <f>'File 5'!$R$54*'Time based aggregation (hide)'!$AD51</f>
        <v>0</v>
      </c>
      <c r="FR89" s="7">
        <f>'File 5'!$S$54*'Time based aggregation (hide)'!$AE51</f>
        <v>0</v>
      </c>
      <c r="FS89" s="7">
        <f>'File 6'!$Q$54*'Time based aggregation (hide)'!$AF51</f>
        <v>0</v>
      </c>
      <c r="FT89" s="7">
        <f>'File 6'!$R$54*'Time based aggregation (hide)'!$AG51</f>
        <v>0</v>
      </c>
      <c r="FU89" s="7">
        <f>'File 6'!$S$54*'Time based aggregation (hide)'!$AH51</f>
        <v>0</v>
      </c>
      <c r="FV89" s="7">
        <f>'File 7'!$Q$54*'Time based aggregation (hide)'!$AI51</f>
        <v>0</v>
      </c>
      <c r="FW89" s="7">
        <f>'File 7'!$R$54*'Time based aggregation (hide)'!$AJ51</f>
        <v>0</v>
      </c>
      <c r="FX89" s="7">
        <f>'File 7'!$S$54*'Time based aggregation (hide)'!$AK51</f>
        <v>0</v>
      </c>
      <c r="FY89" s="7">
        <f>'File 8'!$Q$54*'Time based aggregation (hide)'!$AL51</f>
        <v>0</v>
      </c>
      <c r="FZ89" s="7">
        <f>'File 8'!$R$54*'Time based aggregation (hide)'!$AM51</f>
        <v>0</v>
      </c>
      <c r="GA89" s="7">
        <f>'File 8'!$S$54*'Time based aggregation (hide)'!$AN51</f>
        <v>0</v>
      </c>
      <c r="GB89" s="7">
        <f>'File 9'!$Q$54*'Time based aggregation (hide)'!$AO51</f>
        <v>0</v>
      </c>
      <c r="GC89" s="7">
        <f>'File 9'!$R$54*'Time based aggregation (hide)'!$AP51</f>
        <v>0</v>
      </c>
      <c r="GD89" s="7">
        <f>'File 9'!$S$54*'Time based aggregation (hide)'!$AQ51</f>
        <v>0</v>
      </c>
      <c r="GE89" s="7">
        <f>'File 10'!$Q$54*'Time based aggregation (hide)'!$AR51</f>
        <v>0</v>
      </c>
      <c r="GF89" s="7">
        <f>'File 10'!$R$54*'Time based aggregation (hide)'!$AS51</f>
        <v>0</v>
      </c>
      <c r="GG89" s="7">
        <f>'File 10'!$S$54*'Time based aggregation (hide)'!$AT51</f>
        <v>0</v>
      </c>
      <c r="GH89" s="7">
        <f>'File 11'!$Q$54*'Time based aggregation (hide)'!$AU51</f>
        <v>0</v>
      </c>
      <c r="GI89" s="7">
        <f>'File 11'!$R$54*'Time based aggregation (hide)'!$AV51</f>
        <v>0</v>
      </c>
      <c r="GJ89" s="7">
        <f>'File 11'!$S$54*'Time based aggregation (hide)'!$AW51</f>
        <v>0</v>
      </c>
      <c r="GK89" s="7">
        <f>'File 12'!$Q$54*'Time based aggregation (hide)'!$AX51</f>
        <v>0</v>
      </c>
      <c r="GL89" s="7">
        <f>'File 12'!$R$54*'Time based aggregation (hide)'!$AY51</f>
        <v>0</v>
      </c>
      <c r="GM89" s="7">
        <f>'File 12'!$S$54*'Time based aggregation (hide)'!$AZ51</f>
        <v>0</v>
      </c>
      <c r="GN89" s="7">
        <f>'File 13'!$Q$54*'Time based aggregation (hide)'!$BA51</f>
        <v>0</v>
      </c>
      <c r="GO89" s="7">
        <f>'File 13'!$R$54*'Time based aggregation (hide)'!$BB51</f>
        <v>0</v>
      </c>
      <c r="GP89" s="7">
        <f>'File 13'!$S$54*'Time based aggregation (hide)'!$BC51</f>
        <v>0</v>
      </c>
      <c r="GQ89" s="7">
        <f>'File 14'!$Q$54*'Time based aggregation (hide)'!$BD51</f>
        <v>0</v>
      </c>
      <c r="GR89" s="7">
        <f>'File 14'!$R$54*'Time based aggregation (hide)'!$BE51</f>
        <v>0</v>
      </c>
      <c r="GS89" s="7">
        <f>'File 14'!$S$54*'Time based aggregation (hide)'!$BF51</f>
        <v>0</v>
      </c>
      <c r="GT89" s="7">
        <f>'File 15'!$Q$54*'Time based aggregation (hide)'!$BG51</f>
        <v>0</v>
      </c>
      <c r="GU89" s="7">
        <f>'File 15'!$R$54*'Time based aggregation (hide)'!$BH51</f>
        <v>0</v>
      </c>
      <c r="GV89" s="7">
        <f>'File 15'!$S$54*'Time based aggregation (hide)'!$BI51</f>
        <v>0</v>
      </c>
      <c r="GW89" s="7">
        <f>'File 16'!$Q$54*'Time based aggregation (hide)'!$BJ51</f>
        <v>0</v>
      </c>
      <c r="GX89" s="7">
        <f>'File 16'!$R$54*'Time based aggregation (hide)'!$BK51</f>
        <v>0</v>
      </c>
      <c r="GY89" s="7">
        <f>'File 16'!$S$54*'Time based aggregation (hide)'!$BL51</f>
        <v>0</v>
      </c>
      <c r="GZ89" s="7">
        <f>'File 17'!$Q$54*'Time based aggregation (hide)'!$BM51</f>
        <v>0</v>
      </c>
      <c r="HA89" s="7">
        <f>'File 17'!$R$54*'Time based aggregation (hide)'!$BN51</f>
        <v>0</v>
      </c>
      <c r="HB89" s="7">
        <f>'File 17'!$S$54*'Time based aggregation (hide)'!$BO51</f>
        <v>0</v>
      </c>
      <c r="HC89" s="7">
        <f>'File 18'!$Q$54*'Time based aggregation (hide)'!$BP51</f>
        <v>0</v>
      </c>
      <c r="HD89" s="7">
        <f>'File 18'!$R$54*'Time based aggregation (hide)'!$BQ51</f>
        <v>0</v>
      </c>
      <c r="HE89" s="7">
        <f>'File 18'!$S$54*'Time based aggregation (hide)'!$BR51</f>
        <v>0</v>
      </c>
      <c r="HF89" s="7">
        <f>'File 19'!$Q$54*'Time based aggregation (hide)'!$BS51</f>
        <v>0</v>
      </c>
      <c r="HG89" s="7">
        <f>'File 19'!$R$54*'Time based aggregation (hide)'!$BT51</f>
        <v>0</v>
      </c>
      <c r="HH89" s="7">
        <f>'File 19'!$S$54*'Time based aggregation (hide)'!$BU51</f>
        <v>0</v>
      </c>
      <c r="HI89" s="7">
        <f>'File 20'!$Q$54*'Time based aggregation (hide)'!$BV51</f>
        <v>0</v>
      </c>
      <c r="HJ89" s="7">
        <f>'File 20'!$R$54*'Time based aggregation (hide)'!$BW51</f>
        <v>0</v>
      </c>
      <c r="HK89" s="7">
        <f>'File 20'!$S$54*'Time based aggregation (hide)'!$BX51</f>
        <v>0</v>
      </c>
      <c r="HL89" s="7">
        <f t="shared" ca="1" si="50"/>
        <v>0</v>
      </c>
      <c r="HM89" s="7">
        <f t="shared" ca="1" si="50"/>
        <v>0</v>
      </c>
      <c r="HN89" s="7">
        <f t="shared" ca="1" si="50"/>
        <v>0</v>
      </c>
      <c r="HO89" s="7">
        <f t="shared" ca="1" si="50"/>
        <v>0</v>
      </c>
      <c r="HP89" s="7">
        <f t="shared" ca="1" si="50"/>
        <v>0</v>
      </c>
      <c r="HR89" s="142">
        <f>INDEX('File 1'!Weekly_Adjusted,47,16)</f>
        <v>20.933351264120493</v>
      </c>
      <c r="HS89" s="142">
        <f>INDEX('File 1'!Weekly_Adjusted,47,17)</f>
        <v>0</v>
      </c>
      <c r="HT89" s="142">
        <f>INDEX('File 1'!Weekly_Adjusted,47,18)</f>
        <v>0</v>
      </c>
      <c r="HU89" s="143">
        <f>INDEX('File 2'!Weekly_Adjusted,47,16)</f>
        <v>0</v>
      </c>
      <c r="HV89" s="143">
        <f>INDEX('File 2'!Weekly_Adjusted,47,17)</f>
        <v>0</v>
      </c>
      <c r="HW89" s="143">
        <f>INDEX('File 2'!Weekly_Adjusted,47,18)</f>
        <v>0</v>
      </c>
      <c r="HX89" s="142">
        <f>INDEX('File 3'!Weekly_Adjusted,47,16)</f>
        <v>0</v>
      </c>
      <c r="HY89" s="142">
        <f>INDEX('File 3'!Weekly_Adjusted,47,17)</f>
        <v>0</v>
      </c>
      <c r="HZ89" s="142">
        <f>INDEX('File 3'!Weekly_Adjusted,47,18)</f>
        <v>0</v>
      </c>
      <c r="IA89" s="143">
        <f>INDEX('File 4'!Weekly_Adjusted,47,16)</f>
        <v>0</v>
      </c>
      <c r="IB89" s="143">
        <f>INDEX('File 4'!Weekly_Adjusted,47,17)</f>
        <v>0</v>
      </c>
      <c r="IC89" s="143">
        <f>INDEX('File 4'!Weekly_Adjusted,47,18)</f>
        <v>0</v>
      </c>
      <c r="ID89" s="142">
        <f>INDEX('File 5'!Weekly_Adjusted,47,16)</f>
        <v>0</v>
      </c>
      <c r="IE89" s="142">
        <f>INDEX('File 5'!Weekly_Adjusted,47,17)</f>
        <v>0</v>
      </c>
      <c r="IF89" s="142">
        <f>INDEX('File 5'!Weekly_Adjusted,47,18)</f>
        <v>0</v>
      </c>
      <c r="IG89" s="143">
        <f>INDEX('File 6'!Weekly_Adjusted,47,16)</f>
        <v>0</v>
      </c>
      <c r="IH89" s="143">
        <f>INDEX('File 6'!Weekly_Adjusted,47,17)</f>
        <v>0</v>
      </c>
      <c r="II89" s="143">
        <f>INDEX('File 6'!Weekly_Adjusted,47,18)</f>
        <v>0</v>
      </c>
      <c r="IJ89" s="142">
        <f>INDEX('File 7'!Weekly_Adjusted,47,16)</f>
        <v>0</v>
      </c>
      <c r="IK89" s="142">
        <f>INDEX('File 7'!Weekly_Adjusted,47,17)</f>
        <v>0</v>
      </c>
      <c r="IL89" s="142">
        <f>INDEX('File 7'!Weekly_Adjusted,47,18)</f>
        <v>0</v>
      </c>
      <c r="IM89" s="143">
        <f>INDEX('File 8'!Weekly_Adjusted,47,16)</f>
        <v>0</v>
      </c>
      <c r="IN89" s="143">
        <f>INDEX('File 8'!Weekly_Adjusted,47,17)</f>
        <v>0</v>
      </c>
      <c r="IO89" s="143">
        <f>INDEX('File 8'!Weekly_Adjusted,47,18)</f>
        <v>0</v>
      </c>
      <c r="IP89" s="142">
        <f>INDEX('File 9'!Weekly_Adjusted,47,16)</f>
        <v>0</v>
      </c>
      <c r="IQ89" s="142">
        <f>INDEX('File 9'!Weekly_Adjusted,47,17)</f>
        <v>0</v>
      </c>
      <c r="IR89" s="142">
        <f>INDEX('File 9'!Weekly_Adjusted,47,18)</f>
        <v>0</v>
      </c>
      <c r="IS89" s="143">
        <f>INDEX('File 10'!Weekly_Adjusted,47,16)</f>
        <v>0</v>
      </c>
      <c r="IT89" s="143">
        <f>INDEX('File 10'!Weekly_Adjusted,47,17)</f>
        <v>0</v>
      </c>
      <c r="IU89" s="143">
        <f>INDEX('File 10'!Weekly_Adjusted,47,18)</f>
        <v>0</v>
      </c>
      <c r="IV89" s="142">
        <f>INDEX('File 11'!Weekly_Adjusted,47,16)</f>
        <v>0</v>
      </c>
      <c r="IW89" s="142">
        <f>INDEX('File 11'!Weekly_Adjusted,47,17)</f>
        <v>0</v>
      </c>
      <c r="IX89" s="142">
        <f>INDEX('File 11'!Weekly_Adjusted,47,18)</f>
        <v>0</v>
      </c>
      <c r="IY89" s="143">
        <f>INDEX('File 12'!Weekly_Adjusted,47,16)</f>
        <v>0</v>
      </c>
      <c r="IZ89" s="143">
        <f>INDEX('File 12'!Weekly_Adjusted,47,17)</f>
        <v>0</v>
      </c>
      <c r="JA89" s="143">
        <f>INDEX('File 12'!Weekly_Adjusted,47,18)</f>
        <v>0</v>
      </c>
      <c r="JB89" s="142">
        <f>INDEX('File 13'!Weekly_Adjusted,47,16)</f>
        <v>0</v>
      </c>
      <c r="JC89" s="142">
        <f>INDEX('File 13'!Weekly_Adjusted,47,17)</f>
        <v>0</v>
      </c>
      <c r="JD89" s="142">
        <f>INDEX('File 13'!Weekly_Adjusted,47,18)</f>
        <v>0</v>
      </c>
      <c r="JE89" s="143">
        <f>INDEX('File 14'!Weekly_Adjusted,47,16)</f>
        <v>0</v>
      </c>
      <c r="JF89" s="143">
        <f>INDEX('File 14'!Weekly_Adjusted,47,17)</f>
        <v>0</v>
      </c>
      <c r="JG89" s="143">
        <f>INDEX('File 14'!Weekly_Adjusted,47,18)</f>
        <v>0</v>
      </c>
      <c r="JH89" s="142">
        <f>INDEX('File 15'!Weekly_Adjusted,47,16)</f>
        <v>0</v>
      </c>
      <c r="JI89" s="142">
        <f>INDEX('File 15'!Weekly_Adjusted,47,17)</f>
        <v>0</v>
      </c>
      <c r="JJ89" s="142">
        <f>INDEX('File 15'!Weekly_Adjusted,47,18)</f>
        <v>0</v>
      </c>
      <c r="JK89" s="143">
        <f>INDEX('File 16'!Weekly_Adjusted,47,16)</f>
        <v>0</v>
      </c>
      <c r="JL89" s="143">
        <f>INDEX('File 16'!Weekly_Adjusted,47,17)</f>
        <v>0</v>
      </c>
      <c r="JM89" s="143">
        <f>INDEX('File 16'!Weekly_Adjusted,47,18)</f>
        <v>0</v>
      </c>
      <c r="JN89" s="142">
        <f>INDEX('File 17'!Weekly_Adjusted,47,16)</f>
        <v>0</v>
      </c>
      <c r="JO89" s="142">
        <f>INDEX('File 17'!Weekly_Adjusted,47,17)</f>
        <v>0</v>
      </c>
      <c r="JP89" s="142">
        <f>INDEX('File 17'!Weekly_Adjusted,47,18)</f>
        <v>0</v>
      </c>
      <c r="JQ89" s="143">
        <f>INDEX('File 18'!Weekly_Adjusted,47,16)</f>
        <v>0</v>
      </c>
      <c r="JR89" s="143">
        <f>INDEX('File 18'!Weekly_Adjusted,47,17)</f>
        <v>0</v>
      </c>
      <c r="JS89" s="143">
        <f>INDEX('File 18'!Weekly_Adjusted,47,18)</f>
        <v>0</v>
      </c>
      <c r="JT89" s="142">
        <f>INDEX('File 19'!Weekly_Adjusted,47,16)</f>
        <v>0</v>
      </c>
      <c r="JU89" s="142">
        <f>INDEX('File 19'!Weekly_Adjusted,47,17)</f>
        <v>0</v>
      </c>
      <c r="JV89" s="142">
        <f>INDEX('File 19'!Weekly_Adjusted,47,18)</f>
        <v>0</v>
      </c>
      <c r="JW89" s="143">
        <f>INDEX('File 20'!Weekly_Adjusted,47,16)</f>
        <v>0</v>
      </c>
      <c r="JX89" s="143">
        <f>INDEX('File 20'!Weekly_Adjusted,47,17)</f>
        <v>0</v>
      </c>
      <c r="JY89" s="143">
        <f>INDEX('File 20'!Weekly_Adjusted,47,18)</f>
        <v>0</v>
      </c>
      <c r="JZ89" s="6">
        <f ca="1">SUMIFS(INDEX(CapacityCore_Activity_Weekly,ROW(EC47),0),Demand_Activity_Weekly_Header,HL$42)</f>
        <v>20.933351264120493</v>
      </c>
      <c r="KA89" s="6">
        <f ca="1">SUMIFS(INDEX(CapacityCore_Activity_Weekly,ROW(ED47),0),Demand_Activity_Weekly_Header,HM$42)</f>
        <v>0</v>
      </c>
      <c r="KB89" s="6">
        <f ca="1">SUMIFS(INDEX(CapacityCore_Activity_Weekly,ROW(EE47),0),Demand_Activity_Weekly_Header,HN$42)</f>
        <v>0</v>
      </c>
      <c r="KC89" s="6">
        <f ca="1">SUMIFS(INDEX(CapacityCore_Activity_Weekly,ROW(EF47),0),Demand_Activity_Weekly_Header,HO$42)</f>
        <v>0</v>
      </c>
      <c r="KD89" s="6">
        <f ca="1">SUMIFS(INDEX(CapacityCore_Activity_Weekly,ROW(EG47),0),Demand_Activity_Weekly_Header,HP$42)</f>
        <v>0</v>
      </c>
      <c r="KF89" s="6">
        <f>SUMIFS('Time based aggregation (hide)'!$J:$J,'Time based aggregation (hide)'!$E:$E,1,'Time based aggregation (hide)'!$F:$F,1,'Time based aggregation (hide)'!$A:$A,ROW(A47))</f>
        <v>0</v>
      </c>
      <c r="KG89" s="6">
        <f>SUMIFS('Time based aggregation (hide)'!$J:$J,'Time based aggregation (hide)'!$E:$E,1,'Time based aggregation (hide)'!$F:$F,2,'Time based aggregation (hide)'!$A:$A,ROW(A47))</f>
        <v>0</v>
      </c>
      <c r="KH89" s="6">
        <f>SUMIFS('Time based aggregation (hide)'!$J:$J,'Time based aggregation (hide)'!$E:$E,1,'Time based aggregation (hide)'!$F:$F,3,'Time based aggregation (hide)'!$A:$A,ROW(A47))</f>
        <v>0</v>
      </c>
      <c r="KI89" s="6">
        <f>SUMIFS('Time based aggregation (hide)'!$J:$J,'Time based aggregation (hide)'!$E:$E,2,'Time based aggregation (hide)'!$F:$F,1,'Time based aggregation (hide)'!$A:$A,ROW(A47))</f>
        <v>0</v>
      </c>
      <c r="KJ89" s="6">
        <f>SUMIFS('Time based aggregation (hide)'!$J:$J,'Time based aggregation (hide)'!$E:$E,2,'Time based aggregation (hide)'!$F:$F,2,'Time based aggregation (hide)'!$A:$A,ROW(A47))</f>
        <v>0</v>
      </c>
      <c r="KK89" s="6">
        <f>SUMIFS('Time based aggregation (hide)'!$J:$J,'Time based aggregation (hide)'!$E:$E,2,'Time based aggregation (hide)'!$F:$F,3,'Time based aggregation (hide)'!$A:$A,ROW(A47))</f>
        <v>0</v>
      </c>
      <c r="KL89" s="6">
        <f>SUMIFS('Time based aggregation (hide)'!$J:$J,'Time based aggregation (hide)'!$E:$E,3,'Time based aggregation (hide)'!$F:$F,1,'Time based aggregation (hide)'!$A:$A,ROW(A47))</f>
        <v>0</v>
      </c>
      <c r="KM89" s="6">
        <f>SUMIFS('Time based aggregation (hide)'!$J:$J,'Time based aggregation (hide)'!$E:$E,3,'Time based aggregation (hide)'!$F:$F,2,'Time based aggregation (hide)'!$A:$A,ROW(A47))</f>
        <v>0</v>
      </c>
      <c r="KN89" s="6">
        <f>SUMIFS('Time based aggregation (hide)'!$J:$J,'Time based aggregation (hide)'!$E:$E,3,'Time based aggregation (hide)'!$F:$F,3,'Time based aggregation (hide)'!$A:$A,ROW(A47))</f>
        <v>0</v>
      </c>
      <c r="KO89" s="6">
        <f>SUMIFS('Time based aggregation (hide)'!$J:$J,'Time based aggregation (hide)'!$E:$E,4,'Time based aggregation (hide)'!$F:$F,1,'Time based aggregation (hide)'!$A:$A,ROW(A47))</f>
        <v>0</v>
      </c>
      <c r="KP89" s="6">
        <f>SUMIFS('Time based aggregation (hide)'!$J:$J,'Time based aggregation (hide)'!$E:$E,4,'Time based aggregation (hide)'!$F:$F,2,'Time based aggregation (hide)'!$A:$A,ROW(A47))</f>
        <v>0</v>
      </c>
      <c r="KQ89" s="6">
        <f>SUMIFS('Time based aggregation (hide)'!$J:$J,'Time based aggregation (hide)'!$E:$E,4,'Time based aggregation (hide)'!$F:$F,3,'Time based aggregation (hide)'!$A:$A,ROW(A47))</f>
        <v>0</v>
      </c>
      <c r="KR89" s="6">
        <f>SUMIFS('Time based aggregation (hide)'!$J:$J,'Time based aggregation (hide)'!$E:$E,5,'Time based aggregation (hide)'!$F:$F,1,'Time based aggregation (hide)'!$A:$A,ROW(A47))</f>
        <v>0</v>
      </c>
      <c r="KS89" s="6">
        <f>SUMIFS('Time based aggregation (hide)'!$J:$J,'Time based aggregation (hide)'!$E:$E,5,'Time based aggregation (hide)'!$F:$F,2,'Time based aggregation (hide)'!$A:$A,ROW(A47))</f>
        <v>0</v>
      </c>
      <c r="KT89" s="6">
        <f>SUMIFS('Time based aggregation (hide)'!$J:$J,'Time based aggregation (hide)'!$E:$E,5,'Time based aggregation (hide)'!$F:$F,3,'Time based aggregation (hide)'!$A:$A,ROW(A47))</f>
        <v>0</v>
      </c>
      <c r="KU89" s="6">
        <f>SUMIFS('Time based aggregation (hide)'!$J:$J,'Time based aggregation (hide)'!$E:$E,6,'Time based aggregation (hide)'!$F:$F,1,'Time based aggregation (hide)'!$A:$A,ROW(A47))</f>
        <v>0</v>
      </c>
      <c r="KV89" s="6">
        <f>SUMIFS('Time based aggregation (hide)'!$J:$J,'Time based aggregation (hide)'!$E:$E,6,'Time based aggregation (hide)'!$F:$F,2,'Time based aggregation (hide)'!$A:$A,ROW(A47))</f>
        <v>0</v>
      </c>
      <c r="KW89" s="6">
        <f>SUMIFS('Time based aggregation (hide)'!$J:$J,'Time based aggregation (hide)'!$E:$E,6,'Time based aggregation (hide)'!$F:$F,3,'Time based aggregation (hide)'!$A:$A,ROW(A47))</f>
        <v>0</v>
      </c>
      <c r="KX89" s="6">
        <f>SUMIFS('Time based aggregation (hide)'!$J:$J,'Time based aggregation (hide)'!$E:$E,7,'Time based aggregation (hide)'!$F:$F,1,'Time based aggregation (hide)'!$A:$A,ROW(A47))</f>
        <v>0</v>
      </c>
      <c r="KY89" s="6">
        <f>SUMIFS('Time based aggregation (hide)'!$J:$J,'Time based aggregation (hide)'!$E:$E,7,'Time based aggregation (hide)'!$F:$F,2,'Time based aggregation (hide)'!$A:$A,ROW(A47))</f>
        <v>0</v>
      </c>
      <c r="KZ89" s="6">
        <f>SUMIFS('Time based aggregation (hide)'!$J:$J,'Time based aggregation (hide)'!$E:$E,7,'Time based aggregation (hide)'!$F:$F,3,'Time based aggregation (hide)'!$A:$A,ROW(A47))</f>
        <v>0</v>
      </c>
      <c r="LA89" s="6">
        <f>SUMIFS('Time based aggregation (hide)'!$J:$J,'Time based aggregation (hide)'!$E:$E,8,'Time based aggregation (hide)'!$F:$F,1,'Time based aggregation (hide)'!$A:$A,ROW(A47))</f>
        <v>0</v>
      </c>
      <c r="LB89" s="6">
        <f>SUMIFS('Time based aggregation (hide)'!$J:$J,'Time based aggregation (hide)'!$E:$E,8,'Time based aggregation (hide)'!$F:$F,2,'Time based aggregation (hide)'!$A:$A,ROW(A47))</f>
        <v>0</v>
      </c>
      <c r="LC89" s="6">
        <f>SUMIFS('Time based aggregation (hide)'!$J:$J,'Time based aggregation (hide)'!$E:$E,8,'Time based aggregation (hide)'!$F:$F,3,'Time based aggregation (hide)'!$A:$A,ROW(A47))</f>
        <v>0</v>
      </c>
      <c r="LD89" s="6">
        <f>SUMIFS('Time based aggregation (hide)'!$J:$J,'Time based aggregation (hide)'!$E:$E,9,'Time based aggregation (hide)'!$F:$F,1,'Time based aggregation (hide)'!$A:$A,ROW(A47))</f>
        <v>0</v>
      </c>
      <c r="LE89" s="6">
        <f>SUMIFS('Time based aggregation (hide)'!$J:$J,'Time based aggregation (hide)'!$E:$E,9,'Time based aggregation (hide)'!$F:$F,2,'Time based aggregation (hide)'!$A:$A,ROW(A47))</f>
        <v>0</v>
      </c>
      <c r="LF89" s="6">
        <f>SUMIFS('Time based aggregation (hide)'!$J:$J,'Time based aggregation (hide)'!$E:$E,9,'Time based aggregation (hide)'!$F:$F,3,'Time based aggregation (hide)'!$A:$A,ROW(A47))</f>
        <v>0</v>
      </c>
      <c r="LG89" s="6">
        <f>SUMIFS('Time based aggregation (hide)'!$J:$J,'Time based aggregation (hide)'!$E:$E,10,'Time based aggregation (hide)'!$F:$F,1,'Time based aggregation (hide)'!$A:$A,ROW(A47))</f>
        <v>0</v>
      </c>
      <c r="LH89" s="6">
        <f>SUMIFS('Time based aggregation (hide)'!$J:$J,'Time based aggregation (hide)'!$E:$E,10,'Time based aggregation (hide)'!$F:$F,2,'Time based aggregation (hide)'!$A:$A,ROW(A47))</f>
        <v>0</v>
      </c>
      <c r="LI89" s="6">
        <f>SUMIFS('Time based aggregation (hide)'!$J:$J,'Time based aggregation (hide)'!$E:$E,10,'Time based aggregation (hide)'!$F:$F,3,'Time based aggregation (hide)'!$A:$A,ROW(A47))</f>
        <v>0</v>
      </c>
      <c r="LJ89" s="6">
        <f>SUMIFS('Time based aggregation (hide)'!$J:$J,'Time based aggregation (hide)'!$E:$E,11,'Time based aggregation (hide)'!$F:$F,1,'Time based aggregation (hide)'!$A:$A,ROW(A47))</f>
        <v>0</v>
      </c>
      <c r="LK89" s="6">
        <f>SUMIFS('Time based aggregation (hide)'!$J:$J,'Time based aggregation (hide)'!$E:$E,11,'Time based aggregation (hide)'!$F:$F,2,'Time based aggregation (hide)'!$A:$A,ROW(A47))</f>
        <v>0</v>
      </c>
      <c r="LL89" s="6">
        <f>SUMIFS('Time based aggregation (hide)'!$J:$J,'Time based aggregation (hide)'!$E:$E,11,'Time based aggregation (hide)'!$F:$F,3,'Time based aggregation (hide)'!$A:$A,ROW(A47))</f>
        <v>0</v>
      </c>
      <c r="LM89" s="6">
        <f>SUMIFS('Time based aggregation (hide)'!$J:$J,'Time based aggregation (hide)'!$E:$E,12,'Time based aggregation (hide)'!$F:$F,1,'Time based aggregation (hide)'!$A:$A,ROW(A47))</f>
        <v>0</v>
      </c>
      <c r="LN89" s="6">
        <f>SUMIFS('Time based aggregation (hide)'!$J:$J,'Time based aggregation (hide)'!$E:$E,12,'Time based aggregation (hide)'!$F:$F,2,'Time based aggregation (hide)'!$A:$A,ROW(A47))</f>
        <v>0</v>
      </c>
      <c r="LO89" s="6">
        <f>SUMIFS('Time based aggregation (hide)'!$J:$J,'Time based aggregation (hide)'!$E:$E,12,'Time based aggregation (hide)'!$F:$F,3,'Time based aggregation (hide)'!$A:$A,ROW(A47))</f>
        <v>0</v>
      </c>
      <c r="LP89" s="6">
        <f>SUMIFS('Time based aggregation (hide)'!$J:$J,'Time based aggregation (hide)'!$E:$E,13,'Time based aggregation (hide)'!$F:$F,1,'Time based aggregation (hide)'!$A:$A,ROW(A47))</f>
        <v>0</v>
      </c>
      <c r="LQ89" s="6">
        <f>SUMIFS('Time based aggregation (hide)'!$J:$J,'Time based aggregation (hide)'!$E:$E,13,'Time based aggregation (hide)'!$F:$F,2,'Time based aggregation (hide)'!$A:$A,ROW(A47))</f>
        <v>0</v>
      </c>
      <c r="LR89" s="6">
        <f>SUMIFS('Time based aggregation (hide)'!$J:$J,'Time based aggregation (hide)'!$E:$E,13,'Time based aggregation (hide)'!$F:$F,3,'Time based aggregation (hide)'!$A:$A,ROW(A47))</f>
        <v>0</v>
      </c>
      <c r="LS89" s="6">
        <f>SUMIFS('Time based aggregation (hide)'!$J:$J,'Time based aggregation (hide)'!$E:$E,14,'Time based aggregation (hide)'!$F:$F,1,'Time based aggregation (hide)'!$A:$A,ROW(A47))</f>
        <v>0</v>
      </c>
      <c r="LT89" s="6">
        <f>SUMIFS('Time based aggregation (hide)'!$J:$J,'Time based aggregation (hide)'!$E:$E,14,'Time based aggregation (hide)'!$F:$F,2,'Time based aggregation (hide)'!$A:$A,ROW(A47))</f>
        <v>0</v>
      </c>
      <c r="LU89" s="6">
        <f>SUMIFS('Time based aggregation (hide)'!$J:$J,'Time based aggregation (hide)'!$E:$E,14,'Time based aggregation (hide)'!$F:$F,3,'Time based aggregation (hide)'!$A:$A,ROW(A47))</f>
        <v>0</v>
      </c>
      <c r="LV89" s="6">
        <f>SUMIFS('Time based aggregation (hide)'!$J:$J,'Time based aggregation (hide)'!$E:$E,15,'Time based aggregation (hide)'!$F:$F,1,'Time based aggregation (hide)'!$A:$A,ROW(A47))</f>
        <v>0</v>
      </c>
      <c r="LW89" s="6">
        <f>SUMIFS('Time based aggregation (hide)'!$J:$J,'Time based aggregation (hide)'!$E:$E,15,'Time based aggregation (hide)'!$F:$F,2,'Time based aggregation (hide)'!$A:$A,ROW(A47))</f>
        <v>0</v>
      </c>
      <c r="LX89" s="6">
        <f>SUMIFS('Time based aggregation (hide)'!$J:$J,'Time based aggregation (hide)'!$E:$E,15,'Time based aggregation (hide)'!$F:$F,3,'Time based aggregation (hide)'!$A:$A,ROW(A47))</f>
        <v>0</v>
      </c>
      <c r="LY89" s="6">
        <f>SUMIFS('Time based aggregation (hide)'!$J:$J,'Time based aggregation (hide)'!$E:$E,16,'Time based aggregation (hide)'!$F:$F,1,'Time based aggregation (hide)'!$A:$A,ROW(A47))</f>
        <v>0</v>
      </c>
      <c r="LZ89" s="6">
        <f>SUMIFS('Time based aggregation (hide)'!$J:$J,'Time based aggregation (hide)'!$E:$E,16,'Time based aggregation (hide)'!$F:$F,2,'Time based aggregation (hide)'!$A:$A,ROW(A47))</f>
        <v>0</v>
      </c>
      <c r="MA89" s="6">
        <f>SUMIFS('Time based aggregation (hide)'!$J:$J,'Time based aggregation (hide)'!$E:$E,16,'Time based aggregation (hide)'!$F:$F,3,'Time based aggregation (hide)'!$A:$A,ROW(A47))</f>
        <v>0</v>
      </c>
      <c r="MB89" s="6">
        <f>SUMIFS('Time based aggregation (hide)'!$J:$J,'Time based aggregation (hide)'!$E:$E,17,'Time based aggregation (hide)'!$F:$F,1,'Time based aggregation (hide)'!$A:$A,ROW(A47))</f>
        <v>0</v>
      </c>
      <c r="MC89" s="6">
        <f>SUMIFS('Time based aggregation (hide)'!$J:$J,'Time based aggregation (hide)'!$E:$E,17,'Time based aggregation (hide)'!$F:$F,2,'Time based aggregation (hide)'!$A:$A,ROW(A47))</f>
        <v>0</v>
      </c>
      <c r="MD89" s="6">
        <f>SUMIFS('Time based aggregation (hide)'!$J:$J,'Time based aggregation (hide)'!$E:$E,17,'Time based aggregation (hide)'!$F:$F,3,'Time based aggregation (hide)'!$A:$A,ROW(A47))</f>
        <v>0</v>
      </c>
      <c r="ME89" s="6">
        <f>SUMIFS('Time based aggregation (hide)'!$J:$J,'Time based aggregation (hide)'!$E:$E,18,'Time based aggregation (hide)'!$F:$F,1,'Time based aggregation (hide)'!$A:$A,ROW(A47))</f>
        <v>0</v>
      </c>
      <c r="MF89" s="6">
        <f>SUMIFS('Time based aggregation (hide)'!$J:$J,'Time based aggregation (hide)'!$E:$E,18,'Time based aggregation (hide)'!$F:$F,2,'Time based aggregation (hide)'!$A:$A,ROW(A47))</f>
        <v>0</v>
      </c>
      <c r="MG89" s="6">
        <f>SUMIFS('Time based aggregation (hide)'!$J:$J,'Time based aggregation (hide)'!$E:$E,18,'Time based aggregation (hide)'!$F:$F,3,'Time based aggregation (hide)'!$A:$A,ROW(A47))</f>
        <v>0</v>
      </c>
      <c r="MH89" s="6">
        <f>SUMIFS('Time based aggregation (hide)'!$J:$J,'Time based aggregation (hide)'!$E:$E,19,'Time based aggregation (hide)'!$F:$F,1,'Time based aggregation (hide)'!$A:$A,ROW(A47))</f>
        <v>0</v>
      </c>
      <c r="MI89" s="6">
        <f>SUMIFS('Time based aggregation (hide)'!$J:$J,'Time based aggregation (hide)'!$E:$E,19,'Time based aggregation (hide)'!$F:$F,2,'Time based aggregation (hide)'!$A:$A,ROW(A47))</f>
        <v>0</v>
      </c>
      <c r="MJ89" s="6">
        <f>SUMIFS('Time based aggregation (hide)'!$J:$J,'Time based aggregation (hide)'!$E:$E,19,'Time based aggregation (hide)'!$F:$F,3,'Time based aggregation (hide)'!$A:$A,ROW(A47))</f>
        <v>0</v>
      </c>
      <c r="MK89" s="6">
        <f>SUMIFS('Time based aggregation (hide)'!$J:$J,'Time based aggregation (hide)'!$E:$E,20,'Time based aggregation (hide)'!$F:$F,1,'Time based aggregation (hide)'!$A:$A,ROW(A47))</f>
        <v>0</v>
      </c>
      <c r="ML89" s="6">
        <f>SUMIFS('Time based aggregation (hide)'!$J:$J,'Time based aggregation (hide)'!$E:$E,20,'Time based aggregation (hide)'!$F:$F,2,'Time based aggregation (hide)'!$A:$A,ROW(A47))</f>
        <v>0</v>
      </c>
      <c r="MM89" s="6">
        <f>SUMIFS('Time based aggregation (hide)'!$J:$J,'Time based aggregation (hide)'!$E:$E,20,'Time based aggregation (hide)'!$F:$F,3,'Time based aggregation (hide)'!$A:$A,ROW(A47))</f>
        <v>0</v>
      </c>
      <c r="MN89" s="7">
        <f t="shared" ca="1" si="48"/>
        <v>0</v>
      </c>
      <c r="MO89" s="7">
        <f t="shared" ca="1" si="48"/>
        <v>0</v>
      </c>
      <c r="MP89" s="7">
        <f t="shared" ca="1" si="48"/>
        <v>0</v>
      </c>
      <c r="MQ89" s="7">
        <f t="shared" ca="1" si="48"/>
        <v>0</v>
      </c>
      <c r="MR89" s="7">
        <f t="shared" ca="1" si="48"/>
        <v>0</v>
      </c>
    </row>
    <row r="90" spans="1:356" x14ac:dyDescent="0.25">
      <c r="A90">
        <f>1</f>
        <v>1</v>
      </c>
      <c r="B90" s="85">
        <f t="shared" si="37"/>
        <v>43878</v>
      </c>
      <c r="C90" s="85">
        <f t="shared" si="25"/>
        <v>43878</v>
      </c>
      <c r="D90">
        <f t="shared" ca="1" si="26"/>
        <v>1</v>
      </c>
      <c r="E90" s="85">
        <f t="shared" si="27"/>
        <v>43862</v>
      </c>
      <c r="F90">
        <f t="shared" si="33"/>
        <v>8</v>
      </c>
      <c r="H90">
        <f t="shared" si="34"/>
        <v>48</v>
      </c>
      <c r="I90" s="85">
        <f t="shared" si="38"/>
        <v>44158</v>
      </c>
      <c r="J90">
        <f t="shared" ca="1" si="46"/>
        <v>5</v>
      </c>
      <c r="K90">
        <f t="shared" ca="1" si="47"/>
        <v>1.968503937007874E-2</v>
      </c>
      <c r="L90" s="114"/>
      <c r="N90" s="85">
        <f t="shared" si="35"/>
        <v>44158</v>
      </c>
      <c r="O90" s="122">
        <f t="shared" ca="1" si="49"/>
        <v>0</v>
      </c>
      <c r="P90" s="122">
        <f t="shared" ca="1" si="49"/>
        <v>0</v>
      </c>
      <c r="Q90" s="122">
        <f t="shared" ca="1" si="49"/>
        <v>0</v>
      </c>
      <c r="R90" s="122">
        <f t="shared" ca="1" si="49"/>
        <v>0</v>
      </c>
      <c r="S90" s="122">
        <f t="shared" ca="1" si="49"/>
        <v>0</v>
      </c>
      <c r="T90" s="122">
        <f t="shared" ca="1" si="49"/>
        <v>0</v>
      </c>
      <c r="U90" s="122">
        <f t="shared" ca="1" si="49"/>
        <v>0</v>
      </c>
      <c r="V90" s="122">
        <f t="shared" ca="1" si="49"/>
        <v>0</v>
      </c>
      <c r="W90" s="122">
        <f t="shared" ca="1" si="49"/>
        <v>0</v>
      </c>
      <c r="X90" s="122">
        <f t="shared" ca="1" si="49"/>
        <v>0</v>
      </c>
      <c r="Y90" s="122">
        <f t="shared" ca="1" si="49"/>
        <v>1</v>
      </c>
      <c r="Z90" s="122">
        <f t="shared" ca="1" si="49"/>
        <v>0</v>
      </c>
      <c r="AA90" s="122"/>
      <c r="AB90" s="140">
        <f>INDEX('File 1'!Weekly_Adjusted,48,1)</f>
        <v>388.17143954725253</v>
      </c>
      <c r="AC90" s="140">
        <f>INDEX('File 1'!Weekly_Adjusted,48,2)</f>
        <v>0</v>
      </c>
      <c r="AD90" s="140">
        <f>INDEX('File 1'!Weekly_Adjusted,48,3)</f>
        <v>0</v>
      </c>
      <c r="AE90" s="141">
        <f>INDEX('File 2'!Weekly_Adjusted,48,1)</f>
        <v>0</v>
      </c>
      <c r="AF90" s="141">
        <f>INDEX('File 2'!Weekly_Adjusted,48,2)</f>
        <v>0</v>
      </c>
      <c r="AG90" s="141">
        <f>INDEX('File 2'!Weekly_Adjusted,48,3)</f>
        <v>0</v>
      </c>
      <c r="AH90" s="140">
        <f>INDEX('File 3'!Weekly_Adjusted,48,1)</f>
        <v>0</v>
      </c>
      <c r="AI90" s="140">
        <f>INDEX('File 3'!Weekly_Adjusted,48,2)</f>
        <v>0</v>
      </c>
      <c r="AJ90" s="140">
        <f>INDEX('File 3'!Weekly_Adjusted,48,3)</f>
        <v>0</v>
      </c>
      <c r="AK90" s="141">
        <f>INDEX('File 4'!Weekly_Adjusted,48,1)</f>
        <v>0</v>
      </c>
      <c r="AL90" s="141">
        <f>INDEX('File 4'!Weekly_Adjusted,48,2)</f>
        <v>0</v>
      </c>
      <c r="AM90" s="141">
        <f>INDEX('File 4'!Weekly_Adjusted,48,3)</f>
        <v>0</v>
      </c>
      <c r="AN90" s="140">
        <f>INDEX('File 5'!Weekly_Adjusted,48,1)</f>
        <v>0</v>
      </c>
      <c r="AO90" s="140">
        <f>INDEX('File 5'!Weekly_Adjusted,48,2)</f>
        <v>0</v>
      </c>
      <c r="AP90" s="140">
        <f>INDEX('File 5'!Weekly_Adjusted,48,3)</f>
        <v>0</v>
      </c>
      <c r="AQ90" s="141">
        <f>INDEX('File 6'!Weekly_Adjusted,48,1)</f>
        <v>0</v>
      </c>
      <c r="AR90" s="141">
        <f>INDEX('File 6'!Weekly_Adjusted,48,2)</f>
        <v>0</v>
      </c>
      <c r="AS90" s="141">
        <f>INDEX('File 6'!Weekly_Adjusted,48,3)</f>
        <v>0</v>
      </c>
      <c r="AT90" s="140">
        <f>INDEX('File 7'!Weekly_Adjusted,48,1)</f>
        <v>0</v>
      </c>
      <c r="AU90" s="140">
        <f>INDEX('File 7'!Weekly_Adjusted,48,2)</f>
        <v>0</v>
      </c>
      <c r="AV90" s="140">
        <f>INDEX('File 7'!Weekly_Adjusted,48,3)</f>
        <v>0</v>
      </c>
      <c r="AW90" s="141">
        <f>INDEX('File 8'!Weekly_Adjusted,48,1)</f>
        <v>0</v>
      </c>
      <c r="AX90" s="141">
        <f>INDEX('File 8'!Weekly_Adjusted,48,2)</f>
        <v>0</v>
      </c>
      <c r="AY90" s="141">
        <f>INDEX('File 8'!Weekly_Adjusted,48,3)</f>
        <v>0</v>
      </c>
      <c r="AZ90" s="140">
        <f>INDEX('File 9'!Weekly_Adjusted,48,1)</f>
        <v>0</v>
      </c>
      <c r="BA90" s="140">
        <f>INDEX('File 9'!Weekly_Adjusted,48,2)</f>
        <v>0</v>
      </c>
      <c r="BB90" s="140">
        <f>INDEX('File 9'!Weekly_Adjusted,48,3)</f>
        <v>0</v>
      </c>
      <c r="BC90" s="141">
        <f>INDEX('File 10'!Weekly_Adjusted,48,1)</f>
        <v>0</v>
      </c>
      <c r="BD90" s="141">
        <f>INDEX('File 10'!Weekly_Adjusted,48,2)</f>
        <v>0</v>
      </c>
      <c r="BE90" s="141">
        <f>INDEX('File 10'!Weekly_Adjusted,48,3)</f>
        <v>0</v>
      </c>
      <c r="BF90" s="140">
        <f>INDEX('File 11'!Weekly_Adjusted,48,1)</f>
        <v>0</v>
      </c>
      <c r="BG90" s="140">
        <f>INDEX('File 11'!Weekly_Adjusted,48,2)</f>
        <v>0</v>
      </c>
      <c r="BH90" s="140">
        <f>INDEX('File 11'!Weekly_Adjusted,48,3)</f>
        <v>0</v>
      </c>
      <c r="BI90" s="141">
        <f>INDEX('File 12'!Weekly_Adjusted,48,1)</f>
        <v>0</v>
      </c>
      <c r="BJ90" s="141">
        <f>INDEX('File 12'!Weekly_Adjusted,48,2)</f>
        <v>0</v>
      </c>
      <c r="BK90" s="141">
        <f>INDEX('File 12'!Weekly_Adjusted,48,3)</f>
        <v>0</v>
      </c>
      <c r="BL90" s="140">
        <f>INDEX('File 13'!Weekly_Adjusted,48,1)</f>
        <v>0</v>
      </c>
      <c r="BM90" s="140">
        <f>INDEX('File 13'!Weekly_Adjusted,48,2)</f>
        <v>0</v>
      </c>
      <c r="BN90" s="140">
        <f>INDEX('File 13'!Weekly_Adjusted,48,3)</f>
        <v>0</v>
      </c>
      <c r="BO90" s="141">
        <f>INDEX('File 14'!Weekly_Adjusted,48,1)</f>
        <v>0</v>
      </c>
      <c r="BP90" s="141">
        <f>INDEX('File 14'!Weekly_Adjusted,48,2)</f>
        <v>0</v>
      </c>
      <c r="BQ90" s="141">
        <f>INDEX('File 14'!Weekly_Adjusted,48,3)</f>
        <v>0</v>
      </c>
      <c r="BR90" s="140">
        <f>INDEX('File 15'!Weekly_Adjusted,48,1)</f>
        <v>0</v>
      </c>
      <c r="BS90" s="140">
        <f>INDEX('File 15'!Weekly_Adjusted,48,2)</f>
        <v>0</v>
      </c>
      <c r="BT90" s="140">
        <f>INDEX('File 15'!Weekly_Adjusted,48,3)</f>
        <v>0</v>
      </c>
      <c r="BU90" s="141">
        <f>INDEX('File 16'!Weekly_Adjusted,48,1)</f>
        <v>0</v>
      </c>
      <c r="BV90" s="141">
        <f>INDEX('File 16'!Weekly_Adjusted,48,2)</f>
        <v>0</v>
      </c>
      <c r="BW90" s="141">
        <f>INDEX('File 16'!Weekly_Adjusted,48,3)</f>
        <v>0</v>
      </c>
      <c r="BX90" s="140">
        <f>INDEX('File 17'!Weekly_Adjusted,48,1)</f>
        <v>0</v>
      </c>
      <c r="BY90" s="140">
        <f>INDEX('File 17'!Weekly_Adjusted,48,2)</f>
        <v>0</v>
      </c>
      <c r="BZ90" s="140">
        <f>INDEX('File 17'!Weekly_Adjusted,48,3)</f>
        <v>0</v>
      </c>
      <c r="CA90" s="141">
        <f>INDEX('File 18'!Weekly_Adjusted,48,1)</f>
        <v>0</v>
      </c>
      <c r="CB90" s="141">
        <f>INDEX('File 18'!Weekly_Adjusted,48,2)</f>
        <v>0</v>
      </c>
      <c r="CC90" s="141">
        <f>INDEX('File 18'!Weekly_Adjusted,48,3)</f>
        <v>0</v>
      </c>
      <c r="CD90" s="140">
        <f>INDEX('File 19'!Weekly_Adjusted,48,1)</f>
        <v>0</v>
      </c>
      <c r="CE90" s="140">
        <f>INDEX('File 19'!Weekly_Adjusted,48,2)</f>
        <v>0</v>
      </c>
      <c r="CF90" s="140">
        <f>INDEX('File 19'!Weekly_Adjusted,48,3)</f>
        <v>0</v>
      </c>
      <c r="CG90" s="141">
        <f>INDEX('File 20'!Weekly_Adjusted,48,1)</f>
        <v>0</v>
      </c>
      <c r="CH90" s="141">
        <f>INDEX('File 20'!Weekly_Adjusted,48,2)</f>
        <v>0</v>
      </c>
      <c r="CI90" s="141">
        <f>INDEX('File 20'!Weekly_Adjusted,48,3)</f>
        <v>0</v>
      </c>
      <c r="CJ90" s="6">
        <f ca="1">SUMIFS(INDEX(Demand_Activity_Weekly,ROW(A48),0),Demand_Activity_Weekly_Header,CJ$42)</f>
        <v>388.17143954725253</v>
      </c>
      <c r="CK90" s="6">
        <f ca="1">SUMIFS(INDEX(Demand_Activity_Weekly,ROW(B48),0),Demand_Activity_Weekly_Header,CK$42)</f>
        <v>0</v>
      </c>
      <c r="CL90" s="6">
        <f ca="1">SUMIFS(INDEX(Demand_Activity_Weekly,ROW(C48),0),Demand_Activity_Weekly_Header,CL$42)</f>
        <v>0</v>
      </c>
      <c r="CM90" s="6">
        <f ca="1">SUMIFS(INDEX(Demand_Activity_Weekly,ROW(D48),0),Demand_Activity_Weekly_Header,CM$42)</f>
        <v>0</v>
      </c>
      <c r="CN90" s="6">
        <f ca="1">SUMIFS(INDEX(Demand_Activity_Weekly,ROW(E48),0),Demand_Activity_Weekly_Header,CN$42)</f>
        <v>0</v>
      </c>
      <c r="CP90" s="142">
        <f>INDEX('File 1'!Weekly_Adjusted,48,10)</f>
        <v>24.344712210866053</v>
      </c>
      <c r="CQ90" s="142">
        <f>INDEX('File 1'!Weekly_Adjusted,48,11)</f>
        <v>0</v>
      </c>
      <c r="CR90" s="142">
        <f>INDEX('File 1'!Weekly_Adjusted,48,12)</f>
        <v>0</v>
      </c>
      <c r="CS90" s="143">
        <f>INDEX('File 2'!Weekly_Adjusted,48,10)</f>
        <v>0</v>
      </c>
      <c r="CT90" s="143">
        <f>INDEX('File 2'!Weekly_Adjusted,48,11)</f>
        <v>0</v>
      </c>
      <c r="CU90" s="143">
        <f>INDEX('File 2'!Weekly_Adjusted,48,12)</f>
        <v>0</v>
      </c>
      <c r="CV90" s="142">
        <f>INDEX('File 3'!Weekly_Adjusted,48,10)</f>
        <v>0</v>
      </c>
      <c r="CW90" s="142">
        <f>INDEX('File 3'!Weekly_Adjusted,48,11)</f>
        <v>0</v>
      </c>
      <c r="CX90" s="142">
        <f>INDEX('File 3'!Weekly_Adjusted,48,12)</f>
        <v>0</v>
      </c>
      <c r="CY90" s="143">
        <f>INDEX('File 4'!Weekly_Adjusted,48,10)</f>
        <v>0</v>
      </c>
      <c r="CZ90" s="143">
        <f>INDEX('File 4'!Weekly_Adjusted,48,11)</f>
        <v>0</v>
      </c>
      <c r="DA90" s="143">
        <f>INDEX('File 4'!Weekly_Adjusted,48,12)</f>
        <v>0</v>
      </c>
      <c r="DB90" s="142">
        <f>INDEX('File 5'!Weekly_Adjusted,48,10)</f>
        <v>0</v>
      </c>
      <c r="DC90" s="142">
        <f>INDEX('File 5'!Weekly_Adjusted,48,11)</f>
        <v>0</v>
      </c>
      <c r="DD90" s="142">
        <f>INDEX('File 5'!Weekly_Adjusted,48,12)</f>
        <v>0</v>
      </c>
      <c r="DE90" s="143">
        <f>INDEX('File 6'!Weekly_Adjusted,48,10)</f>
        <v>0</v>
      </c>
      <c r="DF90" s="143">
        <f>INDEX('File 6'!Weekly_Adjusted,48,11)</f>
        <v>0</v>
      </c>
      <c r="DG90" s="143">
        <f>INDEX('File 6'!Weekly_Adjusted,48,12)</f>
        <v>0</v>
      </c>
      <c r="DH90" s="142">
        <f>INDEX('File 7'!Weekly_Adjusted,48,10)</f>
        <v>0</v>
      </c>
      <c r="DI90" s="142">
        <f>INDEX('File 7'!Weekly_Adjusted,48,11)</f>
        <v>0</v>
      </c>
      <c r="DJ90" s="142">
        <f>INDEX('File 7'!Weekly_Adjusted,48,12)</f>
        <v>0</v>
      </c>
      <c r="DK90" s="143">
        <f>INDEX('File 8'!Weekly_Adjusted,48,10)</f>
        <v>0</v>
      </c>
      <c r="DL90" s="143">
        <f>INDEX('File 8'!Weekly_Adjusted,48,11)</f>
        <v>0</v>
      </c>
      <c r="DM90" s="143">
        <f>INDEX('File 8'!Weekly_Adjusted,48,12)</f>
        <v>0</v>
      </c>
      <c r="DN90" s="142">
        <f>INDEX('File 9'!Weekly_Adjusted,48,10)</f>
        <v>0</v>
      </c>
      <c r="DO90" s="142">
        <f>INDEX('File 9'!Weekly_Adjusted,48,11)</f>
        <v>0</v>
      </c>
      <c r="DP90" s="142">
        <f>INDEX('File 9'!Weekly_Adjusted,48,12)</f>
        <v>0</v>
      </c>
      <c r="DQ90" s="143">
        <f>INDEX('File 10'!Weekly_Adjusted,48,10)</f>
        <v>0</v>
      </c>
      <c r="DR90" s="143">
        <f>INDEX('File 10'!Weekly_Adjusted,48,11)</f>
        <v>0</v>
      </c>
      <c r="DS90" s="143">
        <f>INDEX('File 10'!Weekly_Adjusted,48,12)</f>
        <v>0</v>
      </c>
      <c r="DT90" s="142">
        <f>INDEX('File 11'!Weekly_Adjusted,48,10)</f>
        <v>0</v>
      </c>
      <c r="DU90" s="142">
        <f>INDEX('File 11'!Weekly_Adjusted,48,11)</f>
        <v>0</v>
      </c>
      <c r="DV90" s="142">
        <f>INDEX('File 11'!Weekly_Adjusted,48,12)</f>
        <v>0</v>
      </c>
      <c r="DW90" s="143">
        <f>INDEX('File 12'!Weekly_Adjusted,48,10)</f>
        <v>0</v>
      </c>
      <c r="DX90" s="143">
        <f>INDEX('File 12'!Weekly_Adjusted,48,11)</f>
        <v>0</v>
      </c>
      <c r="DY90" s="143">
        <f>INDEX('File 12'!Weekly_Adjusted,48,12)</f>
        <v>0</v>
      </c>
      <c r="DZ90" s="142">
        <f>INDEX('File 13'!Weekly_Adjusted,48,10)</f>
        <v>0</v>
      </c>
      <c r="EA90" s="142">
        <f>INDEX('File 13'!Weekly_Adjusted,48,11)</f>
        <v>0</v>
      </c>
      <c r="EB90" s="142">
        <f>INDEX('File 13'!Weekly_Adjusted,48,12)</f>
        <v>0</v>
      </c>
      <c r="EC90" s="143">
        <f>INDEX('File 14'!Weekly_Adjusted,48,10)</f>
        <v>0</v>
      </c>
      <c r="ED90" s="143">
        <f>INDEX('File 14'!Weekly_Adjusted,48,11)</f>
        <v>0</v>
      </c>
      <c r="EE90" s="143">
        <f>INDEX('File 14'!Weekly_Adjusted,48,12)</f>
        <v>0</v>
      </c>
      <c r="EF90" s="142">
        <f>INDEX('File 15'!Weekly_Adjusted,48,10)</f>
        <v>0</v>
      </c>
      <c r="EG90" s="142">
        <f>INDEX('File 15'!Weekly_Adjusted,48,11)</f>
        <v>0</v>
      </c>
      <c r="EH90" s="142">
        <f>INDEX('File 15'!Weekly_Adjusted,48,12)</f>
        <v>0</v>
      </c>
      <c r="EI90" s="143">
        <f>INDEX('File 16'!Weekly_Adjusted,48,10)</f>
        <v>0</v>
      </c>
      <c r="EJ90" s="143">
        <f>INDEX('File 16'!Weekly_Adjusted,48,11)</f>
        <v>0</v>
      </c>
      <c r="EK90" s="143">
        <f>INDEX('File 16'!Weekly_Adjusted,48,12)</f>
        <v>0</v>
      </c>
      <c r="EL90" s="142">
        <f>INDEX('File 17'!Weekly_Adjusted,48,10)</f>
        <v>0</v>
      </c>
      <c r="EM90" s="142">
        <f>INDEX('File 17'!Weekly_Adjusted,48,11)</f>
        <v>0</v>
      </c>
      <c r="EN90" s="142">
        <f>INDEX('File 17'!Weekly_Adjusted,48,12)</f>
        <v>0</v>
      </c>
      <c r="EO90" s="143">
        <f>INDEX('File 18'!Weekly_Adjusted,48,10)</f>
        <v>0</v>
      </c>
      <c r="EP90" s="143">
        <f>INDEX('File 18'!Weekly_Adjusted,48,11)</f>
        <v>0</v>
      </c>
      <c r="EQ90" s="143">
        <f>INDEX('File 18'!Weekly_Adjusted,48,12)</f>
        <v>0</v>
      </c>
      <c r="ER90" s="142">
        <f>INDEX('File 19'!Weekly_Adjusted,48,10)</f>
        <v>0</v>
      </c>
      <c r="ES90" s="142">
        <f>INDEX('File 19'!Weekly_Adjusted,48,11)</f>
        <v>0</v>
      </c>
      <c r="ET90" s="142">
        <f>INDEX('File 19'!Weekly_Adjusted,48,12)</f>
        <v>0</v>
      </c>
      <c r="EU90" s="143">
        <f>INDEX('File 20'!Weekly_Adjusted,48,10)</f>
        <v>0</v>
      </c>
      <c r="EV90" s="143">
        <f>INDEX('File 20'!Weekly_Adjusted,48,11)</f>
        <v>0</v>
      </c>
      <c r="EW90" s="143">
        <f>INDEX('File 20'!Weekly_Adjusted,48,12)</f>
        <v>0</v>
      </c>
      <c r="EX90" s="6">
        <f ca="1">SUMIFS(INDEX(Capacity_Activity_Weekly,ROW(A48),0),Demand_Activity_Weekly_Header,CJ$42)</f>
        <v>24.344712210866053</v>
      </c>
      <c r="EY90" s="6">
        <f ca="1">SUMIFS(INDEX(Capacity_Activity_Weekly,ROW(B48),0),Demand_Activity_Weekly_Header,CK$42)</f>
        <v>0</v>
      </c>
      <c r="EZ90" s="6">
        <f ca="1">SUMIFS(INDEX(Capacity_Activity_Weekly,ROW(C48),0),Demand_Activity_Weekly_Header,CL$42)</f>
        <v>0</v>
      </c>
      <c r="FA90" s="6">
        <f ca="1">SUMIFS(INDEX(Capacity_Activity_Weekly,ROW(D48),0),Demand_Activity_Weekly_Header,CM$42)</f>
        <v>0</v>
      </c>
      <c r="FB90" s="6">
        <f ca="1">SUMIFS(INDEX(Capacity_Activity_Weekly,ROW(E48),0),Demand_Activity_Weekly_Header,CN$42)</f>
        <v>0</v>
      </c>
      <c r="FD90" s="7">
        <f>'File 1'!$Q$54*'Time based aggregation (hide)'!$Q52</f>
        <v>0</v>
      </c>
      <c r="FE90" s="7">
        <f>'File 1'!$R$54*'Time based aggregation (hide)'!$R52</f>
        <v>0</v>
      </c>
      <c r="FF90" s="7">
        <f>'File 1'!$S$54*'Time based aggregation (hide)'!$S52</f>
        <v>0</v>
      </c>
      <c r="FG90" s="7">
        <f>'File 2'!$Q$54*'Time based aggregation (hide)'!$T52</f>
        <v>0</v>
      </c>
      <c r="FH90" s="7">
        <f>'File 2'!$R$54*'Time based aggregation (hide)'!$U52</f>
        <v>0</v>
      </c>
      <c r="FI90" s="7">
        <f>'File 2'!$S$54*'Time based aggregation (hide)'!$V52</f>
        <v>0</v>
      </c>
      <c r="FJ90" s="7">
        <f>'File 3'!$Q$54*'Time based aggregation (hide)'!$W52</f>
        <v>0</v>
      </c>
      <c r="FK90" s="7">
        <f>'File 3'!$R$54*'Time based aggregation (hide)'!$X52</f>
        <v>0</v>
      </c>
      <c r="FL90" s="7">
        <f>'File 3'!$S$54*'Time based aggregation (hide)'!$Y52</f>
        <v>0</v>
      </c>
      <c r="FM90" s="7">
        <f>'File 4'!$Q$54*'Time based aggregation (hide)'!$Z52</f>
        <v>0</v>
      </c>
      <c r="FN90" s="7">
        <f>'File 4'!$R$54*'Time based aggregation (hide)'!$AA52</f>
        <v>0</v>
      </c>
      <c r="FO90" s="7">
        <f>'File 4'!$S$54*'Time based aggregation (hide)'!$AB52</f>
        <v>0</v>
      </c>
      <c r="FP90" s="7">
        <f>'File 5'!$Q$54*'Time based aggregation (hide)'!$AC52</f>
        <v>0</v>
      </c>
      <c r="FQ90" s="7">
        <f>'File 5'!$R$54*'Time based aggregation (hide)'!$AD52</f>
        <v>0</v>
      </c>
      <c r="FR90" s="7">
        <f>'File 5'!$S$54*'Time based aggregation (hide)'!$AE52</f>
        <v>0</v>
      </c>
      <c r="FS90" s="7">
        <f>'File 6'!$Q$54*'Time based aggregation (hide)'!$AF52</f>
        <v>0</v>
      </c>
      <c r="FT90" s="7">
        <f>'File 6'!$R$54*'Time based aggregation (hide)'!$AG52</f>
        <v>0</v>
      </c>
      <c r="FU90" s="7">
        <f>'File 6'!$S$54*'Time based aggregation (hide)'!$AH52</f>
        <v>0</v>
      </c>
      <c r="FV90" s="7">
        <f>'File 7'!$Q$54*'Time based aggregation (hide)'!$AI52</f>
        <v>0</v>
      </c>
      <c r="FW90" s="7">
        <f>'File 7'!$R$54*'Time based aggregation (hide)'!$AJ52</f>
        <v>0</v>
      </c>
      <c r="FX90" s="7">
        <f>'File 7'!$S$54*'Time based aggregation (hide)'!$AK52</f>
        <v>0</v>
      </c>
      <c r="FY90" s="7">
        <f>'File 8'!$Q$54*'Time based aggregation (hide)'!$AL52</f>
        <v>0</v>
      </c>
      <c r="FZ90" s="7">
        <f>'File 8'!$R$54*'Time based aggregation (hide)'!$AM52</f>
        <v>0</v>
      </c>
      <c r="GA90" s="7">
        <f>'File 8'!$S$54*'Time based aggregation (hide)'!$AN52</f>
        <v>0</v>
      </c>
      <c r="GB90" s="7">
        <f>'File 9'!$Q$54*'Time based aggregation (hide)'!$AO52</f>
        <v>0</v>
      </c>
      <c r="GC90" s="7">
        <f>'File 9'!$R$54*'Time based aggregation (hide)'!$AP52</f>
        <v>0</v>
      </c>
      <c r="GD90" s="7">
        <f>'File 9'!$S$54*'Time based aggregation (hide)'!$AQ52</f>
        <v>0</v>
      </c>
      <c r="GE90" s="7">
        <f>'File 10'!$Q$54*'Time based aggregation (hide)'!$AR52</f>
        <v>0</v>
      </c>
      <c r="GF90" s="7">
        <f>'File 10'!$R$54*'Time based aggregation (hide)'!$AS52</f>
        <v>0</v>
      </c>
      <c r="GG90" s="7">
        <f>'File 10'!$S$54*'Time based aggregation (hide)'!$AT52</f>
        <v>0</v>
      </c>
      <c r="GH90" s="7">
        <f>'File 11'!$Q$54*'Time based aggregation (hide)'!$AU52</f>
        <v>0</v>
      </c>
      <c r="GI90" s="7">
        <f>'File 11'!$R$54*'Time based aggregation (hide)'!$AV52</f>
        <v>0</v>
      </c>
      <c r="GJ90" s="7">
        <f>'File 11'!$S$54*'Time based aggregation (hide)'!$AW52</f>
        <v>0</v>
      </c>
      <c r="GK90" s="7">
        <f>'File 12'!$Q$54*'Time based aggregation (hide)'!$AX52</f>
        <v>0</v>
      </c>
      <c r="GL90" s="7">
        <f>'File 12'!$R$54*'Time based aggregation (hide)'!$AY52</f>
        <v>0</v>
      </c>
      <c r="GM90" s="7">
        <f>'File 12'!$S$54*'Time based aggregation (hide)'!$AZ52</f>
        <v>0</v>
      </c>
      <c r="GN90" s="7">
        <f>'File 13'!$Q$54*'Time based aggregation (hide)'!$BA52</f>
        <v>0</v>
      </c>
      <c r="GO90" s="7">
        <f>'File 13'!$R$54*'Time based aggregation (hide)'!$BB52</f>
        <v>0</v>
      </c>
      <c r="GP90" s="7">
        <f>'File 13'!$S$54*'Time based aggregation (hide)'!$BC52</f>
        <v>0</v>
      </c>
      <c r="GQ90" s="7">
        <f>'File 14'!$Q$54*'Time based aggregation (hide)'!$BD52</f>
        <v>0</v>
      </c>
      <c r="GR90" s="7">
        <f>'File 14'!$R$54*'Time based aggregation (hide)'!$BE52</f>
        <v>0</v>
      </c>
      <c r="GS90" s="7">
        <f>'File 14'!$S$54*'Time based aggregation (hide)'!$BF52</f>
        <v>0</v>
      </c>
      <c r="GT90" s="7">
        <f>'File 15'!$Q$54*'Time based aggregation (hide)'!$BG52</f>
        <v>0</v>
      </c>
      <c r="GU90" s="7">
        <f>'File 15'!$R$54*'Time based aggregation (hide)'!$BH52</f>
        <v>0</v>
      </c>
      <c r="GV90" s="7">
        <f>'File 15'!$S$54*'Time based aggregation (hide)'!$BI52</f>
        <v>0</v>
      </c>
      <c r="GW90" s="7">
        <f>'File 16'!$Q$54*'Time based aggregation (hide)'!$BJ52</f>
        <v>0</v>
      </c>
      <c r="GX90" s="7">
        <f>'File 16'!$R$54*'Time based aggregation (hide)'!$BK52</f>
        <v>0</v>
      </c>
      <c r="GY90" s="7">
        <f>'File 16'!$S$54*'Time based aggregation (hide)'!$BL52</f>
        <v>0</v>
      </c>
      <c r="GZ90" s="7">
        <f>'File 17'!$Q$54*'Time based aggregation (hide)'!$BM52</f>
        <v>0</v>
      </c>
      <c r="HA90" s="7">
        <f>'File 17'!$R$54*'Time based aggregation (hide)'!$BN52</f>
        <v>0</v>
      </c>
      <c r="HB90" s="7">
        <f>'File 17'!$S$54*'Time based aggregation (hide)'!$BO52</f>
        <v>0</v>
      </c>
      <c r="HC90" s="7">
        <f>'File 18'!$Q$54*'Time based aggregation (hide)'!$BP52</f>
        <v>0</v>
      </c>
      <c r="HD90" s="7">
        <f>'File 18'!$R$54*'Time based aggregation (hide)'!$BQ52</f>
        <v>0</v>
      </c>
      <c r="HE90" s="7">
        <f>'File 18'!$S$54*'Time based aggregation (hide)'!$BR52</f>
        <v>0</v>
      </c>
      <c r="HF90" s="7">
        <f>'File 19'!$Q$54*'Time based aggregation (hide)'!$BS52</f>
        <v>0</v>
      </c>
      <c r="HG90" s="7">
        <f>'File 19'!$R$54*'Time based aggregation (hide)'!$BT52</f>
        <v>0</v>
      </c>
      <c r="HH90" s="7">
        <f>'File 19'!$S$54*'Time based aggregation (hide)'!$BU52</f>
        <v>0</v>
      </c>
      <c r="HI90" s="7">
        <f>'File 20'!$Q$54*'Time based aggregation (hide)'!$BV52</f>
        <v>0</v>
      </c>
      <c r="HJ90" s="7">
        <f>'File 20'!$R$54*'Time based aggregation (hide)'!$BW52</f>
        <v>0</v>
      </c>
      <c r="HK90" s="7">
        <f>'File 20'!$S$54*'Time based aggregation (hide)'!$BX52</f>
        <v>0</v>
      </c>
      <c r="HL90" s="7">
        <f t="shared" ca="1" si="50"/>
        <v>0</v>
      </c>
      <c r="HM90" s="7">
        <f t="shared" ca="1" si="50"/>
        <v>0</v>
      </c>
      <c r="HN90" s="7">
        <f t="shared" ca="1" si="50"/>
        <v>0</v>
      </c>
      <c r="HO90" s="7">
        <f t="shared" ca="1" si="50"/>
        <v>0</v>
      </c>
      <c r="HP90" s="7">
        <f t="shared" ca="1" si="50"/>
        <v>0</v>
      </c>
      <c r="HR90" s="142">
        <f>INDEX('File 1'!Weekly_Adjusted,48,16)</f>
        <v>20.933351264120493</v>
      </c>
      <c r="HS90" s="142">
        <f>INDEX('File 1'!Weekly_Adjusted,48,17)</f>
        <v>0</v>
      </c>
      <c r="HT90" s="142">
        <f>INDEX('File 1'!Weekly_Adjusted,48,18)</f>
        <v>0</v>
      </c>
      <c r="HU90" s="143">
        <f>INDEX('File 2'!Weekly_Adjusted,48,16)</f>
        <v>0</v>
      </c>
      <c r="HV90" s="143">
        <f>INDEX('File 2'!Weekly_Adjusted,48,17)</f>
        <v>0</v>
      </c>
      <c r="HW90" s="143">
        <f>INDEX('File 2'!Weekly_Adjusted,48,18)</f>
        <v>0</v>
      </c>
      <c r="HX90" s="142">
        <f>INDEX('File 3'!Weekly_Adjusted,48,16)</f>
        <v>0</v>
      </c>
      <c r="HY90" s="142">
        <f>INDEX('File 3'!Weekly_Adjusted,48,17)</f>
        <v>0</v>
      </c>
      <c r="HZ90" s="142">
        <f>INDEX('File 3'!Weekly_Adjusted,48,18)</f>
        <v>0</v>
      </c>
      <c r="IA90" s="143">
        <f>INDEX('File 4'!Weekly_Adjusted,48,16)</f>
        <v>0</v>
      </c>
      <c r="IB90" s="143">
        <f>INDEX('File 4'!Weekly_Adjusted,48,17)</f>
        <v>0</v>
      </c>
      <c r="IC90" s="143">
        <f>INDEX('File 4'!Weekly_Adjusted,48,18)</f>
        <v>0</v>
      </c>
      <c r="ID90" s="142">
        <f>INDEX('File 5'!Weekly_Adjusted,48,16)</f>
        <v>0</v>
      </c>
      <c r="IE90" s="142">
        <f>INDEX('File 5'!Weekly_Adjusted,48,17)</f>
        <v>0</v>
      </c>
      <c r="IF90" s="142">
        <f>INDEX('File 5'!Weekly_Adjusted,48,18)</f>
        <v>0</v>
      </c>
      <c r="IG90" s="143">
        <f>INDEX('File 6'!Weekly_Adjusted,48,16)</f>
        <v>0</v>
      </c>
      <c r="IH90" s="143">
        <f>INDEX('File 6'!Weekly_Adjusted,48,17)</f>
        <v>0</v>
      </c>
      <c r="II90" s="143">
        <f>INDEX('File 6'!Weekly_Adjusted,48,18)</f>
        <v>0</v>
      </c>
      <c r="IJ90" s="142">
        <f>INDEX('File 7'!Weekly_Adjusted,48,16)</f>
        <v>0</v>
      </c>
      <c r="IK90" s="142">
        <f>INDEX('File 7'!Weekly_Adjusted,48,17)</f>
        <v>0</v>
      </c>
      <c r="IL90" s="142">
        <f>INDEX('File 7'!Weekly_Adjusted,48,18)</f>
        <v>0</v>
      </c>
      <c r="IM90" s="143">
        <f>INDEX('File 8'!Weekly_Adjusted,48,16)</f>
        <v>0</v>
      </c>
      <c r="IN90" s="143">
        <f>INDEX('File 8'!Weekly_Adjusted,48,17)</f>
        <v>0</v>
      </c>
      <c r="IO90" s="143">
        <f>INDEX('File 8'!Weekly_Adjusted,48,18)</f>
        <v>0</v>
      </c>
      <c r="IP90" s="142">
        <f>INDEX('File 9'!Weekly_Adjusted,48,16)</f>
        <v>0</v>
      </c>
      <c r="IQ90" s="142">
        <f>INDEX('File 9'!Weekly_Adjusted,48,17)</f>
        <v>0</v>
      </c>
      <c r="IR90" s="142">
        <f>INDEX('File 9'!Weekly_Adjusted,48,18)</f>
        <v>0</v>
      </c>
      <c r="IS90" s="143">
        <f>INDEX('File 10'!Weekly_Adjusted,48,16)</f>
        <v>0</v>
      </c>
      <c r="IT90" s="143">
        <f>INDEX('File 10'!Weekly_Adjusted,48,17)</f>
        <v>0</v>
      </c>
      <c r="IU90" s="143">
        <f>INDEX('File 10'!Weekly_Adjusted,48,18)</f>
        <v>0</v>
      </c>
      <c r="IV90" s="142">
        <f>INDEX('File 11'!Weekly_Adjusted,48,16)</f>
        <v>0</v>
      </c>
      <c r="IW90" s="142">
        <f>INDEX('File 11'!Weekly_Adjusted,48,17)</f>
        <v>0</v>
      </c>
      <c r="IX90" s="142">
        <f>INDEX('File 11'!Weekly_Adjusted,48,18)</f>
        <v>0</v>
      </c>
      <c r="IY90" s="143">
        <f>INDEX('File 12'!Weekly_Adjusted,48,16)</f>
        <v>0</v>
      </c>
      <c r="IZ90" s="143">
        <f>INDEX('File 12'!Weekly_Adjusted,48,17)</f>
        <v>0</v>
      </c>
      <c r="JA90" s="143">
        <f>INDEX('File 12'!Weekly_Adjusted,48,18)</f>
        <v>0</v>
      </c>
      <c r="JB90" s="142">
        <f>INDEX('File 13'!Weekly_Adjusted,48,16)</f>
        <v>0</v>
      </c>
      <c r="JC90" s="142">
        <f>INDEX('File 13'!Weekly_Adjusted,48,17)</f>
        <v>0</v>
      </c>
      <c r="JD90" s="142">
        <f>INDEX('File 13'!Weekly_Adjusted,48,18)</f>
        <v>0</v>
      </c>
      <c r="JE90" s="143">
        <f>INDEX('File 14'!Weekly_Adjusted,48,16)</f>
        <v>0</v>
      </c>
      <c r="JF90" s="143">
        <f>INDEX('File 14'!Weekly_Adjusted,48,17)</f>
        <v>0</v>
      </c>
      <c r="JG90" s="143">
        <f>INDEX('File 14'!Weekly_Adjusted,48,18)</f>
        <v>0</v>
      </c>
      <c r="JH90" s="142">
        <f>INDEX('File 15'!Weekly_Adjusted,48,16)</f>
        <v>0</v>
      </c>
      <c r="JI90" s="142">
        <f>INDEX('File 15'!Weekly_Adjusted,48,17)</f>
        <v>0</v>
      </c>
      <c r="JJ90" s="142">
        <f>INDEX('File 15'!Weekly_Adjusted,48,18)</f>
        <v>0</v>
      </c>
      <c r="JK90" s="143">
        <f>INDEX('File 16'!Weekly_Adjusted,48,16)</f>
        <v>0</v>
      </c>
      <c r="JL90" s="143">
        <f>INDEX('File 16'!Weekly_Adjusted,48,17)</f>
        <v>0</v>
      </c>
      <c r="JM90" s="143">
        <f>INDEX('File 16'!Weekly_Adjusted,48,18)</f>
        <v>0</v>
      </c>
      <c r="JN90" s="142">
        <f>INDEX('File 17'!Weekly_Adjusted,48,16)</f>
        <v>0</v>
      </c>
      <c r="JO90" s="142">
        <f>INDEX('File 17'!Weekly_Adjusted,48,17)</f>
        <v>0</v>
      </c>
      <c r="JP90" s="142">
        <f>INDEX('File 17'!Weekly_Adjusted,48,18)</f>
        <v>0</v>
      </c>
      <c r="JQ90" s="143">
        <f>INDEX('File 18'!Weekly_Adjusted,48,16)</f>
        <v>0</v>
      </c>
      <c r="JR90" s="143">
        <f>INDEX('File 18'!Weekly_Adjusted,48,17)</f>
        <v>0</v>
      </c>
      <c r="JS90" s="143">
        <f>INDEX('File 18'!Weekly_Adjusted,48,18)</f>
        <v>0</v>
      </c>
      <c r="JT90" s="142">
        <f>INDEX('File 19'!Weekly_Adjusted,48,16)</f>
        <v>0</v>
      </c>
      <c r="JU90" s="142">
        <f>INDEX('File 19'!Weekly_Adjusted,48,17)</f>
        <v>0</v>
      </c>
      <c r="JV90" s="142">
        <f>INDEX('File 19'!Weekly_Adjusted,48,18)</f>
        <v>0</v>
      </c>
      <c r="JW90" s="143">
        <f>INDEX('File 20'!Weekly_Adjusted,48,16)</f>
        <v>0</v>
      </c>
      <c r="JX90" s="143">
        <f>INDEX('File 20'!Weekly_Adjusted,48,17)</f>
        <v>0</v>
      </c>
      <c r="JY90" s="143">
        <f>INDEX('File 20'!Weekly_Adjusted,48,18)</f>
        <v>0</v>
      </c>
      <c r="JZ90" s="6">
        <f ca="1">SUMIFS(INDEX(CapacityCore_Activity_Weekly,ROW(EC48),0),Demand_Activity_Weekly_Header,HL$42)</f>
        <v>20.933351264120493</v>
      </c>
      <c r="KA90" s="6">
        <f ca="1">SUMIFS(INDEX(CapacityCore_Activity_Weekly,ROW(ED48),0),Demand_Activity_Weekly_Header,HM$42)</f>
        <v>0</v>
      </c>
      <c r="KB90" s="6">
        <f ca="1">SUMIFS(INDEX(CapacityCore_Activity_Weekly,ROW(EE48),0),Demand_Activity_Weekly_Header,HN$42)</f>
        <v>0</v>
      </c>
      <c r="KC90" s="6">
        <f ca="1">SUMIFS(INDEX(CapacityCore_Activity_Weekly,ROW(EF48),0),Demand_Activity_Weekly_Header,HO$42)</f>
        <v>0</v>
      </c>
      <c r="KD90" s="6">
        <f ca="1">SUMIFS(INDEX(CapacityCore_Activity_Weekly,ROW(EG48),0),Demand_Activity_Weekly_Header,HP$42)</f>
        <v>0</v>
      </c>
      <c r="KF90" s="6">
        <f>SUMIFS('Time based aggregation (hide)'!$J:$J,'Time based aggregation (hide)'!$E:$E,1,'Time based aggregation (hide)'!$F:$F,1,'Time based aggregation (hide)'!$A:$A,ROW(A48))</f>
        <v>0</v>
      </c>
      <c r="KG90" s="6">
        <f>SUMIFS('Time based aggregation (hide)'!$J:$J,'Time based aggregation (hide)'!$E:$E,1,'Time based aggregation (hide)'!$F:$F,2,'Time based aggregation (hide)'!$A:$A,ROW(A48))</f>
        <v>0</v>
      </c>
      <c r="KH90" s="6">
        <f>SUMIFS('Time based aggregation (hide)'!$J:$J,'Time based aggregation (hide)'!$E:$E,1,'Time based aggregation (hide)'!$F:$F,3,'Time based aggregation (hide)'!$A:$A,ROW(A48))</f>
        <v>0</v>
      </c>
      <c r="KI90" s="6">
        <f>SUMIFS('Time based aggregation (hide)'!$J:$J,'Time based aggregation (hide)'!$E:$E,2,'Time based aggregation (hide)'!$F:$F,1,'Time based aggregation (hide)'!$A:$A,ROW(A48))</f>
        <v>0</v>
      </c>
      <c r="KJ90" s="6">
        <f>SUMIFS('Time based aggregation (hide)'!$J:$J,'Time based aggregation (hide)'!$E:$E,2,'Time based aggregation (hide)'!$F:$F,2,'Time based aggregation (hide)'!$A:$A,ROW(A48))</f>
        <v>0</v>
      </c>
      <c r="KK90" s="6">
        <f>SUMIFS('Time based aggregation (hide)'!$J:$J,'Time based aggregation (hide)'!$E:$E,2,'Time based aggregation (hide)'!$F:$F,3,'Time based aggregation (hide)'!$A:$A,ROW(A48))</f>
        <v>0</v>
      </c>
      <c r="KL90" s="6">
        <f>SUMIFS('Time based aggregation (hide)'!$J:$J,'Time based aggregation (hide)'!$E:$E,3,'Time based aggregation (hide)'!$F:$F,1,'Time based aggregation (hide)'!$A:$A,ROW(A48))</f>
        <v>0</v>
      </c>
      <c r="KM90" s="6">
        <f>SUMIFS('Time based aggregation (hide)'!$J:$J,'Time based aggregation (hide)'!$E:$E,3,'Time based aggregation (hide)'!$F:$F,2,'Time based aggregation (hide)'!$A:$A,ROW(A48))</f>
        <v>0</v>
      </c>
      <c r="KN90" s="6">
        <f>SUMIFS('Time based aggregation (hide)'!$J:$J,'Time based aggregation (hide)'!$E:$E,3,'Time based aggregation (hide)'!$F:$F,3,'Time based aggregation (hide)'!$A:$A,ROW(A48))</f>
        <v>0</v>
      </c>
      <c r="KO90" s="6">
        <f>SUMIFS('Time based aggregation (hide)'!$J:$J,'Time based aggregation (hide)'!$E:$E,4,'Time based aggregation (hide)'!$F:$F,1,'Time based aggregation (hide)'!$A:$A,ROW(A48))</f>
        <v>0</v>
      </c>
      <c r="KP90" s="6">
        <f>SUMIFS('Time based aggregation (hide)'!$J:$J,'Time based aggregation (hide)'!$E:$E,4,'Time based aggregation (hide)'!$F:$F,2,'Time based aggregation (hide)'!$A:$A,ROW(A48))</f>
        <v>0</v>
      </c>
      <c r="KQ90" s="6">
        <f>SUMIFS('Time based aggregation (hide)'!$J:$J,'Time based aggregation (hide)'!$E:$E,4,'Time based aggregation (hide)'!$F:$F,3,'Time based aggregation (hide)'!$A:$A,ROW(A48))</f>
        <v>0</v>
      </c>
      <c r="KR90" s="6">
        <f>SUMIFS('Time based aggregation (hide)'!$J:$J,'Time based aggregation (hide)'!$E:$E,5,'Time based aggregation (hide)'!$F:$F,1,'Time based aggregation (hide)'!$A:$A,ROW(A48))</f>
        <v>0</v>
      </c>
      <c r="KS90" s="6">
        <f>SUMIFS('Time based aggregation (hide)'!$J:$J,'Time based aggregation (hide)'!$E:$E,5,'Time based aggregation (hide)'!$F:$F,2,'Time based aggregation (hide)'!$A:$A,ROW(A48))</f>
        <v>0</v>
      </c>
      <c r="KT90" s="6">
        <f>SUMIFS('Time based aggregation (hide)'!$J:$J,'Time based aggregation (hide)'!$E:$E,5,'Time based aggregation (hide)'!$F:$F,3,'Time based aggregation (hide)'!$A:$A,ROW(A48))</f>
        <v>0</v>
      </c>
      <c r="KU90" s="6">
        <f>SUMIFS('Time based aggregation (hide)'!$J:$J,'Time based aggregation (hide)'!$E:$E,6,'Time based aggregation (hide)'!$F:$F,1,'Time based aggregation (hide)'!$A:$A,ROW(A48))</f>
        <v>0</v>
      </c>
      <c r="KV90" s="6">
        <f>SUMIFS('Time based aggregation (hide)'!$J:$J,'Time based aggregation (hide)'!$E:$E,6,'Time based aggregation (hide)'!$F:$F,2,'Time based aggregation (hide)'!$A:$A,ROW(A48))</f>
        <v>0</v>
      </c>
      <c r="KW90" s="6">
        <f>SUMIFS('Time based aggregation (hide)'!$J:$J,'Time based aggregation (hide)'!$E:$E,6,'Time based aggregation (hide)'!$F:$F,3,'Time based aggregation (hide)'!$A:$A,ROW(A48))</f>
        <v>0</v>
      </c>
      <c r="KX90" s="6">
        <f>SUMIFS('Time based aggregation (hide)'!$J:$J,'Time based aggregation (hide)'!$E:$E,7,'Time based aggregation (hide)'!$F:$F,1,'Time based aggregation (hide)'!$A:$A,ROW(A48))</f>
        <v>0</v>
      </c>
      <c r="KY90" s="6">
        <f>SUMIFS('Time based aggregation (hide)'!$J:$J,'Time based aggregation (hide)'!$E:$E,7,'Time based aggregation (hide)'!$F:$F,2,'Time based aggregation (hide)'!$A:$A,ROW(A48))</f>
        <v>0</v>
      </c>
      <c r="KZ90" s="6">
        <f>SUMIFS('Time based aggregation (hide)'!$J:$J,'Time based aggregation (hide)'!$E:$E,7,'Time based aggregation (hide)'!$F:$F,3,'Time based aggregation (hide)'!$A:$A,ROW(A48))</f>
        <v>0</v>
      </c>
      <c r="LA90" s="6">
        <f>SUMIFS('Time based aggregation (hide)'!$J:$J,'Time based aggregation (hide)'!$E:$E,8,'Time based aggregation (hide)'!$F:$F,1,'Time based aggregation (hide)'!$A:$A,ROW(A48))</f>
        <v>0</v>
      </c>
      <c r="LB90" s="6">
        <f>SUMIFS('Time based aggregation (hide)'!$J:$J,'Time based aggregation (hide)'!$E:$E,8,'Time based aggregation (hide)'!$F:$F,2,'Time based aggregation (hide)'!$A:$A,ROW(A48))</f>
        <v>0</v>
      </c>
      <c r="LC90" s="6">
        <f>SUMIFS('Time based aggregation (hide)'!$J:$J,'Time based aggregation (hide)'!$E:$E,8,'Time based aggregation (hide)'!$F:$F,3,'Time based aggregation (hide)'!$A:$A,ROW(A48))</f>
        <v>0</v>
      </c>
      <c r="LD90" s="6">
        <f>SUMIFS('Time based aggregation (hide)'!$J:$J,'Time based aggregation (hide)'!$E:$E,9,'Time based aggregation (hide)'!$F:$F,1,'Time based aggregation (hide)'!$A:$A,ROW(A48))</f>
        <v>0</v>
      </c>
      <c r="LE90" s="6">
        <f>SUMIFS('Time based aggregation (hide)'!$J:$J,'Time based aggregation (hide)'!$E:$E,9,'Time based aggregation (hide)'!$F:$F,2,'Time based aggregation (hide)'!$A:$A,ROW(A48))</f>
        <v>0</v>
      </c>
      <c r="LF90" s="6">
        <f>SUMIFS('Time based aggregation (hide)'!$J:$J,'Time based aggregation (hide)'!$E:$E,9,'Time based aggregation (hide)'!$F:$F,3,'Time based aggregation (hide)'!$A:$A,ROW(A48))</f>
        <v>0</v>
      </c>
      <c r="LG90" s="6">
        <f>SUMIFS('Time based aggregation (hide)'!$J:$J,'Time based aggregation (hide)'!$E:$E,10,'Time based aggregation (hide)'!$F:$F,1,'Time based aggregation (hide)'!$A:$A,ROW(A48))</f>
        <v>0</v>
      </c>
      <c r="LH90" s="6">
        <f>SUMIFS('Time based aggregation (hide)'!$J:$J,'Time based aggregation (hide)'!$E:$E,10,'Time based aggregation (hide)'!$F:$F,2,'Time based aggregation (hide)'!$A:$A,ROW(A48))</f>
        <v>0</v>
      </c>
      <c r="LI90" s="6">
        <f>SUMIFS('Time based aggregation (hide)'!$J:$J,'Time based aggregation (hide)'!$E:$E,10,'Time based aggregation (hide)'!$F:$F,3,'Time based aggregation (hide)'!$A:$A,ROW(A48))</f>
        <v>0</v>
      </c>
      <c r="LJ90" s="6">
        <f>SUMIFS('Time based aggregation (hide)'!$J:$J,'Time based aggregation (hide)'!$E:$E,11,'Time based aggregation (hide)'!$F:$F,1,'Time based aggregation (hide)'!$A:$A,ROW(A48))</f>
        <v>0</v>
      </c>
      <c r="LK90" s="6">
        <f>SUMIFS('Time based aggregation (hide)'!$J:$J,'Time based aggregation (hide)'!$E:$E,11,'Time based aggregation (hide)'!$F:$F,2,'Time based aggregation (hide)'!$A:$A,ROW(A48))</f>
        <v>0</v>
      </c>
      <c r="LL90" s="6">
        <f>SUMIFS('Time based aggregation (hide)'!$J:$J,'Time based aggregation (hide)'!$E:$E,11,'Time based aggregation (hide)'!$F:$F,3,'Time based aggregation (hide)'!$A:$A,ROW(A48))</f>
        <v>0</v>
      </c>
      <c r="LM90" s="6">
        <f>SUMIFS('Time based aggregation (hide)'!$J:$J,'Time based aggregation (hide)'!$E:$E,12,'Time based aggregation (hide)'!$F:$F,1,'Time based aggregation (hide)'!$A:$A,ROW(A48))</f>
        <v>0</v>
      </c>
      <c r="LN90" s="6">
        <f>SUMIFS('Time based aggregation (hide)'!$J:$J,'Time based aggregation (hide)'!$E:$E,12,'Time based aggregation (hide)'!$F:$F,2,'Time based aggregation (hide)'!$A:$A,ROW(A48))</f>
        <v>0</v>
      </c>
      <c r="LO90" s="6">
        <f>SUMIFS('Time based aggregation (hide)'!$J:$J,'Time based aggregation (hide)'!$E:$E,12,'Time based aggregation (hide)'!$F:$F,3,'Time based aggregation (hide)'!$A:$A,ROW(A48))</f>
        <v>0</v>
      </c>
      <c r="LP90" s="6">
        <f>SUMIFS('Time based aggregation (hide)'!$J:$J,'Time based aggregation (hide)'!$E:$E,13,'Time based aggregation (hide)'!$F:$F,1,'Time based aggregation (hide)'!$A:$A,ROW(A48))</f>
        <v>0</v>
      </c>
      <c r="LQ90" s="6">
        <f>SUMIFS('Time based aggregation (hide)'!$J:$J,'Time based aggregation (hide)'!$E:$E,13,'Time based aggregation (hide)'!$F:$F,2,'Time based aggregation (hide)'!$A:$A,ROW(A48))</f>
        <v>0</v>
      </c>
      <c r="LR90" s="6">
        <f>SUMIFS('Time based aggregation (hide)'!$J:$J,'Time based aggregation (hide)'!$E:$E,13,'Time based aggregation (hide)'!$F:$F,3,'Time based aggregation (hide)'!$A:$A,ROW(A48))</f>
        <v>0</v>
      </c>
      <c r="LS90" s="6">
        <f>SUMIFS('Time based aggregation (hide)'!$J:$J,'Time based aggregation (hide)'!$E:$E,14,'Time based aggregation (hide)'!$F:$F,1,'Time based aggregation (hide)'!$A:$A,ROW(A48))</f>
        <v>0</v>
      </c>
      <c r="LT90" s="6">
        <f>SUMIFS('Time based aggregation (hide)'!$J:$J,'Time based aggregation (hide)'!$E:$E,14,'Time based aggregation (hide)'!$F:$F,2,'Time based aggregation (hide)'!$A:$A,ROW(A48))</f>
        <v>0</v>
      </c>
      <c r="LU90" s="6">
        <f>SUMIFS('Time based aggregation (hide)'!$J:$J,'Time based aggregation (hide)'!$E:$E,14,'Time based aggregation (hide)'!$F:$F,3,'Time based aggregation (hide)'!$A:$A,ROW(A48))</f>
        <v>0</v>
      </c>
      <c r="LV90" s="6">
        <f>SUMIFS('Time based aggregation (hide)'!$J:$J,'Time based aggregation (hide)'!$E:$E,15,'Time based aggregation (hide)'!$F:$F,1,'Time based aggregation (hide)'!$A:$A,ROW(A48))</f>
        <v>0</v>
      </c>
      <c r="LW90" s="6">
        <f>SUMIFS('Time based aggregation (hide)'!$J:$J,'Time based aggregation (hide)'!$E:$E,15,'Time based aggregation (hide)'!$F:$F,2,'Time based aggregation (hide)'!$A:$A,ROW(A48))</f>
        <v>0</v>
      </c>
      <c r="LX90" s="6">
        <f>SUMIFS('Time based aggregation (hide)'!$J:$J,'Time based aggregation (hide)'!$E:$E,15,'Time based aggregation (hide)'!$F:$F,3,'Time based aggregation (hide)'!$A:$A,ROW(A48))</f>
        <v>0</v>
      </c>
      <c r="LY90" s="6">
        <f>SUMIFS('Time based aggregation (hide)'!$J:$J,'Time based aggregation (hide)'!$E:$E,16,'Time based aggregation (hide)'!$F:$F,1,'Time based aggregation (hide)'!$A:$A,ROW(A48))</f>
        <v>0</v>
      </c>
      <c r="LZ90" s="6">
        <f>SUMIFS('Time based aggregation (hide)'!$J:$J,'Time based aggregation (hide)'!$E:$E,16,'Time based aggregation (hide)'!$F:$F,2,'Time based aggregation (hide)'!$A:$A,ROW(A48))</f>
        <v>0</v>
      </c>
      <c r="MA90" s="6">
        <f>SUMIFS('Time based aggregation (hide)'!$J:$J,'Time based aggregation (hide)'!$E:$E,16,'Time based aggregation (hide)'!$F:$F,3,'Time based aggregation (hide)'!$A:$A,ROW(A48))</f>
        <v>0</v>
      </c>
      <c r="MB90" s="6">
        <f>SUMIFS('Time based aggregation (hide)'!$J:$J,'Time based aggregation (hide)'!$E:$E,17,'Time based aggregation (hide)'!$F:$F,1,'Time based aggregation (hide)'!$A:$A,ROW(A48))</f>
        <v>0</v>
      </c>
      <c r="MC90" s="6">
        <f>SUMIFS('Time based aggregation (hide)'!$J:$J,'Time based aggregation (hide)'!$E:$E,17,'Time based aggregation (hide)'!$F:$F,2,'Time based aggregation (hide)'!$A:$A,ROW(A48))</f>
        <v>0</v>
      </c>
      <c r="MD90" s="6">
        <f>SUMIFS('Time based aggregation (hide)'!$J:$J,'Time based aggregation (hide)'!$E:$E,17,'Time based aggregation (hide)'!$F:$F,3,'Time based aggregation (hide)'!$A:$A,ROW(A48))</f>
        <v>0</v>
      </c>
      <c r="ME90" s="6">
        <f>SUMIFS('Time based aggregation (hide)'!$J:$J,'Time based aggregation (hide)'!$E:$E,18,'Time based aggregation (hide)'!$F:$F,1,'Time based aggregation (hide)'!$A:$A,ROW(A48))</f>
        <v>0</v>
      </c>
      <c r="MF90" s="6">
        <f>SUMIFS('Time based aggregation (hide)'!$J:$J,'Time based aggregation (hide)'!$E:$E,18,'Time based aggregation (hide)'!$F:$F,2,'Time based aggregation (hide)'!$A:$A,ROW(A48))</f>
        <v>0</v>
      </c>
      <c r="MG90" s="6">
        <f>SUMIFS('Time based aggregation (hide)'!$J:$J,'Time based aggregation (hide)'!$E:$E,18,'Time based aggregation (hide)'!$F:$F,3,'Time based aggregation (hide)'!$A:$A,ROW(A48))</f>
        <v>0</v>
      </c>
      <c r="MH90" s="6">
        <f>SUMIFS('Time based aggregation (hide)'!$J:$J,'Time based aggregation (hide)'!$E:$E,19,'Time based aggregation (hide)'!$F:$F,1,'Time based aggregation (hide)'!$A:$A,ROW(A48))</f>
        <v>0</v>
      </c>
      <c r="MI90" s="6">
        <f>SUMIFS('Time based aggregation (hide)'!$J:$J,'Time based aggregation (hide)'!$E:$E,19,'Time based aggregation (hide)'!$F:$F,2,'Time based aggregation (hide)'!$A:$A,ROW(A48))</f>
        <v>0</v>
      </c>
      <c r="MJ90" s="6">
        <f>SUMIFS('Time based aggregation (hide)'!$J:$J,'Time based aggregation (hide)'!$E:$E,19,'Time based aggregation (hide)'!$F:$F,3,'Time based aggregation (hide)'!$A:$A,ROW(A48))</f>
        <v>0</v>
      </c>
      <c r="MK90" s="6">
        <f>SUMIFS('Time based aggregation (hide)'!$J:$J,'Time based aggregation (hide)'!$E:$E,20,'Time based aggregation (hide)'!$F:$F,1,'Time based aggregation (hide)'!$A:$A,ROW(A48))</f>
        <v>0</v>
      </c>
      <c r="ML90" s="6">
        <f>SUMIFS('Time based aggregation (hide)'!$J:$J,'Time based aggregation (hide)'!$E:$E,20,'Time based aggregation (hide)'!$F:$F,2,'Time based aggregation (hide)'!$A:$A,ROW(A48))</f>
        <v>0</v>
      </c>
      <c r="MM90" s="6">
        <f>SUMIFS('Time based aggregation (hide)'!$J:$J,'Time based aggregation (hide)'!$E:$E,20,'Time based aggregation (hide)'!$F:$F,3,'Time based aggregation (hide)'!$A:$A,ROW(A48))</f>
        <v>0</v>
      </c>
      <c r="MN90" s="7">
        <f t="shared" ca="1" si="48"/>
        <v>0</v>
      </c>
      <c r="MO90" s="7">
        <f t="shared" ca="1" si="48"/>
        <v>0</v>
      </c>
      <c r="MP90" s="7">
        <f t="shared" ca="1" si="48"/>
        <v>0</v>
      </c>
      <c r="MQ90" s="7">
        <f t="shared" ca="1" si="48"/>
        <v>0</v>
      </c>
      <c r="MR90" s="7">
        <f t="shared" ca="1" si="48"/>
        <v>0</v>
      </c>
    </row>
    <row r="91" spans="1:356" x14ac:dyDescent="0.25">
      <c r="A91">
        <f>1</f>
        <v>1</v>
      </c>
      <c r="B91" s="85">
        <f t="shared" si="37"/>
        <v>43879</v>
      </c>
      <c r="C91" s="85">
        <f t="shared" si="25"/>
        <v>43878</v>
      </c>
      <c r="D91">
        <f t="shared" ca="1" si="26"/>
        <v>1</v>
      </c>
      <c r="E91" s="85">
        <f t="shared" si="27"/>
        <v>43862</v>
      </c>
      <c r="F91">
        <f t="shared" si="33"/>
        <v>8</v>
      </c>
      <c r="H91">
        <f t="shared" si="34"/>
        <v>49</v>
      </c>
      <c r="I91" s="85">
        <f t="shared" si="38"/>
        <v>44165</v>
      </c>
      <c r="J91">
        <f t="shared" ca="1" si="46"/>
        <v>5</v>
      </c>
      <c r="K91">
        <f t="shared" ca="1" si="47"/>
        <v>1.968503937007874E-2</v>
      </c>
      <c r="L91" s="114"/>
      <c r="N91" s="85">
        <f t="shared" si="35"/>
        <v>44165</v>
      </c>
      <c r="O91" s="122">
        <f t="shared" ca="1" si="49"/>
        <v>0</v>
      </c>
      <c r="P91" s="122">
        <f t="shared" ca="1" si="49"/>
        <v>0</v>
      </c>
      <c r="Q91" s="122">
        <f t="shared" ca="1" si="49"/>
        <v>0</v>
      </c>
      <c r="R91" s="122">
        <f t="shared" ca="1" si="49"/>
        <v>0</v>
      </c>
      <c r="S91" s="122">
        <f t="shared" ca="1" si="49"/>
        <v>0</v>
      </c>
      <c r="T91" s="122">
        <f t="shared" ca="1" si="49"/>
        <v>0</v>
      </c>
      <c r="U91" s="122">
        <f t="shared" ca="1" si="49"/>
        <v>0</v>
      </c>
      <c r="V91" s="122">
        <f t="shared" ca="1" si="49"/>
        <v>0</v>
      </c>
      <c r="W91" s="122">
        <f t="shared" ca="1" si="49"/>
        <v>0</v>
      </c>
      <c r="X91" s="122">
        <f t="shared" ca="1" si="49"/>
        <v>0</v>
      </c>
      <c r="Y91" s="122">
        <f t="shared" ca="1" si="49"/>
        <v>0.2</v>
      </c>
      <c r="Z91" s="122">
        <f t="shared" ca="1" si="49"/>
        <v>0.8</v>
      </c>
      <c r="AA91" s="122"/>
      <c r="AB91" s="140">
        <f>INDEX('File 1'!Weekly_Adjusted,49,1)</f>
        <v>388.17143954725253</v>
      </c>
      <c r="AC91" s="140">
        <f>INDEX('File 1'!Weekly_Adjusted,49,2)</f>
        <v>0</v>
      </c>
      <c r="AD91" s="140">
        <f>INDEX('File 1'!Weekly_Adjusted,49,3)</f>
        <v>0</v>
      </c>
      <c r="AE91" s="141">
        <f>INDEX('File 2'!Weekly_Adjusted,49,1)</f>
        <v>0</v>
      </c>
      <c r="AF91" s="141">
        <f>INDEX('File 2'!Weekly_Adjusted,49,2)</f>
        <v>0</v>
      </c>
      <c r="AG91" s="141">
        <f>INDEX('File 2'!Weekly_Adjusted,49,3)</f>
        <v>0</v>
      </c>
      <c r="AH91" s="140">
        <f>INDEX('File 3'!Weekly_Adjusted,49,1)</f>
        <v>0</v>
      </c>
      <c r="AI91" s="140">
        <f>INDEX('File 3'!Weekly_Adjusted,49,2)</f>
        <v>0</v>
      </c>
      <c r="AJ91" s="140">
        <f>INDEX('File 3'!Weekly_Adjusted,49,3)</f>
        <v>0</v>
      </c>
      <c r="AK91" s="141">
        <f>INDEX('File 4'!Weekly_Adjusted,49,1)</f>
        <v>0</v>
      </c>
      <c r="AL91" s="141">
        <f>INDEX('File 4'!Weekly_Adjusted,49,2)</f>
        <v>0</v>
      </c>
      <c r="AM91" s="141">
        <f>INDEX('File 4'!Weekly_Adjusted,49,3)</f>
        <v>0</v>
      </c>
      <c r="AN91" s="140">
        <f>INDEX('File 5'!Weekly_Adjusted,49,1)</f>
        <v>0</v>
      </c>
      <c r="AO91" s="140">
        <f>INDEX('File 5'!Weekly_Adjusted,49,2)</f>
        <v>0</v>
      </c>
      <c r="AP91" s="140">
        <f>INDEX('File 5'!Weekly_Adjusted,49,3)</f>
        <v>0</v>
      </c>
      <c r="AQ91" s="141">
        <f>INDEX('File 6'!Weekly_Adjusted,49,1)</f>
        <v>0</v>
      </c>
      <c r="AR91" s="141">
        <f>INDEX('File 6'!Weekly_Adjusted,49,2)</f>
        <v>0</v>
      </c>
      <c r="AS91" s="141">
        <f>INDEX('File 6'!Weekly_Adjusted,49,3)</f>
        <v>0</v>
      </c>
      <c r="AT91" s="140">
        <f>INDEX('File 7'!Weekly_Adjusted,49,1)</f>
        <v>0</v>
      </c>
      <c r="AU91" s="140">
        <f>INDEX('File 7'!Weekly_Adjusted,49,2)</f>
        <v>0</v>
      </c>
      <c r="AV91" s="140">
        <f>INDEX('File 7'!Weekly_Adjusted,49,3)</f>
        <v>0</v>
      </c>
      <c r="AW91" s="141">
        <f>INDEX('File 8'!Weekly_Adjusted,49,1)</f>
        <v>0</v>
      </c>
      <c r="AX91" s="141">
        <f>INDEX('File 8'!Weekly_Adjusted,49,2)</f>
        <v>0</v>
      </c>
      <c r="AY91" s="141">
        <f>INDEX('File 8'!Weekly_Adjusted,49,3)</f>
        <v>0</v>
      </c>
      <c r="AZ91" s="140">
        <f>INDEX('File 9'!Weekly_Adjusted,49,1)</f>
        <v>0</v>
      </c>
      <c r="BA91" s="140">
        <f>INDEX('File 9'!Weekly_Adjusted,49,2)</f>
        <v>0</v>
      </c>
      <c r="BB91" s="140">
        <f>INDEX('File 9'!Weekly_Adjusted,49,3)</f>
        <v>0</v>
      </c>
      <c r="BC91" s="141">
        <f>INDEX('File 10'!Weekly_Adjusted,49,1)</f>
        <v>0</v>
      </c>
      <c r="BD91" s="141">
        <f>INDEX('File 10'!Weekly_Adjusted,49,2)</f>
        <v>0</v>
      </c>
      <c r="BE91" s="141">
        <f>INDEX('File 10'!Weekly_Adjusted,49,3)</f>
        <v>0</v>
      </c>
      <c r="BF91" s="140">
        <f>INDEX('File 11'!Weekly_Adjusted,49,1)</f>
        <v>0</v>
      </c>
      <c r="BG91" s="140">
        <f>INDEX('File 11'!Weekly_Adjusted,49,2)</f>
        <v>0</v>
      </c>
      <c r="BH91" s="140">
        <f>INDEX('File 11'!Weekly_Adjusted,49,3)</f>
        <v>0</v>
      </c>
      <c r="BI91" s="141">
        <f>INDEX('File 12'!Weekly_Adjusted,49,1)</f>
        <v>0</v>
      </c>
      <c r="BJ91" s="141">
        <f>INDEX('File 12'!Weekly_Adjusted,49,2)</f>
        <v>0</v>
      </c>
      <c r="BK91" s="141">
        <f>INDEX('File 12'!Weekly_Adjusted,49,3)</f>
        <v>0</v>
      </c>
      <c r="BL91" s="140">
        <f>INDEX('File 13'!Weekly_Adjusted,49,1)</f>
        <v>0</v>
      </c>
      <c r="BM91" s="140">
        <f>INDEX('File 13'!Weekly_Adjusted,49,2)</f>
        <v>0</v>
      </c>
      <c r="BN91" s="140">
        <f>INDEX('File 13'!Weekly_Adjusted,49,3)</f>
        <v>0</v>
      </c>
      <c r="BO91" s="141">
        <f>INDEX('File 14'!Weekly_Adjusted,49,1)</f>
        <v>0</v>
      </c>
      <c r="BP91" s="141">
        <f>INDEX('File 14'!Weekly_Adjusted,49,2)</f>
        <v>0</v>
      </c>
      <c r="BQ91" s="141">
        <f>INDEX('File 14'!Weekly_Adjusted,49,3)</f>
        <v>0</v>
      </c>
      <c r="BR91" s="140">
        <f>INDEX('File 15'!Weekly_Adjusted,49,1)</f>
        <v>0</v>
      </c>
      <c r="BS91" s="140">
        <f>INDEX('File 15'!Weekly_Adjusted,49,2)</f>
        <v>0</v>
      </c>
      <c r="BT91" s="140">
        <f>INDEX('File 15'!Weekly_Adjusted,49,3)</f>
        <v>0</v>
      </c>
      <c r="BU91" s="141">
        <f>INDEX('File 16'!Weekly_Adjusted,49,1)</f>
        <v>0</v>
      </c>
      <c r="BV91" s="141">
        <f>INDEX('File 16'!Weekly_Adjusted,49,2)</f>
        <v>0</v>
      </c>
      <c r="BW91" s="141">
        <f>INDEX('File 16'!Weekly_Adjusted,49,3)</f>
        <v>0</v>
      </c>
      <c r="BX91" s="140">
        <f>INDEX('File 17'!Weekly_Adjusted,49,1)</f>
        <v>0</v>
      </c>
      <c r="BY91" s="140">
        <f>INDEX('File 17'!Weekly_Adjusted,49,2)</f>
        <v>0</v>
      </c>
      <c r="BZ91" s="140">
        <f>INDEX('File 17'!Weekly_Adjusted,49,3)</f>
        <v>0</v>
      </c>
      <c r="CA91" s="141">
        <f>INDEX('File 18'!Weekly_Adjusted,49,1)</f>
        <v>0</v>
      </c>
      <c r="CB91" s="141">
        <f>INDEX('File 18'!Weekly_Adjusted,49,2)</f>
        <v>0</v>
      </c>
      <c r="CC91" s="141">
        <f>INDEX('File 18'!Weekly_Adjusted,49,3)</f>
        <v>0</v>
      </c>
      <c r="CD91" s="140">
        <f>INDEX('File 19'!Weekly_Adjusted,49,1)</f>
        <v>0</v>
      </c>
      <c r="CE91" s="140">
        <f>INDEX('File 19'!Weekly_Adjusted,49,2)</f>
        <v>0</v>
      </c>
      <c r="CF91" s="140">
        <f>INDEX('File 19'!Weekly_Adjusted,49,3)</f>
        <v>0</v>
      </c>
      <c r="CG91" s="141">
        <f>INDEX('File 20'!Weekly_Adjusted,49,1)</f>
        <v>0</v>
      </c>
      <c r="CH91" s="141">
        <f>INDEX('File 20'!Weekly_Adjusted,49,2)</f>
        <v>0</v>
      </c>
      <c r="CI91" s="141">
        <f>INDEX('File 20'!Weekly_Adjusted,49,3)</f>
        <v>0</v>
      </c>
      <c r="CJ91" s="6">
        <f ca="1">SUMIFS(INDEX(Demand_Activity_Weekly,ROW(A49),0),Demand_Activity_Weekly_Header,CJ$42)</f>
        <v>388.17143954725253</v>
      </c>
      <c r="CK91" s="6">
        <f ca="1">SUMIFS(INDEX(Demand_Activity_Weekly,ROW(B49),0),Demand_Activity_Weekly_Header,CK$42)</f>
        <v>0</v>
      </c>
      <c r="CL91" s="6">
        <f ca="1">SUMIFS(INDEX(Demand_Activity_Weekly,ROW(C49),0),Demand_Activity_Weekly_Header,CL$42)</f>
        <v>0</v>
      </c>
      <c r="CM91" s="6">
        <f ca="1">SUMIFS(INDEX(Demand_Activity_Weekly,ROW(D49),0),Demand_Activity_Weekly_Header,CM$42)</f>
        <v>0</v>
      </c>
      <c r="CN91" s="6">
        <f ca="1">SUMIFS(INDEX(Demand_Activity_Weekly,ROW(E49),0),Demand_Activity_Weekly_Header,CN$42)</f>
        <v>0</v>
      </c>
      <c r="CP91" s="142">
        <f>INDEX('File 1'!Weekly_Adjusted,49,10)</f>
        <v>24.344712210866053</v>
      </c>
      <c r="CQ91" s="142">
        <f>INDEX('File 1'!Weekly_Adjusted,49,11)</f>
        <v>0</v>
      </c>
      <c r="CR91" s="142">
        <f>INDEX('File 1'!Weekly_Adjusted,49,12)</f>
        <v>0</v>
      </c>
      <c r="CS91" s="143">
        <f>INDEX('File 2'!Weekly_Adjusted,49,10)</f>
        <v>0</v>
      </c>
      <c r="CT91" s="143">
        <f>INDEX('File 2'!Weekly_Adjusted,49,11)</f>
        <v>0</v>
      </c>
      <c r="CU91" s="143">
        <f>INDEX('File 2'!Weekly_Adjusted,49,12)</f>
        <v>0</v>
      </c>
      <c r="CV91" s="142">
        <f>INDEX('File 3'!Weekly_Adjusted,49,10)</f>
        <v>0</v>
      </c>
      <c r="CW91" s="142">
        <f>INDEX('File 3'!Weekly_Adjusted,49,11)</f>
        <v>0</v>
      </c>
      <c r="CX91" s="142">
        <f>INDEX('File 3'!Weekly_Adjusted,49,12)</f>
        <v>0</v>
      </c>
      <c r="CY91" s="143">
        <f>INDEX('File 4'!Weekly_Adjusted,49,10)</f>
        <v>0</v>
      </c>
      <c r="CZ91" s="143">
        <f>INDEX('File 4'!Weekly_Adjusted,49,11)</f>
        <v>0</v>
      </c>
      <c r="DA91" s="143">
        <f>INDEX('File 4'!Weekly_Adjusted,49,12)</f>
        <v>0</v>
      </c>
      <c r="DB91" s="142">
        <f>INDEX('File 5'!Weekly_Adjusted,49,10)</f>
        <v>0</v>
      </c>
      <c r="DC91" s="142">
        <f>INDEX('File 5'!Weekly_Adjusted,49,11)</f>
        <v>0</v>
      </c>
      <c r="DD91" s="142">
        <f>INDEX('File 5'!Weekly_Adjusted,49,12)</f>
        <v>0</v>
      </c>
      <c r="DE91" s="143">
        <f>INDEX('File 6'!Weekly_Adjusted,49,10)</f>
        <v>0</v>
      </c>
      <c r="DF91" s="143">
        <f>INDEX('File 6'!Weekly_Adjusted,49,11)</f>
        <v>0</v>
      </c>
      <c r="DG91" s="143">
        <f>INDEX('File 6'!Weekly_Adjusted,49,12)</f>
        <v>0</v>
      </c>
      <c r="DH91" s="142">
        <f>INDEX('File 7'!Weekly_Adjusted,49,10)</f>
        <v>0</v>
      </c>
      <c r="DI91" s="142">
        <f>INDEX('File 7'!Weekly_Adjusted,49,11)</f>
        <v>0</v>
      </c>
      <c r="DJ91" s="142">
        <f>INDEX('File 7'!Weekly_Adjusted,49,12)</f>
        <v>0</v>
      </c>
      <c r="DK91" s="143">
        <f>INDEX('File 8'!Weekly_Adjusted,49,10)</f>
        <v>0</v>
      </c>
      <c r="DL91" s="143">
        <f>INDEX('File 8'!Weekly_Adjusted,49,11)</f>
        <v>0</v>
      </c>
      <c r="DM91" s="143">
        <f>INDEX('File 8'!Weekly_Adjusted,49,12)</f>
        <v>0</v>
      </c>
      <c r="DN91" s="142">
        <f>INDEX('File 9'!Weekly_Adjusted,49,10)</f>
        <v>0</v>
      </c>
      <c r="DO91" s="142">
        <f>INDEX('File 9'!Weekly_Adjusted,49,11)</f>
        <v>0</v>
      </c>
      <c r="DP91" s="142">
        <f>INDEX('File 9'!Weekly_Adjusted,49,12)</f>
        <v>0</v>
      </c>
      <c r="DQ91" s="143">
        <f>INDEX('File 10'!Weekly_Adjusted,49,10)</f>
        <v>0</v>
      </c>
      <c r="DR91" s="143">
        <f>INDEX('File 10'!Weekly_Adjusted,49,11)</f>
        <v>0</v>
      </c>
      <c r="DS91" s="143">
        <f>INDEX('File 10'!Weekly_Adjusted,49,12)</f>
        <v>0</v>
      </c>
      <c r="DT91" s="142">
        <f>INDEX('File 11'!Weekly_Adjusted,49,10)</f>
        <v>0</v>
      </c>
      <c r="DU91" s="142">
        <f>INDEX('File 11'!Weekly_Adjusted,49,11)</f>
        <v>0</v>
      </c>
      <c r="DV91" s="142">
        <f>INDEX('File 11'!Weekly_Adjusted,49,12)</f>
        <v>0</v>
      </c>
      <c r="DW91" s="143">
        <f>INDEX('File 12'!Weekly_Adjusted,49,10)</f>
        <v>0</v>
      </c>
      <c r="DX91" s="143">
        <f>INDEX('File 12'!Weekly_Adjusted,49,11)</f>
        <v>0</v>
      </c>
      <c r="DY91" s="143">
        <f>INDEX('File 12'!Weekly_Adjusted,49,12)</f>
        <v>0</v>
      </c>
      <c r="DZ91" s="142">
        <f>INDEX('File 13'!Weekly_Adjusted,49,10)</f>
        <v>0</v>
      </c>
      <c r="EA91" s="142">
        <f>INDEX('File 13'!Weekly_Adjusted,49,11)</f>
        <v>0</v>
      </c>
      <c r="EB91" s="142">
        <f>INDEX('File 13'!Weekly_Adjusted,49,12)</f>
        <v>0</v>
      </c>
      <c r="EC91" s="143">
        <f>INDEX('File 14'!Weekly_Adjusted,49,10)</f>
        <v>0</v>
      </c>
      <c r="ED91" s="143">
        <f>INDEX('File 14'!Weekly_Adjusted,49,11)</f>
        <v>0</v>
      </c>
      <c r="EE91" s="143">
        <f>INDEX('File 14'!Weekly_Adjusted,49,12)</f>
        <v>0</v>
      </c>
      <c r="EF91" s="142">
        <f>INDEX('File 15'!Weekly_Adjusted,49,10)</f>
        <v>0</v>
      </c>
      <c r="EG91" s="142">
        <f>INDEX('File 15'!Weekly_Adjusted,49,11)</f>
        <v>0</v>
      </c>
      <c r="EH91" s="142">
        <f>INDEX('File 15'!Weekly_Adjusted,49,12)</f>
        <v>0</v>
      </c>
      <c r="EI91" s="143">
        <f>INDEX('File 16'!Weekly_Adjusted,49,10)</f>
        <v>0</v>
      </c>
      <c r="EJ91" s="143">
        <f>INDEX('File 16'!Weekly_Adjusted,49,11)</f>
        <v>0</v>
      </c>
      <c r="EK91" s="143">
        <f>INDEX('File 16'!Weekly_Adjusted,49,12)</f>
        <v>0</v>
      </c>
      <c r="EL91" s="142">
        <f>INDEX('File 17'!Weekly_Adjusted,49,10)</f>
        <v>0</v>
      </c>
      <c r="EM91" s="142">
        <f>INDEX('File 17'!Weekly_Adjusted,49,11)</f>
        <v>0</v>
      </c>
      <c r="EN91" s="142">
        <f>INDEX('File 17'!Weekly_Adjusted,49,12)</f>
        <v>0</v>
      </c>
      <c r="EO91" s="143">
        <f>INDEX('File 18'!Weekly_Adjusted,49,10)</f>
        <v>0</v>
      </c>
      <c r="EP91" s="143">
        <f>INDEX('File 18'!Weekly_Adjusted,49,11)</f>
        <v>0</v>
      </c>
      <c r="EQ91" s="143">
        <f>INDEX('File 18'!Weekly_Adjusted,49,12)</f>
        <v>0</v>
      </c>
      <c r="ER91" s="142">
        <f>INDEX('File 19'!Weekly_Adjusted,49,10)</f>
        <v>0</v>
      </c>
      <c r="ES91" s="142">
        <f>INDEX('File 19'!Weekly_Adjusted,49,11)</f>
        <v>0</v>
      </c>
      <c r="ET91" s="142">
        <f>INDEX('File 19'!Weekly_Adjusted,49,12)</f>
        <v>0</v>
      </c>
      <c r="EU91" s="143">
        <f>INDEX('File 20'!Weekly_Adjusted,49,10)</f>
        <v>0</v>
      </c>
      <c r="EV91" s="143">
        <f>INDEX('File 20'!Weekly_Adjusted,49,11)</f>
        <v>0</v>
      </c>
      <c r="EW91" s="143">
        <f>INDEX('File 20'!Weekly_Adjusted,49,12)</f>
        <v>0</v>
      </c>
      <c r="EX91" s="6">
        <f ca="1">SUMIFS(INDEX(Capacity_Activity_Weekly,ROW(A49),0),Demand_Activity_Weekly_Header,CJ$42)</f>
        <v>24.344712210866053</v>
      </c>
      <c r="EY91" s="6">
        <f ca="1">SUMIFS(INDEX(Capacity_Activity_Weekly,ROW(B49),0),Demand_Activity_Weekly_Header,CK$42)</f>
        <v>0</v>
      </c>
      <c r="EZ91" s="6">
        <f ca="1">SUMIFS(INDEX(Capacity_Activity_Weekly,ROW(C49),0),Demand_Activity_Weekly_Header,CL$42)</f>
        <v>0</v>
      </c>
      <c r="FA91" s="6">
        <f ca="1">SUMIFS(INDEX(Capacity_Activity_Weekly,ROW(D49),0),Demand_Activity_Weekly_Header,CM$42)</f>
        <v>0</v>
      </c>
      <c r="FB91" s="6">
        <f ca="1">SUMIFS(INDEX(Capacity_Activity_Weekly,ROW(E49),0),Demand_Activity_Weekly_Header,CN$42)</f>
        <v>0</v>
      </c>
      <c r="FD91" s="7">
        <f>'File 1'!$Q$54*'Time based aggregation (hide)'!$Q53</f>
        <v>0</v>
      </c>
      <c r="FE91" s="7">
        <f>'File 1'!$R$54*'Time based aggregation (hide)'!$R53</f>
        <v>0</v>
      </c>
      <c r="FF91" s="7">
        <f>'File 1'!$S$54*'Time based aggregation (hide)'!$S53</f>
        <v>0</v>
      </c>
      <c r="FG91" s="7">
        <f>'File 2'!$Q$54*'Time based aggregation (hide)'!$T53</f>
        <v>0</v>
      </c>
      <c r="FH91" s="7">
        <f>'File 2'!$R$54*'Time based aggregation (hide)'!$U53</f>
        <v>0</v>
      </c>
      <c r="FI91" s="7">
        <f>'File 2'!$S$54*'Time based aggregation (hide)'!$V53</f>
        <v>0</v>
      </c>
      <c r="FJ91" s="7">
        <f>'File 3'!$Q$54*'Time based aggregation (hide)'!$W53</f>
        <v>0</v>
      </c>
      <c r="FK91" s="7">
        <f>'File 3'!$R$54*'Time based aggregation (hide)'!$X53</f>
        <v>0</v>
      </c>
      <c r="FL91" s="7">
        <f>'File 3'!$S$54*'Time based aggregation (hide)'!$Y53</f>
        <v>0</v>
      </c>
      <c r="FM91" s="7">
        <f>'File 4'!$Q$54*'Time based aggregation (hide)'!$Z53</f>
        <v>0</v>
      </c>
      <c r="FN91" s="7">
        <f>'File 4'!$R$54*'Time based aggregation (hide)'!$AA53</f>
        <v>0</v>
      </c>
      <c r="FO91" s="7">
        <f>'File 4'!$S$54*'Time based aggregation (hide)'!$AB53</f>
        <v>0</v>
      </c>
      <c r="FP91" s="7">
        <f>'File 5'!$Q$54*'Time based aggregation (hide)'!$AC53</f>
        <v>0</v>
      </c>
      <c r="FQ91" s="7">
        <f>'File 5'!$R$54*'Time based aggregation (hide)'!$AD53</f>
        <v>0</v>
      </c>
      <c r="FR91" s="7">
        <f>'File 5'!$S$54*'Time based aggregation (hide)'!$AE53</f>
        <v>0</v>
      </c>
      <c r="FS91" s="7">
        <f>'File 6'!$Q$54*'Time based aggregation (hide)'!$AF53</f>
        <v>0</v>
      </c>
      <c r="FT91" s="7">
        <f>'File 6'!$R$54*'Time based aggregation (hide)'!$AG53</f>
        <v>0</v>
      </c>
      <c r="FU91" s="7">
        <f>'File 6'!$S$54*'Time based aggregation (hide)'!$AH53</f>
        <v>0</v>
      </c>
      <c r="FV91" s="7">
        <f>'File 7'!$Q$54*'Time based aggregation (hide)'!$AI53</f>
        <v>0</v>
      </c>
      <c r="FW91" s="7">
        <f>'File 7'!$R$54*'Time based aggregation (hide)'!$AJ53</f>
        <v>0</v>
      </c>
      <c r="FX91" s="7">
        <f>'File 7'!$S$54*'Time based aggregation (hide)'!$AK53</f>
        <v>0</v>
      </c>
      <c r="FY91" s="7">
        <f>'File 8'!$Q$54*'Time based aggregation (hide)'!$AL53</f>
        <v>0</v>
      </c>
      <c r="FZ91" s="7">
        <f>'File 8'!$R$54*'Time based aggregation (hide)'!$AM53</f>
        <v>0</v>
      </c>
      <c r="GA91" s="7">
        <f>'File 8'!$S$54*'Time based aggregation (hide)'!$AN53</f>
        <v>0</v>
      </c>
      <c r="GB91" s="7">
        <f>'File 9'!$Q$54*'Time based aggregation (hide)'!$AO53</f>
        <v>0</v>
      </c>
      <c r="GC91" s="7">
        <f>'File 9'!$R$54*'Time based aggregation (hide)'!$AP53</f>
        <v>0</v>
      </c>
      <c r="GD91" s="7">
        <f>'File 9'!$S$54*'Time based aggregation (hide)'!$AQ53</f>
        <v>0</v>
      </c>
      <c r="GE91" s="7">
        <f>'File 10'!$Q$54*'Time based aggregation (hide)'!$AR53</f>
        <v>0</v>
      </c>
      <c r="GF91" s="7">
        <f>'File 10'!$R$54*'Time based aggregation (hide)'!$AS53</f>
        <v>0</v>
      </c>
      <c r="GG91" s="7">
        <f>'File 10'!$S$54*'Time based aggregation (hide)'!$AT53</f>
        <v>0</v>
      </c>
      <c r="GH91" s="7">
        <f>'File 11'!$Q$54*'Time based aggregation (hide)'!$AU53</f>
        <v>0</v>
      </c>
      <c r="GI91" s="7">
        <f>'File 11'!$R$54*'Time based aggregation (hide)'!$AV53</f>
        <v>0</v>
      </c>
      <c r="GJ91" s="7">
        <f>'File 11'!$S$54*'Time based aggregation (hide)'!$AW53</f>
        <v>0</v>
      </c>
      <c r="GK91" s="7">
        <f>'File 12'!$Q$54*'Time based aggregation (hide)'!$AX53</f>
        <v>0</v>
      </c>
      <c r="GL91" s="7">
        <f>'File 12'!$R$54*'Time based aggregation (hide)'!$AY53</f>
        <v>0</v>
      </c>
      <c r="GM91" s="7">
        <f>'File 12'!$S$54*'Time based aggregation (hide)'!$AZ53</f>
        <v>0</v>
      </c>
      <c r="GN91" s="7">
        <f>'File 13'!$Q$54*'Time based aggregation (hide)'!$BA53</f>
        <v>0</v>
      </c>
      <c r="GO91" s="7">
        <f>'File 13'!$R$54*'Time based aggregation (hide)'!$BB53</f>
        <v>0</v>
      </c>
      <c r="GP91" s="7">
        <f>'File 13'!$S$54*'Time based aggregation (hide)'!$BC53</f>
        <v>0</v>
      </c>
      <c r="GQ91" s="7">
        <f>'File 14'!$Q$54*'Time based aggregation (hide)'!$BD53</f>
        <v>0</v>
      </c>
      <c r="GR91" s="7">
        <f>'File 14'!$R$54*'Time based aggregation (hide)'!$BE53</f>
        <v>0</v>
      </c>
      <c r="GS91" s="7">
        <f>'File 14'!$S$54*'Time based aggregation (hide)'!$BF53</f>
        <v>0</v>
      </c>
      <c r="GT91" s="7">
        <f>'File 15'!$Q$54*'Time based aggregation (hide)'!$BG53</f>
        <v>0</v>
      </c>
      <c r="GU91" s="7">
        <f>'File 15'!$R$54*'Time based aggregation (hide)'!$BH53</f>
        <v>0</v>
      </c>
      <c r="GV91" s="7">
        <f>'File 15'!$S$54*'Time based aggregation (hide)'!$BI53</f>
        <v>0</v>
      </c>
      <c r="GW91" s="7">
        <f>'File 16'!$Q$54*'Time based aggregation (hide)'!$BJ53</f>
        <v>0</v>
      </c>
      <c r="GX91" s="7">
        <f>'File 16'!$R$54*'Time based aggregation (hide)'!$BK53</f>
        <v>0</v>
      </c>
      <c r="GY91" s="7">
        <f>'File 16'!$S$54*'Time based aggregation (hide)'!$BL53</f>
        <v>0</v>
      </c>
      <c r="GZ91" s="7">
        <f>'File 17'!$Q$54*'Time based aggregation (hide)'!$BM53</f>
        <v>0</v>
      </c>
      <c r="HA91" s="7">
        <f>'File 17'!$R$54*'Time based aggregation (hide)'!$BN53</f>
        <v>0</v>
      </c>
      <c r="HB91" s="7">
        <f>'File 17'!$S$54*'Time based aggregation (hide)'!$BO53</f>
        <v>0</v>
      </c>
      <c r="HC91" s="7">
        <f>'File 18'!$Q$54*'Time based aggregation (hide)'!$BP53</f>
        <v>0</v>
      </c>
      <c r="HD91" s="7">
        <f>'File 18'!$R$54*'Time based aggregation (hide)'!$BQ53</f>
        <v>0</v>
      </c>
      <c r="HE91" s="7">
        <f>'File 18'!$S$54*'Time based aggregation (hide)'!$BR53</f>
        <v>0</v>
      </c>
      <c r="HF91" s="7">
        <f>'File 19'!$Q$54*'Time based aggregation (hide)'!$BS53</f>
        <v>0</v>
      </c>
      <c r="HG91" s="7">
        <f>'File 19'!$R$54*'Time based aggregation (hide)'!$BT53</f>
        <v>0</v>
      </c>
      <c r="HH91" s="7">
        <f>'File 19'!$S$54*'Time based aggregation (hide)'!$BU53</f>
        <v>0</v>
      </c>
      <c r="HI91" s="7">
        <f>'File 20'!$Q$54*'Time based aggregation (hide)'!$BV53</f>
        <v>0</v>
      </c>
      <c r="HJ91" s="7">
        <f>'File 20'!$R$54*'Time based aggregation (hide)'!$BW53</f>
        <v>0</v>
      </c>
      <c r="HK91" s="7">
        <f>'File 20'!$S$54*'Time based aggregation (hide)'!$BX53</f>
        <v>0</v>
      </c>
      <c r="HL91" s="7">
        <f t="shared" ca="1" si="50"/>
        <v>0</v>
      </c>
      <c r="HM91" s="7">
        <f t="shared" ca="1" si="50"/>
        <v>0</v>
      </c>
      <c r="HN91" s="7">
        <f t="shared" ca="1" si="50"/>
        <v>0</v>
      </c>
      <c r="HO91" s="7">
        <f t="shared" ca="1" si="50"/>
        <v>0</v>
      </c>
      <c r="HP91" s="7">
        <f t="shared" ca="1" si="50"/>
        <v>0</v>
      </c>
      <c r="HR91" s="142">
        <f>INDEX('File 1'!Weekly_Adjusted,49,16)</f>
        <v>20.933351264120493</v>
      </c>
      <c r="HS91" s="142">
        <f>INDEX('File 1'!Weekly_Adjusted,49,17)</f>
        <v>0</v>
      </c>
      <c r="HT91" s="142">
        <f>INDEX('File 1'!Weekly_Adjusted,49,18)</f>
        <v>0</v>
      </c>
      <c r="HU91" s="143">
        <f>INDEX('File 2'!Weekly_Adjusted,49,16)</f>
        <v>0</v>
      </c>
      <c r="HV91" s="143">
        <f>INDEX('File 2'!Weekly_Adjusted,49,17)</f>
        <v>0</v>
      </c>
      <c r="HW91" s="143">
        <f>INDEX('File 2'!Weekly_Adjusted,49,18)</f>
        <v>0</v>
      </c>
      <c r="HX91" s="142">
        <f>INDEX('File 3'!Weekly_Adjusted,49,16)</f>
        <v>0</v>
      </c>
      <c r="HY91" s="142">
        <f>INDEX('File 3'!Weekly_Adjusted,49,17)</f>
        <v>0</v>
      </c>
      <c r="HZ91" s="142">
        <f>INDEX('File 3'!Weekly_Adjusted,49,18)</f>
        <v>0</v>
      </c>
      <c r="IA91" s="143">
        <f>INDEX('File 4'!Weekly_Adjusted,49,16)</f>
        <v>0</v>
      </c>
      <c r="IB91" s="143">
        <f>INDEX('File 4'!Weekly_Adjusted,49,17)</f>
        <v>0</v>
      </c>
      <c r="IC91" s="143">
        <f>INDEX('File 4'!Weekly_Adjusted,49,18)</f>
        <v>0</v>
      </c>
      <c r="ID91" s="142">
        <f>INDEX('File 5'!Weekly_Adjusted,49,16)</f>
        <v>0</v>
      </c>
      <c r="IE91" s="142">
        <f>INDEX('File 5'!Weekly_Adjusted,49,17)</f>
        <v>0</v>
      </c>
      <c r="IF91" s="142">
        <f>INDEX('File 5'!Weekly_Adjusted,49,18)</f>
        <v>0</v>
      </c>
      <c r="IG91" s="143">
        <f>INDEX('File 6'!Weekly_Adjusted,49,16)</f>
        <v>0</v>
      </c>
      <c r="IH91" s="143">
        <f>INDEX('File 6'!Weekly_Adjusted,49,17)</f>
        <v>0</v>
      </c>
      <c r="II91" s="143">
        <f>INDEX('File 6'!Weekly_Adjusted,49,18)</f>
        <v>0</v>
      </c>
      <c r="IJ91" s="142">
        <f>INDEX('File 7'!Weekly_Adjusted,49,16)</f>
        <v>0</v>
      </c>
      <c r="IK91" s="142">
        <f>INDEX('File 7'!Weekly_Adjusted,49,17)</f>
        <v>0</v>
      </c>
      <c r="IL91" s="142">
        <f>INDEX('File 7'!Weekly_Adjusted,49,18)</f>
        <v>0</v>
      </c>
      <c r="IM91" s="143">
        <f>INDEX('File 8'!Weekly_Adjusted,49,16)</f>
        <v>0</v>
      </c>
      <c r="IN91" s="143">
        <f>INDEX('File 8'!Weekly_Adjusted,49,17)</f>
        <v>0</v>
      </c>
      <c r="IO91" s="143">
        <f>INDEX('File 8'!Weekly_Adjusted,49,18)</f>
        <v>0</v>
      </c>
      <c r="IP91" s="142">
        <f>INDEX('File 9'!Weekly_Adjusted,49,16)</f>
        <v>0</v>
      </c>
      <c r="IQ91" s="142">
        <f>INDEX('File 9'!Weekly_Adjusted,49,17)</f>
        <v>0</v>
      </c>
      <c r="IR91" s="142">
        <f>INDEX('File 9'!Weekly_Adjusted,49,18)</f>
        <v>0</v>
      </c>
      <c r="IS91" s="143">
        <f>INDEX('File 10'!Weekly_Adjusted,49,16)</f>
        <v>0</v>
      </c>
      <c r="IT91" s="143">
        <f>INDEX('File 10'!Weekly_Adjusted,49,17)</f>
        <v>0</v>
      </c>
      <c r="IU91" s="143">
        <f>INDEX('File 10'!Weekly_Adjusted,49,18)</f>
        <v>0</v>
      </c>
      <c r="IV91" s="142">
        <f>INDEX('File 11'!Weekly_Adjusted,49,16)</f>
        <v>0</v>
      </c>
      <c r="IW91" s="142">
        <f>INDEX('File 11'!Weekly_Adjusted,49,17)</f>
        <v>0</v>
      </c>
      <c r="IX91" s="142">
        <f>INDEX('File 11'!Weekly_Adjusted,49,18)</f>
        <v>0</v>
      </c>
      <c r="IY91" s="143">
        <f>INDEX('File 12'!Weekly_Adjusted,49,16)</f>
        <v>0</v>
      </c>
      <c r="IZ91" s="143">
        <f>INDEX('File 12'!Weekly_Adjusted,49,17)</f>
        <v>0</v>
      </c>
      <c r="JA91" s="143">
        <f>INDEX('File 12'!Weekly_Adjusted,49,18)</f>
        <v>0</v>
      </c>
      <c r="JB91" s="142">
        <f>INDEX('File 13'!Weekly_Adjusted,49,16)</f>
        <v>0</v>
      </c>
      <c r="JC91" s="142">
        <f>INDEX('File 13'!Weekly_Adjusted,49,17)</f>
        <v>0</v>
      </c>
      <c r="JD91" s="142">
        <f>INDEX('File 13'!Weekly_Adjusted,49,18)</f>
        <v>0</v>
      </c>
      <c r="JE91" s="143">
        <f>INDEX('File 14'!Weekly_Adjusted,49,16)</f>
        <v>0</v>
      </c>
      <c r="JF91" s="143">
        <f>INDEX('File 14'!Weekly_Adjusted,49,17)</f>
        <v>0</v>
      </c>
      <c r="JG91" s="143">
        <f>INDEX('File 14'!Weekly_Adjusted,49,18)</f>
        <v>0</v>
      </c>
      <c r="JH91" s="142">
        <f>INDEX('File 15'!Weekly_Adjusted,49,16)</f>
        <v>0</v>
      </c>
      <c r="JI91" s="142">
        <f>INDEX('File 15'!Weekly_Adjusted,49,17)</f>
        <v>0</v>
      </c>
      <c r="JJ91" s="142">
        <f>INDEX('File 15'!Weekly_Adjusted,49,18)</f>
        <v>0</v>
      </c>
      <c r="JK91" s="143">
        <f>INDEX('File 16'!Weekly_Adjusted,49,16)</f>
        <v>0</v>
      </c>
      <c r="JL91" s="143">
        <f>INDEX('File 16'!Weekly_Adjusted,49,17)</f>
        <v>0</v>
      </c>
      <c r="JM91" s="143">
        <f>INDEX('File 16'!Weekly_Adjusted,49,18)</f>
        <v>0</v>
      </c>
      <c r="JN91" s="142">
        <f>INDEX('File 17'!Weekly_Adjusted,49,16)</f>
        <v>0</v>
      </c>
      <c r="JO91" s="142">
        <f>INDEX('File 17'!Weekly_Adjusted,49,17)</f>
        <v>0</v>
      </c>
      <c r="JP91" s="142">
        <f>INDEX('File 17'!Weekly_Adjusted,49,18)</f>
        <v>0</v>
      </c>
      <c r="JQ91" s="143">
        <f>INDEX('File 18'!Weekly_Adjusted,49,16)</f>
        <v>0</v>
      </c>
      <c r="JR91" s="143">
        <f>INDEX('File 18'!Weekly_Adjusted,49,17)</f>
        <v>0</v>
      </c>
      <c r="JS91" s="143">
        <f>INDEX('File 18'!Weekly_Adjusted,49,18)</f>
        <v>0</v>
      </c>
      <c r="JT91" s="142">
        <f>INDEX('File 19'!Weekly_Adjusted,49,16)</f>
        <v>0</v>
      </c>
      <c r="JU91" s="142">
        <f>INDEX('File 19'!Weekly_Adjusted,49,17)</f>
        <v>0</v>
      </c>
      <c r="JV91" s="142">
        <f>INDEX('File 19'!Weekly_Adjusted,49,18)</f>
        <v>0</v>
      </c>
      <c r="JW91" s="143">
        <f>INDEX('File 20'!Weekly_Adjusted,49,16)</f>
        <v>0</v>
      </c>
      <c r="JX91" s="143">
        <f>INDEX('File 20'!Weekly_Adjusted,49,17)</f>
        <v>0</v>
      </c>
      <c r="JY91" s="143">
        <f>INDEX('File 20'!Weekly_Adjusted,49,18)</f>
        <v>0</v>
      </c>
      <c r="JZ91" s="6">
        <f ca="1">SUMIFS(INDEX(CapacityCore_Activity_Weekly,ROW(EC49),0),Demand_Activity_Weekly_Header,HL$42)</f>
        <v>20.933351264120493</v>
      </c>
      <c r="KA91" s="6">
        <f ca="1">SUMIFS(INDEX(CapacityCore_Activity_Weekly,ROW(ED49),0),Demand_Activity_Weekly_Header,HM$42)</f>
        <v>0</v>
      </c>
      <c r="KB91" s="6">
        <f ca="1">SUMIFS(INDEX(CapacityCore_Activity_Weekly,ROW(EE49),0),Demand_Activity_Weekly_Header,HN$42)</f>
        <v>0</v>
      </c>
      <c r="KC91" s="6">
        <f ca="1">SUMIFS(INDEX(CapacityCore_Activity_Weekly,ROW(EF49),0),Demand_Activity_Weekly_Header,HO$42)</f>
        <v>0</v>
      </c>
      <c r="KD91" s="6">
        <f ca="1">SUMIFS(INDEX(CapacityCore_Activity_Weekly,ROW(EG49),0),Demand_Activity_Weekly_Header,HP$42)</f>
        <v>0</v>
      </c>
      <c r="KF91" s="6">
        <f>SUMIFS('Time based aggregation (hide)'!$J:$J,'Time based aggregation (hide)'!$E:$E,1,'Time based aggregation (hide)'!$F:$F,1,'Time based aggregation (hide)'!$A:$A,ROW(A49))</f>
        <v>0</v>
      </c>
      <c r="KG91" s="6">
        <f>SUMIFS('Time based aggregation (hide)'!$J:$J,'Time based aggregation (hide)'!$E:$E,1,'Time based aggregation (hide)'!$F:$F,2,'Time based aggregation (hide)'!$A:$A,ROW(A49))</f>
        <v>0</v>
      </c>
      <c r="KH91" s="6">
        <f>SUMIFS('Time based aggregation (hide)'!$J:$J,'Time based aggregation (hide)'!$E:$E,1,'Time based aggregation (hide)'!$F:$F,3,'Time based aggregation (hide)'!$A:$A,ROW(A49))</f>
        <v>0</v>
      </c>
      <c r="KI91" s="6">
        <f>SUMIFS('Time based aggregation (hide)'!$J:$J,'Time based aggregation (hide)'!$E:$E,2,'Time based aggregation (hide)'!$F:$F,1,'Time based aggregation (hide)'!$A:$A,ROW(A49))</f>
        <v>0</v>
      </c>
      <c r="KJ91" s="6">
        <f>SUMIFS('Time based aggregation (hide)'!$J:$J,'Time based aggregation (hide)'!$E:$E,2,'Time based aggregation (hide)'!$F:$F,2,'Time based aggregation (hide)'!$A:$A,ROW(A49))</f>
        <v>0</v>
      </c>
      <c r="KK91" s="6">
        <f>SUMIFS('Time based aggregation (hide)'!$J:$J,'Time based aggregation (hide)'!$E:$E,2,'Time based aggregation (hide)'!$F:$F,3,'Time based aggregation (hide)'!$A:$A,ROW(A49))</f>
        <v>0</v>
      </c>
      <c r="KL91" s="6">
        <f>SUMIFS('Time based aggregation (hide)'!$J:$J,'Time based aggregation (hide)'!$E:$E,3,'Time based aggregation (hide)'!$F:$F,1,'Time based aggregation (hide)'!$A:$A,ROW(A49))</f>
        <v>0</v>
      </c>
      <c r="KM91" s="6">
        <f>SUMIFS('Time based aggregation (hide)'!$J:$J,'Time based aggregation (hide)'!$E:$E,3,'Time based aggregation (hide)'!$F:$F,2,'Time based aggregation (hide)'!$A:$A,ROW(A49))</f>
        <v>0</v>
      </c>
      <c r="KN91" s="6">
        <f>SUMIFS('Time based aggregation (hide)'!$J:$J,'Time based aggregation (hide)'!$E:$E,3,'Time based aggregation (hide)'!$F:$F,3,'Time based aggregation (hide)'!$A:$A,ROW(A49))</f>
        <v>0</v>
      </c>
      <c r="KO91" s="6">
        <f>SUMIFS('Time based aggregation (hide)'!$J:$J,'Time based aggregation (hide)'!$E:$E,4,'Time based aggregation (hide)'!$F:$F,1,'Time based aggregation (hide)'!$A:$A,ROW(A49))</f>
        <v>0</v>
      </c>
      <c r="KP91" s="6">
        <f>SUMIFS('Time based aggregation (hide)'!$J:$J,'Time based aggregation (hide)'!$E:$E,4,'Time based aggregation (hide)'!$F:$F,2,'Time based aggregation (hide)'!$A:$A,ROW(A49))</f>
        <v>0</v>
      </c>
      <c r="KQ91" s="6">
        <f>SUMIFS('Time based aggregation (hide)'!$J:$J,'Time based aggregation (hide)'!$E:$E,4,'Time based aggregation (hide)'!$F:$F,3,'Time based aggregation (hide)'!$A:$A,ROW(A49))</f>
        <v>0</v>
      </c>
      <c r="KR91" s="6">
        <f>SUMIFS('Time based aggregation (hide)'!$J:$J,'Time based aggregation (hide)'!$E:$E,5,'Time based aggregation (hide)'!$F:$F,1,'Time based aggregation (hide)'!$A:$A,ROW(A49))</f>
        <v>0</v>
      </c>
      <c r="KS91" s="6">
        <f>SUMIFS('Time based aggregation (hide)'!$J:$J,'Time based aggregation (hide)'!$E:$E,5,'Time based aggregation (hide)'!$F:$F,2,'Time based aggregation (hide)'!$A:$A,ROW(A49))</f>
        <v>0</v>
      </c>
      <c r="KT91" s="6">
        <f>SUMIFS('Time based aggregation (hide)'!$J:$J,'Time based aggregation (hide)'!$E:$E,5,'Time based aggregation (hide)'!$F:$F,3,'Time based aggregation (hide)'!$A:$A,ROW(A49))</f>
        <v>0</v>
      </c>
      <c r="KU91" s="6">
        <f>SUMIFS('Time based aggregation (hide)'!$J:$J,'Time based aggregation (hide)'!$E:$E,6,'Time based aggregation (hide)'!$F:$F,1,'Time based aggregation (hide)'!$A:$A,ROW(A49))</f>
        <v>0</v>
      </c>
      <c r="KV91" s="6">
        <f>SUMIFS('Time based aggregation (hide)'!$J:$J,'Time based aggregation (hide)'!$E:$E,6,'Time based aggregation (hide)'!$F:$F,2,'Time based aggregation (hide)'!$A:$A,ROW(A49))</f>
        <v>0</v>
      </c>
      <c r="KW91" s="6">
        <f>SUMIFS('Time based aggregation (hide)'!$J:$J,'Time based aggregation (hide)'!$E:$E,6,'Time based aggregation (hide)'!$F:$F,3,'Time based aggregation (hide)'!$A:$A,ROW(A49))</f>
        <v>0</v>
      </c>
      <c r="KX91" s="6">
        <f>SUMIFS('Time based aggregation (hide)'!$J:$J,'Time based aggregation (hide)'!$E:$E,7,'Time based aggregation (hide)'!$F:$F,1,'Time based aggregation (hide)'!$A:$A,ROW(A49))</f>
        <v>0</v>
      </c>
      <c r="KY91" s="6">
        <f>SUMIFS('Time based aggregation (hide)'!$J:$J,'Time based aggregation (hide)'!$E:$E,7,'Time based aggregation (hide)'!$F:$F,2,'Time based aggregation (hide)'!$A:$A,ROW(A49))</f>
        <v>0</v>
      </c>
      <c r="KZ91" s="6">
        <f>SUMIFS('Time based aggregation (hide)'!$J:$J,'Time based aggregation (hide)'!$E:$E,7,'Time based aggregation (hide)'!$F:$F,3,'Time based aggregation (hide)'!$A:$A,ROW(A49))</f>
        <v>0</v>
      </c>
      <c r="LA91" s="6">
        <f>SUMIFS('Time based aggregation (hide)'!$J:$J,'Time based aggregation (hide)'!$E:$E,8,'Time based aggregation (hide)'!$F:$F,1,'Time based aggregation (hide)'!$A:$A,ROW(A49))</f>
        <v>0</v>
      </c>
      <c r="LB91" s="6">
        <f>SUMIFS('Time based aggregation (hide)'!$J:$J,'Time based aggregation (hide)'!$E:$E,8,'Time based aggregation (hide)'!$F:$F,2,'Time based aggregation (hide)'!$A:$A,ROW(A49))</f>
        <v>0</v>
      </c>
      <c r="LC91" s="6">
        <f>SUMIFS('Time based aggregation (hide)'!$J:$J,'Time based aggregation (hide)'!$E:$E,8,'Time based aggregation (hide)'!$F:$F,3,'Time based aggregation (hide)'!$A:$A,ROW(A49))</f>
        <v>0</v>
      </c>
      <c r="LD91" s="6">
        <f>SUMIFS('Time based aggregation (hide)'!$J:$J,'Time based aggregation (hide)'!$E:$E,9,'Time based aggregation (hide)'!$F:$F,1,'Time based aggregation (hide)'!$A:$A,ROW(A49))</f>
        <v>0</v>
      </c>
      <c r="LE91" s="6">
        <f>SUMIFS('Time based aggregation (hide)'!$J:$J,'Time based aggregation (hide)'!$E:$E,9,'Time based aggregation (hide)'!$F:$F,2,'Time based aggregation (hide)'!$A:$A,ROW(A49))</f>
        <v>0</v>
      </c>
      <c r="LF91" s="6">
        <f>SUMIFS('Time based aggregation (hide)'!$J:$J,'Time based aggregation (hide)'!$E:$E,9,'Time based aggregation (hide)'!$F:$F,3,'Time based aggregation (hide)'!$A:$A,ROW(A49))</f>
        <v>0</v>
      </c>
      <c r="LG91" s="6">
        <f>SUMIFS('Time based aggregation (hide)'!$J:$J,'Time based aggregation (hide)'!$E:$E,10,'Time based aggregation (hide)'!$F:$F,1,'Time based aggregation (hide)'!$A:$A,ROW(A49))</f>
        <v>0</v>
      </c>
      <c r="LH91" s="6">
        <f>SUMIFS('Time based aggregation (hide)'!$J:$J,'Time based aggregation (hide)'!$E:$E,10,'Time based aggregation (hide)'!$F:$F,2,'Time based aggregation (hide)'!$A:$A,ROW(A49))</f>
        <v>0</v>
      </c>
      <c r="LI91" s="6">
        <f>SUMIFS('Time based aggregation (hide)'!$J:$J,'Time based aggregation (hide)'!$E:$E,10,'Time based aggregation (hide)'!$F:$F,3,'Time based aggregation (hide)'!$A:$A,ROW(A49))</f>
        <v>0</v>
      </c>
      <c r="LJ91" s="6">
        <f>SUMIFS('Time based aggregation (hide)'!$J:$J,'Time based aggregation (hide)'!$E:$E,11,'Time based aggregation (hide)'!$F:$F,1,'Time based aggregation (hide)'!$A:$A,ROW(A49))</f>
        <v>0</v>
      </c>
      <c r="LK91" s="6">
        <f>SUMIFS('Time based aggregation (hide)'!$J:$J,'Time based aggregation (hide)'!$E:$E,11,'Time based aggregation (hide)'!$F:$F,2,'Time based aggregation (hide)'!$A:$A,ROW(A49))</f>
        <v>0</v>
      </c>
      <c r="LL91" s="6">
        <f>SUMIFS('Time based aggregation (hide)'!$J:$J,'Time based aggregation (hide)'!$E:$E,11,'Time based aggregation (hide)'!$F:$F,3,'Time based aggregation (hide)'!$A:$A,ROW(A49))</f>
        <v>0</v>
      </c>
      <c r="LM91" s="6">
        <f>SUMIFS('Time based aggregation (hide)'!$J:$J,'Time based aggregation (hide)'!$E:$E,12,'Time based aggregation (hide)'!$F:$F,1,'Time based aggregation (hide)'!$A:$A,ROW(A49))</f>
        <v>0</v>
      </c>
      <c r="LN91" s="6">
        <f>SUMIFS('Time based aggregation (hide)'!$J:$J,'Time based aggregation (hide)'!$E:$E,12,'Time based aggregation (hide)'!$F:$F,2,'Time based aggregation (hide)'!$A:$A,ROW(A49))</f>
        <v>0</v>
      </c>
      <c r="LO91" s="6">
        <f>SUMIFS('Time based aggregation (hide)'!$J:$J,'Time based aggregation (hide)'!$E:$E,12,'Time based aggregation (hide)'!$F:$F,3,'Time based aggregation (hide)'!$A:$A,ROW(A49))</f>
        <v>0</v>
      </c>
      <c r="LP91" s="6">
        <f>SUMIFS('Time based aggregation (hide)'!$J:$J,'Time based aggregation (hide)'!$E:$E,13,'Time based aggregation (hide)'!$F:$F,1,'Time based aggregation (hide)'!$A:$A,ROW(A49))</f>
        <v>0</v>
      </c>
      <c r="LQ91" s="6">
        <f>SUMIFS('Time based aggregation (hide)'!$J:$J,'Time based aggregation (hide)'!$E:$E,13,'Time based aggregation (hide)'!$F:$F,2,'Time based aggregation (hide)'!$A:$A,ROW(A49))</f>
        <v>0</v>
      </c>
      <c r="LR91" s="6">
        <f>SUMIFS('Time based aggregation (hide)'!$J:$J,'Time based aggregation (hide)'!$E:$E,13,'Time based aggregation (hide)'!$F:$F,3,'Time based aggregation (hide)'!$A:$A,ROW(A49))</f>
        <v>0</v>
      </c>
      <c r="LS91" s="6">
        <f>SUMIFS('Time based aggregation (hide)'!$J:$J,'Time based aggregation (hide)'!$E:$E,14,'Time based aggregation (hide)'!$F:$F,1,'Time based aggregation (hide)'!$A:$A,ROW(A49))</f>
        <v>0</v>
      </c>
      <c r="LT91" s="6">
        <f>SUMIFS('Time based aggregation (hide)'!$J:$J,'Time based aggregation (hide)'!$E:$E,14,'Time based aggregation (hide)'!$F:$F,2,'Time based aggregation (hide)'!$A:$A,ROW(A49))</f>
        <v>0</v>
      </c>
      <c r="LU91" s="6">
        <f>SUMIFS('Time based aggregation (hide)'!$J:$J,'Time based aggregation (hide)'!$E:$E,14,'Time based aggregation (hide)'!$F:$F,3,'Time based aggregation (hide)'!$A:$A,ROW(A49))</f>
        <v>0</v>
      </c>
      <c r="LV91" s="6">
        <f>SUMIFS('Time based aggregation (hide)'!$J:$J,'Time based aggregation (hide)'!$E:$E,15,'Time based aggregation (hide)'!$F:$F,1,'Time based aggregation (hide)'!$A:$A,ROW(A49))</f>
        <v>0</v>
      </c>
      <c r="LW91" s="6">
        <f>SUMIFS('Time based aggregation (hide)'!$J:$J,'Time based aggregation (hide)'!$E:$E,15,'Time based aggregation (hide)'!$F:$F,2,'Time based aggregation (hide)'!$A:$A,ROW(A49))</f>
        <v>0</v>
      </c>
      <c r="LX91" s="6">
        <f>SUMIFS('Time based aggregation (hide)'!$J:$J,'Time based aggregation (hide)'!$E:$E,15,'Time based aggregation (hide)'!$F:$F,3,'Time based aggregation (hide)'!$A:$A,ROW(A49))</f>
        <v>0</v>
      </c>
      <c r="LY91" s="6">
        <f>SUMIFS('Time based aggregation (hide)'!$J:$J,'Time based aggregation (hide)'!$E:$E,16,'Time based aggregation (hide)'!$F:$F,1,'Time based aggregation (hide)'!$A:$A,ROW(A49))</f>
        <v>0</v>
      </c>
      <c r="LZ91" s="6">
        <f>SUMIFS('Time based aggregation (hide)'!$J:$J,'Time based aggregation (hide)'!$E:$E,16,'Time based aggregation (hide)'!$F:$F,2,'Time based aggregation (hide)'!$A:$A,ROW(A49))</f>
        <v>0</v>
      </c>
      <c r="MA91" s="6">
        <f>SUMIFS('Time based aggregation (hide)'!$J:$J,'Time based aggregation (hide)'!$E:$E,16,'Time based aggregation (hide)'!$F:$F,3,'Time based aggregation (hide)'!$A:$A,ROW(A49))</f>
        <v>0</v>
      </c>
      <c r="MB91" s="6">
        <f>SUMIFS('Time based aggregation (hide)'!$J:$J,'Time based aggregation (hide)'!$E:$E,17,'Time based aggregation (hide)'!$F:$F,1,'Time based aggregation (hide)'!$A:$A,ROW(A49))</f>
        <v>0</v>
      </c>
      <c r="MC91" s="6">
        <f>SUMIFS('Time based aggregation (hide)'!$J:$J,'Time based aggregation (hide)'!$E:$E,17,'Time based aggregation (hide)'!$F:$F,2,'Time based aggregation (hide)'!$A:$A,ROW(A49))</f>
        <v>0</v>
      </c>
      <c r="MD91" s="6">
        <f>SUMIFS('Time based aggregation (hide)'!$J:$J,'Time based aggregation (hide)'!$E:$E,17,'Time based aggregation (hide)'!$F:$F,3,'Time based aggregation (hide)'!$A:$A,ROW(A49))</f>
        <v>0</v>
      </c>
      <c r="ME91" s="6">
        <f>SUMIFS('Time based aggregation (hide)'!$J:$J,'Time based aggregation (hide)'!$E:$E,18,'Time based aggregation (hide)'!$F:$F,1,'Time based aggregation (hide)'!$A:$A,ROW(A49))</f>
        <v>0</v>
      </c>
      <c r="MF91" s="6">
        <f>SUMIFS('Time based aggregation (hide)'!$J:$J,'Time based aggregation (hide)'!$E:$E,18,'Time based aggregation (hide)'!$F:$F,2,'Time based aggregation (hide)'!$A:$A,ROW(A49))</f>
        <v>0</v>
      </c>
      <c r="MG91" s="6">
        <f>SUMIFS('Time based aggregation (hide)'!$J:$J,'Time based aggregation (hide)'!$E:$E,18,'Time based aggregation (hide)'!$F:$F,3,'Time based aggregation (hide)'!$A:$A,ROW(A49))</f>
        <v>0</v>
      </c>
      <c r="MH91" s="6">
        <f>SUMIFS('Time based aggregation (hide)'!$J:$J,'Time based aggregation (hide)'!$E:$E,19,'Time based aggregation (hide)'!$F:$F,1,'Time based aggregation (hide)'!$A:$A,ROW(A49))</f>
        <v>0</v>
      </c>
      <c r="MI91" s="6">
        <f>SUMIFS('Time based aggregation (hide)'!$J:$J,'Time based aggregation (hide)'!$E:$E,19,'Time based aggregation (hide)'!$F:$F,2,'Time based aggregation (hide)'!$A:$A,ROW(A49))</f>
        <v>0</v>
      </c>
      <c r="MJ91" s="6">
        <f>SUMIFS('Time based aggregation (hide)'!$J:$J,'Time based aggregation (hide)'!$E:$E,19,'Time based aggregation (hide)'!$F:$F,3,'Time based aggregation (hide)'!$A:$A,ROW(A49))</f>
        <v>0</v>
      </c>
      <c r="MK91" s="6">
        <f>SUMIFS('Time based aggregation (hide)'!$J:$J,'Time based aggregation (hide)'!$E:$E,20,'Time based aggregation (hide)'!$F:$F,1,'Time based aggregation (hide)'!$A:$A,ROW(A49))</f>
        <v>0</v>
      </c>
      <c r="ML91" s="6">
        <f>SUMIFS('Time based aggregation (hide)'!$J:$J,'Time based aggregation (hide)'!$E:$E,20,'Time based aggregation (hide)'!$F:$F,2,'Time based aggregation (hide)'!$A:$A,ROW(A49))</f>
        <v>0</v>
      </c>
      <c r="MM91" s="6">
        <f>SUMIFS('Time based aggregation (hide)'!$J:$J,'Time based aggregation (hide)'!$E:$E,20,'Time based aggregation (hide)'!$F:$F,3,'Time based aggregation (hide)'!$A:$A,ROW(A49))</f>
        <v>0</v>
      </c>
      <c r="MN91" s="7">
        <f t="shared" ca="1" si="48"/>
        <v>0</v>
      </c>
      <c r="MO91" s="7">
        <f t="shared" ca="1" si="48"/>
        <v>0</v>
      </c>
      <c r="MP91" s="7">
        <f t="shared" ca="1" si="48"/>
        <v>0</v>
      </c>
      <c r="MQ91" s="7">
        <f t="shared" ca="1" si="48"/>
        <v>0</v>
      </c>
      <c r="MR91" s="7">
        <f t="shared" ca="1" si="48"/>
        <v>0</v>
      </c>
    </row>
    <row r="92" spans="1:356" x14ac:dyDescent="0.25">
      <c r="A92">
        <f>1</f>
        <v>1</v>
      </c>
      <c r="B92" s="85">
        <f t="shared" si="37"/>
        <v>43880</v>
      </c>
      <c r="C92" s="85">
        <f t="shared" si="25"/>
        <v>43878</v>
      </c>
      <c r="D92">
        <f t="shared" ca="1" si="26"/>
        <v>1</v>
      </c>
      <c r="E92" s="85">
        <f t="shared" si="27"/>
        <v>43862</v>
      </c>
      <c r="F92">
        <f t="shared" si="33"/>
        <v>8</v>
      </c>
      <c r="H92">
        <f t="shared" si="34"/>
        <v>50</v>
      </c>
      <c r="I92" s="85">
        <f t="shared" si="38"/>
        <v>44172</v>
      </c>
      <c r="J92">
        <f t="shared" ca="1" si="46"/>
        <v>5</v>
      </c>
      <c r="K92">
        <f t="shared" ca="1" si="47"/>
        <v>1.968503937007874E-2</v>
      </c>
      <c r="L92" s="114"/>
      <c r="N92" s="85">
        <f t="shared" si="35"/>
        <v>44172</v>
      </c>
      <c r="O92" s="122">
        <f t="shared" ca="1" si="49"/>
        <v>0</v>
      </c>
      <c r="P92" s="122">
        <f t="shared" ca="1" si="49"/>
        <v>0</v>
      </c>
      <c r="Q92" s="122">
        <f t="shared" ca="1" si="49"/>
        <v>0</v>
      </c>
      <c r="R92" s="122">
        <f t="shared" ca="1" si="49"/>
        <v>0</v>
      </c>
      <c r="S92" s="122">
        <f t="shared" ca="1" si="49"/>
        <v>0</v>
      </c>
      <c r="T92" s="122">
        <f t="shared" ca="1" si="49"/>
        <v>0</v>
      </c>
      <c r="U92" s="122">
        <f t="shared" ca="1" si="49"/>
        <v>0</v>
      </c>
      <c r="V92" s="122">
        <f t="shared" ca="1" si="49"/>
        <v>0</v>
      </c>
      <c r="W92" s="122">
        <f t="shared" ca="1" si="49"/>
        <v>0</v>
      </c>
      <c r="X92" s="122">
        <f t="shared" ca="1" si="49"/>
        <v>0</v>
      </c>
      <c r="Y92" s="122">
        <f t="shared" ca="1" si="49"/>
        <v>0</v>
      </c>
      <c r="Z92" s="122">
        <f t="shared" ca="1" si="49"/>
        <v>1</v>
      </c>
      <c r="AA92" s="122"/>
      <c r="AB92" s="140">
        <f>INDEX('File 1'!Weekly_Adjusted,50,1)</f>
        <v>388.17143954725253</v>
      </c>
      <c r="AC92" s="140">
        <f>INDEX('File 1'!Weekly_Adjusted,50,2)</f>
        <v>0</v>
      </c>
      <c r="AD92" s="140">
        <f>INDEX('File 1'!Weekly_Adjusted,50,3)</f>
        <v>0</v>
      </c>
      <c r="AE92" s="141">
        <f>INDEX('File 2'!Weekly_Adjusted,50,1)</f>
        <v>0</v>
      </c>
      <c r="AF92" s="141">
        <f>INDEX('File 2'!Weekly_Adjusted,50,2)</f>
        <v>0</v>
      </c>
      <c r="AG92" s="141">
        <f>INDEX('File 2'!Weekly_Adjusted,50,3)</f>
        <v>0</v>
      </c>
      <c r="AH92" s="140">
        <f>INDEX('File 3'!Weekly_Adjusted,50,1)</f>
        <v>0</v>
      </c>
      <c r="AI92" s="140">
        <f>INDEX('File 3'!Weekly_Adjusted,50,2)</f>
        <v>0</v>
      </c>
      <c r="AJ92" s="140">
        <f>INDEX('File 3'!Weekly_Adjusted,50,3)</f>
        <v>0</v>
      </c>
      <c r="AK92" s="141">
        <f>INDEX('File 4'!Weekly_Adjusted,50,1)</f>
        <v>0</v>
      </c>
      <c r="AL92" s="141">
        <f>INDEX('File 4'!Weekly_Adjusted,50,2)</f>
        <v>0</v>
      </c>
      <c r="AM92" s="141">
        <f>INDEX('File 4'!Weekly_Adjusted,50,3)</f>
        <v>0</v>
      </c>
      <c r="AN92" s="140">
        <f>INDEX('File 5'!Weekly_Adjusted,50,1)</f>
        <v>0</v>
      </c>
      <c r="AO92" s="140">
        <f>INDEX('File 5'!Weekly_Adjusted,50,2)</f>
        <v>0</v>
      </c>
      <c r="AP92" s="140">
        <f>INDEX('File 5'!Weekly_Adjusted,50,3)</f>
        <v>0</v>
      </c>
      <c r="AQ92" s="141">
        <f>INDEX('File 6'!Weekly_Adjusted,50,1)</f>
        <v>0</v>
      </c>
      <c r="AR92" s="141">
        <f>INDEX('File 6'!Weekly_Adjusted,50,2)</f>
        <v>0</v>
      </c>
      <c r="AS92" s="141">
        <f>INDEX('File 6'!Weekly_Adjusted,50,3)</f>
        <v>0</v>
      </c>
      <c r="AT92" s="140">
        <f>INDEX('File 7'!Weekly_Adjusted,50,1)</f>
        <v>0</v>
      </c>
      <c r="AU92" s="140">
        <f>INDEX('File 7'!Weekly_Adjusted,50,2)</f>
        <v>0</v>
      </c>
      <c r="AV92" s="140">
        <f>INDEX('File 7'!Weekly_Adjusted,50,3)</f>
        <v>0</v>
      </c>
      <c r="AW92" s="141">
        <f>INDEX('File 8'!Weekly_Adjusted,50,1)</f>
        <v>0</v>
      </c>
      <c r="AX92" s="141">
        <f>INDEX('File 8'!Weekly_Adjusted,50,2)</f>
        <v>0</v>
      </c>
      <c r="AY92" s="141">
        <f>INDEX('File 8'!Weekly_Adjusted,50,3)</f>
        <v>0</v>
      </c>
      <c r="AZ92" s="140">
        <f>INDEX('File 9'!Weekly_Adjusted,50,1)</f>
        <v>0</v>
      </c>
      <c r="BA92" s="140">
        <f>INDEX('File 9'!Weekly_Adjusted,50,2)</f>
        <v>0</v>
      </c>
      <c r="BB92" s="140">
        <f>INDEX('File 9'!Weekly_Adjusted,50,3)</f>
        <v>0</v>
      </c>
      <c r="BC92" s="141">
        <f>INDEX('File 10'!Weekly_Adjusted,50,1)</f>
        <v>0</v>
      </c>
      <c r="BD92" s="141">
        <f>INDEX('File 10'!Weekly_Adjusted,50,2)</f>
        <v>0</v>
      </c>
      <c r="BE92" s="141">
        <f>INDEX('File 10'!Weekly_Adjusted,50,3)</f>
        <v>0</v>
      </c>
      <c r="BF92" s="140">
        <f>INDEX('File 11'!Weekly_Adjusted,50,1)</f>
        <v>0</v>
      </c>
      <c r="BG92" s="140">
        <f>INDEX('File 11'!Weekly_Adjusted,50,2)</f>
        <v>0</v>
      </c>
      <c r="BH92" s="140">
        <f>INDEX('File 11'!Weekly_Adjusted,50,3)</f>
        <v>0</v>
      </c>
      <c r="BI92" s="141">
        <f>INDEX('File 12'!Weekly_Adjusted,50,1)</f>
        <v>0</v>
      </c>
      <c r="BJ92" s="141">
        <f>INDEX('File 12'!Weekly_Adjusted,50,2)</f>
        <v>0</v>
      </c>
      <c r="BK92" s="141">
        <f>INDEX('File 12'!Weekly_Adjusted,50,3)</f>
        <v>0</v>
      </c>
      <c r="BL92" s="140">
        <f>INDEX('File 13'!Weekly_Adjusted,50,1)</f>
        <v>0</v>
      </c>
      <c r="BM92" s="140">
        <f>INDEX('File 13'!Weekly_Adjusted,50,2)</f>
        <v>0</v>
      </c>
      <c r="BN92" s="140">
        <f>INDEX('File 13'!Weekly_Adjusted,50,3)</f>
        <v>0</v>
      </c>
      <c r="BO92" s="141">
        <f>INDEX('File 14'!Weekly_Adjusted,50,1)</f>
        <v>0</v>
      </c>
      <c r="BP92" s="141">
        <f>INDEX('File 14'!Weekly_Adjusted,50,2)</f>
        <v>0</v>
      </c>
      <c r="BQ92" s="141">
        <f>INDEX('File 14'!Weekly_Adjusted,50,3)</f>
        <v>0</v>
      </c>
      <c r="BR92" s="140">
        <f>INDEX('File 15'!Weekly_Adjusted,50,1)</f>
        <v>0</v>
      </c>
      <c r="BS92" s="140">
        <f>INDEX('File 15'!Weekly_Adjusted,50,2)</f>
        <v>0</v>
      </c>
      <c r="BT92" s="140">
        <f>INDEX('File 15'!Weekly_Adjusted,50,3)</f>
        <v>0</v>
      </c>
      <c r="BU92" s="141">
        <f>INDEX('File 16'!Weekly_Adjusted,50,1)</f>
        <v>0</v>
      </c>
      <c r="BV92" s="141">
        <f>INDEX('File 16'!Weekly_Adjusted,50,2)</f>
        <v>0</v>
      </c>
      <c r="BW92" s="141">
        <f>INDEX('File 16'!Weekly_Adjusted,50,3)</f>
        <v>0</v>
      </c>
      <c r="BX92" s="140">
        <f>INDEX('File 17'!Weekly_Adjusted,50,1)</f>
        <v>0</v>
      </c>
      <c r="BY92" s="140">
        <f>INDEX('File 17'!Weekly_Adjusted,50,2)</f>
        <v>0</v>
      </c>
      <c r="BZ92" s="140">
        <f>INDEX('File 17'!Weekly_Adjusted,50,3)</f>
        <v>0</v>
      </c>
      <c r="CA92" s="141">
        <f>INDEX('File 18'!Weekly_Adjusted,50,1)</f>
        <v>0</v>
      </c>
      <c r="CB92" s="141">
        <f>INDEX('File 18'!Weekly_Adjusted,50,2)</f>
        <v>0</v>
      </c>
      <c r="CC92" s="141">
        <f>INDEX('File 18'!Weekly_Adjusted,50,3)</f>
        <v>0</v>
      </c>
      <c r="CD92" s="140">
        <f>INDEX('File 19'!Weekly_Adjusted,50,1)</f>
        <v>0</v>
      </c>
      <c r="CE92" s="140">
        <f>INDEX('File 19'!Weekly_Adjusted,50,2)</f>
        <v>0</v>
      </c>
      <c r="CF92" s="140">
        <f>INDEX('File 19'!Weekly_Adjusted,50,3)</f>
        <v>0</v>
      </c>
      <c r="CG92" s="141">
        <f>INDEX('File 20'!Weekly_Adjusted,50,1)</f>
        <v>0</v>
      </c>
      <c r="CH92" s="141">
        <f>INDEX('File 20'!Weekly_Adjusted,50,2)</f>
        <v>0</v>
      </c>
      <c r="CI92" s="141">
        <f>INDEX('File 20'!Weekly_Adjusted,50,3)</f>
        <v>0</v>
      </c>
      <c r="CJ92" s="6">
        <f ca="1">SUMIFS(INDEX(Demand_Activity_Weekly,ROW(A50),0),Demand_Activity_Weekly_Header,CJ$42)</f>
        <v>388.17143954725253</v>
      </c>
      <c r="CK92" s="6">
        <f ca="1">SUMIFS(INDEX(Demand_Activity_Weekly,ROW(B50),0),Demand_Activity_Weekly_Header,CK$42)</f>
        <v>0</v>
      </c>
      <c r="CL92" s="6">
        <f ca="1">SUMIFS(INDEX(Demand_Activity_Weekly,ROW(C50),0),Demand_Activity_Weekly_Header,CL$42)</f>
        <v>0</v>
      </c>
      <c r="CM92" s="6">
        <f ca="1">SUMIFS(INDEX(Demand_Activity_Weekly,ROW(D50),0),Demand_Activity_Weekly_Header,CM$42)</f>
        <v>0</v>
      </c>
      <c r="CN92" s="6">
        <f ca="1">SUMIFS(INDEX(Demand_Activity_Weekly,ROW(E50),0),Demand_Activity_Weekly_Header,CN$42)</f>
        <v>0</v>
      </c>
      <c r="CP92" s="142">
        <f>INDEX('File 1'!Weekly_Adjusted,50,10)</f>
        <v>24.344712210866053</v>
      </c>
      <c r="CQ92" s="142">
        <f>INDEX('File 1'!Weekly_Adjusted,50,11)</f>
        <v>0</v>
      </c>
      <c r="CR92" s="142">
        <f>INDEX('File 1'!Weekly_Adjusted,50,12)</f>
        <v>0</v>
      </c>
      <c r="CS92" s="143">
        <f>INDEX('File 2'!Weekly_Adjusted,50,10)</f>
        <v>0</v>
      </c>
      <c r="CT92" s="143">
        <f>INDEX('File 2'!Weekly_Adjusted,50,11)</f>
        <v>0</v>
      </c>
      <c r="CU92" s="143">
        <f>INDEX('File 2'!Weekly_Adjusted,50,12)</f>
        <v>0</v>
      </c>
      <c r="CV92" s="142">
        <f>INDEX('File 3'!Weekly_Adjusted,50,10)</f>
        <v>0</v>
      </c>
      <c r="CW92" s="142">
        <f>INDEX('File 3'!Weekly_Adjusted,50,11)</f>
        <v>0</v>
      </c>
      <c r="CX92" s="142">
        <f>INDEX('File 3'!Weekly_Adjusted,50,12)</f>
        <v>0</v>
      </c>
      <c r="CY92" s="143">
        <f>INDEX('File 4'!Weekly_Adjusted,50,10)</f>
        <v>0</v>
      </c>
      <c r="CZ92" s="143">
        <f>INDEX('File 4'!Weekly_Adjusted,50,11)</f>
        <v>0</v>
      </c>
      <c r="DA92" s="143">
        <f>INDEX('File 4'!Weekly_Adjusted,50,12)</f>
        <v>0</v>
      </c>
      <c r="DB92" s="142">
        <f>INDEX('File 5'!Weekly_Adjusted,50,10)</f>
        <v>0</v>
      </c>
      <c r="DC92" s="142">
        <f>INDEX('File 5'!Weekly_Adjusted,50,11)</f>
        <v>0</v>
      </c>
      <c r="DD92" s="142">
        <f>INDEX('File 5'!Weekly_Adjusted,50,12)</f>
        <v>0</v>
      </c>
      <c r="DE92" s="143">
        <f>INDEX('File 6'!Weekly_Adjusted,50,10)</f>
        <v>0</v>
      </c>
      <c r="DF92" s="143">
        <f>INDEX('File 6'!Weekly_Adjusted,50,11)</f>
        <v>0</v>
      </c>
      <c r="DG92" s="143">
        <f>INDEX('File 6'!Weekly_Adjusted,50,12)</f>
        <v>0</v>
      </c>
      <c r="DH92" s="142">
        <f>INDEX('File 7'!Weekly_Adjusted,50,10)</f>
        <v>0</v>
      </c>
      <c r="DI92" s="142">
        <f>INDEX('File 7'!Weekly_Adjusted,50,11)</f>
        <v>0</v>
      </c>
      <c r="DJ92" s="142">
        <f>INDEX('File 7'!Weekly_Adjusted,50,12)</f>
        <v>0</v>
      </c>
      <c r="DK92" s="143">
        <f>INDEX('File 8'!Weekly_Adjusted,50,10)</f>
        <v>0</v>
      </c>
      <c r="DL92" s="143">
        <f>INDEX('File 8'!Weekly_Adjusted,50,11)</f>
        <v>0</v>
      </c>
      <c r="DM92" s="143">
        <f>INDEX('File 8'!Weekly_Adjusted,50,12)</f>
        <v>0</v>
      </c>
      <c r="DN92" s="142">
        <f>INDEX('File 9'!Weekly_Adjusted,50,10)</f>
        <v>0</v>
      </c>
      <c r="DO92" s="142">
        <f>INDEX('File 9'!Weekly_Adjusted,50,11)</f>
        <v>0</v>
      </c>
      <c r="DP92" s="142">
        <f>INDEX('File 9'!Weekly_Adjusted,50,12)</f>
        <v>0</v>
      </c>
      <c r="DQ92" s="143">
        <f>INDEX('File 10'!Weekly_Adjusted,50,10)</f>
        <v>0</v>
      </c>
      <c r="DR92" s="143">
        <f>INDEX('File 10'!Weekly_Adjusted,50,11)</f>
        <v>0</v>
      </c>
      <c r="DS92" s="143">
        <f>INDEX('File 10'!Weekly_Adjusted,50,12)</f>
        <v>0</v>
      </c>
      <c r="DT92" s="142">
        <f>INDEX('File 11'!Weekly_Adjusted,50,10)</f>
        <v>0</v>
      </c>
      <c r="DU92" s="142">
        <f>INDEX('File 11'!Weekly_Adjusted,50,11)</f>
        <v>0</v>
      </c>
      <c r="DV92" s="142">
        <f>INDEX('File 11'!Weekly_Adjusted,50,12)</f>
        <v>0</v>
      </c>
      <c r="DW92" s="143">
        <f>INDEX('File 12'!Weekly_Adjusted,50,10)</f>
        <v>0</v>
      </c>
      <c r="DX92" s="143">
        <f>INDEX('File 12'!Weekly_Adjusted,50,11)</f>
        <v>0</v>
      </c>
      <c r="DY92" s="143">
        <f>INDEX('File 12'!Weekly_Adjusted,50,12)</f>
        <v>0</v>
      </c>
      <c r="DZ92" s="142">
        <f>INDEX('File 13'!Weekly_Adjusted,50,10)</f>
        <v>0</v>
      </c>
      <c r="EA92" s="142">
        <f>INDEX('File 13'!Weekly_Adjusted,50,11)</f>
        <v>0</v>
      </c>
      <c r="EB92" s="142">
        <f>INDEX('File 13'!Weekly_Adjusted,50,12)</f>
        <v>0</v>
      </c>
      <c r="EC92" s="143">
        <f>INDEX('File 14'!Weekly_Adjusted,50,10)</f>
        <v>0</v>
      </c>
      <c r="ED92" s="143">
        <f>INDEX('File 14'!Weekly_Adjusted,50,11)</f>
        <v>0</v>
      </c>
      <c r="EE92" s="143">
        <f>INDEX('File 14'!Weekly_Adjusted,50,12)</f>
        <v>0</v>
      </c>
      <c r="EF92" s="142">
        <f>INDEX('File 15'!Weekly_Adjusted,50,10)</f>
        <v>0</v>
      </c>
      <c r="EG92" s="142">
        <f>INDEX('File 15'!Weekly_Adjusted,50,11)</f>
        <v>0</v>
      </c>
      <c r="EH92" s="142">
        <f>INDEX('File 15'!Weekly_Adjusted,50,12)</f>
        <v>0</v>
      </c>
      <c r="EI92" s="143">
        <f>INDEX('File 16'!Weekly_Adjusted,50,10)</f>
        <v>0</v>
      </c>
      <c r="EJ92" s="143">
        <f>INDEX('File 16'!Weekly_Adjusted,50,11)</f>
        <v>0</v>
      </c>
      <c r="EK92" s="143">
        <f>INDEX('File 16'!Weekly_Adjusted,50,12)</f>
        <v>0</v>
      </c>
      <c r="EL92" s="142">
        <f>INDEX('File 17'!Weekly_Adjusted,50,10)</f>
        <v>0</v>
      </c>
      <c r="EM92" s="142">
        <f>INDEX('File 17'!Weekly_Adjusted,50,11)</f>
        <v>0</v>
      </c>
      <c r="EN92" s="142">
        <f>INDEX('File 17'!Weekly_Adjusted,50,12)</f>
        <v>0</v>
      </c>
      <c r="EO92" s="143">
        <f>INDEX('File 18'!Weekly_Adjusted,50,10)</f>
        <v>0</v>
      </c>
      <c r="EP92" s="143">
        <f>INDEX('File 18'!Weekly_Adjusted,50,11)</f>
        <v>0</v>
      </c>
      <c r="EQ92" s="143">
        <f>INDEX('File 18'!Weekly_Adjusted,50,12)</f>
        <v>0</v>
      </c>
      <c r="ER92" s="142">
        <f>INDEX('File 19'!Weekly_Adjusted,50,10)</f>
        <v>0</v>
      </c>
      <c r="ES92" s="142">
        <f>INDEX('File 19'!Weekly_Adjusted,50,11)</f>
        <v>0</v>
      </c>
      <c r="ET92" s="142">
        <f>INDEX('File 19'!Weekly_Adjusted,50,12)</f>
        <v>0</v>
      </c>
      <c r="EU92" s="143">
        <f>INDEX('File 20'!Weekly_Adjusted,50,10)</f>
        <v>0</v>
      </c>
      <c r="EV92" s="143">
        <f>INDEX('File 20'!Weekly_Adjusted,50,11)</f>
        <v>0</v>
      </c>
      <c r="EW92" s="143">
        <f>INDEX('File 20'!Weekly_Adjusted,50,12)</f>
        <v>0</v>
      </c>
      <c r="EX92" s="6">
        <f ca="1">SUMIFS(INDEX(Capacity_Activity_Weekly,ROW(A50),0),Demand_Activity_Weekly_Header,CJ$42)</f>
        <v>24.344712210866053</v>
      </c>
      <c r="EY92" s="6">
        <f ca="1">SUMIFS(INDEX(Capacity_Activity_Weekly,ROW(B50),0),Demand_Activity_Weekly_Header,CK$42)</f>
        <v>0</v>
      </c>
      <c r="EZ92" s="6">
        <f ca="1">SUMIFS(INDEX(Capacity_Activity_Weekly,ROW(C50),0),Demand_Activity_Weekly_Header,CL$42)</f>
        <v>0</v>
      </c>
      <c r="FA92" s="6">
        <f ca="1">SUMIFS(INDEX(Capacity_Activity_Weekly,ROW(D50),0),Demand_Activity_Weekly_Header,CM$42)</f>
        <v>0</v>
      </c>
      <c r="FB92" s="6">
        <f ca="1">SUMIFS(INDEX(Capacity_Activity_Weekly,ROW(E50),0),Demand_Activity_Weekly_Header,CN$42)</f>
        <v>0</v>
      </c>
      <c r="FD92" s="7">
        <f>'File 1'!$Q$54*'Time based aggregation (hide)'!$Q54</f>
        <v>0</v>
      </c>
      <c r="FE92" s="7">
        <f>'File 1'!$R$54*'Time based aggregation (hide)'!$R54</f>
        <v>0</v>
      </c>
      <c r="FF92" s="7">
        <f>'File 1'!$S$54*'Time based aggregation (hide)'!$S54</f>
        <v>0</v>
      </c>
      <c r="FG92" s="7">
        <f>'File 2'!$Q$54*'Time based aggregation (hide)'!$T54</f>
        <v>0</v>
      </c>
      <c r="FH92" s="7">
        <f>'File 2'!$R$54*'Time based aggregation (hide)'!$U54</f>
        <v>0</v>
      </c>
      <c r="FI92" s="7">
        <f>'File 2'!$S$54*'Time based aggregation (hide)'!$V54</f>
        <v>0</v>
      </c>
      <c r="FJ92" s="7">
        <f>'File 3'!$Q$54*'Time based aggregation (hide)'!$W54</f>
        <v>0</v>
      </c>
      <c r="FK92" s="7">
        <f>'File 3'!$R$54*'Time based aggregation (hide)'!$X54</f>
        <v>0</v>
      </c>
      <c r="FL92" s="7">
        <f>'File 3'!$S$54*'Time based aggregation (hide)'!$Y54</f>
        <v>0</v>
      </c>
      <c r="FM92" s="7">
        <f>'File 4'!$Q$54*'Time based aggregation (hide)'!$Z54</f>
        <v>0</v>
      </c>
      <c r="FN92" s="7">
        <f>'File 4'!$R$54*'Time based aggregation (hide)'!$AA54</f>
        <v>0</v>
      </c>
      <c r="FO92" s="7">
        <f>'File 4'!$S$54*'Time based aggregation (hide)'!$AB54</f>
        <v>0</v>
      </c>
      <c r="FP92" s="7">
        <f>'File 5'!$Q$54*'Time based aggregation (hide)'!$AC54</f>
        <v>0</v>
      </c>
      <c r="FQ92" s="7">
        <f>'File 5'!$R$54*'Time based aggregation (hide)'!$AD54</f>
        <v>0</v>
      </c>
      <c r="FR92" s="7">
        <f>'File 5'!$S$54*'Time based aggregation (hide)'!$AE54</f>
        <v>0</v>
      </c>
      <c r="FS92" s="7">
        <f>'File 6'!$Q$54*'Time based aggregation (hide)'!$AF54</f>
        <v>0</v>
      </c>
      <c r="FT92" s="7">
        <f>'File 6'!$R$54*'Time based aggregation (hide)'!$AG54</f>
        <v>0</v>
      </c>
      <c r="FU92" s="7">
        <f>'File 6'!$S$54*'Time based aggregation (hide)'!$AH54</f>
        <v>0</v>
      </c>
      <c r="FV92" s="7">
        <f>'File 7'!$Q$54*'Time based aggregation (hide)'!$AI54</f>
        <v>0</v>
      </c>
      <c r="FW92" s="7">
        <f>'File 7'!$R$54*'Time based aggregation (hide)'!$AJ54</f>
        <v>0</v>
      </c>
      <c r="FX92" s="7">
        <f>'File 7'!$S$54*'Time based aggregation (hide)'!$AK54</f>
        <v>0</v>
      </c>
      <c r="FY92" s="7">
        <f>'File 8'!$Q$54*'Time based aggregation (hide)'!$AL54</f>
        <v>0</v>
      </c>
      <c r="FZ92" s="7">
        <f>'File 8'!$R$54*'Time based aggregation (hide)'!$AM54</f>
        <v>0</v>
      </c>
      <c r="GA92" s="7">
        <f>'File 8'!$S$54*'Time based aggregation (hide)'!$AN54</f>
        <v>0</v>
      </c>
      <c r="GB92" s="7">
        <f>'File 9'!$Q$54*'Time based aggregation (hide)'!$AO54</f>
        <v>0</v>
      </c>
      <c r="GC92" s="7">
        <f>'File 9'!$R$54*'Time based aggregation (hide)'!$AP54</f>
        <v>0</v>
      </c>
      <c r="GD92" s="7">
        <f>'File 9'!$S$54*'Time based aggregation (hide)'!$AQ54</f>
        <v>0</v>
      </c>
      <c r="GE92" s="7">
        <f>'File 10'!$Q$54*'Time based aggregation (hide)'!$AR54</f>
        <v>0</v>
      </c>
      <c r="GF92" s="7">
        <f>'File 10'!$R$54*'Time based aggregation (hide)'!$AS54</f>
        <v>0</v>
      </c>
      <c r="GG92" s="7">
        <f>'File 10'!$S$54*'Time based aggregation (hide)'!$AT54</f>
        <v>0</v>
      </c>
      <c r="GH92" s="7">
        <f>'File 11'!$Q$54*'Time based aggregation (hide)'!$AU54</f>
        <v>0</v>
      </c>
      <c r="GI92" s="7">
        <f>'File 11'!$R$54*'Time based aggregation (hide)'!$AV54</f>
        <v>0</v>
      </c>
      <c r="GJ92" s="7">
        <f>'File 11'!$S$54*'Time based aggregation (hide)'!$AW54</f>
        <v>0</v>
      </c>
      <c r="GK92" s="7">
        <f>'File 12'!$Q$54*'Time based aggregation (hide)'!$AX54</f>
        <v>0</v>
      </c>
      <c r="GL92" s="7">
        <f>'File 12'!$R$54*'Time based aggregation (hide)'!$AY54</f>
        <v>0</v>
      </c>
      <c r="GM92" s="7">
        <f>'File 12'!$S$54*'Time based aggregation (hide)'!$AZ54</f>
        <v>0</v>
      </c>
      <c r="GN92" s="7">
        <f>'File 13'!$Q$54*'Time based aggregation (hide)'!$BA54</f>
        <v>0</v>
      </c>
      <c r="GO92" s="7">
        <f>'File 13'!$R$54*'Time based aggregation (hide)'!$BB54</f>
        <v>0</v>
      </c>
      <c r="GP92" s="7">
        <f>'File 13'!$S$54*'Time based aggregation (hide)'!$BC54</f>
        <v>0</v>
      </c>
      <c r="GQ92" s="7">
        <f>'File 14'!$Q$54*'Time based aggregation (hide)'!$BD54</f>
        <v>0</v>
      </c>
      <c r="GR92" s="7">
        <f>'File 14'!$R$54*'Time based aggregation (hide)'!$BE54</f>
        <v>0</v>
      </c>
      <c r="GS92" s="7">
        <f>'File 14'!$S$54*'Time based aggregation (hide)'!$BF54</f>
        <v>0</v>
      </c>
      <c r="GT92" s="7">
        <f>'File 15'!$Q$54*'Time based aggregation (hide)'!$BG54</f>
        <v>0</v>
      </c>
      <c r="GU92" s="7">
        <f>'File 15'!$R$54*'Time based aggregation (hide)'!$BH54</f>
        <v>0</v>
      </c>
      <c r="GV92" s="7">
        <f>'File 15'!$S$54*'Time based aggregation (hide)'!$BI54</f>
        <v>0</v>
      </c>
      <c r="GW92" s="7">
        <f>'File 16'!$Q$54*'Time based aggregation (hide)'!$BJ54</f>
        <v>0</v>
      </c>
      <c r="GX92" s="7">
        <f>'File 16'!$R$54*'Time based aggregation (hide)'!$BK54</f>
        <v>0</v>
      </c>
      <c r="GY92" s="7">
        <f>'File 16'!$S$54*'Time based aggregation (hide)'!$BL54</f>
        <v>0</v>
      </c>
      <c r="GZ92" s="7">
        <f>'File 17'!$Q$54*'Time based aggregation (hide)'!$BM54</f>
        <v>0</v>
      </c>
      <c r="HA92" s="7">
        <f>'File 17'!$R$54*'Time based aggregation (hide)'!$BN54</f>
        <v>0</v>
      </c>
      <c r="HB92" s="7">
        <f>'File 17'!$S$54*'Time based aggregation (hide)'!$BO54</f>
        <v>0</v>
      </c>
      <c r="HC92" s="7">
        <f>'File 18'!$Q$54*'Time based aggregation (hide)'!$BP54</f>
        <v>0</v>
      </c>
      <c r="HD92" s="7">
        <f>'File 18'!$R$54*'Time based aggregation (hide)'!$BQ54</f>
        <v>0</v>
      </c>
      <c r="HE92" s="7">
        <f>'File 18'!$S$54*'Time based aggregation (hide)'!$BR54</f>
        <v>0</v>
      </c>
      <c r="HF92" s="7">
        <f>'File 19'!$Q$54*'Time based aggregation (hide)'!$BS54</f>
        <v>0</v>
      </c>
      <c r="HG92" s="7">
        <f>'File 19'!$R$54*'Time based aggregation (hide)'!$BT54</f>
        <v>0</v>
      </c>
      <c r="HH92" s="7">
        <f>'File 19'!$S$54*'Time based aggregation (hide)'!$BU54</f>
        <v>0</v>
      </c>
      <c r="HI92" s="7">
        <f>'File 20'!$Q$54*'Time based aggregation (hide)'!$BV54</f>
        <v>0</v>
      </c>
      <c r="HJ92" s="7">
        <f>'File 20'!$R$54*'Time based aggregation (hide)'!$BW54</f>
        <v>0</v>
      </c>
      <c r="HK92" s="7">
        <f>'File 20'!$S$54*'Time based aggregation (hide)'!$BX54</f>
        <v>0</v>
      </c>
      <c r="HL92" s="7">
        <f t="shared" ca="1" si="50"/>
        <v>0</v>
      </c>
      <c r="HM92" s="7">
        <f t="shared" ca="1" si="50"/>
        <v>0</v>
      </c>
      <c r="HN92" s="7">
        <f t="shared" ca="1" si="50"/>
        <v>0</v>
      </c>
      <c r="HO92" s="7">
        <f t="shared" ca="1" si="50"/>
        <v>0</v>
      </c>
      <c r="HP92" s="7">
        <f t="shared" ca="1" si="50"/>
        <v>0</v>
      </c>
      <c r="HR92" s="142">
        <f>INDEX('File 1'!Weekly_Adjusted,50,16)</f>
        <v>20.933351264120493</v>
      </c>
      <c r="HS92" s="142">
        <f>INDEX('File 1'!Weekly_Adjusted,50,17)</f>
        <v>0</v>
      </c>
      <c r="HT92" s="142">
        <f>INDEX('File 1'!Weekly_Adjusted,50,18)</f>
        <v>0</v>
      </c>
      <c r="HU92" s="143">
        <f>INDEX('File 2'!Weekly_Adjusted,50,16)</f>
        <v>0</v>
      </c>
      <c r="HV92" s="143">
        <f>INDEX('File 2'!Weekly_Adjusted,50,17)</f>
        <v>0</v>
      </c>
      <c r="HW92" s="143">
        <f>INDEX('File 2'!Weekly_Adjusted,50,18)</f>
        <v>0</v>
      </c>
      <c r="HX92" s="142">
        <f>INDEX('File 3'!Weekly_Adjusted,50,16)</f>
        <v>0</v>
      </c>
      <c r="HY92" s="142">
        <f>INDEX('File 3'!Weekly_Adjusted,50,17)</f>
        <v>0</v>
      </c>
      <c r="HZ92" s="142">
        <f>INDEX('File 3'!Weekly_Adjusted,50,18)</f>
        <v>0</v>
      </c>
      <c r="IA92" s="143">
        <f>INDEX('File 4'!Weekly_Adjusted,50,16)</f>
        <v>0</v>
      </c>
      <c r="IB92" s="143">
        <f>INDEX('File 4'!Weekly_Adjusted,50,17)</f>
        <v>0</v>
      </c>
      <c r="IC92" s="143">
        <f>INDEX('File 4'!Weekly_Adjusted,50,18)</f>
        <v>0</v>
      </c>
      <c r="ID92" s="142">
        <f>INDEX('File 5'!Weekly_Adjusted,50,16)</f>
        <v>0</v>
      </c>
      <c r="IE92" s="142">
        <f>INDEX('File 5'!Weekly_Adjusted,50,17)</f>
        <v>0</v>
      </c>
      <c r="IF92" s="142">
        <f>INDEX('File 5'!Weekly_Adjusted,50,18)</f>
        <v>0</v>
      </c>
      <c r="IG92" s="143">
        <f>INDEX('File 6'!Weekly_Adjusted,50,16)</f>
        <v>0</v>
      </c>
      <c r="IH92" s="143">
        <f>INDEX('File 6'!Weekly_Adjusted,50,17)</f>
        <v>0</v>
      </c>
      <c r="II92" s="143">
        <f>INDEX('File 6'!Weekly_Adjusted,50,18)</f>
        <v>0</v>
      </c>
      <c r="IJ92" s="142">
        <f>INDEX('File 7'!Weekly_Adjusted,50,16)</f>
        <v>0</v>
      </c>
      <c r="IK92" s="142">
        <f>INDEX('File 7'!Weekly_Adjusted,50,17)</f>
        <v>0</v>
      </c>
      <c r="IL92" s="142">
        <f>INDEX('File 7'!Weekly_Adjusted,50,18)</f>
        <v>0</v>
      </c>
      <c r="IM92" s="143">
        <f>INDEX('File 8'!Weekly_Adjusted,50,16)</f>
        <v>0</v>
      </c>
      <c r="IN92" s="143">
        <f>INDEX('File 8'!Weekly_Adjusted,50,17)</f>
        <v>0</v>
      </c>
      <c r="IO92" s="143">
        <f>INDEX('File 8'!Weekly_Adjusted,50,18)</f>
        <v>0</v>
      </c>
      <c r="IP92" s="142">
        <f>INDEX('File 9'!Weekly_Adjusted,50,16)</f>
        <v>0</v>
      </c>
      <c r="IQ92" s="142">
        <f>INDEX('File 9'!Weekly_Adjusted,50,17)</f>
        <v>0</v>
      </c>
      <c r="IR92" s="142">
        <f>INDEX('File 9'!Weekly_Adjusted,50,18)</f>
        <v>0</v>
      </c>
      <c r="IS92" s="143">
        <f>INDEX('File 10'!Weekly_Adjusted,50,16)</f>
        <v>0</v>
      </c>
      <c r="IT92" s="143">
        <f>INDEX('File 10'!Weekly_Adjusted,50,17)</f>
        <v>0</v>
      </c>
      <c r="IU92" s="143">
        <f>INDEX('File 10'!Weekly_Adjusted,50,18)</f>
        <v>0</v>
      </c>
      <c r="IV92" s="142">
        <f>INDEX('File 11'!Weekly_Adjusted,50,16)</f>
        <v>0</v>
      </c>
      <c r="IW92" s="142">
        <f>INDEX('File 11'!Weekly_Adjusted,50,17)</f>
        <v>0</v>
      </c>
      <c r="IX92" s="142">
        <f>INDEX('File 11'!Weekly_Adjusted,50,18)</f>
        <v>0</v>
      </c>
      <c r="IY92" s="143">
        <f>INDEX('File 12'!Weekly_Adjusted,50,16)</f>
        <v>0</v>
      </c>
      <c r="IZ92" s="143">
        <f>INDEX('File 12'!Weekly_Adjusted,50,17)</f>
        <v>0</v>
      </c>
      <c r="JA92" s="143">
        <f>INDEX('File 12'!Weekly_Adjusted,50,18)</f>
        <v>0</v>
      </c>
      <c r="JB92" s="142">
        <f>INDEX('File 13'!Weekly_Adjusted,50,16)</f>
        <v>0</v>
      </c>
      <c r="JC92" s="142">
        <f>INDEX('File 13'!Weekly_Adjusted,50,17)</f>
        <v>0</v>
      </c>
      <c r="JD92" s="142">
        <f>INDEX('File 13'!Weekly_Adjusted,50,18)</f>
        <v>0</v>
      </c>
      <c r="JE92" s="143">
        <f>INDEX('File 14'!Weekly_Adjusted,50,16)</f>
        <v>0</v>
      </c>
      <c r="JF92" s="143">
        <f>INDEX('File 14'!Weekly_Adjusted,50,17)</f>
        <v>0</v>
      </c>
      <c r="JG92" s="143">
        <f>INDEX('File 14'!Weekly_Adjusted,50,18)</f>
        <v>0</v>
      </c>
      <c r="JH92" s="142">
        <f>INDEX('File 15'!Weekly_Adjusted,50,16)</f>
        <v>0</v>
      </c>
      <c r="JI92" s="142">
        <f>INDEX('File 15'!Weekly_Adjusted,50,17)</f>
        <v>0</v>
      </c>
      <c r="JJ92" s="142">
        <f>INDEX('File 15'!Weekly_Adjusted,50,18)</f>
        <v>0</v>
      </c>
      <c r="JK92" s="143">
        <f>INDEX('File 16'!Weekly_Adjusted,50,16)</f>
        <v>0</v>
      </c>
      <c r="JL92" s="143">
        <f>INDEX('File 16'!Weekly_Adjusted,50,17)</f>
        <v>0</v>
      </c>
      <c r="JM92" s="143">
        <f>INDEX('File 16'!Weekly_Adjusted,50,18)</f>
        <v>0</v>
      </c>
      <c r="JN92" s="142">
        <f>INDEX('File 17'!Weekly_Adjusted,50,16)</f>
        <v>0</v>
      </c>
      <c r="JO92" s="142">
        <f>INDEX('File 17'!Weekly_Adjusted,50,17)</f>
        <v>0</v>
      </c>
      <c r="JP92" s="142">
        <f>INDEX('File 17'!Weekly_Adjusted,50,18)</f>
        <v>0</v>
      </c>
      <c r="JQ92" s="143">
        <f>INDEX('File 18'!Weekly_Adjusted,50,16)</f>
        <v>0</v>
      </c>
      <c r="JR92" s="143">
        <f>INDEX('File 18'!Weekly_Adjusted,50,17)</f>
        <v>0</v>
      </c>
      <c r="JS92" s="143">
        <f>INDEX('File 18'!Weekly_Adjusted,50,18)</f>
        <v>0</v>
      </c>
      <c r="JT92" s="142">
        <f>INDEX('File 19'!Weekly_Adjusted,50,16)</f>
        <v>0</v>
      </c>
      <c r="JU92" s="142">
        <f>INDEX('File 19'!Weekly_Adjusted,50,17)</f>
        <v>0</v>
      </c>
      <c r="JV92" s="142">
        <f>INDEX('File 19'!Weekly_Adjusted,50,18)</f>
        <v>0</v>
      </c>
      <c r="JW92" s="143">
        <f>INDEX('File 20'!Weekly_Adjusted,50,16)</f>
        <v>0</v>
      </c>
      <c r="JX92" s="143">
        <f>INDEX('File 20'!Weekly_Adjusted,50,17)</f>
        <v>0</v>
      </c>
      <c r="JY92" s="143">
        <f>INDEX('File 20'!Weekly_Adjusted,50,18)</f>
        <v>0</v>
      </c>
      <c r="JZ92" s="6">
        <f ca="1">SUMIFS(INDEX(CapacityCore_Activity_Weekly,ROW(EC50),0),Demand_Activity_Weekly_Header,HL$42)</f>
        <v>20.933351264120493</v>
      </c>
      <c r="KA92" s="6">
        <f ca="1">SUMIFS(INDEX(CapacityCore_Activity_Weekly,ROW(ED50),0),Demand_Activity_Weekly_Header,HM$42)</f>
        <v>0</v>
      </c>
      <c r="KB92" s="6">
        <f ca="1">SUMIFS(INDEX(CapacityCore_Activity_Weekly,ROW(EE50),0),Demand_Activity_Weekly_Header,HN$42)</f>
        <v>0</v>
      </c>
      <c r="KC92" s="6">
        <f ca="1">SUMIFS(INDEX(CapacityCore_Activity_Weekly,ROW(EF50),0),Demand_Activity_Weekly_Header,HO$42)</f>
        <v>0</v>
      </c>
      <c r="KD92" s="6">
        <f ca="1">SUMIFS(INDEX(CapacityCore_Activity_Weekly,ROW(EG50),0),Demand_Activity_Weekly_Header,HP$42)</f>
        <v>0</v>
      </c>
      <c r="KF92" s="6">
        <f>SUMIFS('Time based aggregation (hide)'!$J:$J,'Time based aggregation (hide)'!$E:$E,1,'Time based aggregation (hide)'!$F:$F,1,'Time based aggregation (hide)'!$A:$A,ROW(A50))</f>
        <v>0</v>
      </c>
      <c r="KG92" s="6">
        <f>SUMIFS('Time based aggregation (hide)'!$J:$J,'Time based aggregation (hide)'!$E:$E,1,'Time based aggregation (hide)'!$F:$F,2,'Time based aggregation (hide)'!$A:$A,ROW(A50))</f>
        <v>0</v>
      </c>
      <c r="KH92" s="6">
        <f>SUMIFS('Time based aggregation (hide)'!$J:$J,'Time based aggregation (hide)'!$E:$E,1,'Time based aggregation (hide)'!$F:$F,3,'Time based aggregation (hide)'!$A:$A,ROW(A50))</f>
        <v>0</v>
      </c>
      <c r="KI92" s="6">
        <f>SUMIFS('Time based aggregation (hide)'!$J:$J,'Time based aggregation (hide)'!$E:$E,2,'Time based aggregation (hide)'!$F:$F,1,'Time based aggregation (hide)'!$A:$A,ROW(A50))</f>
        <v>0</v>
      </c>
      <c r="KJ92" s="6">
        <f>SUMIFS('Time based aggregation (hide)'!$J:$J,'Time based aggregation (hide)'!$E:$E,2,'Time based aggregation (hide)'!$F:$F,2,'Time based aggregation (hide)'!$A:$A,ROW(A50))</f>
        <v>0</v>
      </c>
      <c r="KK92" s="6">
        <f>SUMIFS('Time based aggregation (hide)'!$J:$J,'Time based aggregation (hide)'!$E:$E,2,'Time based aggregation (hide)'!$F:$F,3,'Time based aggregation (hide)'!$A:$A,ROW(A50))</f>
        <v>0</v>
      </c>
      <c r="KL92" s="6">
        <f>SUMIFS('Time based aggregation (hide)'!$J:$J,'Time based aggregation (hide)'!$E:$E,3,'Time based aggregation (hide)'!$F:$F,1,'Time based aggregation (hide)'!$A:$A,ROW(A50))</f>
        <v>0</v>
      </c>
      <c r="KM92" s="6">
        <f>SUMIFS('Time based aggregation (hide)'!$J:$J,'Time based aggregation (hide)'!$E:$E,3,'Time based aggregation (hide)'!$F:$F,2,'Time based aggregation (hide)'!$A:$A,ROW(A50))</f>
        <v>0</v>
      </c>
      <c r="KN92" s="6">
        <f>SUMIFS('Time based aggregation (hide)'!$J:$J,'Time based aggregation (hide)'!$E:$E,3,'Time based aggregation (hide)'!$F:$F,3,'Time based aggregation (hide)'!$A:$A,ROW(A50))</f>
        <v>0</v>
      </c>
      <c r="KO92" s="6">
        <f>SUMIFS('Time based aggregation (hide)'!$J:$J,'Time based aggregation (hide)'!$E:$E,4,'Time based aggregation (hide)'!$F:$F,1,'Time based aggregation (hide)'!$A:$A,ROW(A50))</f>
        <v>0</v>
      </c>
      <c r="KP92" s="6">
        <f>SUMIFS('Time based aggregation (hide)'!$J:$J,'Time based aggregation (hide)'!$E:$E,4,'Time based aggregation (hide)'!$F:$F,2,'Time based aggregation (hide)'!$A:$A,ROW(A50))</f>
        <v>0</v>
      </c>
      <c r="KQ92" s="6">
        <f>SUMIFS('Time based aggregation (hide)'!$J:$J,'Time based aggregation (hide)'!$E:$E,4,'Time based aggregation (hide)'!$F:$F,3,'Time based aggregation (hide)'!$A:$A,ROW(A50))</f>
        <v>0</v>
      </c>
      <c r="KR92" s="6">
        <f>SUMIFS('Time based aggregation (hide)'!$J:$J,'Time based aggregation (hide)'!$E:$E,5,'Time based aggregation (hide)'!$F:$F,1,'Time based aggregation (hide)'!$A:$A,ROW(A50))</f>
        <v>0</v>
      </c>
      <c r="KS92" s="6">
        <f>SUMIFS('Time based aggregation (hide)'!$J:$J,'Time based aggregation (hide)'!$E:$E,5,'Time based aggregation (hide)'!$F:$F,2,'Time based aggregation (hide)'!$A:$A,ROW(A50))</f>
        <v>0</v>
      </c>
      <c r="KT92" s="6">
        <f>SUMIFS('Time based aggregation (hide)'!$J:$J,'Time based aggregation (hide)'!$E:$E,5,'Time based aggregation (hide)'!$F:$F,3,'Time based aggregation (hide)'!$A:$A,ROW(A50))</f>
        <v>0</v>
      </c>
      <c r="KU92" s="6">
        <f>SUMIFS('Time based aggregation (hide)'!$J:$J,'Time based aggregation (hide)'!$E:$E,6,'Time based aggregation (hide)'!$F:$F,1,'Time based aggregation (hide)'!$A:$A,ROW(A50))</f>
        <v>0</v>
      </c>
      <c r="KV92" s="6">
        <f>SUMIFS('Time based aggregation (hide)'!$J:$J,'Time based aggregation (hide)'!$E:$E,6,'Time based aggregation (hide)'!$F:$F,2,'Time based aggregation (hide)'!$A:$A,ROW(A50))</f>
        <v>0</v>
      </c>
      <c r="KW92" s="6">
        <f>SUMIFS('Time based aggregation (hide)'!$J:$J,'Time based aggregation (hide)'!$E:$E,6,'Time based aggregation (hide)'!$F:$F,3,'Time based aggregation (hide)'!$A:$A,ROW(A50))</f>
        <v>0</v>
      </c>
      <c r="KX92" s="6">
        <f>SUMIFS('Time based aggregation (hide)'!$J:$J,'Time based aggregation (hide)'!$E:$E,7,'Time based aggregation (hide)'!$F:$F,1,'Time based aggregation (hide)'!$A:$A,ROW(A50))</f>
        <v>0</v>
      </c>
      <c r="KY92" s="6">
        <f>SUMIFS('Time based aggregation (hide)'!$J:$J,'Time based aggregation (hide)'!$E:$E,7,'Time based aggregation (hide)'!$F:$F,2,'Time based aggregation (hide)'!$A:$A,ROW(A50))</f>
        <v>0</v>
      </c>
      <c r="KZ92" s="6">
        <f>SUMIFS('Time based aggregation (hide)'!$J:$J,'Time based aggregation (hide)'!$E:$E,7,'Time based aggregation (hide)'!$F:$F,3,'Time based aggregation (hide)'!$A:$A,ROW(A50))</f>
        <v>0</v>
      </c>
      <c r="LA92" s="6">
        <f>SUMIFS('Time based aggregation (hide)'!$J:$J,'Time based aggregation (hide)'!$E:$E,8,'Time based aggregation (hide)'!$F:$F,1,'Time based aggregation (hide)'!$A:$A,ROW(A50))</f>
        <v>0</v>
      </c>
      <c r="LB92" s="6">
        <f>SUMIFS('Time based aggregation (hide)'!$J:$J,'Time based aggregation (hide)'!$E:$E,8,'Time based aggregation (hide)'!$F:$F,2,'Time based aggregation (hide)'!$A:$A,ROW(A50))</f>
        <v>0</v>
      </c>
      <c r="LC92" s="6">
        <f>SUMIFS('Time based aggregation (hide)'!$J:$J,'Time based aggregation (hide)'!$E:$E,8,'Time based aggregation (hide)'!$F:$F,3,'Time based aggregation (hide)'!$A:$A,ROW(A50))</f>
        <v>0</v>
      </c>
      <c r="LD92" s="6">
        <f>SUMIFS('Time based aggregation (hide)'!$J:$J,'Time based aggregation (hide)'!$E:$E,9,'Time based aggregation (hide)'!$F:$F,1,'Time based aggregation (hide)'!$A:$A,ROW(A50))</f>
        <v>0</v>
      </c>
      <c r="LE92" s="6">
        <f>SUMIFS('Time based aggregation (hide)'!$J:$J,'Time based aggregation (hide)'!$E:$E,9,'Time based aggregation (hide)'!$F:$F,2,'Time based aggregation (hide)'!$A:$A,ROW(A50))</f>
        <v>0</v>
      </c>
      <c r="LF92" s="6">
        <f>SUMIFS('Time based aggregation (hide)'!$J:$J,'Time based aggregation (hide)'!$E:$E,9,'Time based aggregation (hide)'!$F:$F,3,'Time based aggregation (hide)'!$A:$A,ROW(A50))</f>
        <v>0</v>
      </c>
      <c r="LG92" s="6">
        <f>SUMIFS('Time based aggregation (hide)'!$J:$J,'Time based aggregation (hide)'!$E:$E,10,'Time based aggregation (hide)'!$F:$F,1,'Time based aggregation (hide)'!$A:$A,ROW(A50))</f>
        <v>0</v>
      </c>
      <c r="LH92" s="6">
        <f>SUMIFS('Time based aggregation (hide)'!$J:$J,'Time based aggregation (hide)'!$E:$E,10,'Time based aggregation (hide)'!$F:$F,2,'Time based aggregation (hide)'!$A:$A,ROW(A50))</f>
        <v>0</v>
      </c>
      <c r="LI92" s="6">
        <f>SUMIFS('Time based aggregation (hide)'!$J:$J,'Time based aggregation (hide)'!$E:$E,10,'Time based aggregation (hide)'!$F:$F,3,'Time based aggregation (hide)'!$A:$A,ROW(A50))</f>
        <v>0</v>
      </c>
      <c r="LJ92" s="6">
        <f>SUMIFS('Time based aggregation (hide)'!$J:$J,'Time based aggregation (hide)'!$E:$E,11,'Time based aggregation (hide)'!$F:$F,1,'Time based aggregation (hide)'!$A:$A,ROW(A50))</f>
        <v>0</v>
      </c>
      <c r="LK92" s="6">
        <f>SUMIFS('Time based aggregation (hide)'!$J:$J,'Time based aggregation (hide)'!$E:$E,11,'Time based aggregation (hide)'!$F:$F,2,'Time based aggregation (hide)'!$A:$A,ROW(A50))</f>
        <v>0</v>
      </c>
      <c r="LL92" s="6">
        <f>SUMIFS('Time based aggregation (hide)'!$J:$J,'Time based aggregation (hide)'!$E:$E,11,'Time based aggregation (hide)'!$F:$F,3,'Time based aggregation (hide)'!$A:$A,ROW(A50))</f>
        <v>0</v>
      </c>
      <c r="LM92" s="6">
        <f>SUMIFS('Time based aggregation (hide)'!$J:$J,'Time based aggregation (hide)'!$E:$E,12,'Time based aggregation (hide)'!$F:$F,1,'Time based aggregation (hide)'!$A:$A,ROW(A50))</f>
        <v>0</v>
      </c>
      <c r="LN92" s="6">
        <f>SUMIFS('Time based aggregation (hide)'!$J:$J,'Time based aggregation (hide)'!$E:$E,12,'Time based aggregation (hide)'!$F:$F,2,'Time based aggregation (hide)'!$A:$A,ROW(A50))</f>
        <v>0</v>
      </c>
      <c r="LO92" s="6">
        <f>SUMIFS('Time based aggregation (hide)'!$J:$J,'Time based aggregation (hide)'!$E:$E,12,'Time based aggregation (hide)'!$F:$F,3,'Time based aggregation (hide)'!$A:$A,ROW(A50))</f>
        <v>0</v>
      </c>
      <c r="LP92" s="6">
        <f>SUMIFS('Time based aggregation (hide)'!$J:$J,'Time based aggregation (hide)'!$E:$E,13,'Time based aggregation (hide)'!$F:$F,1,'Time based aggregation (hide)'!$A:$A,ROW(A50))</f>
        <v>0</v>
      </c>
      <c r="LQ92" s="6">
        <f>SUMIFS('Time based aggregation (hide)'!$J:$J,'Time based aggregation (hide)'!$E:$E,13,'Time based aggregation (hide)'!$F:$F,2,'Time based aggregation (hide)'!$A:$A,ROW(A50))</f>
        <v>0</v>
      </c>
      <c r="LR92" s="6">
        <f>SUMIFS('Time based aggregation (hide)'!$J:$J,'Time based aggregation (hide)'!$E:$E,13,'Time based aggregation (hide)'!$F:$F,3,'Time based aggregation (hide)'!$A:$A,ROW(A50))</f>
        <v>0</v>
      </c>
      <c r="LS92" s="6">
        <f>SUMIFS('Time based aggregation (hide)'!$J:$J,'Time based aggregation (hide)'!$E:$E,14,'Time based aggregation (hide)'!$F:$F,1,'Time based aggregation (hide)'!$A:$A,ROW(A50))</f>
        <v>0</v>
      </c>
      <c r="LT92" s="6">
        <f>SUMIFS('Time based aggregation (hide)'!$J:$J,'Time based aggregation (hide)'!$E:$E,14,'Time based aggregation (hide)'!$F:$F,2,'Time based aggregation (hide)'!$A:$A,ROW(A50))</f>
        <v>0</v>
      </c>
      <c r="LU92" s="6">
        <f>SUMIFS('Time based aggregation (hide)'!$J:$J,'Time based aggregation (hide)'!$E:$E,14,'Time based aggregation (hide)'!$F:$F,3,'Time based aggregation (hide)'!$A:$A,ROW(A50))</f>
        <v>0</v>
      </c>
      <c r="LV92" s="6">
        <f>SUMIFS('Time based aggregation (hide)'!$J:$J,'Time based aggregation (hide)'!$E:$E,15,'Time based aggregation (hide)'!$F:$F,1,'Time based aggregation (hide)'!$A:$A,ROW(A50))</f>
        <v>0</v>
      </c>
      <c r="LW92" s="6">
        <f>SUMIFS('Time based aggregation (hide)'!$J:$J,'Time based aggregation (hide)'!$E:$E,15,'Time based aggregation (hide)'!$F:$F,2,'Time based aggregation (hide)'!$A:$A,ROW(A50))</f>
        <v>0</v>
      </c>
      <c r="LX92" s="6">
        <f>SUMIFS('Time based aggregation (hide)'!$J:$J,'Time based aggregation (hide)'!$E:$E,15,'Time based aggregation (hide)'!$F:$F,3,'Time based aggregation (hide)'!$A:$A,ROW(A50))</f>
        <v>0</v>
      </c>
      <c r="LY92" s="6">
        <f>SUMIFS('Time based aggregation (hide)'!$J:$J,'Time based aggregation (hide)'!$E:$E,16,'Time based aggregation (hide)'!$F:$F,1,'Time based aggregation (hide)'!$A:$A,ROW(A50))</f>
        <v>0</v>
      </c>
      <c r="LZ92" s="6">
        <f>SUMIFS('Time based aggregation (hide)'!$J:$J,'Time based aggregation (hide)'!$E:$E,16,'Time based aggregation (hide)'!$F:$F,2,'Time based aggregation (hide)'!$A:$A,ROW(A50))</f>
        <v>0</v>
      </c>
      <c r="MA92" s="6">
        <f>SUMIFS('Time based aggregation (hide)'!$J:$J,'Time based aggregation (hide)'!$E:$E,16,'Time based aggregation (hide)'!$F:$F,3,'Time based aggregation (hide)'!$A:$A,ROW(A50))</f>
        <v>0</v>
      </c>
      <c r="MB92" s="6">
        <f>SUMIFS('Time based aggregation (hide)'!$J:$J,'Time based aggregation (hide)'!$E:$E,17,'Time based aggregation (hide)'!$F:$F,1,'Time based aggregation (hide)'!$A:$A,ROW(A50))</f>
        <v>0</v>
      </c>
      <c r="MC92" s="6">
        <f>SUMIFS('Time based aggregation (hide)'!$J:$J,'Time based aggregation (hide)'!$E:$E,17,'Time based aggregation (hide)'!$F:$F,2,'Time based aggregation (hide)'!$A:$A,ROW(A50))</f>
        <v>0</v>
      </c>
      <c r="MD92" s="6">
        <f>SUMIFS('Time based aggregation (hide)'!$J:$J,'Time based aggregation (hide)'!$E:$E,17,'Time based aggregation (hide)'!$F:$F,3,'Time based aggregation (hide)'!$A:$A,ROW(A50))</f>
        <v>0</v>
      </c>
      <c r="ME92" s="6">
        <f>SUMIFS('Time based aggregation (hide)'!$J:$J,'Time based aggregation (hide)'!$E:$E,18,'Time based aggregation (hide)'!$F:$F,1,'Time based aggregation (hide)'!$A:$A,ROW(A50))</f>
        <v>0</v>
      </c>
      <c r="MF92" s="6">
        <f>SUMIFS('Time based aggregation (hide)'!$J:$J,'Time based aggregation (hide)'!$E:$E,18,'Time based aggregation (hide)'!$F:$F,2,'Time based aggregation (hide)'!$A:$A,ROW(A50))</f>
        <v>0</v>
      </c>
      <c r="MG92" s="6">
        <f>SUMIFS('Time based aggregation (hide)'!$J:$J,'Time based aggregation (hide)'!$E:$E,18,'Time based aggregation (hide)'!$F:$F,3,'Time based aggregation (hide)'!$A:$A,ROW(A50))</f>
        <v>0</v>
      </c>
      <c r="MH92" s="6">
        <f>SUMIFS('Time based aggregation (hide)'!$J:$J,'Time based aggregation (hide)'!$E:$E,19,'Time based aggregation (hide)'!$F:$F,1,'Time based aggregation (hide)'!$A:$A,ROW(A50))</f>
        <v>0</v>
      </c>
      <c r="MI92" s="6">
        <f>SUMIFS('Time based aggregation (hide)'!$J:$J,'Time based aggregation (hide)'!$E:$E,19,'Time based aggregation (hide)'!$F:$F,2,'Time based aggregation (hide)'!$A:$A,ROW(A50))</f>
        <v>0</v>
      </c>
      <c r="MJ92" s="6">
        <f>SUMIFS('Time based aggregation (hide)'!$J:$J,'Time based aggregation (hide)'!$E:$E,19,'Time based aggregation (hide)'!$F:$F,3,'Time based aggregation (hide)'!$A:$A,ROW(A50))</f>
        <v>0</v>
      </c>
      <c r="MK92" s="6">
        <f>SUMIFS('Time based aggregation (hide)'!$J:$J,'Time based aggregation (hide)'!$E:$E,20,'Time based aggregation (hide)'!$F:$F,1,'Time based aggregation (hide)'!$A:$A,ROW(A50))</f>
        <v>0</v>
      </c>
      <c r="ML92" s="6">
        <f>SUMIFS('Time based aggregation (hide)'!$J:$J,'Time based aggregation (hide)'!$E:$E,20,'Time based aggregation (hide)'!$F:$F,2,'Time based aggregation (hide)'!$A:$A,ROW(A50))</f>
        <v>0</v>
      </c>
      <c r="MM92" s="6">
        <f>SUMIFS('Time based aggregation (hide)'!$J:$J,'Time based aggregation (hide)'!$E:$E,20,'Time based aggregation (hide)'!$F:$F,3,'Time based aggregation (hide)'!$A:$A,ROW(A50))</f>
        <v>0</v>
      </c>
      <c r="MN92" s="7">
        <f t="shared" ref="MN92:MR94" ca="1" si="51">IF(OR($J$102=0,AND($J$102=0,$J$103=0)),SUMIFS($KF92:$MM92,$AB$42:$CI$42,MN$42),SUMIFS(OFFSET($KF92,0,($J$102-1)*3,1,3),OFFSET($KF$42,0,($J$102-1)*3,1,3),MN$42))</f>
        <v>0</v>
      </c>
      <c r="MO92" s="7">
        <f t="shared" ca="1" si="51"/>
        <v>0</v>
      </c>
      <c r="MP92" s="7">
        <f t="shared" ca="1" si="51"/>
        <v>0</v>
      </c>
      <c r="MQ92" s="7">
        <f t="shared" ca="1" si="51"/>
        <v>0</v>
      </c>
      <c r="MR92" s="7">
        <f t="shared" ca="1" si="51"/>
        <v>0</v>
      </c>
    </row>
    <row r="93" spans="1:356" x14ac:dyDescent="0.25">
      <c r="A93">
        <f>1</f>
        <v>1</v>
      </c>
      <c r="B93" s="85">
        <f t="shared" si="37"/>
        <v>43881</v>
      </c>
      <c r="C93" s="85">
        <f t="shared" si="25"/>
        <v>43878</v>
      </c>
      <c r="D93">
        <f t="shared" ca="1" si="26"/>
        <v>1</v>
      </c>
      <c r="E93" s="85">
        <f t="shared" si="27"/>
        <v>43862</v>
      </c>
      <c r="F93">
        <f t="shared" si="33"/>
        <v>8</v>
      </c>
      <c r="H93">
        <f t="shared" si="34"/>
        <v>51</v>
      </c>
      <c r="I93" s="85">
        <f t="shared" si="38"/>
        <v>44179</v>
      </c>
      <c r="J93">
        <f t="shared" ca="1" si="46"/>
        <v>5</v>
      </c>
      <c r="K93">
        <f t="shared" ca="1" si="47"/>
        <v>1.968503937007874E-2</v>
      </c>
      <c r="L93" s="114"/>
      <c r="N93" s="85">
        <f t="shared" si="35"/>
        <v>44179</v>
      </c>
      <c r="O93" s="122">
        <f t="shared" ca="1" si="49"/>
        <v>0</v>
      </c>
      <c r="P93" s="122">
        <f t="shared" ca="1" si="49"/>
        <v>0</v>
      </c>
      <c r="Q93" s="122">
        <f t="shared" ca="1" si="49"/>
        <v>0</v>
      </c>
      <c r="R93" s="122">
        <f t="shared" ca="1" si="49"/>
        <v>0</v>
      </c>
      <c r="S93" s="122">
        <f t="shared" ca="1" si="49"/>
        <v>0</v>
      </c>
      <c r="T93" s="122">
        <f t="shared" ca="1" si="49"/>
        <v>0</v>
      </c>
      <c r="U93" s="122">
        <f t="shared" ca="1" si="49"/>
        <v>0</v>
      </c>
      <c r="V93" s="122">
        <f t="shared" ca="1" si="49"/>
        <v>0</v>
      </c>
      <c r="W93" s="122">
        <f t="shared" ca="1" si="49"/>
        <v>0</v>
      </c>
      <c r="X93" s="122">
        <f t="shared" ca="1" si="49"/>
        <v>0</v>
      </c>
      <c r="Y93" s="122">
        <f t="shared" ca="1" si="49"/>
        <v>0</v>
      </c>
      <c r="Z93" s="122">
        <f t="shared" ca="1" si="49"/>
        <v>1</v>
      </c>
      <c r="AA93" s="122"/>
      <c r="AB93" s="140">
        <f>INDEX('File 1'!Weekly_Adjusted,51,1)</f>
        <v>388.17143954725253</v>
      </c>
      <c r="AC93" s="140">
        <f>INDEX('File 1'!Weekly_Adjusted,51,2)</f>
        <v>0</v>
      </c>
      <c r="AD93" s="140">
        <f>INDEX('File 1'!Weekly_Adjusted,51,3)</f>
        <v>0</v>
      </c>
      <c r="AE93" s="141">
        <f>INDEX('File 2'!Weekly_Adjusted,51,1)</f>
        <v>0</v>
      </c>
      <c r="AF93" s="141">
        <f>INDEX('File 2'!Weekly_Adjusted,51,2)</f>
        <v>0</v>
      </c>
      <c r="AG93" s="141">
        <f>INDEX('File 2'!Weekly_Adjusted,51,3)</f>
        <v>0</v>
      </c>
      <c r="AH93" s="140">
        <f>INDEX('File 3'!Weekly_Adjusted,51,1)</f>
        <v>0</v>
      </c>
      <c r="AI93" s="140">
        <f>INDEX('File 3'!Weekly_Adjusted,51,2)</f>
        <v>0</v>
      </c>
      <c r="AJ93" s="140">
        <f>INDEX('File 3'!Weekly_Adjusted,51,3)</f>
        <v>0</v>
      </c>
      <c r="AK93" s="141">
        <f>INDEX('File 4'!Weekly_Adjusted,51,1)</f>
        <v>0</v>
      </c>
      <c r="AL93" s="141">
        <f>INDEX('File 4'!Weekly_Adjusted,51,2)</f>
        <v>0</v>
      </c>
      <c r="AM93" s="141">
        <f>INDEX('File 4'!Weekly_Adjusted,51,3)</f>
        <v>0</v>
      </c>
      <c r="AN93" s="140">
        <f>INDEX('File 5'!Weekly_Adjusted,51,1)</f>
        <v>0</v>
      </c>
      <c r="AO93" s="140">
        <f>INDEX('File 5'!Weekly_Adjusted,51,2)</f>
        <v>0</v>
      </c>
      <c r="AP93" s="140">
        <f>INDEX('File 5'!Weekly_Adjusted,51,3)</f>
        <v>0</v>
      </c>
      <c r="AQ93" s="141">
        <f>INDEX('File 6'!Weekly_Adjusted,51,1)</f>
        <v>0</v>
      </c>
      <c r="AR93" s="141">
        <f>INDEX('File 6'!Weekly_Adjusted,51,2)</f>
        <v>0</v>
      </c>
      <c r="AS93" s="141">
        <f>INDEX('File 6'!Weekly_Adjusted,51,3)</f>
        <v>0</v>
      </c>
      <c r="AT93" s="140">
        <f>INDEX('File 7'!Weekly_Adjusted,51,1)</f>
        <v>0</v>
      </c>
      <c r="AU93" s="140">
        <f>INDEX('File 7'!Weekly_Adjusted,51,2)</f>
        <v>0</v>
      </c>
      <c r="AV93" s="140">
        <f>INDEX('File 7'!Weekly_Adjusted,51,3)</f>
        <v>0</v>
      </c>
      <c r="AW93" s="141">
        <f>INDEX('File 8'!Weekly_Adjusted,51,1)</f>
        <v>0</v>
      </c>
      <c r="AX93" s="141">
        <f>INDEX('File 8'!Weekly_Adjusted,51,2)</f>
        <v>0</v>
      </c>
      <c r="AY93" s="141">
        <f>INDEX('File 8'!Weekly_Adjusted,51,3)</f>
        <v>0</v>
      </c>
      <c r="AZ93" s="140">
        <f>INDEX('File 9'!Weekly_Adjusted,51,1)</f>
        <v>0</v>
      </c>
      <c r="BA93" s="140">
        <f>INDEX('File 9'!Weekly_Adjusted,51,2)</f>
        <v>0</v>
      </c>
      <c r="BB93" s="140">
        <f>INDEX('File 9'!Weekly_Adjusted,51,3)</f>
        <v>0</v>
      </c>
      <c r="BC93" s="141">
        <f>INDEX('File 10'!Weekly_Adjusted,51,1)</f>
        <v>0</v>
      </c>
      <c r="BD93" s="141">
        <f>INDEX('File 10'!Weekly_Adjusted,51,2)</f>
        <v>0</v>
      </c>
      <c r="BE93" s="141">
        <f>INDEX('File 10'!Weekly_Adjusted,51,3)</f>
        <v>0</v>
      </c>
      <c r="BF93" s="140">
        <f>INDEX('File 11'!Weekly_Adjusted,51,1)</f>
        <v>0</v>
      </c>
      <c r="BG93" s="140">
        <f>INDEX('File 11'!Weekly_Adjusted,51,2)</f>
        <v>0</v>
      </c>
      <c r="BH93" s="140">
        <f>INDEX('File 11'!Weekly_Adjusted,51,3)</f>
        <v>0</v>
      </c>
      <c r="BI93" s="141">
        <f>INDEX('File 12'!Weekly_Adjusted,51,1)</f>
        <v>0</v>
      </c>
      <c r="BJ93" s="141">
        <f>INDEX('File 12'!Weekly_Adjusted,51,2)</f>
        <v>0</v>
      </c>
      <c r="BK93" s="141">
        <f>INDEX('File 12'!Weekly_Adjusted,51,3)</f>
        <v>0</v>
      </c>
      <c r="BL93" s="140">
        <f>INDEX('File 13'!Weekly_Adjusted,51,1)</f>
        <v>0</v>
      </c>
      <c r="BM93" s="140">
        <f>INDEX('File 13'!Weekly_Adjusted,51,2)</f>
        <v>0</v>
      </c>
      <c r="BN93" s="140">
        <f>INDEX('File 13'!Weekly_Adjusted,51,3)</f>
        <v>0</v>
      </c>
      <c r="BO93" s="141">
        <f>INDEX('File 14'!Weekly_Adjusted,51,1)</f>
        <v>0</v>
      </c>
      <c r="BP93" s="141">
        <f>INDEX('File 14'!Weekly_Adjusted,51,2)</f>
        <v>0</v>
      </c>
      <c r="BQ93" s="141">
        <f>INDEX('File 14'!Weekly_Adjusted,51,3)</f>
        <v>0</v>
      </c>
      <c r="BR93" s="140">
        <f>INDEX('File 15'!Weekly_Adjusted,51,1)</f>
        <v>0</v>
      </c>
      <c r="BS93" s="140">
        <f>INDEX('File 15'!Weekly_Adjusted,51,2)</f>
        <v>0</v>
      </c>
      <c r="BT93" s="140">
        <f>INDEX('File 15'!Weekly_Adjusted,51,3)</f>
        <v>0</v>
      </c>
      <c r="BU93" s="141">
        <f>INDEX('File 16'!Weekly_Adjusted,51,1)</f>
        <v>0</v>
      </c>
      <c r="BV93" s="141">
        <f>INDEX('File 16'!Weekly_Adjusted,51,2)</f>
        <v>0</v>
      </c>
      <c r="BW93" s="141">
        <f>INDEX('File 16'!Weekly_Adjusted,51,3)</f>
        <v>0</v>
      </c>
      <c r="BX93" s="140">
        <f>INDEX('File 17'!Weekly_Adjusted,51,1)</f>
        <v>0</v>
      </c>
      <c r="BY93" s="140">
        <f>INDEX('File 17'!Weekly_Adjusted,51,2)</f>
        <v>0</v>
      </c>
      <c r="BZ93" s="140">
        <f>INDEX('File 17'!Weekly_Adjusted,51,3)</f>
        <v>0</v>
      </c>
      <c r="CA93" s="141">
        <f>INDEX('File 18'!Weekly_Adjusted,51,1)</f>
        <v>0</v>
      </c>
      <c r="CB93" s="141">
        <f>INDEX('File 18'!Weekly_Adjusted,51,2)</f>
        <v>0</v>
      </c>
      <c r="CC93" s="141">
        <f>INDEX('File 18'!Weekly_Adjusted,51,3)</f>
        <v>0</v>
      </c>
      <c r="CD93" s="140">
        <f>INDEX('File 19'!Weekly_Adjusted,51,1)</f>
        <v>0</v>
      </c>
      <c r="CE93" s="140">
        <f>INDEX('File 19'!Weekly_Adjusted,51,2)</f>
        <v>0</v>
      </c>
      <c r="CF93" s="140">
        <f>INDEX('File 19'!Weekly_Adjusted,51,3)</f>
        <v>0</v>
      </c>
      <c r="CG93" s="141">
        <f>INDEX('File 20'!Weekly_Adjusted,51,1)</f>
        <v>0</v>
      </c>
      <c r="CH93" s="141">
        <f>INDEX('File 20'!Weekly_Adjusted,51,2)</f>
        <v>0</v>
      </c>
      <c r="CI93" s="141">
        <f>INDEX('File 20'!Weekly_Adjusted,51,3)</f>
        <v>0</v>
      </c>
      <c r="CJ93" s="6">
        <f ca="1">SUMIFS(INDEX(Demand_Activity_Weekly,ROW(A51),0),Demand_Activity_Weekly_Header,CJ$42)</f>
        <v>388.17143954725253</v>
      </c>
      <c r="CK93" s="6">
        <f ca="1">SUMIFS(INDEX(Demand_Activity_Weekly,ROW(B51),0),Demand_Activity_Weekly_Header,CK$42)</f>
        <v>0</v>
      </c>
      <c r="CL93" s="6">
        <f ca="1">SUMIFS(INDEX(Demand_Activity_Weekly,ROW(C51),0),Demand_Activity_Weekly_Header,CL$42)</f>
        <v>0</v>
      </c>
      <c r="CM93" s="6">
        <f ca="1">SUMIFS(INDEX(Demand_Activity_Weekly,ROW(D51),0),Demand_Activity_Weekly_Header,CM$42)</f>
        <v>0</v>
      </c>
      <c r="CN93" s="6">
        <f ca="1">SUMIFS(INDEX(Demand_Activity_Weekly,ROW(E51),0),Demand_Activity_Weekly_Header,CN$42)</f>
        <v>0</v>
      </c>
      <c r="CP93" s="142">
        <f>INDEX('File 1'!Weekly_Adjusted,51,10)</f>
        <v>24.344712210866053</v>
      </c>
      <c r="CQ93" s="142">
        <f>INDEX('File 1'!Weekly_Adjusted,51,11)</f>
        <v>0</v>
      </c>
      <c r="CR93" s="142">
        <f>INDEX('File 1'!Weekly_Adjusted,51,12)</f>
        <v>0</v>
      </c>
      <c r="CS93" s="143">
        <f>INDEX('File 2'!Weekly_Adjusted,51,10)</f>
        <v>0</v>
      </c>
      <c r="CT93" s="143">
        <f>INDEX('File 2'!Weekly_Adjusted,51,11)</f>
        <v>0</v>
      </c>
      <c r="CU93" s="143">
        <f>INDEX('File 2'!Weekly_Adjusted,51,12)</f>
        <v>0</v>
      </c>
      <c r="CV93" s="142">
        <f>INDEX('File 3'!Weekly_Adjusted,51,10)</f>
        <v>0</v>
      </c>
      <c r="CW93" s="142">
        <f>INDEX('File 3'!Weekly_Adjusted,51,11)</f>
        <v>0</v>
      </c>
      <c r="CX93" s="142">
        <f>INDEX('File 3'!Weekly_Adjusted,51,12)</f>
        <v>0</v>
      </c>
      <c r="CY93" s="143">
        <f>INDEX('File 4'!Weekly_Adjusted,51,10)</f>
        <v>0</v>
      </c>
      <c r="CZ93" s="143">
        <f>INDEX('File 4'!Weekly_Adjusted,51,11)</f>
        <v>0</v>
      </c>
      <c r="DA93" s="143">
        <f>INDEX('File 4'!Weekly_Adjusted,51,12)</f>
        <v>0</v>
      </c>
      <c r="DB93" s="142">
        <f>INDEX('File 5'!Weekly_Adjusted,51,10)</f>
        <v>0</v>
      </c>
      <c r="DC93" s="142">
        <f>INDEX('File 5'!Weekly_Adjusted,51,11)</f>
        <v>0</v>
      </c>
      <c r="DD93" s="142">
        <f>INDEX('File 5'!Weekly_Adjusted,51,12)</f>
        <v>0</v>
      </c>
      <c r="DE93" s="143">
        <f>INDEX('File 6'!Weekly_Adjusted,51,10)</f>
        <v>0</v>
      </c>
      <c r="DF93" s="143">
        <f>INDEX('File 6'!Weekly_Adjusted,51,11)</f>
        <v>0</v>
      </c>
      <c r="DG93" s="143">
        <f>INDEX('File 6'!Weekly_Adjusted,51,12)</f>
        <v>0</v>
      </c>
      <c r="DH93" s="142">
        <f>INDEX('File 7'!Weekly_Adjusted,51,10)</f>
        <v>0</v>
      </c>
      <c r="DI93" s="142">
        <f>INDEX('File 7'!Weekly_Adjusted,51,11)</f>
        <v>0</v>
      </c>
      <c r="DJ93" s="142">
        <f>INDEX('File 7'!Weekly_Adjusted,51,12)</f>
        <v>0</v>
      </c>
      <c r="DK93" s="143">
        <f>INDEX('File 8'!Weekly_Adjusted,51,10)</f>
        <v>0</v>
      </c>
      <c r="DL93" s="143">
        <f>INDEX('File 8'!Weekly_Adjusted,51,11)</f>
        <v>0</v>
      </c>
      <c r="DM93" s="143">
        <f>INDEX('File 8'!Weekly_Adjusted,51,12)</f>
        <v>0</v>
      </c>
      <c r="DN93" s="142">
        <f>INDEX('File 9'!Weekly_Adjusted,51,10)</f>
        <v>0</v>
      </c>
      <c r="DO93" s="142">
        <f>INDEX('File 9'!Weekly_Adjusted,51,11)</f>
        <v>0</v>
      </c>
      <c r="DP93" s="142">
        <f>INDEX('File 9'!Weekly_Adjusted,51,12)</f>
        <v>0</v>
      </c>
      <c r="DQ93" s="143">
        <f>INDEX('File 10'!Weekly_Adjusted,51,10)</f>
        <v>0</v>
      </c>
      <c r="DR93" s="143">
        <f>INDEX('File 10'!Weekly_Adjusted,51,11)</f>
        <v>0</v>
      </c>
      <c r="DS93" s="143">
        <f>INDEX('File 10'!Weekly_Adjusted,51,12)</f>
        <v>0</v>
      </c>
      <c r="DT93" s="142">
        <f>INDEX('File 11'!Weekly_Adjusted,51,10)</f>
        <v>0</v>
      </c>
      <c r="DU93" s="142">
        <f>INDEX('File 11'!Weekly_Adjusted,51,11)</f>
        <v>0</v>
      </c>
      <c r="DV93" s="142">
        <f>INDEX('File 11'!Weekly_Adjusted,51,12)</f>
        <v>0</v>
      </c>
      <c r="DW93" s="143">
        <f>INDEX('File 12'!Weekly_Adjusted,51,10)</f>
        <v>0</v>
      </c>
      <c r="DX93" s="143">
        <f>INDEX('File 12'!Weekly_Adjusted,51,11)</f>
        <v>0</v>
      </c>
      <c r="DY93" s="143">
        <f>INDEX('File 12'!Weekly_Adjusted,51,12)</f>
        <v>0</v>
      </c>
      <c r="DZ93" s="142">
        <f>INDEX('File 13'!Weekly_Adjusted,51,10)</f>
        <v>0</v>
      </c>
      <c r="EA93" s="142">
        <f>INDEX('File 13'!Weekly_Adjusted,51,11)</f>
        <v>0</v>
      </c>
      <c r="EB93" s="142">
        <f>INDEX('File 13'!Weekly_Adjusted,51,12)</f>
        <v>0</v>
      </c>
      <c r="EC93" s="143">
        <f>INDEX('File 14'!Weekly_Adjusted,51,10)</f>
        <v>0</v>
      </c>
      <c r="ED93" s="143">
        <f>INDEX('File 14'!Weekly_Adjusted,51,11)</f>
        <v>0</v>
      </c>
      <c r="EE93" s="143">
        <f>INDEX('File 14'!Weekly_Adjusted,51,12)</f>
        <v>0</v>
      </c>
      <c r="EF93" s="142">
        <f>INDEX('File 15'!Weekly_Adjusted,51,10)</f>
        <v>0</v>
      </c>
      <c r="EG93" s="142">
        <f>INDEX('File 15'!Weekly_Adjusted,51,11)</f>
        <v>0</v>
      </c>
      <c r="EH93" s="142">
        <f>INDEX('File 15'!Weekly_Adjusted,51,12)</f>
        <v>0</v>
      </c>
      <c r="EI93" s="143">
        <f>INDEX('File 16'!Weekly_Adjusted,51,10)</f>
        <v>0</v>
      </c>
      <c r="EJ93" s="143">
        <f>INDEX('File 16'!Weekly_Adjusted,51,11)</f>
        <v>0</v>
      </c>
      <c r="EK93" s="143">
        <f>INDEX('File 16'!Weekly_Adjusted,51,12)</f>
        <v>0</v>
      </c>
      <c r="EL93" s="142">
        <f>INDEX('File 17'!Weekly_Adjusted,51,10)</f>
        <v>0</v>
      </c>
      <c r="EM93" s="142">
        <f>INDEX('File 17'!Weekly_Adjusted,51,11)</f>
        <v>0</v>
      </c>
      <c r="EN93" s="142">
        <f>INDEX('File 17'!Weekly_Adjusted,51,12)</f>
        <v>0</v>
      </c>
      <c r="EO93" s="143">
        <f>INDEX('File 18'!Weekly_Adjusted,51,10)</f>
        <v>0</v>
      </c>
      <c r="EP93" s="143">
        <f>INDEX('File 18'!Weekly_Adjusted,51,11)</f>
        <v>0</v>
      </c>
      <c r="EQ93" s="143">
        <f>INDEX('File 18'!Weekly_Adjusted,51,12)</f>
        <v>0</v>
      </c>
      <c r="ER93" s="142">
        <f>INDEX('File 19'!Weekly_Adjusted,51,10)</f>
        <v>0</v>
      </c>
      <c r="ES93" s="142">
        <f>INDEX('File 19'!Weekly_Adjusted,51,11)</f>
        <v>0</v>
      </c>
      <c r="ET93" s="142">
        <f>INDEX('File 19'!Weekly_Adjusted,51,12)</f>
        <v>0</v>
      </c>
      <c r="EU93" s="143">
        <f>INDEX('File 20'!Weekly_Adjusted,51,10)</f>
        <v>0</v>
      </c>
      <c r="EV93" s="143">
        <f>INDEX('File 20'!Weekly_Adjusted,51,11)</f>
        <v>0</v>
      </c>
      <c r="EW93" s="143">
        <f>INDEX('File 20'!Weekly_Adjusted,51,12)</f>
        <v>0</v>
      </c>
      <c r="EX93" s="6">
        <f ca="1">SUMIFS(INDEX(Capacity_Activity_Weekly,ROW(A51),0),Demand_Activity_Weekly_Header,CJ$42)</f>
        <v>24.344712210866053</v>
      </c>
      <c r="EY93" s="6">
        <f ca="1">SUMIFS(INDEX(Capacity_Activity_Weekly,ROW(B51),0),Demand_Activity_Weekly_Header,CK$42)</f>
        <v>0</v>
      </c>
      <c r="EZ93" s="6">
        <f ca="1">SUMIFS(INDEX(Capacity_Activity_Weekly,ROW(C51),0),Demand_Activity_Weekly_Header,CL$42)</f>
        <v>0</v>
      </c>
      <c r="FA93" s="6">
        <f ca="1">SUMIFS(INDEX(Capacity_Activity_Weekly,ROW(D51),0),Demand_Activity_Weekly_Header,CM$42)</f>
        <v>0</v>
      </c>
      <c r="FB93" s="6">
        <f ca="1">SUMIFS(INDEX(Capacity_Activity_Weekly,ROW(E51),0),Demand_Activity_Weekly_Header,CN$42)</f>
        <v>0</v>
      </c>
      <c r="FD93" s="7">
        <f>'File 1'!$Q$54*'Time based aggregation (hide)'!$Q55</f>
        <v>0</v>
      </c>
      <c r="FE93" s="7">
        <f>'File 1'!$R$54*'Time based aggregation (hide)'!$R55</f>
        <v>0</v>
      </c>
      <c r="FF93" s="7">
        <f>'File 1'!$S$54*'Time based aggregation (hide)'!$S55</f>
        <v>0</v>
      </c>
      <c r="FG93" s="7">
        <f>'File 2'!$Q$54*'Time based aggregation (hide)'!$T55</f>
        <v>0</v>
      </c>
      <c r="FH93" s="7">
        <f>'File 2'!$R$54*'Time based aggregation (hide)'!$U55</f>
        <v>0</v>
      </c>
      <c r="FI93" s="7">
        <f>'File 2'!$S$54*'Time based aggregation (hide)'!$V55</f>
        <v>0</v>
      </c>
      <c r="FJ93" s="7">
        <f>'File 3'!$Q$54*'Time based aggregation (hide)'!$W55</f>
        <v>0</v>
      </c>
      <c r="FK93" s="7">
        <f>'File 3'!$R$54*'Time based aggregation (hide)'!$X55</f>
        <v>0</v>
      </c>
      <c r="FL93" s="7">
        <f>'File 3'!$S$54*'Time based aggregation (hide)'!$Y55</f>
        <v>0</v>
      </c>
      <c r="FM93" s="7">
        <f>'File 4'!$Q$54*'Time based aggregation (hide)'!$Z55</f>
        <v>0</v>
      </c>
      <c r="FN93" s="7">
        <f>'File 4'!$R$54*'Time based aggregation (hide)'!$AA55</f>
        <v>0</v>
      </c>
      <c r="FO93" s="7">
        <f>'File 4'!$S$54*'Time based aggregation (hide)'!$AB55</f>
        <v>0</v>
      </c>
      <c r="FP93" s="7">
        <f>'File 5'!$Q$54*'Time based aggregation (hide)'!$AC55</f>
        <v>0</v>
      </c>
      <c r="FQ93" s="7">
        <f>'File 5'!$R$54*'Time based aggregation (hide)'!$AD55</f>
        <v>0</v>
      </c>
      <c r="FR93" s="7">
        <f>'File 5'!$S$54*'Time based aggregation (hide)'!$AE55</f>
        <v>0</v>
      </c>
      <c r="FS93" s="7">
        <f>'File 6'!$Q$54*'Time based aggregation (hide)'!$AF55</f>
        <v>0</v>
      </c>
      <c r="FT93" s="7">
        <f>'File 6'!$R$54*'Time based aggregation (hide)'!$AG55</f>
        <v>0</v>
      </c>
      <c r="FU93" s="7">
        <f>'File 6'!$S$54*'Time based aggregation (hide)'!$AH55</f>
        <v>0</v>
      </c>
      <c r="FV93" s="7">
        <f>'File 7'!$Q$54*'Time based aggregation (hide)'!$AI55</f>
        <v>0</v>
      </c>
      <c r="FW93" s="7">
        <f>'File 7'!$R$54*'Time based aggregation (hide)'!$AJ55</f>
        <v>0</v>
      </c>
      <c r="FX93" s="7">
        <f>'File 7'!$S$54*'Time based aggregation (hide)'!$AK55</f>
        <v>0</v>
      </c>
      <c r="FY93" s="7">
        <f>'File 8'!$Q$54*'Time based aggregation (hide)'!$AL55</f>
        <v>0</v>
      </c>
      <c r="FZ93" s="7">
        <f>'File 8'!$R$54*'Time based aggregation (hide)'!$AM55</f>
        <v>0</v>
      </c>
      <c r="GA93" s="7">
        <f>'File 8'!$S$54*'Time based aggregation (hide)'!$AN55</f>
        <v>0</v>
      </c>
      <c r="GB93" s="7">
        <f>'File 9'!$Q$54*'Time based aggregation (hide)'!$AO55</f>
        <v>0</v>
      </c>
      <c r="GC93" s="7">
        <f>'File 9'!$R$54*'Time based aggregation (hide)'!$AP55</f>
        <v>0</v>
      </c>
      <c r="GD93" s="7">
        <f>'File 9'!$S$54*'Time based aggregation (hide)'!$AQ55</f>
        <v>0</v>
      </c>
      <c r="GE93" s="7">
        <f>'File 10'!$Q$54*'Time based aggregation (hide)'!$AR55</f>
        <v>0</v>
      </c>
      <c r="GF93" s="7">
        <f>'File 10'!$R$54*'Time based aggregation (hide)'!$AS55</f>
        <v>0</v>
      </c>
      <c r="GG93" s="7">
        <f>'File 10'!$S$54*'Time based aggregation (hide)'!$AT55</f>
        <v>0</v>
      </c>
      <c r="GH93" s="7">
        <f>'File 11'!$Q$54*'Time based aggregation (hide)'!$AU55</f>
        <v>0</v>
      </c>
      <c r="GI93" s="7">
        <f>'File 11'!$R$54*'Time based aggregation (hide)'!$AV55</f>
        <v>0</v>
      </c>
      <c r="GJ93" s="7">
        <f>'File 11'!$S$54*'Time based aggregation (hide)'!$AW55</f>
        <v>0</v>
      </c>
      <c r="GK93" s="7">
        <f>'File 12'!$Q$54*'Time based aggregation (hide)'!$AX55</f>
        <v>0</v>
      </c>
      <c r="GL93" s="7">
        <f>'File 12'!$R$54*'Time based aggregation (hide)'!$AY55</f>
        <v>0</v>
      </c>
      <c r="GM93" s="7">
        <f>'File 12'!$S$54*'Time based aggregation (hide)'!$AZ55</f>
        <v>0</v>
      </c>
      <c r="GN93" s="7">
        <f>'File 13'!$Q$54*'Time based aggregation (hide)'!$BA55</f>
        <v>0</v>
      </c>
      <c r="GO93" s="7">
        <f>'File 13'!$R$54*'Time based aggregation (hide)'!$BB55</f>
        <v>0</v>
      </c>
      <c r="GP93" s="7">
        <f>'File 13'!$S$54*'Time based aggregation (hide)'!$BC55</f>
        <v>0</v>
      </c>
      <c r="GQ93" s="7">
        <f>'File 14'!$Q$54*'Time based aggregation (hide)'!$BD55</f>
        <v>0</v>
      </c>
      <c r="GR93" s="7">
        <f>'File 14'!$R$54*'Time based aggregation (hide)'!$BE55</f>
        <v>0</v>
      </c>
      <c r="GS93" s="7">
        <f>'File 14'!$S$54*'Time based aggregation (hide)'!$BF55</f>
        <v>0</v>
      </c>
      <c r="GT93" s="7">
        <f>'File 15'!$Q$54*'Time based aggregation (hide)'!$BG55</f>
        <v>0</v>
      </c>
      <c r="GU93" s="7">
        <f>'File 15'!$R$54*'Time based aggregation (hide)'!$BH55</f>
        <v>0</v>
      </c>
      <c r="GV93" s="7">
        <f>'File 15'!$S$54*'Time based aggregation (hide)'!$BI55</f>
        <v>0</v>
      </c>
      <c r="GW93" s="7">
        <f>'File 16'!$Q$54*'Time based aggregation (hide)'!$BJ55</f>
        <v>0</v>
      </c>
      <c r="GX93" s="7">
        <f>'File 16'!$R$54*'Time based aggregation (hide)'!$BK55</f>
        <v>0</v>
      </c>
      <c r="GY93" s="7">
        <f>'File 16'!$S$54*'Time based aggregation (hide)'!$BL55</f>
        <v>0</v>
      </c>
      <c r="GZ93" s="7">
        <f>'File 17'!$Q$54*'Time based aggregation (hide)'!$BM55</f>
        <v>0</v>
      </c>
      <c r="HA93" s="7">
        <f>'File 17'!$R$54*'Time based aggregation (hide)'!$BN55</f>
        <v>0</v>
      </c>
      <c r="HB93" s="7">
        <f>'File 17'!$S$54*'Time based aggregation (hide)'!$BO55</f>
        <v>0</v>
      </c>
      <c r="HC93" s="7">
        <f>'File 18'!$Q$54*'Time based aggregation (hide)'!$BP55</f>
        <v>0</v>
      </c>
      <c r="HD93" s="7">
        <f>'File 18'!$R$54*'Time based aggregation (hide)'!$BQ55</f>
        <v>0</v>
      </c>
      <c r="HE93" s="7">
        <f>'File 18'!$S$54*'Time based aggregation (hide)'!$BR55</f>
        <v>0</v>
      </c>
      <c r="HF93" s="7">
        <f>'File 19'!$Q$54*'Time based aggregation (hide)'!$BS55</f>
        <v>0</v>
      </c>
      <c r="HG93" s="7">
        <f>'File 19'!$R$54*'Time based aggregation (hide)'!$BT55</f>
        <v>0</v>
      </c>
      <c r="HH93" s="7">
        <f>'File 19'!$S$54*'Time based aggregation (hide)'!$BU55</f>
        <v>0</v>
      </c>
      <c r="HI93" s="7">
        <f>'File 20'!$Q$54*'Time based aggregation (hide)'!$BV55</f>
        <v>0</v>
      </c>
      <c r="HJ93" s="7">
        <f>'File 20'!$R$54*'Time based aggregation (hide)'!$BW55</f>
        <v>0</v>
      </c>
      <c r="HK93" s="7">
        <f>'File 20'!$S$54*'Time based aggregation (hide)'!$BX55</f>
        <v>0</v>
      </c>
      <c r="HL93" s="7">
        <f t="shared" ca="1" si="50"/>
        <v>0</v>
      </c>
      <c r="HM93" s="7">
        <f t="shared" ca="1" si="50"/>
        <v>0</v>
      </c>
      <c r="HN93" s="7">
        <f t="shared" ca="1" si="50"/>
        <v>0</v>
      </c>
      <c r="HO93" s="7">
        <f t="shared" ca="1" si="50"/>
        <v>0</v>
      </c>
      <c r="HP93" s="7">
        <f t="shared" ca="1" si="50"/>
        <v>0</v>
      </c>
      <c r="HR93" s="142">
        <f>INDEX('File 1'!Weekly_Adjusted,51,16)</f>
        <v>20.933351264120493</v>
      </c>
      <c r="HS93" s="142">
        <f>INDEX('File 1'!Weekly_Adjusted,51,17)</f>
        <v>0</v>
      </c>
      <c r="HT93" s="142">
        <f>INDEX('File 1'!Weekly_Adjusted,51,18)</f>
        <v>0</v>
      </c>
      <c r="HU93" s="143">
        <f>INDEX('File 2'!Weekly_Adjusted,51,16)</f>
        <v>0</v>
      </c>
      <c r="HV93" s="143">
        <f>INDEX('File 2'!Weekly_Adjusted,51,17)</f>
        <v>0</v>
      </c>
      <c r="HW93" s="143">
        <f>INDEX('File 2'!Weekly_Adjusted,51,18)</f>
        <v>0</v>
      </c>
      <c r="HX93" s="142">
        <f>INDEX('File 3'!Weekly_Adjusted,51,16)</f>
        <v>0</v>
      </c>
      <c r="HY93" s="142">
        <f>INDEX('File 3'!Weekly_Adjusted,51,17)</f>
        <v>0</v>
      </c>
      <c r="HZ93" s="142">
        <f>INDEX('File 3'!Weekly_Adjusted,51,18)</f>
        <v>0</v>
      </c>
      <c r="IA93" s="143">
        <f>INDEX('File 4'!Weekly_Adjusted,51,16)</f>
        <v>0</v>
      </c>
      <c r="IB93" s="143">
        <f>INDEX('File 4'!Weekly_Adjusted,51,17)</f>
        <v>0</v>
      </c>
      <c r="IC93" s="143">
        <f>INDEX('File 4'!Weekly_Adjusted,51,18)</f>
        <v>0</v>
      </c>
      <c r="ID93" s="142">
        <f>INDEX('File 5'!Weekly_Adjusted,51,16)</f>
        <v>0</v>
      </c>
      <c r="IE93" s="142">
        <f>INDEX('File 5'!Weekly_Adjusted,51,17)</f>
        <v>0</v>
      </c>
      <c r="IF93" s="142">
        <f>INDEX('File 5'!Weekly_Adjusted,51,18)</f>
        <v>0</v>
      </c>
      <c r="IG93" s="143">
        <f>INDEX('File 6'!Weekly_Adjusted,51,16)</f>
        <v>0</v>
      </c>
      <c r="IH93" s="143">
        <f>INDEX('File 6'!Weekly_Adjusted,51,17)</f>
        <v>0</v>
      </c>
      <c r="II93" s="143">
        <f>INDEX('File 6'!Weekly_Adjusted,51,18)</f>
        <v>0</v>
      </c>
      <c r="IJ93" s="142">
        <f>INDEX('File 7'!Weekly_Adjusted,51,16)</f>
        <v>0</v>
      </c>
      <c r="IK93" s="142">
        <f>INDEX('File 7'!Weekly_Adjusted,51,17)</f>
        <v>0</v>
      </c>
      <c r="IL93" s="142">
        <f>INDEX('File 7'!Weekly_Adjusted,51,18)</f>
        <v>0</v>
      </c>
      <c r="IM93" s="143">
        <f>INDEX('File 8'!Weekly_Adjusted,51,16)</f>
        <v>0</v>
      </c>
      <c r="IN93" s="143">
        <f>INDEX('File 8'!Weekly_Adjusted,51,17)</f>
        <v>0</v>
      </c>
      <c r="IO93" s="143">
        <f>INDEX('File 8'!Weekly_Adjusted,51,18)</f>
        <v>0</v>
      </c>
      <c r="IP93" s="142">
        <f>INDEX('File 9'!Weekly_Adjusted,51,16)</f>
        <v>0</v>
      </c>
      <c r="IQ93" s="142">
        <f>INDEX('File 9'!Weekly_Adjusted,51,17)</f>
        <v>0</v>
      </c>
      <c r="IR93" s="142">
        <f>INDEX('File 9'!Weekly_Adjusted,51,18)</f>
        <v>0</v>
      </c>
      <c r="IS93" s="143">
        <f>INDEX('File 10'!Weekly_Adjusted,51,16)</f>
        <v>0</v>
      </c>
      <c r="IT93" s="143">
        <f>INDEX('File 10'!Weekly_Adjusted,51,17)</f>
        <v>0</v>
      </c>
      <c r="IU93" s="143">
        <f>INDEX('File 10'!Weekly_Adjusted,51,18)</f>
        <v>0</v>
      </c>
      <c r="IV93" s="142">
        <f>INDEX('File 11'!Weekly_Adjusted,51,16)</f>
        <v>0</v>
      </c>
      <c r="IW93" s="142">
        <f>INDEX('File 11'!Weekly_Adjusted,51,17)</f>
        <v>0</v>
      </c>
      <c r="IX93" s="142">
        <f>INDEX('File 11'!Weekly_Adjusted,51,18)</f>
        <v>0</v>
      </c>
      <c r="IY93" s="143">
        <f>INDEX('File 12'!Weekly_Adjusted,51,16)</f>
        <v>0</v>
      </c>
      <c r="IZ93" s="143">
        <f>INDEX('File 12'!Weekly_Adjusted,51,17)</f>
        <v>0</v>
      </c>
      <c r="JA93" s="143">
        <f>INDEX('File 12'!Weekly_Adjusted,51,18)</f>
        <v>0</v>
      </c>
      <c r="JB93" s="142">
        <f>INDEX('File 13'!Weekly_Adjusted,51,16)</f>
        <v>0</v>
      </c>
      <c r="JC93" s="142">
        <f>INDEX('File 13'!Weekly_Adjusted,51,17)</f>
        <v>0</v>
      </c>
      <c r="JD93" s="142">
        <f>INDEX('File 13'!Weekly_Adjusted,51,18)</f>
        <v>0</v>
      </c>
      <c r="JE93" s="143">
        <f>INDEX('File 14'!Weekly_Adjusted,51,16)</f>
        <v>0</v>
      </c>
      <c r="JF93" s="143">
        <f>INDEX('File 14'!Weekly_Adjusted,51,17)</f>
        <v>0</v>
      </c>
      <c r="JG93" s="143">
        <f>INDEX('File 14'!Weekly_Adjusted,51,18)</f>
        <v>0</v>
      </c>
      <c r="JH93" s="142">
        <f>INDEX('File 15'!Weekly_Adjusted,51,16)</f>
        <v>0</v>
      </c>
      <c r="JI93" s="142">
        <f>INDEX('File 15'!Weekly_Adjusted,51,17)</f>
        <v>0</v>
      </c>
      <c r="JJ93" s="142">
        <f>INDEX('File 15'!Weekly_Adjusted,51,18)</f>
        <v>0</v>
      </c>
      <c r="JK93" s="143">
        <f>INDEX('File 16'!Weekly_Adjusted,51,16)</f>
        <v>0</v>
      </c>
      <c r="JL93" s="143">
        <f>INDEX('File 16'!Weekly_Adjusted,51,17)</f>
        <v>0</v>
      </c>
      <c r="JM93" s="143">
        <f>INDEX('File 16'!Weekly_Adjusted,51,18)</f>
        <v>0</v>
      </c>
      <c r="JN93" s="142">
        <f>INDEX('File 17'!Weekly_Adjusted,51,16)</f>
        <v>0</v>
      </c>
      <c r="JO93" s="142">
        <f>INDEX('File 17'!Weekly_Adjusted,51,17)</f>
        <v>0</v>
      </c>
      <c r="JP93" s="142">
        <f>INDEX('File 17'!Weekly_Adjusted,51,18)</f>
        <v>0</v>
      </c>
      <c r="JQ93" s="143">
        <f>INDEX('File 18'!Weekly_Adjusted,51,16)</f>
        <v>0</v>
      </c>
      <c r="JR93" s="143">
        <f>INDEX('File 18'!Weekly_Adjusted,51,17)</f>
        <v>0</v>
      </c>
      <c r="JS93" s="143">
        <f>INDEX('File 18'!Weekly_Adjusted,51,18)</f>
        <v>0</v>
      </c>
      <c r="JT93" s="142">
        <f>INDEX('File 19'!Weekly_Adjusted,51,16)</f>
        <v>0</v>
      </c>
      <c r="JU93" s="142">
        <f>INDEX('File 19'!Weekly_Adjusted,51,17)</f>
        <v>0</v>
      </c>
      <c r="JV93" s="142">
        <f>INDEX('File 19'!Weekly_Adjusted,51,18)</f>
        <v>0</v>
      </c>
      <c r="JW93" s="143">
        <f>INDEX('File 20'!Weekly_Adjusted,51,16)</f>
        <v>0</v>
      </c>
      <c r="JX93" s="143">
        <f>INDEX('File 20'!Weekly_Adjusted,51,17)</f>
        <v>0</v>
      </c>
      <c r="JY93" s="143">
        <f>INDEX('File 20'!Weekly_Adjusted,51,18)</f>
        <v>0</v>
      </c>
      <c r="JZ93" s="6">
        <f ca="1">SUMIFS(INDEX(CapacityCore_Activity_Weekly,ROW(EC51),0),Demand_Activity_Weekly_Header,HL$42)</f>
        <v>20.933351264120493</v>
      </c>
      <c r="KA93" s="6">
        <f ca="1">SUMIFS(INDEX(CapacityCore_Activity_Weekly,ROW(ED51),0),Demand_Activity_Weekly_Header,HM$42)</f>
        <v>0</v>
      </c>
      <c r="KB93" s="6">
        <f ca="1">SUMIFS(INDEX(CapacityCore_Activity_Weekly,ROW(EE51),0),Demand_Activity_Weekly_Header,HN$42)</f>
        <v>0</v>
      </c>
      <c r="KC93" s="6">
        <f ca="1">SUMIFS(INDEX(CapacityCore_Activity_Weekly,ROW(EF51),0),Demand_Activity_Weekly_Header,HO$42)</f>
        <v>0</v>
      </c>
      <c r="KD93" s="6">
        <f ca="1">SUMIFS(INDEX(CapacityCore_Activity_Weekly,ROW(EG51),0),Demand_Activity_Weekly_Header,HP$42)</f>
        <v>0</v>
      </c>
      <c r="KF93" s="6">
        <f>SUMIFS('Time based aggregation (hide)'!$J:$J,'Time based aggregation (hide)'!$E:$E,1,'Time based aggregation (hide)'!$F:$F,1,'Time based aggregation (hide)'!$A:$A,ROW(A51))</f>
        <v>0</v>
      </c>
      <c r="KG93" s="6">
        <f>SUMIFS('Time based aggregation (hide)'!$J:$J,'Time based aggregation (hide)'!$E:$E,1,'Time based aggregation (hide)'!$F:$F,2,'Time based aggregation (hide)'!$A:$A,ROW(A51))</f>
        <v>0</v>
      </c>
      <c r="KH93" s="6">
        <f>SUMIFS('Time based aggregation (hide)'!$J:$J,'Time based aggregation (hide)'!$E:$E,1,'Time based aggregation (hide)'!$F:$F,3,'Time based aggregation (hide)'!$A:$A,ROW(A51))</f>
        <v>0</v>
      </c>
      <c r="KI93" s="6">
        <f>SUMIFS('Time based aggregation (hide)'!$J:$J,'Time based aggregation (hide)'!$E:$E,2,'Time based aggregation (hide)'!$F:$F,1,'Time based aggregation (hide)'!$A:$A,ROW(A51))</f>
        <v>0</v>
      </c>
      <c r="KJ93" s="6">
        <f>SUMIFS('Time based aggregation (hide)'!$J:$J,'Time based aggregation (hide)'!$E:$E,2,'Time based aggregation (hide)'!$F:$F,2,'Time based aggregation (hide)'!$A:$A,ROW(A51))</f>
        <v>0</v>
      </c>
      <c r="KK93" s="6">
        <f>SUMIFS('Time based aggregation (hide)'!$J:$J,'Time based aggregation (hide)'!$E:$E,2,'Time based aggregation (hide)'!$F:$F,3,'Time based aggregation (hide)'!$A:$A,ROW(A51))</f>
        <v>0</v>
      </c>
      <c r="KL93" s="6">
        <f>SUMIFS('Time based aggregation (hide)'!$J:$J,'Time based aggregation (hide)'!$E:$E,3,'Time based aggregation (hide)'!$F:$F,1,'Time based aggregation (hide)'!$A:$A,ROW(A51))</f>
        <v>0</v>
      </c>
      <c r="KM93" s="6">
        <f>SUMIFS('Time based aggregation (hide)'!$J:$J,'Time based aggregation (hide)'!$E:$E,3,'Time based aggregation (hide)'!$F:$F,2,'Time based aggregation (hide)'!$A:$A,ROW(A51))</f>
        <v>0</v>
      </c>
      <c r="KN93" s="6">
        <f>SUMIFS('Time based aggregation (hide)'!$J:$J,'Time based aggregation (hide)'!$E:$E,3,'Time based aggregation (hide)'!$F:$F,3,'Time based aggregation (hide)'!$A:$A,ROW(A51))</f>
        <v>0</v>
      </c>
      <c r="KO93" s="6">
        <f>SUMIFS('Time based aggregation (hide)'!$J:$J,'Time based aggregation (hide)'!$E:$E,4,'Time based aggregation (hide)'!$F:$F,1,'Time based aggregation (hide)'!$A:$A,ROW(A51))</f>
        <v>0</v>
      </c>
      <c r="KP93" s="6">
        <f>SUMIFS('Time based aggregation (hide)'!$J:$J,'Time based aggregation (hide)'!$E:$E,4,'Time based aggregation (hide)'!$F:$F,2,'Time based aggregation (hide)'!$A:$A,ROW(A51))</f>
        <v>0</v>
      </c>
      <c r="KQ93" s="6">
        <f>SUMIFS('Time based aggregation (hide)'!$J:$J,'Time based aggregation (hide)'!$E:$E,4,'Time based aggregation (hide)'!$F:$F,3,'Time based aggregation (hide)'!$A:$A,ROW(A51))</f>
        <v>0</v>
      </c>
      <c r="KR93" s="6">
        <f>SUMIFS('Time based aggregation (hide)'!$J:$J,'Time based aggregation (hide)'!$E:$E,5,'Time based aggregation (hide)'!$F:$F,1,'Time based aggregation (hide)'!$A:$A,ROW(A51))</f>
        <v>0</v>
      </c>
      <c r="KS93" s="6">
        <f>SUMIFS('Time based aggregation (hide)'!$J:$J,'Time based aggregation (hide)'!$E:$E,5,'Time based aggregation (hide)'!$F:$F,2,'Time based aggregation (hide)'!$A:$A,ROW(A51))</f>
        <v>0</v>
      </c>
      <c r="KT93" s="6">
        <f>SUMIFS('Time based aggregation (hide)'!$J:$J,'Time based aggregation (hide)'!$E:$E,5,'Time based aggregation (hide)'!$F:$F,3,'Time based aggregation (hide)'!$A:$A,ROW(A51))</f>
        <v>0</v>
      </c>
      <c r="KU93" s="6">
        <f>SUMIFS('Time based aggregation (hide)'!$J:$J,'Time based aggregation (hide)'!$E:$E,6,'Time based aggregation (hide)'!$F:$F,1,'Time based aggregation (hide)'!$A:$A,ROW(A51))</f>
        <v>0</v>
      </c>
      <c r="KV93" s="6">
        <f>SUMIFS('Time based aggregation (hide)'!$J:$J,'Time based aggregation (hide)'!$E:$E,6,'Time based aggregation (hide)'!$F:$F,2,'Time based aggregation (hide)'!$A:$A,ROW(A51))</f>
        <v>0</v>
      </c>
      <c r="KW93" s="6">
        <f>SUMIFS('Time based aggregation (hide)'!$J:$J,'Time based aggregation (hide)'!$E:$E,6,'Time based aggregation (hide)'!$F:$F,3,'Time based aggregation (hide)'!$A:$A,ROW(A51))</f>
        <v>0</v>
      </c>
      <c r="KX93" s="6">
        <f>SUMIFS('Time based aggregation (hide)'!$J:$J,'Time based aggregation (hide)'!$E:$E,7,'Time based aggregation (hide)'!$F:$F,1,'Time based aggregation (hide)'!$A:$A,ROW(A51))</f>
        <v>0</v>
      </c>
      <c r="KY93" s="6">
        <f>SUMIFS('Time based aggregation (hide)'!$J:$J,'Time based aggregation (hide)'!$E:$E,7,'Time based aggregation (hide)'!$F:$F,2,'Time based aggregation (hide)'!$A:$A,ROW(A51))</f>
        <v>0</v>
      </c>
      <c r="KZ93" s="6">
        <f>SUMIFS('Time based aggregation (hide)'!$J:$J,'Time based aggregation (hide)'!$E:$E,7,'Time based aggregation (hide)'!$F:$F,3,'Time based aggregation (hide)'!$A:$A,ROW(A51))</f>
        <v>0</v>
      </c>
      <c r="LA93" s="6">
        <f>SUMIFS('Time based aggregation (hide)'!$J:$J,'Time based aggregation (hide)'!$E:$E,8,'Time based aggregation (hide)'!$F:$F,1,'Time based aggregation (hide)'!$A:$A,ROW(A51))</f>
        <v>0</v>
      </c>
      <c r="LB93" s="6">
        <f>SUMIFS('Time based aggregation (hide)'!$J:$J,'Time based aggregation (hide)'!$E:$E,8,'Time based aggregation (hide)'!$F:$F,2,'Time based aggregation (hide)'!$A:$A,ROW(A51))</f>
        <v>0</v>
      </c>
      <c r="LC93" s="6">
        <f>SUMIFS('Time based aggregation (hide)'!$J:$J,'Time based aggregation (hide)'!$E:$E,8,'Time based aggregation (hide)'!$F:$F,3,'Time based aggregation (hide)'!$A:$A,ROW(A51))</f>
        <v>0</v>
      </c>
      <c r="LD93" s="6">
        <f>SUMIFS('Time based aggregation (hide)'!$J:$J,'Time based aggregation (hide)'!$E:$E,9,'Time based aggregation (hide)'!$F:$F,1,'Time based aggregation (hide)'!$A:$A,ROW(A51))</f>
        <v>0</v>
      </c>
      <c r="LE93" s="6">
        <f>SUMIFS('Time based aggregation (hide)'!$J:$J,'Time based aggregation (hide)'!$E:$E,9,'Time based aggregation (hide)'!$F:$F,2,'Time based aggregation (hide)'!$A:$A,ROW(A51))</f>
        <v>0</v>
      </c>
      <c r="LF93" s="6">
        <f>SUMIFS('Time based aggregation (hide)'!$J:$J,'Time based aggregation (hide)'!$E:$E,9,'Time based aggregation (hide)'!$F:$F,3,'Time based aggregation (hide)'!$A:$A,ROW(A51))</f>
        <v>0</v>
      </c>
      <c r="LG93" s="6">
        <f>SUMIFS('Time based aggregation (hide)'!$J:$J,'Time based aggregation (hide)'!$E:$E,10,'Time based aggregation (hide)'!$F:$F,1,'Time based aggregation (hide)'!$A:$A,ROW(A51))</f>
        <v>0</v>
      </c>
      <c r="LH93" s="6">
        <f>SUMIFS('Time based aggregation (hide)'!$J:$J,'Time based aggregation (hide)'!$E:$E,10,'Time based aggregation (hide)'!$F:$F,2,'Time based aggregation (hide)'!$A:$A,ROW(A51))</f>
        <v>0</v>
      </c>
      <c r="LI93" s="6">
        <f>SUMIFS('Time based aggregation (hide)'!$J:$J,'Time based aggregation (hide)'!$E:$E,10,'Time based aggregation (hide)'!$F:$F,3,'Time based aggregation (hide)'!$A:$A,ROW(A51))</f>
        <v>0</v>
      </c>
      <c r="LJ93" s="6">
        <f>SUMIFS('Time based aggregation (hide)'!$J:$J,'Time based aggregation (hide)'!$E:$E,11,'Time based aggregation (hide)'!$F:$F,1,'Time based aggregation (hide)'!$A:$A,ROW(A51))</f>
        <v>0</v>
      </c>
      <c r="LK93" s="6">
        <f>SUMIFS('Time based aggregation (hide)'!$J:$J,'Time based aggregation (hide)'!$E:$E,11,'Time based aggregation (hide)'!$F:$F,2,'Time based aggregation (hide)'!$A:$A,ROW(A51))</f>
        <v>0</v>
      </c>
      <c r="LL93" s="6">
        <f>SUMIFS('Time based aggregation (hide)'!$J:$J,'Time based aggregation (hide)'!$E:$E,11,'Time based aggregation (hide)'!$F:$F,3,'Time based aggregation (hide)'!$A:$A,ROW(A51))</f>
        <v>0</v>
      </c>
      <c r="LM93" s="6">
        <f>SUMIFS('Time based aggregation (hide)'!$J:$J,'Time based aggregation (hide)'!$E:$E,12,'Time based aggregation (hide)'!$F:$F,1,'Time based aggregation (hide)'!$A:$A,ROW(A51))</f>
        <v>0</v>
      </c>
      <c r="LN93" s="6">
        <f>SUMIFS('Time based aggregation (hide)'!$J:$J,'Time based aggregation (hide)'!$E:$E,12,'Time based aggregation (hide)'!$F:$F,2,'Time based aggregation (hide)'!$A:$A,ROW(A51))</f>
        <v>0</v>
      </c>
      <c r="LO93" s="6">
        <f>SUMIFS('Time based aggregation (hide)'!$J:$J,'Time based aggregation (hide)'!$E:$E,12,'Time based aggregation (hide)'!$F:$F,3,'Time based aggregation (hide)'!$A:$A,ROW(A51))</f>
        <v>0</v>
      </c>
      <c r="LP93" s="6">
        <f>SUMIFS('Time based aggregation (hide)'!$J:$J,'Time based aggregation (hide)'!$E:$E,13,'Time based aggregation (hide)'!$F:$F,1,'Time based aggregation (hide)'!$A:$A,ROW(A51))</f>
        <v>0</v>
      </c>
      <c r="LQ93" s="6">
        <f>SUMIFS('Time based aggregation (hide)'!$J:$J,'Time based aggregation (hide)'!$E:$E,13,'Time based aggregation (hide)'!$F:$F,2,'Time based aggregation (hide)'!$A:$A,ROW(A51))</f>
        <v>0</v>
      </c>
      <c r="LR93" s="6">
        <f>SUMIFS('Time based aggregation (hide)'!$J:$J,'Time based aggregation (hide)'!$E:$E,13,'Time based aggregation (hide)'!$F:$F,3,'Time based aggregation (hide)'!$A:$A,ROW(A51))</f>
        <v>0</v>
      </c>
      <c r="LS93" s="6">
        <f>SUMIFS('Time based aggregation (hide)'!$J:$J,'Time based aggregation (hide)'!$E:$E,14,'Time based aggregation (hide)'!$F:$F,1,'Time based aggregation (hide)'!$A:$A,ROW(A51))</f>
        <v>0</v>
      </c>
      <c r="LT93" s="6">
        <f>SUMIFS('Time based aggregation (hide)'!$J:$J,'Time based aggregation (hide)'!$E:$E,14,'Time based aggregation (hide)'!$F:$F,2,'Time based aggregation (hide)'!$A:$A,ROW(A51))</f>
        <v>0</v>
      </c>
      <c r="LU93" s="6">
        <f>SUMIFS('Time based aggregation (hide)'!$J:$J,'Time based aggregation (hide)'!$E:$E,14,'Time based aggregation (hide)'!$F:$F,3,'Time based aggregation (hide)'!$A:$A,ROW(A51))</f>
        <v>0</v>
      </c>
      <c r="LV93" s="6">
        <f>SUMIFS('Time based aggregation (hide)'!$J:$J,'Time based aggregation (hide)'!$E:$E,15,'Time based aggregation (hide)'!$F:$F,1,'Time based aggregation (hide)'!$A:$A,ROW(A51))</f>
        <v>0</v>
      </c>
      <c r="LW93" s="6">
        <f>SUMIFS('Time based aggregation (hide)'!$J:$J,'Time based aggregation (hide)'!$E:$E,15,'Time based aggregation (hide)'!$F:$F,2,'Time based aggregation (hide)'!$A:$A,ROW(A51))</f>
        <v>0</v>
      </c>
      <c r="LX93" s="6">
        <f>SUMIFS('Time based aggregation (hide)'!$J:$J,'Time based aggregation (hide)'!$E:$E,15,'Time based aggregation (hide)'!$F:$F,3,'Time based aggregation (hide)'!$A:$A,ROW(A51))</f>
        <v>0</v>
      </c>
      <c r="LY93" s="6">
        <f>SUMIFS('Time based aggregation (hide)'!$J:$J,'Time based aggregation (hide)'!$E:$E,16,'Time based aggregation (hide)'!$F:$F,1,'Time based aggregation (hide)'!$A:$A,ROW(A51))</f>
        <v>0</v>
      </c>
      <c r="LZ93" s="6">
        <f>SUMIFS('Time based aggregation (hide)'!$J:$J,'Time based aggregation (hide)'!$E:$E,16,'Time based aggregation (hide)'!$F:$F,2,'Time based aggregation (hide)'!$A:$A,ROW(A51))</f>
        <v>0</v>
      </c>
      <c r="MA93" s="6">
        <f>SUMIFS('Time based aggregation (hide)'!$J:$J,'Time based aggregation (hide)'!$E:$E,16,'Time based aggregation (hide)'!$F:$F,3,'Time based aggregation (hide)'!$A:$A,ROW(A51))</f>
        <v>0</v>
      </c>
      <c r="MB93" s="6">
        <f>SUMIFS('Time based aggregation (hide)'!$J:$J,'Time based aggregation (hide)'!$E:$E,17,'Time based aggregation (hide)'!$F:$F,1,'Time based aggregation (hide)'!$A:$A,ROW(A51))</f>
        <v>0</v>
      </c>
      <c r="MC93" s="6">
        <f>SUMIFS('Time based aggregation (hide)'!$J:$J,'Time based aggregation (hide)'!$E:$E,17,'Time based aggregation (hide)'!$F:$F,2,'Time based aggregation (hide)'!$A:$A,ROW(A51))</f>
        <v>0</v>
      </c>
      <c r="MD93" s="6">
        <f>SUMIFS('Time based aggregation (hide)'!$J:$J,'Time based aggregation (hide)'!$E:$E,17,'Time based aggregation (hide)'!$F:$F,3,'Time based aggregation (hide)'!$A:$A,ROW(A51))</f>
        <v>0</v>
      </c>
      <c r="ME93" s="6">
        <f>SUMIFS('Time based aggregation (hide)'!$J:$J,'Time based aggregation (hide)'!$E:$E,18,'Time based aggregation (hide)'!$F:$F,1,'Time based aggregation (hide)'!$A:$A,ROW(A51))</f>
        <v>0</v>
      </c>
      <c r="MF93" s="6">
        <f>SUMIFS('Time based aggregation (hide)'!$J:$J,'Time based aggregation (hide)'!$E:$E,18,'Time based aggregation (hide)'!$F:$F,2,'Time based aggregation (hide)'!$A:$A,ROW(A51))</f>
        <v>0</v>
      </c>
      <c r="MG93" s="6">
        <f>SUMIFS('Time based aggregation (hide)'!$J:$J,'Time based aggregation (hide)'!$E:$E,18,'Time based aggregation (hide)'!$F:$F,3,'Time based aggregation (hide)'!$A:$A,ROW(A51))</f>
        <v>0</v>
      </c>
      <c r="MH93" s="6">
        <f>SUMIFS('Time based aggregation (hide)'!$J:$J,'Time based aggregation (hide)'!$E:$E,19,'Time based aggregation (hide)'!$F:$F,1,'Time based aggregation (hide)'!$A:$A,ROW(A51))</f>
        <v>0</v>
      </c>
      <c r="MI93" s="6">
        <f>SUMIFS('Time based aggregation (hide)'!$J:$J,'Time based aggregation (hide)'!$E:$E,19,'Time based aggregation (hide)'!$F:$F,2,'Time based aggregation (hide)'!$A:$A,ROW(A51))</f>
        <v>0</v>
      </c>
      <c r="MJ93" s="6">
        <f>SUMIFS('Time based aggregation (hide)'!$J:$J,'Time based aggregation (hide)'!$E:$E,19,'Time based aggregation (hide)'!$F:$F,3,'Time based aggregation (hide)'!$A:$A,ROW(A51))</f>
        <v>0</v>
      </c>
      <c r="MK93" s="6">
        <f>SUMIFS('Time based aggregation (hide)'!$J:$J,'Time based aggregation (hide)'!$E:$E,20,'Time based aggregation (hide)'!$F:$F,1,'Time based aggregation (hide)'!$A:$A,ROW(A51))</f>
        <v>0</v>
      </c>
      <c r="ML93" s="6">
        <f>SUMIFS('Time based aggregation (hide)'!$J:$J,'Time based aggregation (hide)'!$E:$E,20,'Time based aggregation (hide)'!$F:$F,2,'Time based aggregation (hide)'!$A:$A,ROW(A51))</f>
        <v>0</v>
      </c>
      <c r="MM93" s="6">
        <f>SUMIFS('Time based aggregation (hide)'!$J:$J,'Time based aggregation (hide)'!$E:$E,20,'Time based aggregation (hide)'!$F:$F,3,'Time based aggregation (hide)'!$A:$A,ROW(A51))</f>
        <v>0</v>
      </c>
      <c r="MN93" s="7">
        <f t="shared" ca="1" si="51"/>
        <v>0</v>
      </c>
      <c r="MO93" s="7">
        <f t="shared" ca="1" si="51"/>
        <v>0</v>
      </c>
      <c r="MP93" s="7">
        <f t="shared" ca="1" si="51"/>
        <v>0</v>
      </c>
      <c r="MQ93" s="7">
        <f t="shared" ca="1" si="51"/>
        <v>0</v>
      </c>
      <c r="MR93" s="7">
        <f t="shared" ca="1" si="51"/>
        <v>0</v>
      </c>
    </row>
    <row r="94" spans="1:356" x14ac:dyDescent="0.25">
      <c r="A94">
        <f>1</f>
        <v>1</v>
      </c>
      <c r="B94" s="85">
        <f t="shared" si="37"/>
        <v>43882</v>
      </c>
      <c r="C94" s="85">
        <f t="shared" si="25"/>
        <v>43878</v>
      </c>
      <c r="D94">
        <f t="shared" ca="1" si="26"/>
        <v>1</v>
      </c>
      <c r="E94" s="85">
        <f t="shared" si="27"/>
        <v>43862</v>
      </c>
      <c r="F94">
        <f t="shared" si="33"/>
        <v>8</v>
      </c>
      <c r="H94">
        <f t="shared" si="34"/>
        <v>52</v>
      </c>
      <c r="I94" s="85">
        <f t="shared" si="38"/>
        <v>44186</v>
      </c>
      <c r="J94">
        <f t="shared" ca="1" si="46"/>
        <v>4</v>
      </c>
      <c r="K94">
        <f t="shared" ca="1" si="47"/>
        <v>1.5748031496062992E-2</v>
      </c>
      <c r="L94" s="114"/>
      <c r="N94" s="85">
        <f t="shared" si="35"/>
        <v>44186</v>
      </c>
      <c r="O94" s="122">
        <f t="shared" ca="1" si="49"/>
        <v>0</v>
      </c>
      <c r="P94" s="122">
        <f t="shared" ca="1" si="49"/>
        <v>0</v>
      </c>
      <c r="Q94" s="122">
        <f t="shared" ca="1" si="49"/>
        <v>0</v>
      </c>
      <c r="R94" s="122">
        <f t="shared" ca="1" si="49"/>
        <v>0</v>
      </c>
      <c r="S94" s="122">
        <f t="shared" ca="1" si="49"/>
        <v>0</v>
      </c>
      <c r="T94" s="122">
        <f t="shared" ca="1" si="49"/>
        <v>0</v>
      </c>
      <c r="U94" s="122">
        <f t="shared" ca="1" si="49"/>
        <v>0</v>
      </c>
      <c r="V94" s="122">
        <f t="shared" ca="1" si="49"/>
        <v>0</v>
      </c>
      <c r="W94" s="122">
        <f t="shared" ca="1" si="49"/>
        <v>0</v>
      </c>
      <c r="X94" s="122">
        <f t="shared" ca="1" si="49"/>
        <v>0</v>
      </c>
      <c r="Y94" s="122">
        <f t="shared" ca="1" si="49"/>
        <v>0</v>
      </c>
      <c r="Z94" s="122">
        <f t="shared" ca="1" si="49"/>
        <v>1</v>
      </c>
      <c r="AA94" s="122"/>
      <c r="AB94" s="140">
        <f>INDEX('File 1'!Weekly_Adjusted,52,1)</f>
        <v>388.17143954725253</v>
      </c>
      <c r="AC94" s="140">
        <f>INDEX('File 1'!Weekly_Adjusted,52,2)</f>
        <v>0</v>
      </c>
      <c r="AD94" s="140">
        <f>INDEX('File 1'!Weekly_Adjusted,52,3)</f>
        <v>0</v>
      </c>
      <c r="AE94" s="141">
        <f>INDEX('File 2'!Weekly_Adjusted,52,1)</f>
        <v>0</v>
      </c>
      <c r="AF94" s="141">
        <f>INDEX('File 2'!Weekly_Adjusted,52,2)</f>
        <v>0</v>
      </c>
      <c r="AG94" s="141">
        <f>INDEX('File 2'!Weekly_Adjusted,52,3)</f>
        <v>0</v>
      </c>
      <c r="AH94" s="140">
        <f>INDEX('File 3'!Weekly_Adjusted,52,1)</f>
        <v>0</v>
      </c>
      <c r="AI94" s="140">
        <f>INDEX('File 3'!Weekly_Adjusted,52,2)</f>
        <v>0</v>
      </c>
      <c r="AJ94" s="140">
        <f>INDEX('File 3'!Weekly_Adjusted,52,3)</f>
        <v>0</v>
      </c>
      <c r="AK94" s="141">
        <f>INDEX('File 4'!Weekly_Adjusted,52,1)</f>
        <v>0</v>
      </c>
      <c r="AL94" s="141">
        <f>INDEX('File 4'!Weekly_Adjusted,52,2)</f>
        <v>0</v>
      </c>
      <c r="AM94" s="141">
        <f>INDEX('File 4'!Weekly_Adjusted,52,3)</f>
        <v>0</v>
      </c>
      <c r="AN94" s="140">
        <f>INDEX('File 5'!Weekly_Adjusted,52,1)</f>
        <v>0</v>
      </c>
      <c r="AO94" s="140">
        <f>INDEX('File 5'!Weekly_Adjusted,52,2)</f>
        <v>0</v>
      </c>
      <c r="AP94" s="140">
        <f>INDEX('File 5'!Weekly_Adjusted,52,3)</f>
        <v>0</v>
      </c>
      <c r="AQ94" s="141">
        <f>INDEX('File 6'!Weekly_Adjusted,52,1)</f>
        <v>0</v>
      </c>
      <c r="AR94" s="141">
        <f>INDEX('File 6'!Weekly_Adjusted,52,2)</f>
        <v>0</v>
      </c>
      <c r="AS94" s="141">
        <f>INDEX('File 6'!Weekly_Adjusted,52,3)</f>
        <v>0</v>
      </c>
      <c r="AT94" s="140">
        <f>INDEX('File 7'!Weekly_Adjusted,52,1)</f>
        <v>0</v>
      </c>
      <c r="AU94" s="140">
        <f>INDEX('File 7'!Weekly_Adjusted,52,2)</f>
        <v>0</v>
      </c>
      <c r="AV94" s="140">
        <f>INDEX('File 7'!Weekly_Adjusted,52,3)</f>
        <v>0</v>
      </c>
      <c r="AW94" s="141">
        <f>INDEX('File 8'!Weekly_Adjusted,52,1)</f>
        <v>0</v>
      </c>
      <c r="AX94" s="141">
        <f>INDEX('File 8'!Weekly_Adjusted,52,2)</f>
        <v>0</v>
      </c>
      <c r="AY94" s="141">
        <f>INDEX('File 8'!Weekly_Adjusted,52,3)</f>
        <v>0</v>
      </c>
      <c r="AZ94" s="140">
        <f>INDEX('File 9'!Weekly_Adjusted,52,1)</f>
        <v>0</v>
      </c>
      <c r="BA94" s="140">
        <f>INDEX('File 9'!Weekly_Adjusted,52,2)</f>
        <v>0</v>
      </c>
      <c r="BB94" s="140">
        <f>INDEX('File 9'!Weekly_Adjusted,52,3)</f>
        <v>0</v>
      </c>
      <c r="BC94" s="141">
        <f>INDEX('File 10'!Weekly_Adjusted,52,1)</f>
        <v>0</v>
      </c>
      <c r="BD94" s="141">
        <f>INDEX('File 10'!Weekly_Adjusted,52,2)</f>
        <v>0</v>
      </c>
      <c r="BE94" s="141">
        <f>INDEX('File 10'!Weekly_Adjusted,52,3)</f>
        <v>0</v>
      </c>
      <c r="BF94" s="140">
        <f>INDEX('File 11'!Weekly_Adjusted,52,1)</f>
        <v>0</v>
      </c>
      <c r="BG94" s="140">
        <f>INDEX('File 11'!Weekly_Adjusted,52,2)</f>
        <v>0</v>
      </c>
      <c r="BH94" s="140">
        <f>INDEX('File 11'!Weekly_Adjusted,52,3)</f>
        <v>0</v>
      </c>
      <c r="BI94" s="141">
        <f>INDEX('File 12'!Weekly_Adjusted,52,1)</f>
        <v>0</v>
      </c>
      <c r="BJ94" s="141">
        <f>INDEX('File 12'!Weekly_Adjusted,52,2)</f>
        <v>0</v>
      </c>
      <c r="BK94" s="141">
        <f>INDEX('File 12'!Weekly_Adjusted,52,3)</f>
        <v>0</v>
      </c>
      <c r="BL94" s="140">
        <f>INDEX('File 13'!Weekly_Adjusted,52,1)</f>
        <v>0</v>
      </c>
      <c r="BM94" s="140">
        <f>INDEX('File 13'!Weekly_Adjusted,52,2)</f>
        <v>0</v>
      </c>
      <c r="BN94" s="140">
        <f>INDEX('File 13'!Weekly_Adjusted,52,3)</f>
        <v>0</v>
      </c>
      <c r="BO94" s="141">
        <f>INDEX('File 14'!Weekly_Adjusted,52,1)</f>
        <v>0</v>
      </c>
      <c r="BP94" s="141">
        <f>INDEX('File 14'!Weekly_Adjusted,52,2)</f>
        <v>0</v>
      </c>
      <c r="BQ94" s="141">
        <f>INDEX('File 14'!Weekly_Adjusted,52,3)</f>
        <v>0</v>
      </c>
      <c r="BR94" s="140">
        <f>INDEX('File 15'!Weekly_Adjusted,52,1)</f>
        <v>0</v>
      </c>
      <c r="BS94" s="140">
        <f>INDEX('File 15'!Weekly_Adjusted,52,2)</f>
        <v>0</v>
      </c>
      <c r="BT94" s="140">
        <f>INDEX('File 15'!Weekly_Adjusted,52,3)</f>
        <v>0</v>
      </c>
      <c r="BU94" s="141">
        <f>INDEX('File 16'!Weekly_Adjusted,52,1)</f>
        <v>0</v>
      </c>
      <c r="BV94" s="141">
        <f>INDEX('File 16'!Weekly_Adjusted,52,2)</f>
        <v>0</v>
      </c>
      <c r="BW94" s="141">
        <f>INDEX('File 16'!Weekly_Adjusted,52,3)</f>
        <v>0</v>
      </c>
      <c r="BX94" s="140">
        <f>INDEX('File 17'!Weekly_Adjusted,52,1)</f>
        <v>0</v>
      </c>
      <c r="BY94" s="140">
        <f>INDEX('File 17'!Weekly_Adjusted,52,2)</f>
        <v>0</v>
      </c>
      <c r="BZ94" s="140">
        <f>INDEX('File 17'!Weekly_Adjusted,52,3)</f>
        <v>0</v>
      </c>
      <c r="CA94" s="141">
        <f>INDEX('File 18'!Weekly_Adjusted,52,1)</f>
        <v>0</v>
      </c>
      <c r="CB94" s="141">
        <f>INDEX('File 18'!Weekly_Adjusted,52,2)</f>
        <v>0</v>
      </c>
      <c r="CC94" s="141">
        <f>INDEX('File 18'!Weekly_Adjusted,52,3)</f>
        <v>0</v>
      </c>
      <c r="CD94" s="140">
        <f>INDEX('File 19'!Weekly_Adjusted,52,1)</f>
        <v>0</v>
      </c>
      <c r="CE94" s="140">
        <f>INDEX('File 19'!Weekly_Adjusted,52,2)</f>
        <v>0</v>
      </c>
      <c r="CF94" s="140">
        <f>INDEX('File 19'!Weekly_Adjusted,52,3)</f>
        <v>0</v>
      </c>
      <c r="CG94" s="141">
        <f>INDEX('File 20'!Weekly_Adjusted,52,1)</f>
        <v>0</v>
      </c>
      <c r="CH94" s="141">
        <f>INDEX('File 20'!Weekly_Adjusted,52,2)</f>
        <v>0</v>
      </c>
      <c r="CI94" s="141">
        <f>INDEX('File 20'!Weekly_Adjusted,52,3)</f>
        <v>0</v>
      </c>
      <c r="CJ94" s="6">
        <f ca="1">SUMIFS(INDEX(Demand_Activity_Weekly,ROW(A52),0),Demand_Activity_Weekly_Header,CJ$42)</f>
        <v>388.17143954725253</v>
      </c>
      <c r="CK94" s="6">
        <f ca="1">SUMIFS(INDEX(Demand_Activity_Weekly,ROW(B52),0),Demand_Activity_Weekly_Header,CK$42)</f>
        <v>0</v>
      </c>
      <c r="CL94" s="6">
        <f ca="1">SUMIFS(INDEX(Demand_Activity_Weekly,ROW(C52),0),Demand_Activity_Weekly_Header,CL$42)</f>
        <v>0</v>
      </c>
      <c r="CM94" s="6">
        <f ca="1">SUMIFS(INDEX(Demand_Activity_Weekly,ROW(D52),0),Demand_Activity_Weekly_Header,CM$42)</f>
        <v>0</v>
      </c>
      <c r="CN94" s="6">
        <f ca="1">SUMIFS(INDEX(Demand_Activity_Weekly,ROW(E52),0),Demand_Activity_Weekly_Header,CN$42)</f>
        <v>0</v>
      </c>
      <c r="CP94" s="142">
        <f>INDEX('File 1'!Weekly_Adjusted,52,10)</f>
        <v>24.344712210866053</v>
      </c>
      <c r="CQ94" s="142">
        <f>INDEX('File 1'!Weekly_Adjusted,52,11)</f>
        <v>0</v>
      </c>
      <c r="CR94" s="142">
        <f>INDEX('File 1'!Weekly_Adjusted,52,12)</f>
        <v>0</v>
      </c>
      <c r="CS94" s="143">
        <f>INDEX('File 2'!Weekly_Adjusted,52,10)</f>
        <v>0</v>
      </c>
      <c r="CT94" s="143">
        <f>INDEX('File 2'!Weekly_Adjusted,52,11)</f>
        <v>0</v>
      </c>
      <c r="CU94" s="143">
        <f>INDEX('File 2'!Weekly_Adjusted,52,12)</f>
        <v>0</v>
      </c>
      <c r="CV94" s="142">
        <f>INDEX('File 3'!Weekly_Adjusted,52,10)</f>
        <v>0</v>
      </c>
      <c r="CW94" s="142">
        <f>INDEX('File 3'!Weekly_Adjusted,52,11)</f>
        <v>0</v>
      </c>
      <c r="CX94" s="142">
        <f>INDEX('File 3'!Weekly_Adjusted,52,12)</f>
        <v>0</v>
      </c>
      <c r="CY94" s="143">
        <f>INDEX('File 4'!Weekly_Adjusted,52,10)</f>
        <v>0</v>
      </c>
      <c r="CZ94" s="143">
        <f>INDEX('File 4'!Weekly_Adjusted,52,11)</f>
        <v>0</v>
      </c>
      <c r="DA94" s="143">
        <f>INDEX('File 4'!Weekly_Adjusted,52,12)</f>
        <v>0</v>
      </c>
      <c r="DB94" s="142">
        <f>INDEX('File 5'!Weekly_Adjusted,52,10)</f>
        <v>0</v>
      </c>
      <c r="DC94" s="142">
        <f>INDEX('File 5'!Weekly_Adjusted,52,11)</f>
        <v>0</v>
      </c>
      <c r="DD94" s="142">
        <f>INDEX('File 5'!Weekly_Adjusted,52,12)</f>
        <v>0</v>
      </c>
      <c r="DE94" s="143">
        <f>INDEX('File 6'!Weekly_Adjusted,52,10)</f>
        <v>0</v>
      </c>
      <c r="DF94" s="143">
        <f>INDEX('File 6'!Weekly_Adjusted,52,11)</f>
        <v>0</v>
      </c>
      <c r="DG94" s="143">
        <f>INDEX('File 6'!Weekly_Adjusted,52,12)</f>
        <v>0</v>
      </c>
      <c r="DH94" s="142">
        <f>INDEX('File 7'!Weekly_Adjusted,52,10)</f>
        <v>0</v>
      </c>
      <c r="DI94" s="142">
        <f>INDEX('File 7'!Weekly_Adjusted,52,11)</f>
        <v>0</v>
      </c>
      <c r="DJ94" s="142">
        <f>INDEX('File 7'!Weekly_Adjusted,52,12)</f>
        <v>0</v>
      </c>
      <c r="DK94" s="143">
        <f>INDEX('File 8'!Weekly_Adjusted,52,10)</f>
        <v>0</v>
      </c>
      <c r="DL94" s="143">
        <f>INDEX('File 8'!Weekly_Adjusted,52,11)</f>
        <v>0</v>
      </c>
      <c r="DM94" s="143">
        <f>INDEX('File 8'!Weekly_Adjusted,52,12)</f>
        <v>0</v>
      </c>
      <c r="DN94" s="142">
        <f>INDEX('File 9'!Weekly_Adjusted,52,10)</f>
        <v>0</v>
      </c>
      <c r="DO94" s="142">
        <f>INDEX('File 9'!Weekly_Adjusted,52,11)</f>
        <v>0</v>
      </c>
      <c r="DP94" s="142">
        <f>INDEX('File 9'!Weekly_Adjusted,52,12)</f>
        <v>0</v>
      </c>
      <c r="DQ94" s="143">
        <f>INDEX('File 10'!Weekly_Adjusted,52,10)</f>
        <v>0</v>
      </c>
      <c r="DR94" s="143">
        <f>INDEX('File 10'!Weekly_Adjusted,52,11)</f>
        <v>0</v>
      </c>
      <c r="DS94" s="143">
        <f>INDEX('File 10'!Weekly_Adjusted,52,12)</f>
        <v>0</v>
      </c>
      <c r="DT94" s="142">
        <f>INDEX('File 11'!Weekly_Adjusted,52,10)</f>
        <v>0</v>
      </c>
      <c r="DU94" s="142">
        <f>INDEX('File 11'!Weekly_Adjusted,52,11)</f>
        <v>0</v>
      </c>
      <c r="DV94" s="142">
        <f>INDEX('File 11'!Weekly_Adjusted,52,12)</f>
        <v>0</v>
      </c>
      <c r="DW94" s="143">
        <f>INDEX('File 12'!Weekly_Adjusted,52,10)</f>
        <v>0</v>
      </c>
      <c r="DX94" s="143">
        <f>INDEX('File 12'!Weekly_Adjusted,52,11)</f>
        <v>0</v>
      </c>
      <c r="DY94" s="143">
        <f>INDEX('File 12'!Weekly_Adjusted,52,12)</f>
        <v>0</v>
      </c>
      <c r="DZ94" s="142">
        <f>INDEX('File 13'!Weekly_Adjusted,52,10)</f>
        <v>0</v>
      </c>
      <c r="EA94" s="142">
        <f>INDEX('File 13'!Weekly_Adjusted,52,11)</f>
        <v>0</v>
      </c>
      <c r="EB94" s="142">
        <f>INDEX('File 13'!Weekly_Adjusted,52,12)</f>
        <v>0</v>
      </c>
      <c r="EC94" s="143">
        <f>INDEX('File 14'!Weekly_Adjusted,52,10)</f>
        <v>0</v>
      </c>
      <c r="ED94" s="143">
        <f>INDEX('File 14'!Weekly_Adjusted,52,11)</f>
        <v>0</v>
      </c>
      <c r="EE94" s="143">
        <f>INDEX('File 14'!Weekly_Adjusted,52,12)</f>
        <v>0</v>
      </c>
      <c r="EF94" s="142">
        <f>INDEX('File 15'!Weekly_Adjusted,52,10)</f>
        <v>0</v>
      </c>
      <c r="EG94" s="142">
        <f>INDEX('File 15'!Weekly_Adjusted,52,11)</f>
        <v>0</v>
      </c>
      <c r="EH94" s="142">
        <f>INDEX('File 15'!Weekly_Adjusted,52,12)</f>
        <v>0</v>
      </c>
      <c r="EI94" s="143">
        <f>INDEX('File 16'!Weekly_Adjusted,52,10)</f>
        <v>0</v>
      </c>
      <c r="EJ94" s="143">
        <f>INDEX('File 16'!Weekly_Adjusted,52,11)</f>
        <v>0</v>
      </c>
      <c r="EK94" s="143">
        <f>INDEX('File 16'!Weekly_Adjusted,52,12)</f>
        <v>0</v>
      </c>
      <c r="EL94" s="142">
        <f>INDEX('File 17'!Weekly_Adjusted,52,10)</f>
        <v>0</v>
      </c>
      <c r="EM94" s="142">
        <f>INDEX('File 17'!Weekly_Adjusted,52,11)</f>
        <v>0</v>
      </c>
      <c r="EN94" s="142">
        <f>INDEX('File 17'!Weekly_Adjusted,52,12)</f>
        <v>0</v>
      </c>
      <c r="EO94" s="143">
        <f>INDEX('File 18'!Weekly_Adjusted,52,10)</f>
        <v>0</v>
      </c>
      <c r="EP94" s="143">
        <f>INDEX('File 18'!Weekly_Adjusted,52,11)</f>
        <v>0</v>
      </c>
      <c r="EQ94" s="143">
        <f>INDEX('File 18'!Weekly_Adjusted,52,12)</f>
        <v>0</v>
      </c>
      <c r="ER94" s="142">
        <f>INDEX('File 19'!Weekly_Adjusted,52,10)</f>
        <v>0</v>
      </c>
      <c r="ES94" s="142">
        <f>INDEX('File 19'!Weekly_Adjusted,52,11)</f>
        <v>0</v>
      </c>
      <c r="ET94" s="142">
        <f>INDEX('File 19'!Weekly_Adjusted,52,12)</f>
        <v>0</v>
      </c>
      <c r="EU94" s="143">
        <f>INDEX('File 20'!Weekly_Adjusted,52,10)</f>
        <v>0</v>
      </c>
      <c r="EV94" s="143">
        <f>INDEX('File 20'!Weekly_Adjusted,52,11)</f>
        <v>0</v>
      </c>
      <c r="EW94" s="143">
        <f>INDEX('File 20'!Weekly_Adjusted,52,12)</f>
        <v>0</v>
      </c>
      <c r="EX94" s="6">
        <f ca="1">SUMIFS(INDEX(Capacity_Activity_Weekly,ROW(A52),0),Demand_Activity_Weekly_Header,CJ$42)</f>
        <v>24.344712210866053</v>
      </c>
      <c r="EY94" s="6">
        <f ca="1">SUMIFS(INDEX(Capacity_Activity_Weekly,ROW(B52),0),Demand_Activity_Weekly_Header,CK$42)</f>
        <v>0</v>
      </c>
      <c r="EZ94" s="6">
        <f ca="1">SUMIFS(INDEX(Capacity_Activity_Weekly,ROW(C52),0),Demand_Activity_Weekly_Header,CL$42)</f>
        <v>0</v>
      </c>
      <c r="FA94" s="6">
        <f ca="1">SUMIFS(INDEX(Capacity_Activity_Weekly,ROW(D52),0),Demand_Activity_Weekly_Header,CM$42)</f>
        <v>0</v>
      </c>
      <c r="FB94" s="6">
        <f ca="1">SUMIFS(INDEX(Capacity_Activity_Weekly,ROW(E52),0),Demand_Activity_Weekly_Header,CN$42)</f>
        <v>0</v>
      </c>
      <c r="FD94" s="7">
        <f>'File 1'!$Q$54*'Time based aggregation (hide)'!$Q56</f>
        <v>0</v>
      </c>
      <c r="FE94" s="7">
        <f>'File 1'!$R$54*'Time based aggregation (hide)'!$R56</f>
        <v>0</v>
      </c>
      <c r="FF94" s="7">
        <f>'File 1'!$S$54*'Time based aggregation (hide)'!$S56</f>
        <v>0</v>
      </c>
      <c r="FG94" s="7">
        <f>'File 2'!$Q$54*'Time based aggregation (hide)'!$T56</f>
        <v>0</v>
      </c>
      <c r="FH94" s="7">
        <f>'File 2'!$R$54*'Time based aggregation (hide)'!$U56</f>
        <v>0</v>
      </c>
      <c r="FI94" s="7">
        <f>'File 2'!$S$54*'Time based aggregation (hide)'!$V56</f>
        <v>0</v>
      </c>
      <c r="FJ94" s="7">
        <f>'File 3'!$Q$54*'Time based aggregation (hide)'!$W56</f>
        <v>0</v>
      </c>
      <c r="FK94" s="7">
        <f>'File 3'!$R$54*'Time based aggregation (hide)'!$X56</f>
        <v>0</v>
      </c>
      <c r="FL94" s="7">
        <f>'File 3'!$S$54*'Time based aggregation (hide)'!$Y56</f>
        <v>0</v>
      </c>
      <c r="FM94" s="7">
        <f>'File 4'!$Q$54*'Time based aggregation (hide)'!$Z56</f>
        <v>0</v>
      </c>
      <c r="FN94" s="7">
        <f>'File 4'!$R$54*'Time based aggregation (hide)'!$AA56</f>
        <v>0</v>
      </c>
      <c r="FO94" s="7">
        <f>'File 4'!$S$54*'Time based aggregation (hide)'!$AB56</f>
        <v>0</v>
      </c>
      <c r="FP94" s="7">
        <f>'File 5'!$Q$54*'Time based aggregation (hide)'!$AC56</f>
        <v>0</v>
      </c>
      <c r="FQ94" s="7">
        <f>'File 5'!$R$54*'Time based aggregation (hide)'!$AD56</f>
        <v>0</v>
      </c>
      <c r="FR94" s="7">
        <f>'File 5'!$S$54*'Time based aggregation (hide)'!$AE56</f>
        <v>0</v>
      </c>
      <c r="FS94" s="7">
        <f>'File 6'!$Q$54*'Time based aggregation (hide)'!$AF56</f>
        <v>0</v>
      </c>
      <c r="FT94" s="7">
        <f>'File 6'!$R$54*'Time based aggregation (hide)'!$AG56</f>
        <v>0</v>
      </c>
      <c r="FU94" s="7">
        <f>'File 6'!$S$54*'Time based aggregation (hide)'!$AH56</f>
        <v>0</v>
      </c>
      <c r="FV94" s="7">
        <f>'File 7'!$Q$54*'Time based aggregation (hide)'!$AI56</f>
        <v>0</v>
      </c>
      <c r="FW94" s="7">
        <f>'File 7'!$R$54*'Time based aggregation (hide)'!$AJ56</f>
        <v>0</v>
      </c>
      <c r="FX94" s="7">
        <f>'File 7'!$S$54*'Time based aggregation (hide)'!$AK56</f>
        <v>0</v>
      </c>
      <c r="FY94" s="7">
        <f>'File 8'!$Q$54*'Time based aggregation (hide)'!$AL56</f>
        <v>0</v>
      </c>
      <c r="FZ94" s="7">
        <f>'File 8'!$R$54*'Time based aggregation (hide)'!$AM56</f>
        <v>0</v>
      </c>
      <c r="GA94" s="7">
        <f>'File 8'!$S$54*'Time based aggregation (hide)'!$AN56</f>
        <v>0</v>
      </c>
      <c r="GB94" s="7">
        <f>'File 9'!$Q$54*'Time based aggregation (hide)'!$AO56</f>
        <v>0</v>
      </c>
      <c r="GC94" s="7">
        <f>'File 9'!$R$54*'Time based aggregation (hide)'!$AP56</f>
        <v>0</v>
      </c>
      <c r="GD94" s="7">
        <f>'File 9'!$S$54*'Time based aggregation (hide)'!$AQ56</f>
        <v>0</v>
      </c>
      <c r="GE94" s="7">
        <f>'File 10'!$Q$54*'Time based aggregation (hide)'!$AR56</f>
        <v>0</v>
      </c>
      <c r="GF94" s="7">
        <f>'File 10'!$R$54*'Time based aggregation (hide)'!$AS56</f>
        <v>0</v>
      </c>
      <c r="GG94" s="7">
        <f>'File 10'!$S$54*'Time based aggregation (hide)'!$AT56</f>
        <v>0</v>
      </c>
      <c r="GH94" s="7">
        <f>'File 11'!$Q$54*'Time based aggregation (hide)'!$AU56</f>
        <v>0</v>
      </c>
      <c r="GI94" s="7">
        <f>'File 11'!$R$54*'Time based aggregation (hide)'!$AV56</f>
        <v>0</v>
      </c>
      <c r="GJ94" s="7">
        <f>'File 11'!$S$54*'Time based aggregation (hide)'!$AW56</f>
        <v>0</v>
      </c>
      <c r="GK94" s="7">
        <f>'File 12'!$Q$54*'Time based aggregation (hide)'!$AX56</f>
        <v>0</v>
      </c>
      <c r="GL94" s="7">
        <f>'File 12'!$R$54*'Time based aggregation (hide)'!$AY56</f>
        <v>0</v>
      </c>
      <c r="GM94" s="7">
        <f>'File 12'!$S$54*'Time based aggregation (hide)'!$AZ56</f>
        <v>0</v>
      </c>
      <c r="GN94" s="7">
        <f>'File 13'!$Q$54*'Time based aggregation (hide)'!$BA56</f>
        <v>0</v>
      </c>
      <c r="GO94" s="7">
        <f>'File 13'!$R$54*'Time based aggregation (hide)'!$BB56</f>
        <v>0</v>
      </c>
      <c r="GP94" s="7">
        <f>'File 13'!$S$54*'Time based aggregation (hide)'!$BC56</f>
        <v>0</v>
      </c>
      <c r="GQ94" s="7">
        <f>'File 14'!$Q$54*'Time based aggregation (hide)'!$BD56</f>
        <v>0</v>
      </c>
      <c r="GR94" s="7">
        <f>'File 14'!$R$54*'Time based aggregation (hide)'!$BE56</f>
        <v>0</v>
      </c>
      <c r="GS94" s="7">
        <f>'File 14'!$S$54*'Time based aggregation (hide)'!$BF56</f>
        <v>0</v>
      </c>
      <c r="GT94" s="7">
        <f>'File 15'!$Q$54*'Time based aggregation (hide)'!$BG56</f>
        <v>0</v>
      </c>
      <c r="GU94" s="7">
        <f>'File 15'!$R$54*'Time based aggregation (hide)'!$BH56</f>
        <v>0</v>
      </c>
      <c r="GV94" s="7">
        <f>'File 15'!$S$54*'Time based aggregation (hide)'!$BI56</f>
        <v>0</v>
      </c>
      <c r="GW94" s="7">
        <f>'File 16'!$Q$54*'Time based aggregation (hide)'!$BJ56</f>
        <v>0</v>
      </c>
      <c r="GX94" s="7">
        <f>'File 16'!$R$54*'Time based aggregation (hide)'!$BK56</f>
        <v>0</v>
      </c>
      <c r="GY94" s="7">
        <f>'File 16'!$S$54*'Time based aggregation (hide)'!$BL56</f>
        <v>0</v>
      </c>
      <c r="GZ94" s="7">
        <f>'File 17'!$Q$54*'Time based aggregation (hide)'!$BM56</f>
        <v>0</v>
      </c>
      <c r="HA94" s="7">
        <f>'File 17'!$R$54*'Time based aggregation (hide)'!$BN56</f>
        <v>0</v>
      </c>
      <c r="HB94" s="7">
        <f>'File 17'!$S$54*'Time based aggregation (hide)'!$BO56</f>
        <v>0</v>
      </c>
      <c r="HC94" s="7">
        <f>'File 18'!$Q$54*'Time based aggregation (hide)'!$BP56</f>
        <v>0</v>
      </c>
      <c r="HD94" s="7">
        <f>'File 18'!$R$54*'Time based aggregation (hide)'!$BQ56</f>
        <v>0</v>
      </c>
      <c r="HE94" s="7">
        <f>'File 18'!$S$54*'Time based aggregation (hide)'!$BR56</f>
        <v>0</v>
      </c>
      <c r="HF94" s="7">
        <f>'File 19'!$Q$54*'Time based aggregation (hide)'!$BS56</f>
        <v>0</v>
      </c>
      <c r="HG94" s="7">
        <f>'File 19'!$R$54*'Time based aggregation (hide)'!$BT56</f>
        <v>0</v>
      </c>
      <c r="HH94" s="7">
        <f>'File 19'!$S$54*'Time based aggregation (hide)'!$BU56</f>
        <v>0</v>
      </c>
      <c r="HI94" s="7">
        <f>'File 20'!$Q$54*'Time based aggregation (hide)'!$BV56</f>
        <v>0</v>
      </c>
      <c r="HJ94" s="7">
        <f>'File 20'!$R$54*'Time based aggregation (hide)'!$BW56</f>
        <v>0</v>
      </c>
      <c r="HK94" s="7">
        <f>'File 20'!$S$54*'Time based aggregation (hide)'!$BX56</f>
        <v>0</v>
      </c>
      <c r="HL94" s="7">
        <f t="shared" ca="1" si="50"/>
        <v>0</v>
      </c>
      <c r="HM94" s="7">
        <f t="shared" ca="1" si="50"/>
        <v>0</v>
      </c>
      <c r="HN94" s="7">
        <f t="shared" ca="1" si="50"/>
        <v>0</v>
      </c>
      <c r="HO94" s="7">
        <f t="shared" ca="1" si="50"/>
        <v>0</v>
      </c>
      <c r="HP94" s="7">
        <f t="shared" ca="1" si="50"/>
        <v>0</v>
      </c>
      <c r="HR94" s="142">
        <f>INDEX('File 1'!Weekly_Adjusted,52,16)</f>
        <v>20.933351264120493</v>
      </c>
      <c r="HS94" s="142">
        <f>INDEX('File 1'!Weekly_Adjusted,52,17)</f>
        <v>0</v>
      </c>
      <c r="HT94" s="142">
        <f>INDEX('File 1'!Weekly_Adjusted,52,18)</f>
        <v>0</v>
      </c>
      <c r="HU94" s="143">
        <f>INDEX('File 2'!Weekly_Adjusted,52,16)</f>
        <v>0</v>
      </c>
      <c r="HV94" s="143">
        <f>INDEX('File 2'!Weekly_Adjusted,52,17)</f>
        <v>0</v>
      </c>
      <c r="HW94" s="143">
        <f>INDEX('File 2'!Weekly_Adjusted,52,18)</f>
        <v>0</v>
      </c>
      <c r="HX94" s="142">
        <f>INDEX('File 3'!Weekly_Adjusted,52,16)</f>
        <v>0</v>
      </c>
      <c r="HY94" s="142">
        <f>INDEX('File 3'!Weekly_Adjusted,52,17)</f>
        <v>0</v>
      </c>
      <c r="HZ94" s="142">
        <f>INDEX('File 3'!Weekly_Adjusted,52,18)</f>
        <v>0</v>
      </c>
      <c r="IA94" s="143">
        <f>INDEX('File 4'!Weekly_Adjusted,52,16)</f>
        <v>0</v>
      </c>
      <c r="IB94" s="143">
        <f>INDEX('File 4'!Weekly_Adjusted,52,17)</f>
        <v>0</v>
      </c>
      <c r="IC94" s="143">
        <f>INDEX('File 4'!Weekly_Adjusted,52,18)</f>
        <v>0</v>
      </c>
      <c r="ID94" s="142">
        <f>INDEX('File 5'!Weekly_Adjusted,52,16)</f>
        <v>0</v>
      </c>
      <c r="IE94" s="142">
        <f>INDEX('File 5'!Weekly_Adjusted,52,17)</f>
        <v>0</v>
      </c>
      <c r="IF94" s="142">
        <f>INDEX('File 5'!Weekly_Adjusted,52,18)</f>
        <v>0</v>
      </c>
      <c r="IG94" s="143">
        <f>INDEX('File 6'!Weekly_Adjusted,52,16)</f>
        <v>0</v>
      </c>
      <c r="IH94" s="143">
        <f>INDEX('File 6'!Weekly_Adjusted,52,17)</f>
        <v>0</v>
      </c>
      <c r="II94" s="143">
        <f>INDEX('File 6'!Weekly_Adjusted,52,18)</f>
        <v>0</v>
      </c>
      <c r="IJ94" s="142">
        <f>INDEX('File 7'!Weekly_Adjusted,52,16)</f>
        <v>0</v>
      </c>
      <c r="IK94" s="142">
        <f>INDEX('File 7'!Weekly_Adjusted,52,17)</f>
        <v>0</v>
      </c>
      <c r="IL94" s="142">
        <f>INDEX('File 7'!Weekly_Adjusted,52,18)</f>
        <v>0</v>
      </c>
      <c r="IM94" s="143">
        <f>INDEX('File 8'!Weekly_Adjusted,52,16)</f>
        <v>0</v>
      </c>
      <c r="IN94" s="143">
        <f>INDEX('File 8'!Weekly_Adjusted,52,17)</f>
        <v>0</v>
      </c>
      <c r="IO94" s="143">
        <f>INDEX('File 8'!Weekly_Adjusted,52,18)</f>
        <v>0</v>
      </c>
      <c r="IP94" s="142">
        <f>INDEX('File 9'!Weekly_Adjusted,52,16)</f>
        <v>0</v>
      </c>
      <c r="IQ94" s="142">
        <f>INDEX('File 9'!Weekly_Adjusted,52,17)</f>
        <v>0</v>
      </c>
      <c r="IR94" s="142">
        <f>INDEX('File 9'!Weekly_Adjusted,52,18)</f>
        <v>0</v>
      </c>
      <c r="IS94" s="143">
        <f>INDEX('File 10'!Weekly_Adjusted,52,16)</f>
        <v>0</v>
      </c>
      <c r="IT94" s="143">
        <f>INDEX('File 10'!Weekly_Adjusted,52,17)</f>
        <v>0</v>
      </c>
      <c r="IU94" s="143">
        <f>INDEX('File 10'!Weekly_Adjusted,52,18)</f>
        <v>0</v>
      </c>
      <c r="IV94" s="142">
        <f>INDEX('File 11'!Weekly_Adjusted,52,16)</f>
        <v>0</v>
      </c>
      <c r="IW94" s="142">
        <f>INDEX('File 11'!Weekly_Adjusted,52,17)</f>
        <v>0</v>
      </c>
      <c r="IX94" s="142">
        <f>INDEX('File 11'!Weekly_Adjusted,52,18)</f>
        <v>0</v>
      </c>
      <c r="IY94" s="143">
        <f>INDEX('File 12'!Weekly_Adjusted,52,16)</f>
        <v>0</v>
      </c>
      <c r="IZ94" s="143">
        <f>INDEX('File 12'!Weekly_Adjusted,52,17)</f>
        <v>0</v>
      </c>
      <c r="JA94" s="143">
        <f>INDEX('File 12'!Weekly_Adjusted,52,18)</f>
        <v>0</v>
      </c>
      <c r="JB94" s="142">
        <f>INDEX('File 13'!Weekly_Adjusted,52,16)</f>
        <v>0</v>
      </c>
      <c r="JC94" s="142">
        <f>INDEX('File 13'!Weekly_Adjusted,52,17)</f>
        <v>0</v>
      </c>
      <c r="JD94" s="142">
        <f>INDEX('File 13'!Weekly_Adjusted,52,18)</f>
        <v>0</v>
      </c>
      <c r="JE94" s="143">
        <f>INDEX('File 14'!Weekly_Adjusted,52,16)</f>
        <v>0</v>
      </c>
      <c r="JF94" s="143">
        <f>INDEX('File 14'!Weekly_Adjusted,52,17)</f>
        <v>0</v>
      </c>
      <c r="JG94" s="143">
        <f>INDEX('File 14'!Weekly_Adjusted,52,18)</f>
        <v>0</v>
      </c>
      <c r="JH94" s="142">
        <f>INDEX('File 15'!Weekly_Adjusted,52,16)</f>
        <v>0</v>
      </c>
      <c r="JI94" s="142">
        <f>INDEX('File 15'!Weekly_Adjusted,52,17)</f>
        <v>0</v>
      </c>
      <c r="JJ94" s="142">
        <f>INDEX('File 15'!Weekly_Adjusted,52,18)</f>
        <v>0</v>
      </c>
      <c r="JK94" s="143">
        <f>INDEX('File 16'!Weekly_Adjusted,52,16)</f>
        <v>0</v>
      </c>
      <c r="JL94" s="143">
        <f>INDEX('File 16'!Weekly_Adjusted,52,17)</f>
        <v>0</v>
      </c>
      <c r="JM94" s="143">
        <f>INDEX('File 16'!Weekly_Adjusted,52,18)</f>
        <v>0</v>
      </c>
      <c r="JN94" s="142">
        <f>INDEX('File 17'!Weekly_Adjusted,52,16)</f>
        <v>0</v>
      </c>
      <c r="JO94" s="142">
        <f>INDEX('File 17'!Weekly_Adjusted,52,17)</f>
        <v>0</v>
      </c>
      <c r="JP94" s="142">
        <f>INDEX('File 17'!Weekly_Adjusted,52,18)</f>
        <v>0</v>
      </c>
      <c r="JQ94" s="143">
        <f>INDEX('File 18'!Weekly_Adjusted,52,16)</f>
        <v>0</v>
      </c>
      <c r="JR94" s="143">
        <f>INDEX('File 18'!Weekly_Adjusted,52,17)</f>
        <v>0</v>
      </c>
      <c r="JS94" s="143">
        <f>INDEX('File 18'!Weekly_Adjusted,52,18)</f>
        <v>0</v>
      </c>
      <c r="JT94" s="142">
        <f>INDEX('File 19'!Weekly_Adjusted,52,16)</f>
        <v>0</v>
      </c>
      <c r="JU94" s="142">
        <f>INDEX('File 19'!Weekly_Adjusted,52,17)</f>
        <v>0</v>
      </c>
      <c r="JV94" s="142">
        <f>INDEX('File 19'!Weekly_Adjusted,52,18)</f>
        <v>0</v>
      </c>
      <c r="JW94" s="143">
        <f>INDEX('File 20'!Weekly_Adjusted,52,16)</f>
        <v>0</v>
      </c>
      <c r="JX94" s="143">
        <f>INDEX('File 20'!Weekly_Adjusted,52,17)</f>
        <v>0</v>
      </c>
      <c r="JY94" s="143">
        <f>INDEX('File 20'!Weekly_Adjusted,52,18)</f>
        <v>0</v>
      </c>
      <c r="JZ94" s="6">
        <f ca="1">SUMIFS(INDEX(CapacityCore_Activity_Weekly,ROW(EC52),0),Demand_Activity_Weekly_Header,HL$42)</f>
        <v>20.933351264120493</v>
      </c>
      <c r="KA94" s="6">
        <f ca="1">SUMIFS(INDEX(CapacityCore_Activity_Weekly,ROW(ED52),0),Demand_Activity_Weekly_Header,HM$42)</f>
        <v>0</v>
      </c>
      <c r="KB94" s="6">
        <f ca="1">SUMIFS(INDEX(CapacityCore_Activity_Weekly,ROW(EE52),0),Demand_Activity_Weekly_Header,HN$42)</f>
        <v>0</v>
      </c>
      <c r="KC94" s="6">
        <f ca="1">SUMIFS(INDEX(CapacityCore_Activity_Weekly,ROW(EF52),0),Demand_Activity_Weekly_Header,HO$42)</f>
        <v>0</v>
      </c>
      <c r="KD94" s="6">
        <f ca="1">SUMIFS(INDEX(CapacityCore_Activity_Weekly,ROW(EG52),0),Demand_Activity_Weekly_Header,HP$42)</f>
        <v>0</v>
      </c>
      <c r="KF94" s="6">
        <f>SUMIFS('Time based aggregation (hide)'!$J:$J,'Time based aggregation (hide)'!$E:$E,1,'Time based aggregation (hide)'!$F:$F,1,'Time based aggregation (hide)'!$A:$A,ROW(A52))</f>
        <v>0</v>
      </c>
      <c r="KG94" s="6">
        <f>SUMIFS('Time based aggregation (hide)'!$J:$J,'Time based aggregation (hide)'!$E:$E,1,'Time based aggregation (hide)'!$F:$F,2,'Time based aggregation (hide)'!$A:$A,ROW(A52))</f>
        <v>0</v>
      </c>
      <c r="KH94" s="6">
        <f>SUMIFS('Time based aggregation (hide)'!$J:$J,'Time based aggregation (hide)'!$E:$E,1,'Time based aggregation (hide)'!$F:$F,3,'Time based aggregation (hide)'!$A:$A,ROW(A52))</f>
        <v>0</v>
      </c>
      <c r="KI94" s="6">
        <f>SUMIFS('Time based aggregation (hide)'!$J:$J,'Time based aggregation (hide)'!$E:$E,2,'Time based aggregation (hide)'!$F:$F,1,'Time based aggregation (hide)'!$A:$A,ROW(A52))</f>
        <v>0</v>
      </c>
      <c r="KJ94" s="6">
        <f>SUMIFS('Time based aggregation (hide)'!$J:$J,'Time based aggregation (hide)'!$E:$E,2,'Time based aggregation (hide)'!$F:$F,2,'Time based aggregation (hide)'!$A:$A,ROW(A52))</f>
        <v>0</v>
      </c>
      <c r="KK94" s="6">
        <f>SUMIFS('Time based aggregation (hide)'!$J:$J,'Time based aggregation (hide)'!$E:$E,2,'Time based aggregation (hide)'!$F:$F,3,'Time based aggregation (hide)'!$A:$A,ROW(A52))</f>
        <v>0</v>
      </c>
      <c r="KL94" s="6">
        <f>SUMIFS('Time based aggregation (hide)'!$J:$J,'Time based aggregation (hide)'!$E:$E,3,'Time based aggregation (hide)'!$F:$F,1,'Time based aggregation (hide)'!$A:$A,ROW(A52))</f>
        <v>0</v>
      </c>
      <c r="KM94" s="6">
        <f>SUMIFS('Time based aggregation (hide)'!$J:$J,'Time based aggregation (hide)'!$E:$E,3,'Time based aggregation (hide)'!$F:$F,2,'Time based aggregation (hide)'!$A:$A,ROW(A52))</f>
        <v>0</v>
      </c>
      <c r="KN94" s="6">
        <f>SUMIFS('Time based aggregation (hide)'!$J:$J,'Time based aggregation (hide)'!$E:$E,3,'Time based aggregation (hide)'!$F:$F,3,'Time based aggregation (hide)'!$A:$A,ROW(A52))</f>
        <v>0</v>
      </c>
      <c r="KO94" s="6">
        <f>SUMIFS('Time based aggregation (hide)'!$J:$J,'Time based aggregation (hide)'!$E:$E,4,'Time based aggregation (hide)'!$F:$F,1,'Time based aggregation (hide)'!$A:$A,ROW(A52))</f>
        <v>0</v>
      </c>
      <c r="KP94" s="6">
        <f>SUMIFS('Time based aggregation (hide)'!$J:$J,'Time based aggregation (hide)'!$E:$E,4,'Time based aggregation (hide)'!$F:$F,2,'Time based aggregation (hide)'!$A:$A,ROW(A52))</f>
        <v>0</v>
      </c>
      <c r="KQ94" s="6">
        <f>SUMIFS('Time based aggregation (hide)'!$J:$J,'Time based aggregation (hide)'!$E:$E,4,'Time based aggregation (hide)'!$F:$F,3,'Time based aggregation (hide)'!$A:$A,ROW(A52))</f>
        <v>0</v>
      </c>
      <c r="KR94" s="6">
        <f>SUMIFS('Time based aggregation (hide)'!$J:$J,'Time based aggregation (hide)'!$E:$E,5,'Time based aggregation (hide)'!$F:$F,1,'Time based aggregation (hide)'!$A:$A,ROW(A52))</f>
        <v>0</v>
      </c>
      <c r="KS94" s="6">
        <f>SUMIFS('Time based aggregation (hide)'!$J:$J,'Time based aggregation (hide)'!$E:$E,5,'Time based aggregation (hide)'!$F:$F,2,'Time based aggregation (hide)'!$A:$A,ROW(A52))</f>
        <v>0</v>
      </c>
      <c r="KT94" s="6">
        <f>SUMIFS('Time based aggregation (hide)'!$J:$J,'Time based aggregation (hide)'!$E:$E,5,'Time based aggregation (hide)'!$F:$F,3,'Time based aggregation (hide)'!$A:$A,ROW(A52))</f>
        <v>0</v>
      </c>
      <c r="KU94" s="6">
        <f>SUMIFS('Time based aggregation (hide)'!$J:$J,'Time based aggregation (hide)'!$E:$E,6,'Time based aggregation (hide)'!$F:$F,1,'Time based aggregation (hide)'!$A:$A,ROW(A52))</f>
        <v>0</v>
      </c>
      <c r="KV94" s="6">
        <f>SUMIFS('Time based aggregation (hide)'!$J:$J,'Time based aggregation (hide)'!$E:$E,6,'Time based aggregation (hide)'!$F:$F,2,'Time based aggregation (hide)'!$A:$A,ROW(A52))</f>
        <v>0</v>
      </c>
      <c r="KW94" s="6">
        <f>SUMIFS('Time based aggregation (hide)'!$J:$J,'Time based aggregation (hide)'!$E:$E,6,'Time based aggregation (hide)'!$F:$F,3,'Time based aggregation (hide)'!$A:$A,ROW(A52))</f>
        <v>0</v>
      </c>
      <c r="KX94" s="6">
        <f>SUMIFS('Time based aggregation (hide)'!$J:$J,'Time based aggregation (hide)'!$E:$E,7,'Time based aggregation (hide)'!$F:$F,1,'Time based aggregation (hide)'!$A:$A,ROW(A52))</f>
        <v>0</v>
      </c>
      <c r="KY94" s="6">
        <f>SUMIFS('Time based aggregation (hide)'!$J:$J,'Time based aggregation (hide)'!$E:$E,7,'Time based aggregation (hide)'!$F:$F,2,'Time based aggregation (hide)'!$A:$A,ROW(A52))</f>
        <v>0</v>
      </c>
      <c r="KZ94" s="6">
        <f>SUMIFS('Time based aggregation (hide)'!$J:$J,'Time based aggregation (hide)'!$E:$E,7,'Time based aggregation (hide)'!$F:$F,3,'Time based aggregation (hide)'!$A:$A,ROW(A52))</f>
        <v>0</v>
      </c>
      <c r="LA94" s="6">
        <f>SUMIFS('Time based aggregation (hide)'!$J:$J,'Time based aggregation (hide)'!$E:$E,8,'Time based aggregation (hide)'!$F:$F,1,'Time based aggregation (hide)'!$A:$A,ROW(A52))</f>
        <v>0</v>
      </c>
      <c r="LB94" s="6">
        <f>SUMIFS('Time based aggregation (hide)'!$J:$J,'Time based aggregation (hide)'!$E:$E,8,'Time based aggregation (hide)'!$F:$F,2,'Time based aggregation (hide)'!$A:$A,ROW(A52))</f>
        <v>0</v>
      </c>
      <c r="LC94" s="6">
        <f>SUMIFS('Time based aggregation (hide)'!$J:$J,'Time based aggregation (hide)'!$E:$E,8,'Time based aggregation (hide)'!$F:$F,3,'Time based aggregation (hide)'!$A:$A,ROW(A52))</f>
        <v>0</v>
      </c>
      <c r="LD94" s="6">
        <f>SUMIFS('Time based aggregation (hide)'!$J:$J,'Time based aggregation (hide)'!$E:$E,9,'Time based aggregation (hide)'!$F:$F,1,'Time based aggregation (hide)'!$A:$A,ROW(A52))</f>
        <v>0</v>
      </c>
      <c r="LE94" s="6">
        <f>SUMIFS('Time based aggregation (hide)'!$J:$J,'Time based aggregation (hide)'!$E:$E,9,'Time based aggregation (hide)'!$F:$F,2,'Time based aggregation (hide)'!$A:$A,ROW(A52))</f>
        <v>0</v>
      </c>
      <c r="LF94" s="6">
        <f>SUMIFS('Time based aggregation (hide)'!$J:$J,'Time based aggregation (hide)'!$E:$E,9,'Time based aggregation (hide)'!$F:$F,3,'Time based aggregation (hide)'!$A:$A,ROW(A52))</f>
        <v>0</v>
      </c>
      <c r="LG94" s="6">
        <f>SUMIFS('Time based aggregation (hide)'!$J:$J,'Time based aggregation (hide)'!$E:$E,10,'Time based aggregation (hide)'!$F:$F,1,'Time based aggregation (hide)'!$A:$A,ROW(A52))</f>
        <v>0</v>
      </c>
      <c r="LH94" s="6">
        <f>SUMIFS('Time based aggregation (hide)'!$J:$J,'Time based aggregation (hide)'!$E:$E,10,'Time based aggregation (hide)'!$F:$F,2,'Time based aggregation (hide)'!$A:$A,ROW(A52))</f>
        <v>0</v>
      </c>
      <c r="LI94" s="6">
        <f>SUMIFS('Time based aggregation (hide)'!$J:$J,'Time based aggregation (hide)'!$E:$E,10,'Time based aggregation (hide)'!$F:$F,3,'Time based aggregation (hide)'!$A:$A,ROW(A52))</f>
        <v>0</v>
      </c>
      <c r="LJ94" s="6">
        <f>SUMIFS('Time based aggregation (hide)'!$J:$J,'Time based aggregation (hide)'!$E:$E,11,'Time based aggregation (hide)'!$F:$F,1,'Time based aggregation (hide)'!$A:$A,ROW(A52))</f>
        <v>0</v>
      </c>
      <c r="LK94" s="6">
        <f>SUMIFS('Time based aggregation (hide)'!$J:$J,'Time based aggregation (hide)'!$E:$E,11,'Time based aggregation (hide)'!$F:$F,2,'Time based aggregation (hide)'!$A:$A,ROW(A52))</f>
        <v>0</v>
      </c>
      <c r="LL94" s="6">
        <f>SUMIFS('Time based aggregation (hide)'!$J:$J,'Time based aggregation (hide)'!$E:$E,11,'Time based aggregation (hide)'!$F:$F,3,'Time based aggregation (hide)'!$A:$A,ROW(A52))</f>
        <v>0</v>
      </c>
      <c r="LM94" s="6">
        <f>SUMIFS('Time based aggregation (hide)'!$J:$J,'Time based aggregation (hide)'!$E:$E,12,'Time based aggregation (hide)'!$F:$F,1,'Time based aggregation (hide)'!$A:$A,ROW(A52))</f>
        <v>0</v>
      </c>
      <c r="LN94" s="6">
        <f>SUMIFS('Time based aggregation (hide)'!$J:$J,'Time based aggregation (hide)'!$E:$E,12,'Time based aggregation (hide)'!$F:$F,2,'Time based aggregation (hide)'!$A:$A,ROW(A52))</f>
        <v>0</v>
      </c>
      <c r="LO94" s="6">
        <f>SUMIFS('Time based aggregation (hide)'!$J:$J,'Time based aggregation (hide)'!$E:$E,12,'Time based aggregation (hide)'!$F:$F,3,'Time based aggregation (hide)'!$A:$A,ROW(A52))</f>
        <v>0</v>
      </c>
      <c r="LP94" s="6">
        <f>SUMIFS('Time based aggregation (hide)'!$J:$J,'Time based aggregation (hide)'!$E:$E,13,'Time based aggregation (hide)'!$F:$F,1,'Time based aggregation (hide)'!$A:$A,ROW(A52))</f>
        <v>0</v>
      </c>
      <c r="LQ94" s="6">
        <f>SUMIFS('Time based aggregation (hide)'!$J:$J,'Time based aggregation (hide)'!$E:$E,13,'Time based aggregation (hide)'!$F:$F,2,'Time based aggregation (hide)'!$A:$A,ROW(A52))</f>
        <v>0</v>
      </c>
      <c r="LR94" s="6">
        <f>SUMIFS('Time based aggregation (hide)'!$J:$J,'Time based aggregation (hide)'!$E:$E,13,'Time based aggregation (hide)'!$F:$F,3,'Time based aggregation (hide)'!$A:$A,ROW(A52))</f>
        <v>0</v>
      </c>
      <c r="LS94" s="6">
        <f>SUMIFS('Time based aggregation (hide)'!$J:$J,'Time based aggregation (hide)'!$E:$E,14,'Time based aggregation (hide)'!$F:$F,1,'Time based aggregation (hide)'!$A:$A,ROW(A52))</f>
        <v>0</v>
      </c>
      <c r="LT94" s="6">
        <f>SUMIFS('Time based aggregation (hide)'!$J:$J,'Time based aggregation (hide)'!$E:$E,14,'Time based aggregation (hide)'!$F:$F,2,'Time based aggregation (hide)'!$A:$A,ROW(A52))</f>
        <v>0</v>
      </c>
      <c r="LU94" s="6">
        <f>SUMIFS('Time based aggregation (hide)'!$J:$J,'Time based aggregation (hide)'!$E:$E,14,'Time based aggregation (hide)'!$F:$F,3,'Time based aggregation (hide)'!$A:$A,ROW(A52))</f>
        <v>0</v>
      </c>
      <c r="LV94" s="6">
        <f>SUMIFS('Time based aggregation (hide)'!$J:$J,'Time based aggregation (hide)'!$E:$E,15,'Time based aggregation (hide)'!$F:$F,1,'Time based aggregation (hide)'!$A:$A,ROW(A52))</f>
        <v>0</v>
      </c>
      <c r="LW94" s="6">
        <f>SUMIFS('Time based aggregation (hide)'!$J:$J,'Time based aggregation (hide)'!$E:$E,15,'Time based aggregation (hide)'!$F:$F,2,'Time based aggregation (hide)'!$A:$A,ROW(A52))</f>
        <v>0</v>
      </c>
      <c r="LX94" s="6">
        <f>SUMIFS('Time based aggregation (hide)'!$J:$J,'Time based aggregation (hide)'!$E:$E,15,'Time based aggregation (hide)'!$F:$F,3,'Time based aggregation (hide)'!$A:$A,ROW(A52))</f>
        <v>0</v>
      </c>
      <c r="LY94" s="6">
        <f>SUMIFS('Time based aggregation (hide)'!$J:$J,'Time based aggregation (hide)'!$E:$E,16,'Time based aggregation (hide)'!$F:$F,1,'Time based aggregation (hide)'!$A:$A,ROW(A52))</f>
        <v>0</v>
      </c>
      <c r="LZ94" s="6">
        <f>SUMIFS('Time based aggregation (hide)'!$J:$J,'Time based aggregation (hide)'!$E:$E,16,'Time based aggregation (hide)'!$F:$F,2,'Time based aggregation (hide)'!$A:$A,ROW(A52))</f>
        <v>0</v>
      </c>
      <c r="MA94" s="6">
        <f>SUMIFS('Time based aggregation (hide)'!$J:$J,'Time based aggregation (hide)'!$E:$E,16,'Time based aggregation (hide)'!$F:$F,3,'Time based aggregation (hide)'!$A:$A,ROW(A52))</f>
        <v>0</v>
      </c>
      <c r="MB94" s="6">
        <f>SUMIFS('Time based aggregation (hide)'!$J:$J,'Time based aggregation (hide)'!$E:$E,17,'Time based aggregation (hide)'!$F:$F,1,'Time based aggregation (hide)'!$A:$A,ROW(A52))</f>
        <v>0</v>
      </c>
      <c r="MC94" s="6">
        <f>SUMIFS('Time based aggregation (hide)'!$J:$J,'Time based aggregation (hide)'!$E:$E,17,'Time based aggregation (hide)'!$F:$F,2,'Time based aggregation (hide)'!$A:$A,ROW(A52))</f>
        <v>0</v>
      </c>
      <c r="MD94" s="6">
        <f>SUMIFS('Time based aggregation (hide)'!$J:$J,'Time based aggregation (hide)'!$E:$E,17,'Time based aggregation (hide)'!$F:$F,3,'Time based aggregation (hide)'!$A:$A,ROW(A52))</f>
        <v>0</v>
      </c>
      <c r="ME94" s="6">
        <f>SUMIFS('Time based aggregation (hide)'!$J:$J,'Time based aggregation (hide)'!$E:$E,18,'Time based aggregation (hide)'!$F:$F,1,'Time based aggregation (hide)'!$A:$A,ROW(A52))</f>
        <v>0</v>
      </c>
      <c r="MF94" s="6">
        <f>SUMIFS('Time based aggregation (hide)'!$J:$J,'Time based aggregation (hide)'!$E:$E,18,'Time based aggregation (hide)'!$F:$F,2,'Time based aggregation (hide)'!$A:$A,ROW(A52))</f>
        <v>0</v>
      </c>
      <c r="MG94" s="6">
        <f>SUMIFS('Time based aggregation (hide)'!$J:$J,'Time based aggregation (hide)'!$E:$E,18,'Time based aggregation (hide)'!$F:$F,3,'Time based aggregation (hide)'!$A:$A,ROW(A52))</f>
        <v>0</v>
      </c>
      <c r="MH94" s="6">
        <f>SUMIFS('Time based aggregation (hide)'!$J:$J,'Time based aggregation (hide)'!$E:$E,19,'Time based aggregation (hide)'!$F:$F,1,'Time based aggregation (hide)'!$A:$A,ROW(A52))</f>
        <v>0</v>
      </c>
      <c r="MI94" s="6">
        <f>SUMIFS('Time based aggregation (hide)'!$J:$J,'Time based aggregation (hide)'!$E:$E,19,'Time based aggregation (hide)'!$F:$F,2,'Time based aggregation (hide)'!$A:$A,ROW(A52))</f>
        <v>0</v>
      </c>
      <c r="MJ94" s="6">
        <f>SUMIFS('Time based aggregation (hide)'!$J:$J,'Time based aggregation (hide)'!$E:$E,19,'Time based aggregation (hide)'!$F:$F,3,'Time based aggregation (hide)'!$A:$A,ROW(A52))</f>
        <v>0</v>
      </c>
      <c r="MK94" s="6">
        <f>SUMIFS('Time based aggregation (hide)'!$J:$J,'Time based aggregation (hide)'!$E:$E,20,'Time based aggregation (hide)'!$F:$F,1,'Time based aggregation (hide)'!$A:$A,ROW(A52))</f>
        <v>0</v>
      </c>
      <c r="ML94" s="6">
        <f>SUMIFS('Time based aggregation (hide)'!$J:$J,'Time based aggregation (hide)'!$E:$E,20,'Time based aggregation (hide)'!$F:$F,2,'Time based aggregation (hide)'!$A:$A,ROW(A52))</f>
        <v>0</v>
      </c>
      <c r="MM94" s="6">
        <f>SUMIFS('Time based aggregation (hide)'!$J:$J,'Time based aggregation (hide)'!$E:$E,20,'Time based aggregation (hide)'!$F:$F,3,'Time based aggregation (hide)'!$A:$A,ROW(A52))</f>
        <v>0</v>
      </c>
      <c r="MN94" s="7">
        <f t="shared" ca="1" si="51"/>
        <v>0</v>
      </c>
      <c r="MO94" s="7">
        <f t="shared" ca="1" si="51"/>
        <v>0</v>
      </c>
      <c r="MP94" s="7">
        <f t="shared" ca="1" si="51"/>
        <v>0</v>
      </c>
      <c r="MQ94" s="7">
        <f t="shared" ca="1" si="51"/>
        <v>0</v>
      </c>
      <c r="MR94" s="7">
        <f t="shared" ca="1" si="51"/>
        <v>0</v>
      </c>
    </row>
    <row r="95" spans="1:356" x14ac:dyDescent="0.25">
      <c r="A95">
        <f>1</f>
        <v>1</v>
      </c>
      <c r="B95" s="85">
        <f t="shared" si="37"/>
        <v>43883</v>
      </c>
      <c r="C95" s="85">
        <f t="shared" si="25"/>
        <v>43878</v>
      </c>
      <c r="D95">
        <f t="shared" ca="1" si="26"/>
        <v>0</v>
      </c>
      <c r="E95" s="85">
        <f t="shared" si="27"/>
        <v>43862</v>
      </c>
      <c r="F95">
        <f t="shared" si="33"/>
        <v>8</v>
      </c>
      <c r="H95">
        <f>IF(I95="","",WEEKNUM(I95,21))</f>
        <v>53</v>
      </c>
      <c r="I95" s="85">
        <f t="shared" si="38"/>
        <v>44193</v>
      </c>
      <c r="J95">
        <f t="shared" ca="1" si="46"/>
        <v>3</v>
      </c>
      <c r="K95">
        <f t="shared" ca="1" si="47"/>
        <v>1.1811023622047244E-2</v>
      </c>
      <c r="L95" s="114"/>
      <c r="N95" s="85">
        <f t="shared" si="35"/>
        <v>44193</v>
      </c>
      <c r="O95" s="122">
        <f t="shared" ca="1" si="49"/>
        <v>0</v>
      </c>
      <c r="P95" s="122">
        <f t="shared" ca="1" si="49"/>
        <v>0</v>
      </c>
      <c r="Q95" s="122">
        <f t="shared" ca="1" si="49"/>
        <v>0</v>
      </c>
      <c r="R95" s="122">
        <f t="shared" ca="1" si="49"/>
        <v>0</v>
      </c>
      <c r="S95" s="122">
        <f t="shared" ca="1" si="49"/>
        <v>0</v>
      </c>
      <c r="T95" s="122">
        <f t="shared" ca="1" si="49"/>
        <v>0</v>
      </c>
      <c r="U95" s="122">
        <f t="shared" ca="1" si="49"/>
        <v>0</v>
      </c>
      <c r="V95" s="122">
        <f t="shared" ca="1" si="49"/>
        <v>0</v>
      </c>
      <c r="W95" s="122">
        <f t="shared" ca="1" si="49"/>
        <v>0</v>
      </c>
      <c r="X95" s="122">
        <f t="shared" ca="1" si="49"/>
        <v>0</v>
      </c>
      <c r="Y95" s="122">
        <f t="shared" ca="1" si="49"/>
        <v>0</v>
      </c>
      <c r="Z95" s="122">
        <f t="shared" ca="1" si="49"/>
        <v>1</v>
      </c>
      <c r="AB95" s="6">
        <f>INDEX('File 1'!Weekly_Adjusted,53,1)</f>
        <v>388.17143954725253</v>
      </c>
      <c r="AC95" s="6">
        <f>INDEX('File 1'!Weekly_Adjusted,53,2)</f>
        <v>0</v>
      </c>
      <c r="AD95" s="6">
        <f>INDEX('File 1'!Weekly_Adjusted,53,3)</f>
        <v>0</v>
      </c>
      <c r="AE95" s="6">
        <f>INDEX('File 2'!Weekly_Adjusted,53,1)</f>
        <v>0</v>
      </c>
      <c r="AF95" s="6">
        <f>INDEX('File 2'!Weekly_Adjusted,53,2)</f>
        <v>0</v>
      </c>
      <c r="AG95" s="6">
        <f>INDEX('File 2'!Weekly_Adjusted,53,3)</f>
        <v>0</v>
      </c>
      <c r="AH95" s="6">
        <f>INDEX('File 3'!Weekly_Adjusted,53,1)</f>
        <v>0</v>
      </c>
      <c r="AI95" s="6">
        <f>INDEX('File 3'!Weekly_Adjusted,53,2)</f>
        <v>0</v>
      </c>
      <c r="AJ95" s="6">
        <f>INDEX('File 3'!Weekly_Adjusted,53,3)</f>
        <v>0</v>
      </c>
      <c r="AK95" s="6">
        <f>INDEX('File 4'!Weekly_Adjusted,53,1)</f>
        <v>0</v>
      </c>
      <c r="AL95" s="6">
        <f>INDEX('File 4'!Weekly_Adjusted,53,2)</f>
        <v>0</v>
      </c>
      <c r="AM95" s="6">
        <f>INDEX('File 4'!Weekly_Adjusted,53,3)</f>
        <v>0</v>
      </c>
      <c r="AN95" s="6">
        <f>INDEX('File 5'!Weekly_Adjusted,53,1)</f>
        <v>0</v>
      </c>
      <c r="AO95" s="6">
        <f>INDEX('File 5'!Weekly_Adjusted,53,2)</f>
        <v>0</v>
      </c>
      <c r="AP95" s="6">
        <f>INDEX('File 5'!Weekly_Adjusted,53,3)</f>
        <v>0</v>
      </c>
      <c r="AQ95" s="6">
        <f>INDEX('File 6'!Weekly_Adjusted,53,1)</f>
        <v>0</v>
      </c>
      <c r="AR95" s="6">
        <f>INDEX('File 6'!Weekly_Adjusted,53,2)</f>
        <v>0</v>
      </c>
      <c r="AS95" s="6">
        <f>INDEX('File 6'!Weekly_Adjusted,53,3)</f>
        <v>0</v>
      </c>
      <c r="AT95" s="6">
        <f>INDEX('File 7'!Weekly_Adjusted,53,1)</f>
        <v>0</v>
      </c>
      <c r="AU95" s="6">
        <f>INDEX('File 7'!Weekly_Adjusted,53,2)</f>
        <v>0</v>
      </c>
      <c r="AV95" s="6">
        <f>INDEX('File 7'!Weekly_Adjusted,53,3)</f>
        <v>0</v>
      </c>
      <c r="AW95" s="6">
        <f>INDEX('File 8'!Weekly_Adjusted,53,1)</f>
        <v>0</v>
      </c>
      <c r="AX95" s="6">
        <f>INDEX('File 8'!Weekly_Adjusted,53,2)</f>
        <v>0</v>
      </c>
      <c r="AY95" s="6">
        <f>INDEX('File 8'!Weekly_Adjusted,53,3)</f>
        <v>0</v>
      </c>
      <c r="AZ95" s="6">
        <f>INDEX('File 9'!Weekly_Adjusted,53,1)</f>
        <v>0</v>
      </c>
      <c r="BA95" s="6">
        <f>INDEX('File 9'!Weekly_Adjusted,53,2)</f>
        <v>0</v>
      </c>
      <c r="BB95" s="6">
        <f>INDEX('File 9'!Weekly_Adjusted,53,3)</f>
        <v>0</v>
      </c>
      <c r="BC95" s="6">
        <f>INDEX('File 10'!Weekly_Adjusted,53,1)</f>
        <v>0</v>
      </c>
      <c r="BD95" s="6">
        <f>INDEX('File 10'!Weekly_Adjusted,53,2)</f>
        <v>0</v>
      </c>
      <c r="BE95" s="6">
        <f>INDEX('File 10'!Weekly_Adjusted,53,3)</f>
        <v>0</v>
      </c>
      <c r="BF95" s="6">
        <f>INDEX('File 11'!Weekly_Adjusted,53,1)</f>
        <v>0</v>
      </c>
      <c r="BG95" s="6">
        <f>INDEX('File 11'!Weekly_Adjusted,53,2)</f>
        <v>0</v>
      </c>
      <c r="BH95" s="6">
        <f>INDEX('File 11'!Weekly_Adjusted,53,3)</f>
        <v>0</v>
      </c>
      <c r="BI95" s="6">
        <f>INDEX('File 12'!Weekly_Adjusted,53,1)</f>
        <v>0</v>
      </c>
      <c r="BJ95" s="6">
        <f>INDEX('File 12'!Weekly_Adjusted,53,2)</f>
        <v>0</v>
      </c>
      <c r="BK95" s="6">
        <f>INDEX('File 12'!Weekly_Adjusted,53,3)</f>
        <v>0</v>
      </c>
      <c r="BL95" s="6">
        <f>INDEX('File 13'!Weekly_Adjusted,53,1)</f>
        <v>0</v>
      </c>
      <c r="BM95" s="6">
        <f>INDEX('File 13'!Weekly_Adjusted,53,2)</f>
        <v>0</v>
      </c>
      <c r="BN95" s="6">
        <f>INDEX('File 13'!Weekly_Adjusted,53,3)</f>
        <v>0</v>
      </c>
      <c r="BO95" s="6">
        <f>INDEX('File 14'!Weekly_Adjusted,53,1)</f>
        <v>0</v>
      </c>
      <c r="BP95" s="6">
        <f>INDEX('File 14'!Weekly_Adjusted,53,2)</f>
        <v>0</v>
      </c>
      <c r="BQ95" s="6">
        <f>INDEX('File 14'!Weekly_Adjusted,53,3)</f>
        <v>0</v>
      </c>
      <c r="BR95" s="6">
        <f>INDEX('File 15'!Weekly_Adjusted,53,1)</f>
        <v>0</v>
      </c>
      <c r="BS95" s="6">
        <f>INDEX('File 15'!Weekly_Adjusted,53,2)</f>
        <v>0</v>
      </c>
      <c r="BT95" s="6">
        <f>INDEX('File 15'!Weekly_Adjusted,53,3)</f>
        <v>0</v>
      </c>
      <c r="BU95" s="6">
        <f>INDEX('File 16'!Weekly_Adjusted,53,1)</f>
        <v>0</v>
      </c>
      <c r="BV95" s="6">
        <f>INDEX('File 16'!Weekly_Adjusted,53,2)</f>
        <v>0</v>
      </c>
      <c r="BW95" s="6">
        <f>INDEX('File 16'!Weekly_Adjusted,53,3)</f>
        <v>0</v>
      </c>
      <c r="BX95" s="6">
        <f>INDEX('File 17'!Weekly_Adjusted,53,1)</f>
        <v>0</v>
      </c>
      <c r="BY95" s="6">
        <f>INDEX('File 17'!Weekly_Adjusted,53,2)</f>
        <v>0</v>
      </c>
      <c r="BZ95" s="6">
        <f>INDEX('File 17'!Weekly_Adjusted,53,3)</f>
        <v>0</v>
      </c>
      <c r="CA95" s="6">
        <f>INDEX('File 18'!Weekly_Adjusted,53,1)</f>
        <v>0</v>
      </c>
      <c r="CB95" s="6">
        <f>INDEX('File 18'!Weekly_Adjusted,53,2)</f>
        <v>0</v>
      </c>
      <c r="CC95" s="6">
        <f>INDEX('File 18'!Weekly_Adjusted,53,3)</f>
        <v>0</v>
      </c>
      <c r="CD95" s="6">
        <f>INDEX('File 19'!Weekly_Adjusted,53,1)</f>
        <v>0</v>
      </c>
      <c r="CE95" s="6">
        <f>INDEX('File 19'!Weekly_Adjusted,53,2)</f>
        <v>0</v>
      </c>
      <c r="CF95" s="6">
        <f>INDEX('File 19'!Weekly_Adjusted,53,3)</f>
        <v>0</v>
      </c>
      <c r="CG95" s="6">
        <f>INDEX('File 20'!Weekly_Adjusted,53,1)</f>
        <v>0</v>
      </c>
      <c r="CH95" s="6">
        <f>INDEX('File 20'!Weekly_Adjusted,53,2)</f>
        <v>0</v>
      </c>
      <c r="CI95" s="6">
        <f>INDEX('File 20'!Weekly_Adjusted,53,3)</f>
        <v>0</v>
      </c>
      <c r="CJ95" s="6">
        <f ca="1">SUMIFS(INDEX(Demand_Activity_Weekly,ROW(A53),0),Demand_Activity_Weekly_Header,CJ$42)</f>
        <v>388.17143954725253</v>
      </c>
      <c r="CK95" s="6">
        <f ca="1">SUMIFS(INDEX(Demand_Activity_Weekly,ROW(B53),0),Demand_Activity_Weekly_Header,CK$42)</f>
        <v>0</v>
      </c>
      <c r="CL95" s="6">
        <f ca="1">SUMIFS(INDEX(Demand_Activity_Weekly,ROW(C53),0),Demand_Activity_Weekly_Header,CL$42)</f>
        <v>0</v>
      </c>
      <c r="CM95" s="6">
        <f ca="1">SUMIFS(INDEX(Demand_Activity_Weekly,ROW(D53),0),Demand_Activity_Weekly_Header,CM$42)</f>
        <v>0</v>
      </c>
      <c r="CN95" s="6">
        <f ca="1">SUMIFS(INDEX(Demand_Activity_Weekly,ROW(E53),0),Demand_Activity_Weekly_Header,CN$42)</f>
        <v>0</v>
      </c>
      <c r="CP95" s="6">
        <f>INDEX('File 1'!Weekly_Adjusted,53,10)</f>
        <v>24.344712210866053</v>
      </c>
      <c r="CQ95" s="6">
        <f>INDEX('File 1'!Weekly_Adjusted,53,11)</f>
        <v>0</v>
      </c>
      <c r="CR95" s="6">
        <f>INDEX('File 1'!Weekly_Adjusted,53,12)</f>
        <v>0</v>
      </c>
      <c r="CS95" s="6">
        <f>INDEX('File 2'!Weekly_Adjusted,53,10)</f>
        <v>0</v>
      </c>
      <c r="CT95" s="6">
        <f>INDEX('File 2'!Weekly_Adjusted,53,11)</f>
        <v>0</v>
      </c>
      <c r="CU95" s="6">
        <f>INDEX('File 2'!Weekly_Adjusted,53,12)</f>
        <v>0</v>
      </c>
      <c r="CV95" s="6">
        <f>INDEX('File 3'!Weekly_Adjusted,53,10)</f>
        <v>0</v>
      </c>
      <c r="CW95" s="6">
        <f>INDEX('File 3'!Weekly_Adjusted,53,11)</f>
        <v>0</v>
      </c>
      <c r="CX95" s="6">
        <f>INDEX('File 3'!Weekly_Adjusted,53,12)</f>
        <v>0</v>
      </c>
      <c r="CY95" s="6">
        <f>INDEX('File 4'!Weekly_Adjusted,53,10)</f>
        <v>0</v>
      </c>
      <c r="CZ95" s="6">
        <f>INDEX('File 4'!Weekly_Adjusted,53,11)</f>
        <v>0</v>
      </c>
      <c r="DA95" s="6">
        <f>INDEX('File 4'!Weekly_Adjusted,53,12)</f>
        <v>0</v>
      </c>
      <c r="DB95" s="6">
        <f>INDEX('File 5'!Weekly_Adjusted,53,10)</f>
        <v>0</v>
      </c>
      <c r="DC95" s="6">
        <f>INDEX('File 5'!Weekly_Adjusted,53,11)</f>
        <v>0</v>
      </c>
      <c r="DD95" s="6">
        <f>INDEX('File 5'!Weekly_Adjusted,53,12)</f>
        <v>0</v>
      </c>
      <c r="DE95" s="6">
        <f>INDEX('File 6'!Weekly_Adjusted,53,10)</f>
        <v>0</v>
      </c>
      <c r="DF95" s="6">
        <f>INDEX('File 6'!Weekly_Adjusted,53,11)</f>
        <v>0</v>
      </c>
      <c r="DG95" s="6">
        <f>INDEX('File 6'!Weekly_Adjusted,53,12)</f>
        <v>0</v>
      </c>
      <c r="DH95" s="6">
        <f>INDEX('File 7'!Weekly_Adjusted,53,10)</f>
        <v>0</v>
      </c>
      <c r="DI95" s="6">
        <f>INDEX('File 7'!Weekly_Adjusted,53,11)</f>
        <v>0</v>
      </c>
      <c r="DJ95" s="6">
        <f>INDEX('File 7'!Weekly_Adjusted,53,12)</f>
        <v>0</v>
      </c>
      <c r="DK95" s="6">
        <f>INDEX('File 8'!Weekly_Adjusted,53,10)</f>
        <v>0</v>
      </c>
      <c r="DL95" s="6">
        <f>INDEX('File 8'!Weekly_Adjusted,53,11)</f>
        <v>0</v>
      </c>
      <c r="DM95" s="6">
        <f>INDEX('File 8'!Weekly_Adjusted,53,12)</f>
        <v>0</v>
      </c>
      <c r="DN95" s="6">
        <f>INDEX('File 9'!Weekly_Adjusted,53,10)</f>
        <v>0</v>
      </c>
      <c r="DO95" s="6">
        <f>INDEX('File 9'!Weekly_Adjusted,53,11)</f>
        <v>0</v>
      </c>
      <c r="DP95" s="6">
        <f>INDEX('File 9'!Weekly_Adjusted,53,12)</f>
        <v>0</v>
      </c>
      <c r="DQ95" s="6">
        <f>INDEX('File 10'!Weekly_Adjusted,53,10)</f>
        <v>0</v>
      </c>
      <c r="DR95" s="6">
        <f>INDEX('File 10'!Weekly_Adjusted,53,11)</f>
        <v>0</v>
      </c>
      <c r="DS95" s="6">
        <f>INDEX('File 10'!Weekly_Adjusted,53,12)</f>
        <v>0</v>
      </c>
      <c r="DT95" s="6">
        <f>INDEX('File 11'!Weekly_Adjusted,53,10)</f>
        <v>0</v>
      </c>
      <c r="DU95" s="6">
        <f>INDEX('File 11'!Weekly_Adjusted,53,11)</f>
        <v>0</v>
      </c>
      <c r="DV95" s="6">
        <f>INDEX('File 11'!Weekly_Adjusted,53,12)</f>
        <v>0</v>
      </c>
      <c r="DW95" s="6">
        <f>INDEX('File 12'!Weekly_Adjusted,53,10)</f>
        <v>0</v>
      </c>
      <c r="DX95" s="6">
        <f>INDEX('File 12'!Weekly_Adjusted,53,11)</f>
        <v>0</v>
      </c>
      <c r="DY95" s="6">
        <f>INDEX('File 12'!Weekly_Adjusted,53,12)</f>
        <v>0</v>
      </c>
      <c r="DZ95" s="6">
        <f>INDEX('File 13'!Weekly_Adjusted,53,10)</f>
        <v>0</v>
      </c>
      <c r="EA95" s="6">
        <f>INDEX('File 13'!Weekly_Adjusted,53,11)</f>
        <v>0</v>
      </c>
      <c r="EB95" s="6">
        <f>INDEX('File 13'!Weekly_Adjusted,53,12)</f>
        <v>0</v>
      </c>
      <c r="EC95" s="6">
        <f>INDEX('File 14'!Weekly_Adjusted,53,10)</f>
        <v>0</v>
      </c>
      <c r="ED95" s="6">
        <f>INDEX('File 14'!Weekly_Adjusted,53,11)</f>
        <v>0</v>
      </c>
      <c r="EE95" s="6">
        <f>INDEX('File 14'!Weekly_Adjusted,53,12)</f>
        <v>0</v>
      </c>
      <c r="EF95" s="6">
        <f>INDEX('File 15'!Weekly_Adjusted,53,10)</f>
        <v>0</v>
      </c>
      <c r="EG95" s="6">
        <f>INDEX('File 15'!Weekly_Adjusted,53,11)</f>
        <v>0</v>
      </c>
      <c r="EH95" s="6">
        <f>INDEX('File 15'!Weekly_Adjusted,53,12)</f>
        <v>0</v>
      </c>
      <c r="EI95" s="6">
        <f>INDEX('File 16'!Weekly_Adjusted,53,10)</f>
        <v>0</v>
      </c>
      <c r="EJ95" s="6">
        <f>INDEX('File 16'!Weekly_Adjusted,53,11)</f>
        <v>0</v>
      </c>
      <c r="EK95" s="6">
        <f>INDEX('File 16'!Weekly_Adjusted,53,12)</f>
        <v>0</v>
      </c>
      <c r="EL95" s="6">
        <f>INDEX('File 17'!Weekly_Adjusted,53,10)</f>
        <v>0</v>
      </c>
      <c r="EM95" s="6">
        <f>INDEX('File 17'!Weekly_Adjusted,53,11)</f>
        <v>0</v>
      </c>
      <c r="EN95" s="6">
        <f>INDEX('File 17'!Weekly_Adjusted,53,12)</f>
        <v>0</v>
      </c>
      <c r="EO95" s="6">
        <f>INDEX('File 18'!Weekly_Adjusted,53,10)</f>
        <v>0</v>
      </c>
      <c r="EP95" s="6">
        <f>INDEX('File 18'!Weekly_Adjusted,53,11)</f>
        <v>0</v>
      </c>
      <c r="EQ95" s="6">
        <f>INDEX('File 18'!Weekly_Adjusted,53,12)</f>
        <v>0</v>
      </c>
      <c r="ER95" s="6">
        <f>INDEX('File 19'!Weekly_Adjusted,53,10)</f>
        <v>0</v>
      </c>
      <c r="ES95" s="6">
        <f>INDEX('File 19'!Weekly_Adjusted,53,11)</f>
        <v>0</v>
      </c>
      <c r="ET95" s="6">
        <f>INDEX('File 19'!Weekly_Adjusted,53,12)</f>
        <v>0</v>
      </c>
      <c r="EU95" s="6">
        <f>INDEX('File 20'!Weekly_Adjusted,53,10)</f>
        <v>0</v>
      </c>
      <c r="EV95" s="6">
        <f>INDEX('File 20'!Weekly_Adjusted,53,11)</f>
        <v>0</v>
      </c>
      <c r="EW95" s="6">
        <f>INDEX('File 20'!Weekly_Adjusted,53,12)</f>
        <v>0</v>
      </c>
      <c r="EX95" s="6">
        <f ca="1">SUMIFS(INDEX(Capacity_Activity_Weekly,ROW(A53),0),Demand_Activity_Weekly_Header,CJ$42)</f>
        <v>24.344712210866053</v>
      </c>
      <c r="EY95" s="6">
        <f ca="1">SUMIFS(INDEX(Capacity_Activity_Weekly,ROW(B53),0),Demand_Activity_Weekly_Header,CK$42)</f>
        <v>0</v>
      </c>
      <c r="EZ95" s="6">
        <f ca="1">SUMIFS(INDEX(Capacity_Activity_Weekly,ROW(C53),0),Demand_Activity_Weekly_Header,CL$42)</f>
        <v>0</v>
      </c>
      <c r="FA95" s="6">
        <f ca="1">SUMIFS(INDEX(Capacity_Activity_Weekly,ROW(D53),0),Demand_Activity_Weekly_Header,CM$42)</f>
        <v>0</v>
      </c>
      <c r="FB95" s="6">
        <f ca="1">SUMIFS(INDEX(Capacity_Activity_Weekly,ROW(E53),0),Demand_Activity_Weekly_Header,CN$42)</f>
        <v>0</v>
      </c>
      <c r="FD95" s="7">
        <v>0</v>
      </c>
      <c r="FE95" s="7">
        <v>0</v>
      </c>
      <c r="FF95" s="7">
        <v>0</v>
      </c>
      <c r="FG95" s="7">
        <v>0</v>
      </c>
      <c r="FH95" s="7">
        <v>0</v>
      </c>
      <c r="FI95" s="7">
        <v>0</v>
      </c>
      <c r="FJ95" s="7">
        <v>0</v>
      </c>
      <c r="FK95" s="7">
        <v>0</v>
      </c>
      <c r="FL95" s="7">
        <v>0</v>
      </c>
      <c r="FM95" s="7">
        <v>0</v>
      </c>
      <c r="FN95" s="7">
        <v>0</v>
      </c>
      <c r="FO95" s="7">
        <v>0</v>
      </c>
      <c r="FP95" s="7">
        <v>0</v>
      </c>
      <c r="FQ95" s="7">
        <v>0</v>
      </c>
      <c r="FR95" s="7">
        <v>0</v>
      </c>
      <c r="FS95" s="7">
        <v>0</v>
      </c>
      <c r="FT95" s="7">
        <v>0</v>
      </c>
      <c r="FU95" s="7">
        <v>0</v>
      </c>
      <c r="FV95" s="7">
        <v>0</v>
      </c>
      <c r="FW95" s="7">
        <v>0</v>
      </c>
      <c r="FX95" s="7">
        <v>0</v>
      </c>
      <c r="FY95" s="7">
        <v>0</v>
      </c>
      <c r="FZ95" s="7">
        <v>0</v>
      </c>
      <c r="GA95" s="7">
        <v>0</v>
      </c>
      <c r="GB95" s="7">
        <v>0</v>
      </c>
      <c r="GC95" s="7">
        <v>0</v>
      </c>
      <c r="GD95" s="7">
        <v>0</v>
      </c>
      <c r="GE95" s="7">
        <v>0</v>
      </c>
      <c r="GF95" s="7">
        <v>0</v>
      </c>
      <c r="GG95" s="7">
        <v>0</v>
      </c>
      <c r="GH95" s="7">
        <v>0</v>
      </c>
      <c r="GI95" s="7">
        <v>0</v>
      </c>
      <c r="GJ95" s="7">
        <v>0</v>
      </c>
      <c r="GK95" s="7">
        <v>0</v>
      </c>
      <c r="GL95" s="7">
        <v>0</v>
      </c>
      <c r="GM95" s="7">
        <v>0</v>
      </c>
      <c r="GN95" s="7">
        <v>0</v>
      </c>
      <c r="GO95" s="7">
        <v>0</v>
      </c>
      <c r="GP95" s="7">
        <v>0</v>
      </c>
      <c r="GQ95" s="7">
        <v>0</v>
      </c>
      <c r="GR95" s="7">
        <v>0</v>
      </c>
      <c r="GS95" s="7">
        <v>0</v>
      </c>
      <c r="GT95" s="7">
        <v>0</v>
      </c>
      <c r="GU95" s="7">
        <v>0</v>
      </c>
      <c r="GV95" s="7">
        <v>0</v>
      </c>
      <c r="GW95" s="7">
        <v>0</v>
      </c>
      <c r="GX95" s="7">
        <v>0</v>
      </c>
      <c r="GY95" s="7">
        <v>0</v>
      </c>
      <c r="GZ95" s="7">
        <v>0</v>
      </c>
      <c r="HA95" s="7">
        <v>0</v>
      </c>
      <c r="HB95" s="7">
        <v>0</v>
      </c>
      <c r="HC95" s="7">
        <v>0</v>
      </c>
      <c r="HD95" s="7">
        <v>0</v>
      </c>
      <c r="HE95" s="7">
        <v>0</v>
      </c>
      <c r="HF95" s="7">
        <v>0</v>
      </c>
      <c r="HG95" s="7">
        <v>0</v>
      </c>
      <c r="HH95" s="7">
        <v>0</v>
      </c>
      <c r="HI95" s="7">
        <v>0</v>
      </c>
      <c r="HJ95" s="7">
        <v>0</v>
      </c>
      <c r="HK95" s="7">
        <v>0</v>
      </c>
      <c r="HL95" s="7">
        <v>0</v>
      </c>
      <c r="HM95" s="7">
        <v>0</v>
      </c>
      <c r="HN95" s="7">
        <v>0</v>
      </c>
      <c r="HO95" s="7">
        <v>0</v>
      </c>
      <c r="HP95" s="7">
        <v>0</v>
      </c>
      <c r="HR95" s="6">
        <f>INDEX('File 1'!Weekly_Adjusted,53,16)</f>
        <v>20.933351264120493</v>
      </c>
      <c r="HS95" s="6">
        <f>INDEX('File 1'!Weekly_Adjusted,53,17)</f>
        <v>0</v>
      </c>
      <c r="HT95" s="6">
        <f>INDEX('File 1'!Weekly_Adjusted,53,18)</f>
        <v>0</v>
      </c>
      <c r="HU95" s="6">
        <f>INDEX('File 2'!Weekly_Adjusted,53,16)</f>
        <v>0</v>
      </c>
      <c r="HV95" s="6">
        <f>INDEX('File 2'!Weekly_Adjusted,53,17)</f>
        <v>0</v>
      </c>
      <c r="HW95" s="6">
        <f>INDEX('File 2'!Weekly_Adjusted,53,18)</f>
        <v>0</v>
      </c>
      <c r="HX95" s="6">
        <f>INDEX('File 3'!Weekly_Adjusted,53,16)</f>
        <v>0</v>
      </c>
      <c r="HY95" s="6">
        <f>INDEX('File 3'!Weekly_Adjusted,53,17)</f>
        <v>0</v>
      </c>
      <c r="HZ95" s="6">
        <f>INDEX('File 3'!Weekly_Adjusted,53,18)</f>
        <v>0</v>
      </c>
      <c r="IA95" s="6">
        <f>INDEX('File 4'!Weekly_Adjusted,53,16)</f>
        <v>0</v>
      </c>
      <c r="IB95" s="6">
        <f>INDEX('File 4'!Weekly_Adjusted,53,17)</f>
        <v>0</v>
      </c>
      <c r="IC95" s="6">
        <f>INDEX('File 4'!Weekly_Adjusted,53,18)</f>
        <v>0</v>
      </c>
      <c r="ID95" s="6">
        <f>INDEX('File 5'!Weekly_Adjusted,53,16)</f>
        <v>0</v>
      </c>
      <c r="IE95" s="6">
        <f>INDEX('File 5'!Weekly_Adjusted,53,17)</f>
        <v>0</v>
      </c>
      <c r="IF95" s="6">
        <f>INDEX('File 5'!Weekly_Adjusted,53,18)</f>
        <v>0</v>
      </c>
      <c r="IG95" s="6">
        <f>INDEX('File 6'!Weekly_Adjusted,53,16)</f>
        <v>0</v>
      </c>
      <c r="IH95" s="6">
        <f>INDEX('File 6'!Weekly_Adjusted,53,17)</f>
        <v>0</v>
      </c>
      <c r="II95" s="6">
        <f>INDEX('File 6'!Weekly_Adjusted,53,18)</f>
        <v>0</v>
      </c>
      <c r="IJ95" s="6">
        <f>INDEX('File 7'!Weekly_Adjusted,53,16)</f>
        <v>0</v>
      </c>
      <c r="IK95" s="6">
        <f>INDEX('File 7'!Weekly_Adjusted,53,17)</f>
        <v>0</v>
      </c>
      <c r="IL95" s="6">
        <f>INDEX('File 7'!Weekly_Adjusted,53,18)</f>
        <v>0</v>
      </c>
      <c r="IM95" s="6">
        <f>INDEX('File 8'!Weekly_Adjusted,53,16)</f>
        <v>0</v>
      </c>
      <c r="IN95" s="6">
        <f>INDEX('File 8'!Weekly_Adjusted,53,17)</f>
        <v>0</v>
      </c>
      <c r="IO95" s="6">
        <f>INDEX('File 8'!Weekly_Adjusted,53,18)</f>
        <v>0</v>
      </c>
      <c r="IP95" s="6">
        <f>INDEX('File 9'!Weekly_Adjusted,53,16)</f>
        <v>0</v>
      </c>
      <c r="IQ95" s="6">
        <f>INDEX('File 9'!Weekly_Adjusted,53,17)</f>
        <v>0</v>
      </c>
      <c r="IR95" s="6">
        <f>INDEX('File 9'!Weekly_Adjusted,53,18)</f>
        <v>0</v>
      </c>
      <c r="IS95" s="6">
        <f>INDEX('File 10'!Weekly_Adjusted,53,16)</f>
        <v>0</v>
      </c>
      <c r="IT95" s="6">
        <f>INDEX('File 10'!Weekly_Adjusted,53,17)</f>
        <v>0</v>
      </c>
      <c r="IU95" s="6">
        <f>INDEX('File 10'!Weekly_Adjusted,53,18)</f>
        <v>0</v>
      </c>
      <c r="IV95" s="6">
        <f>INDEX('File 11'!Weekly_Adjusted,53,16)</f>
        <v>0</v>
      </c>
      <c r="IW95" s="6">
        <f>INDEX('File 11'!Weekly_Adjusted,53,17)</f>
        <v>0</v>
      </c>
      <c r="IX95" s="6">
        <f>INDEX('File 11'!Weekly_Adjusted,53,18)</f>
        <v>0</v>
      </c>
      <c r="IY95" s="6">
        <f>INDEX('File 12'!Weekly_Adjusted,53,16)</f>
        <v>0</v>
      </c>
      <c r="IZ95" s="6">
        <f>INDEX('File 12'!Weekly_Adjusted,53,17)</f>
        <v>0</v>
      </c>
      <c r="JA95" s="6">
        <f>INDEX('File 12'!Weekly_Adjusted,53,18)</f>
        <v>0</v>
      </c>
      <c r="JB95" s="6">
        <f>INDEX('File 13'!Weekly_Adjusted,53,16)</f>
        <v>0</v>
      </c>
      <c r="JC95" s="6">
        <f>INDEX('File 13'!Weekly_Adjusted,53,17)</f>
        <v>0</v>
      </c>
      <c r="JD95" s="6">
        <f>INDEX('File 13'!Weekly_Adjusted,53,18)</f>
        <v>0</v>
      </c>
      <c r="JE95" s="6">
        <f>INDEX('File 14'!Weekly_Adjusted,53,16)</f>
        <v>0</v>
      </c>
      <c r="JF95" s="6">
        <f>INDEX('File 14'!Weekly_Adjusted,53,17)</f>
        <v>0</v>
      </c>
      <c r="JG95" s="6">
        <f>INDEX('File 14'!Weekly_Adjusted,53,18)</f>
        <v>0</v>
      </c>
      <c r="JH95" s="6">
        <f>INDEX('File 15'!Weekly_Adjusted,53,16)</f>
        <v>0</v>
      </c>
      <c r="JI95" s="6">
        <f>INDEX('File 15'!Weekly_Adjusted,53,17)</f>
        <v>0</v>
      </c>
      <c r="JJ95" s="6">
        <f>INDEX('File 15'!Weekly_Adjusted,53,18)</f>
        <v>0</v>
      </c>
      <c r="JK95" s="6">
        <f>INDEX('File 16'!Weekly_Adjusted,53,16)</f>
        <v>0</v>
      </c>
      <c r="JL95" s="6">
        <f>INDEX('File 16'!Weekly_Adjusted,53,17)</f>
        <v>0</v>
      </c>
      <c r="JM95" s="6">
        <f>INDEX('File 16'!Weekly_Adjusted,53,18)</f>
        <v>0</v>
      </c>
      <c r="JN95" s="6">
        <f>INDEX('File 17'!Weekly_Adjusted,53,16)</f>
        <v>0</v>
      </c>
      <c r="JO95" s="6">
        <f>INDEX('File 17'!Weekly_Adjusted,53,17)</f>
        <v>0</v>
      </c>
      <c r="JP95" s="6">
        <f>INDEX('File 17'!Weekly_Adjusted,53,18)</f>
        <v>0</v>
      </c>
      <c r="JQ95" s="6">
        <f>INDEX('File 18'!Weekly_Adjusted,53,16)</f>
        <v>0</v>
      </c>
      <c r="JR95" s="6">
        <f>INDEX('File 18'!Weekly_Adjusted,53,17)</f>
        <v>0</v>
      </c>
      <c r="JS95" s="6">
        <f>INDEX('File 18'!Weekly_Adjusted,53,18)</f>
        <v>0</v>
      </c>
      <c r="JT95" s="6">
        <f>INDEX('File 19'!Weekly_Adjusted,53,16)</f>
        <v>0</v>
      </c>
      <c r="JU95" s="6">
        <f>INDEX('File 19'!Weekly_Adjusted,53,17)</f>
        <v>0</v>
      </c>
      <c r="JV95" s="6">
        <f>INDEX('File 19'!Weekly_Adjusted,53,18)</f>
        <v>0</v>
      </c>
      <c r="JW95" s="6">
        <f>INDEX('File 20'!Weekly_Adjusted,53,16)</f>
        <v>0</v>
      </c>
      <c r="JX95" s="6">
        <f>INDEX('File 20'!Weekly_Adjusted,53,17)</f>
        <v>0</v>
      </c>
      <c r="JY95" s="6">
        <f>INDEX('File 20'!Weekly_Adjusted,53,18)</f>
        <v>0</v>
      </c>
      <c r="JZ95" s="6">
        <f ca="1">SUMIFS(INDEX(CapacityCore_Activity_Weekly,ROW(EC53),0),Demand_Activity_Weekly_Header,HL$42)</f>
        <v>20.933351264120493</v>
      </c>
      <c r="KA95" s="6">
        <f ca="1">SUMIFS(INDEX(CapacityCore_Activity_Weekly,ROW(ED53),0),Demand_Activity_Weekly_Header,HM$42)</f>
        <v>0</v>
      </c>
      <c r="KB95" s="6">
        <f ca="1">SUMIFS(INDEX(CapacityCore_Activity_Weekly,ROW(EE53),0),Demand_Activity_Weekly_Header,HN$42)</f>
        <v>0</v>
      </c>
      <c r="KC95" s="6">
        <f ca="1">SUMIFS(INDEX(CapacityCore_Activity_Weekly,ROW(EF53),0),Demand_Activity_Weekly_Header,HO$42)</f>
        <v>0</v>
      </c>
      <c r="KD95" s="6">
        <f ca="1">SUMIFS(INDEX(CapacityCore_Activity_Weekly,ROW(EG53),0),Demand_Activity_Weekly_Header,HP$42)</f>
        <v>0</v>
      </c>
      <c r="KF95">
        <v>0</v>
      </c>
      <c r="KG95">
        <v>0</v>
      </c>
      <c r="KH95">
        <v>0</v>
      </c>
      <c r="KI95">
        <v>0</v>
      </c>
      <c r="KJ95">
        <v>0</v>
      </c>
      <c r="KK95">
        <v>0</v>
      </c>
      <c r="KL95">
        <v>0</v>
      </c>
      <c r="KM95">
        <v>0</v>
      </c>
      <c r="KN95">
        <v>0</v>
      </c>
      <c r="KO95">
        <v>0</v>
      </c>
      <c r="KP95">
        <v>0</v>
      </c>
      <c r="KQ95">
        <v>0</v>
      </c>
      <c r="KR95">
        <v>0</v>
      </c>
      <c r="KS95">
        <v>0</v>
      </c>
      <c r="KT95">
        <v>0</v>
      </c>
      <c r="KU95">
        <v>0</v>
      </c>
      <c r="KV95">
        <v>0</v>
      </c>
      <c r="KW95">
        <v>0</v>
      </c>
      <c r="KX95">
        <v>0</v>
      </c>
      <c r="KY95">
        <v>0</v>
      </c>
      <c r="KZ95">
        <v>0</v>
      </c>
      <c r="LA95">
        <v>0</v>
      </c>
      <c r="LB95">
        <v>0</v>
      </c>
      <c r="LC95">
        <v>0</v>
      </c>
      <c r="LD95">
        <v>0</v>
      </c>
      <c r="LE95">
        <v>0</v>
      </c>
      <c r="LF95">
        <v>0</v>
      </c>
      <c r="LG95">
        <v>0</v>
      </c>
      <c r="LH95">
        <v>0</v>
      </c>
      <c r="LI95">
        <v>0</v>
      </c>
      <c r="LJ95">
        <v>0</v>
      </c>
      <c r="LK95">
        <v>0</v>
      </c>
      <c r="LL95">
        <v>0</v>
      </c>
      <c r="LM95">
        <v>0</v>
      </c>
      <c r="LN95">
        <v>0</v>
      </c>
      <c r="LO95">
        <v>0</v>
      </c>
      <c r="LP95">
        <v>0</v>
      </c>
      <c r="LQ95">
        <v>0</v>
      </c>
      <c r="LR95">
        <v>0</v>
      </c>
      <c r="LS95">
        <v>0</v>
      </c>
      <c r="LT95">
        <v>0</v>
      </c>
      <c r="LU95">
        <v>0</v>
      </c>
      <c r="LV95">
        <v>0</v>
      </c>
      <c r="LW95">
        <v>0</v>
      </c>
      <c r="LX95">
        <v>0</v>
      </c>
      <c r="LY95">
        <v>0</v>
      </c>
      <c r="LZ95">
        <v>0</v>
      </c>
      <c r="MA95">
        <v>0</v>
      </c>
      <c r="MB95">
        <v>0</v>
      </c>
      <c r="MC95">
        <v>0</v>
      </c>
      <c r="MD95">
        <v>0</v>
      </c>
      <c r="ME95">
        <v>0</v>
      </c>
      <c r="MF95">
        <v>0</v>
      </c>
      <c r="MG95">
        <v>0</v>
      </c>
      <c r="MH95">
        <v>0</v>
      </c>
      <c r="MI95">
        <v>0</v>
      </c>
      <c r="MJ95">
        <v>0</v>
      </c>
      <c r="MK95">
        <v>0</v>
      </c>
      <c r="ML95">
        <v>0</v>
      </c>
      <c r="MM95">
        <v>0</v>
      </c>
      <c r="MN95">
        <v>0</v>
      </c>
      <c r="MO95">
        <v>0</v>
      </c>
      <c r="MP95">
        <v>0</v>
      </c>
      <c r="MQ95">
        <v>0</v>
      </c>
      <c r="MR95">
        <v>0</v>
      </c>
    </row>
    <row r="96" spans="1:356" x14ac:dyDescent="0.25">
      <c r="A96">
        <f>1</f>
        <v>1</v>
      </c>
      <c r="B96" s="85">
        <f t="shared" si="37"/>
        <v>43884</v>
      </c>
      <c r="C96" s="85">
        <f t="shared" si="25"/>
        <v>43878</v>
      </c>
      <c r="D96">
        <f t="shared" ca="1" si="26"/>
        <v>0</v>
      </c>
      <c r="E96" s="85">
        <f t="shared" si="27"/>
        <v>43862</v>
      </c>
      <c r="F96">
        <f t="shared" si="33"/>
        <v>8</v>
      </c>
      <c r="G96" s="85"/>
      <c r="H96" s="1">
        <f>MAX(H43:H95)</f>
        <v>53</v>
      </c>
      <c r="I96" s="1" t="s">
        <v>1199</v>
      </c>
      <c r="J96">
        <f ca="1">SUM(J43:J95)</f>
        <v>254</v>
      </c>
      <c r="AA96" t="s">
        <v>1302</v>
      </c>
      <c r="AB96" s="94">
        <f>SUM(AB43:AB95)</f>
        <v>20573.086296004363</v>
      </c>
      <c r="AC96" s="94">
        <f t="shared" ref="AC96:CI96" si="52">SUM(AC43:AC95)</f>
        <v>0</v>
      </c>
      <c r="AD96" s="94">
        <f t="shared" si="52"/>
        <v>0</v>
      </c>
      <c r="AE96" s="94">
        <f>SUM(AE43:AE95)</f>
        <v>0</v>
      </c>
      <c r="AF96" s="94">
        <f t="shared" si="52"/>
        <v>0</v>
      </c>
      <c r="AG96" s="94">
        <f t="shared" si="52"/>
        <v>0</v>
      </c>
      <c r="AH96" s="94">
        <f>SUM(AH43:AH95)</f>
        <v>0</v>
      </c>
      <c r="AI96" s="94">
        <f>SUM(AI43:AI95)</f>
        <v>0</v>
      </c>
      <c r="AJ96" s="94">
        <f>SUM(AJ43:AJ95)</f>
        <v>0</v>
      </c>
      <c r="AK96" s="94">
        <f t="shared" si="52"/>
        <v>0</v>
      </c>
      <c r="AL96" s="94">
        <f t="shared" si="52"/>
        <v>0</v>
      </c>
      <c r="AM96" s="94">
        <f t="shared" si="52"/>
        <v>0</v>
      </c>
      <c r="AN96" s="94">
        <f t="shared" si="52"/>
        <v>0</v>
      </c>
      <c r="AO96" s="94">
        <f t="shared" si="52"/>
        <v>0</v>
      </c>
      <c r="AP96" s="94">
        <f t="shared" si="52"/>
        <v>0</v>
      </c>
      <c r="AQ96" s="94">
        <f t="shared" si="52"/>
        <v>0</v>
      </c>
      <c r="AR96" s="94">
        <f t="shared" si="52"/>
        <v>0</v>
      </c>
      <c r="AS96" s="94">
        <f t="shared" si="52"/>
        <v>0</v>
      </c>
      <c r="AT96" s="94">
        <f t="shared" si="52"/>
        <v>0</v>
      </c>
      <c r="AU96" s="94">
        <f t="shared" si="52"/>
        <v>0</v>
      </c>
      <c r="AV96" s="94">
        <f t="shared" si="52"/>
        <v>0</v>
      </c>
      <c r="AW96" s="94">
        <f t="shared" si="52"/>
        <v>0</v>
      </c>
      <c r="AX96" s="94">
        <f t="shared" si="52"/>
        <v>0</v>
      </c>
      <c r="AY96" s="94">
        <f t="shared" si="52"/>
        <v>0</v>
      </c>
      <c r="AZ96" s="94">
        <f t="shared" si="52"/>
        <v>0</v>
      </c>
      <c r="BA96" s="94">
        <f t="shared" si="52"/>
        <v>0</v>
      </c>
      <c r="BB96" s="94">
        <f t="shared" si="52"/>
        <v>0</v>
      </c>
      <c r="BC96" s="94">
        <f t="shared" si="52"/>
        <v>0</v>
      </c>
      <c r="BD96" s="94">
        <f t="shared" si="52"/>
        <v>0</v>
      </c>
      <c r="BE96" s="94">
        <f t="shared" si="52"/>
        <v>0</v>
      </c>
      <c r="BF96" s="94">
        <f t="shared" si="52"/>
        <v>0</v>
      </c>
      <c r="BG96" s="94">
        <f t="shared" si="52"/>
        <v>0</v>
      </c>
      <c r="BH96" s="94">
        <f t="shared" si="52"/>
        <v>0</v>
      </c>
      <c r="BI96" s="94">
        <f t="shared" si="52"/>
        <v>0</v>
      </c>
      <c r="BJ96" s="94">
        <f t="shared" si="52"/>
        <v>0</v>
      </c>
      <c r="BK96" s="94">
        <f t="shared" si="52"/>
        <v>0</v>
      </c>
      <c r="BL96" s="94">
        <f t="shared" si="52"/>
        <v>0</v>
      </c>
      <c r="BM96" s="94">
        <f t="shared" si="52"/>
        <v>0</v>
      </c>
      <c r="BN96" s="94">
        <f t="shared" si="52"/>
        <v>0</v>
      </c>
      <c r="BO96" s="94">
        <f t="shared" si="52"/>
        <v>0</v>
      </c>
      <c r="BP96" s="94">
        <f t="shared" si="52"/>
        <v>0</v>
      </c>
      <c r="BQ96" s="94">
        <f t="shared" si="52"/>
        <v>0</v>
      </c>
      <c r="BR96" s="94">
        <f t="shared" si="52"/>
        <v>0</v>
      </c>
      <c r="BS96" s="94">
        <f t="shared" si="52"/>
        <v>0</v>
      </c>
      <c r="BT96" s="94">
        <f t="shared" si="52"/>
        <v>0</v>
      </c>
      <c r="BU96" s="94">
        <f t="shared" si="52"/>
        <v>0</v>
      </c>
      <c r="BV96" s="94">
        <f t="shared" si="52"/>
        <v>0</v>
      </c>
      <c r="BW96" s="94">
        <f t="shared" si="52"/>
        <v>0</v>
      </c>
      <c r="BX96" s="94">
        <f t="shared" si="52"/>
        <v>0</v>
      </c>
      <c r="BY96" s="94">
        <f t="shared" si="52"/>
        <v>0</v>
      </c>
      <c r="BZ96" s="94">
        <f t="shared" si="52"/>
        <v>0</v>
      </c>
      <c r="CA96" s="94">
        <f t="shared" si="52"/>
        <v>0</v>
      </c>
      <c r="CB96" s="94">
        <f t="shared" si="52"/>
        <v>0</v>
      </c>
      <c r="CC96" s="94">
        <f t="shared" si="52"/>
        <v>0</v>
      </c>
      <c r="CD96" s="94">
        <f t="shared" si="52"/>
        <v>0</v>
      </c>
      <c r="CE96" s="94">
        <f t="shared" si="52"/>
        <v>0</v>
      </c>
      <c r="CF96" s="94">
        <f t="shared" si="52"/>
        <v>0</v>
      </c>
      <c r="CG96" s="94">
        <f t="shared" si="52"/>
        <v>0</v>
      </c>
      <c r="CH96" s="94">
        <f t="shared" si="52"/>
        <v>0</v>
      </c>
      <c r="CI96" s="94">
        <f t="shared" si="52"/>
        <v>0</v>
      </c>
      <c r="CJ96" s="94">
        <f ca="1">SUM(CJ43:CJ95)</f>
        <v>20573.086296004363</v>
      </c>
      <c r="CK96" s="94">
        <f ca="1">SUM(CK43:CK95)</f>
        <v>0</v>
      </c>
      <c r="CL96" s="94">
        <f ca="1">SUM(CL43:CL95)</f>
        <v>0</v>
      </c>
      <c r="CM96" s="94">
        <f ca="1">SUM(CM43:CM95)</f>
        <v>0</v>
      </c>
      <c r="CN96" s="94">
        <f ca="1">SUM(CN43:CN95)</f>
        <v>0</v>
      </c>
      <c r="CP96" s="94">
        <f t="shared" ref="CP96:DU96" ca="1" si="53">SUM(CP43:CP95)</f>
        <v>1271.8674450322537</v>
      </c>
      <c r="CQ96" s="94">
        <f t="shared" si="53"/>
        <v>0</v>
      </c>
      <c r="CR96" s="94">
        <f t="shared" si="53"/>
        <v>0</v>
      </c>
      <c r="CS96" s="94">
        <f t="shared" si="53"/>
        <v>0</v>
      </c>
      <c r="CT96" s="94">
        <f t="shared" si="53"/>
        <v>0</v>
      </c>
      <c r="CU96" s="94">
        <f t="shared" si="53"/>
        <v>0</v>
      </c>
      <c r="CV96" s="94">
        <f t="shared" si="53"/>
        <v>0</v>
      </c>
      <c r="CW96" s="94">
        <f t="shared" si="53"/>
        <v>0</v>
      </c>
      <c r="CX96" s="94">
        <f t="shared" si="53"/>
        <v>0</v>
      </c>
      <c r="CY96" s="94">
        <f t="shared" si="53"/>
        <v>0</v>
      </c>
      <c r="CZ96" s="94">
        <f t="shared" si="53"/>
        <v>0</v>
      </c>
      <c r="DA96" s="94">
        <f t="shared" si="53"/>
        <v>0</v>
      </c>
      <c r="DB96" s="94">
        <f t="shared" si="53"/>
        <v>0</v>
      </c>
      <c r="DC96" s="94">
        <f t="shared" si="53"/>
        <v>0</v>
      </c>
      <c r="DD96" s="94">
        <f t="shared" si="53"/>
        <v>0</v>
      </c>
      <c r="DE96" s="94">
        <f t="shared" si="53"/>
        <v>0</v>
      </c>
      <c r="DF96" s="94">
        <f t="shared" si="53"/>
        <v>0</v>
      </c>
      <c r="DG96" s="94">
        <f t="shared" si="53"/>
        <v>0</v>
      </c>
      <c r="DH96" s="94">
        <f t="shared" si="53"/>
        <v>0</v>
      </c>
      <c r="DI96" s="94">
        <f t="shared" si="53"/>
        <v>0</v>
      </c>
      <c r="DJ96" s="94">
        <f t="shared" si="53"/>
        <v>0</v>
      </c>
      <c r="DK96" s="94">
        <f t="shared" si="53"/>
        <v>0</v>
      </c>
      <c r="DL96" s="94">
        <f t="shared" si="53"/>
        <v>0</v>
      </c>
      <c r="DM96" s="94">
        <f t="shared" si="53"/>
        <v>0</v>
      </c>
      <c r="DN96" s="94">
        <f t="shared" si="53"/>
        <v>0</v>
      </c>
      <c r="DO96" s="94">
        <f t="shared" si="53"/>
        <v>0</v>
      </c>
      <c r="DP96" s="94">
        <f t="shared" si="53"/>
        <v>0</v>
      </c>
      <c r="DQ96" s="94">
        <f t="shared" si="53"/>
        <v>0</v>
      </c>
      <c r="DR96" s="94">
        <f t="shared" si="53"/>
        <v>0</v>
      </c>
      <c r="DS96" s="94">
        <f t="shared" si="53"/>
        <v>0</v>
      </c>
      <c r="DT96" s="94">
        <f t="shared" si="53"/>
        <v>0</v>
      </c>
      <c r="DU96" s="94">
        <f t="shared" si="53"/>
        <v>0</v>
      </c>
      <c r="DV96" s="94">
        <f t="shared" ref="DV96:FA96" si="54">SUM(DV43:DV95)</f>
        <v>0</v>
      </c>
      <c r="DW96" s="94">
        <f t="shared" si="54"/>
        <v>0</v>
      </c>
      <c r="DX96" s="94">
        <f t="shared" si="54"/>
        <v>0</v>
      </c>
      <c r="DY96" s="94">
        <f t="shared" si="54"/>
        <v>0</v>
      </c>
      <c r="DZ96" s="94">
        <f t="shared" si="54"/>
        <v>0</v>
      </c>
      <c r="EA96" s="94">
        <f t="shared" si="54"/>
        <v>0</v>
      </c>
      <c r="EB96" s="94">
        <f t="shared" si="54"/>
        <v>0</v>
      </c>
      <c r="EC96" s="94">
        <f t="shared" si="54"/>
        <v>0</v>
      </c>
      <c r="ED96" s="94">
        <f t="shared" si="54"/>
        <v>0</v>
      </c>
      <c r="EE96" s="94">
        <f t="shared" si="54"/>
        <v>0</v>
      </c>
      <c r="EF96" s="94">
        <f t="shared" si="54"/>
        <v>0</v>
      </c>
      <c r="EG96" s="94">
        <f t="shared" si="54"/>
        <v>0</v>
      </c>
      <c r="EH96" s="94">
        <f t="shared" si="54"/>
        <v>0</v>
      </c>
      <c r="EI96" s="94">
        <f t="shared" si="54"/>
        <v>0</v>
      </c>
      <c r="EJ96" s="94">
        <f t="shared" si="54"/>
        <v>0</v>
      </c>
      <c r="EK96" s="94">
        <f t="shared" si="54"/>
        <v>0</v>
      </c>
      <c r="EL96" s="94">
        <f t="shared" si="54"/>
        <v>0</v>
      </c>
      <c r="EM96" s="94">
        <f t="shared" si="54"/>
        <v>0</v>
      </c>
      <c r="EN96" s="94">
        <f t="shared" si="54"/>
        <v>0</v>
      </c>
      <c r="EO96" s="94">
        <f t="shared" si="54"/>
        <v>0</v>
      </c>
      <c r="EP96" s="94">
        <f t="shared" si="54"/>
        <v>0</v>
      </c>
      <c r="EQ96" s="94">
        <f t="shared" si="54"/>
        <v>0</v>
      </c>
      <c r="ER96" s="94">
        <f t="shared" si="54"/>
        <v>0</v>
      </c>
      <c r="ES96" s="94">
        <f t="shared" si="54"/>
        <v>0</v>
      </c>
      <c r="ET96" s="94">
        <f t="shared" si="54"/>
        <v>0</v>
      </c>
      <c r="EU96" s="94">
        <f t="shared" si="54"/>
        <v>0</v>
      </c>
      <c r="EV96" s="94">
        <f t="shared" si="54"/>
        <v>0</v>
      </c>
      <c r="EW96" s="94">
        <f t="shared" si="54"/>
        <v>0</v>
      </c>
      <c r="EX96" s="94">
        <f t="shared" ca="1" si="54"/>
        <v>1271.8674450322537</v>
      </c>
      <c r="EY96" s="94">
        <f t="shared" ca="1" si="54"/>
        <v>0</v>
      </c>
      <c r="EZ96" s="94">
        <f t="shared" ca="1" si="54"/>
        <v>0</v>
      </c>
      <c r="FA96" s="94">
        <f t="shared" ca="1" si="54"/>
        <v>0</v>
      </c>
      <c r="FB96" s="94">
        <f t="shared" ref="FB96" ca="1" si="55">SUM(FB43:FB95)</f>
        <v>0</v>
      </c>
      <c r="FD96" s="94">
        <f t="shared" ref="FD96:FL96" si="56">SUM(FD43:FD95)</f>
        <v>0</v>
      </c>
      <c r="FE96" s="94">
        <f t="shared" si="56"/>
        <v>0</v>
      </c>
      <c r="FF96" s="94">
        <f t="shared" si="56"/>
        <v>0</v>
      </c>
      <c r="FG96" s="94">
        <f t="shared" si="56"/>
        <v>0</v>
      </c>
      <c r="FH96" s="94">
        <f t="shared" si="56"/>
        <v>0</v>
      </c>
      <c r="FI96" s="94">
        <f t="shared" si="56"/>
        <v>0</v>
      </c>
      <c r="FJ96" s="94">
        <f t="shared" si="56"/>
        <v>0</v>
      </c>
      <c r="FK96" s="94">
        <f t="shared" si="56"/>
        <v>0</v>
      </c>
      <c r="FL96" s="94">
        <f t="shared" si="56"/>
        <v>0</v>
      </c>
      <c r="FM96" s="94">
        <f t="shared" ref="FM96:HK96" si="57">SUM(FM43:FM95)</f>
        <v>0</v>
      </c>
      <c r="FN96" s="94">
        <f t="shared" si="57"/>
        <v>0</v>
      </c>
      <c r="FO96" s="94">
        <f t="shared" si="57"/>
        <v>0</v>
      </c>
      <c r="FP96" s="94">
        <f t="shared" si="57"/>
        <v>0</v>
      </c>
      <c r="FQ96" s="94">
        <f t="shared" si="57"/>
        <v>0</v>
      </c>
      <c r="FR96" s="94">
        <f t="shared" si="57"/>
        <v>0</v>
      </c>
      <c r="FS96" s="94">
        <f t="shared" si="57"/>
        <v>0</v>
      </c>
      <c r="FT96" s="94">
        <f t="shared" si="57"/>
        <v>0</v>
      </c>
      <c r="FU96" s="94">
        <f t="shared" si="57"/>
        <v>0</v>
      </c>
      <c r="FV96" s="94">
        <f t="shared" si="57"/>
        <v>0</v>
      </c>
      <c r="FW96" s="94">
        <f t="shared" si="57"/>
        <v>0</v>
      </c>
      <c r="FX96" s="94">
        <f t="shared" si="57"/>
        <v>0</v>
      </c>
      <c r="FY96" s="94">
        <f t="shared" si="57"/>
        <v>0</v>
      </c>
      <c r="FZ96" s="94">
        <f t="shared" si="57"/>
        <v>0</v>
      </c>
      <c r="GA96" s="94">
        <f t="shared" si="57"/>
        <v>0</v>
      </c>
      <c r="GB96" s="94">
        <f t="shared" si="57"/>
        <v>0</v>
      </c>
      <c r="GC96" s="94">
        <f t="shared" si="57"/>
        <v>0</v>
      </c>
      <c r="GD96" s="94">
        <f t="shared" si="57"/>
        <v>0</v>
      </c>
      <c r="GE96" s="94">
        <f t="shared" si="57"/>
        <v>0</v>
      </c>
      <c r="GF96" s="94">
        <f t="shared" si="57"/>
        <v>0</v>
      </c>
      <c r="GG96" s="94">
        <f t="shared" si="57"/>
        <v>0</v>
      </c>
      <c r="GH96" s="94">
        <f t="shared" si="57"/>
        <v>0</v>
      </c>
      <c r="GI96" s="94">
        <f t="shared" si="57"/>
        <v>0</v>
      </c>
      <c r="GJ96" s="94">
        <f t="shared" si="57"/>
        <v>0</v>
      </c>
      <c r="GK96" s="94">
        <f t="shared" si="57"/>
        <v>0</v>
      </c>
      <c r="GL96" s="94">
        <f t="shared" si="57"/>
        <v>0</v>
      </c>
      <c r="GM96" s="94">
        <f t="shared" si="57"/>
        <v>0</v>
      </c>
      <c r="GN96" s="94">
        <f t="shared" si="57"/>
        <v>0</v>
      </c>
      <c r="GO96" s="94">
        <f t="shared" si="57"/>
        <v>0</v>
      </c>
      <c r="GP96" s="94">
        <f t="shared" si="57"/>
        <v>0</v>
      </c>
      <c r="GQ96" s="94">
        <f t="shared" si="57"/>
        <v>0</v>
      </c>
      <c r="GR96" s="94">
        <f t="shared" si="57"/>
        <v>0</v>
      </c>
      <c r="GS96" s="94">
        <f t="shared" si="57"/>
        <v>0</v>
      </c>
      <c r="GT96" s="94">
        <f t="shared" si="57"/>
        <v>0</v>
      </c>
      <c r="GU96" s="94">
        <f t="shared" si="57"/>
        <v>0</v>
      </c>
      <c r="GV96" s="94">
        <f t="shared" si="57"/>
        <v>0</v>
      </c>
      <c r="GW96" s="94">
        <f t="shared" si="57"/>
        <v>0</v>
      </c>
      <c r="GX96" s="94">
        <f t="shared" si="57"/>
        <v>0</v>
      </c>
      <c r="GY96" s="94">
        <f t="shared" si="57"/>
        <v>0</v>
      </c>
      <c r="GZ96" s="94">
        <f t="shared" si="57"/>
        <v>0</v>
      </c>
      <c r="HA96" s="94">
        <f t="shared" si="57"/>
        <v>0</v>
      </c>
      <c r="HB96" s="94">
        <f t="shared" si="57"/>
        <v>0</v>
      </c>
      <c r="HC96" s="94">
        <f t="shared" si="57"/>
        <v>0</v>
      </c>
      <c r="HD96" s="94">
        <f t="shared" si="57"/>
        <v>0</v>
      </c>
      <c r="HE96" s="94">
        <f t="shared" si="57"/>
        <v>0</v>
      </c>
      <c r="HF96" s="94">
        <f t="shared" si="57"/>
        <v>0</v>
      </c>
      <c r="HG96" s="94">
        <f t="shared" si="57"/>
        <v>0</v>
      </c>
      <c r="HH96" s="94">
        <f t="shared" si="57"/>
        <v>0</v>
      </c>
      <c r="HI96" s="94">
        <f t="shared" si="57"/>
        <v>0</v>
      </c>
      <c r="HJ96" s="94">
        <f t="shared" si="57"/>
        <v>0</v>
      </c>
      <c r="HK96" s="94">
        <f t="shared" si="57"/>
        <v>0</v>
      </c>
      <c r="HL96" s="94">
        <f ca="1">SUM(HL43:HL95)</f>
        <v>0</v>
      </c>
      <c r="HM96" s="94">
        <f ca="1">SUM(HM43:HM95)</f>
        <v>0</v>
      </c>
      <c r="HN96" s="94">
        <f ca="1">SUM(HN43:HN95)</f>
        <v>0</v>
      </c>
      <c r="HO96" s="94">
        <f ca="1">SUM(HO43:HO95)</f>
        <v>0</v>
      </c>
      <c r="HP96" s="94">
        <f ca="1">SUM(HP43:HP95)</f>
        <v>0</v>
      </c>
      <c r="HR96" s="94">
        <f ca="1">SUM(HR43:HR95)</f>
        <v>1093.6439813971608</v>
      </c>
      <c r="HS96" s="94">
        <f t="shared" ref="HS96:JY96" si="58">SUM(HS43:HS95)</f>
        <v>0</v>
      </c>
      <c r="HT96" s="94">
        <f t="shared" si="58"/>
        <v>0</v>
      </c>
      <c r="HU96" s="94">
        <f>SUM(HU43:HU95)</f>
        <v>0</v>
      </c>
      <c r="HV96" s="94">
        <f t="shared" si="58"/>
        <v>0</v>
      </c>
      <c r="HW96" s="94">
        <f t="shared" si="58"/>
        <v>0</v>
      </c>
      <c r="HX96" s="94">
        <f>SUM(HX43:HX95)</f>
        <v>0</v>
      </c>
      <c r="HY96" s="94">
        <f>SUM(HY43:HY95)</f>
        <v>0</v>
      </c>
      <c r="HZ96" s="94">
        <f>SUM(HZ43:HZ95)</f>
        <v>0</v>
      </c>
      <c r="IA96" s="94">
        <f t="shared" si="58"/>
        <v>0</v>
      </c>
      <c r="IB96" s="94">
        <f t="shared" si="58"/>
        <v>0</v>
      </c>
      <c r="IC96" s="94">
        <f t="shared" si="58"/>
        <v>0</v>
      </c>
      <c r="ID96" s="94">
        <f t="shared" si="58"/>
        <v>0</v>
      </c>
      <c r="IE96" s="94">
        <f t="shared" si="58"/>
        <v>0</v>
      </c>
      <c r="IF96" s="94">
        <f t="shared" si="58"/>
        <v>0</v>
      </c>
      <c r="IG96" s="94">
        <f t="shared" si="58"/>
        <v>0</v>
      </c>
      <c r="IH96" s="94">
        <f t="shared" si="58"/>
        <v>0</v>
      </c>
      <c r="II96" s="94">
        <f t="shared" si="58"/>
        <v>0</v>
      </c>
      <c r="IJ96" s="94">
        <f t="shared" si="58"/>
        <v>0</v>
      </c>
      <c r="IK96" s="94">
        <f t="shared" si="58"/>
        <v>0</v>
      </c>
      <c r="IL96" s="94">
        <f t="shared" si="58"/>
        <v>0</v>
      </c>
      <c r="IM96" s="94">
        <f t="shared" si="58"/>
        <v>0</v>
      </c>
      <c r="IN96" s="94">
        <f t="shared" si="58"/>
        <v>0</v>
      </c>
      <c r="IO96" s="94">
        <f t="shared" si="58"/>
        <v>0</v>
      </c>
      <c r="IP96" s="94">
        <f t="shared" si="58"/>
        <v>0</v>
      </c>
      <c r="IQ96" s="94">
        <f t="shared" si="58"/>
        <v>0</v>
      </c>
      <c r="IR96" s="94">
        <f t="shared" si="58"/>
        <v>0</v>
      </c>
      <c r="IS96" s="94">
        <f t="shared" si="58"/>
        <v>0</v>
      </c>
      <c r="IT96" s="94">
        <f t="shared" si="58"/>
        <v>0</v>
      </c>
      <c r="IU96" s="94">
        <f t="shared" si="58"/>
        <v>0</v>
      </c>
      <c r="IV96" s="94">
        <f t="shared" si="58"/>
        <v>0</v>
      </c>
      <c r="IW96" s="94">
        <f t="shared" si="58"/>
        <v>0</v>
      </c>
      <c r="IX96" s="94">
        <f t="shared" si="58"/>
        <v>0</v>
      </c>
      <c r="IY96" s="94">
        <f t="shared" si="58"/>
        <v>0</v>
      </c>
      <c r="IZ96" s="94">
        <f t="shared" si="58"/>
        <v>0</v>
      </c>
      <c r="JA96" s="94">
        <f t="shared" si="58"/>
        <v>0</v>
      </c>
      <c r="JB96" s="94">
        <f t="shared" si="58"/>
        <v>0</v>
      </c>
      <c r="JC96" s="94">
        <f t="shared" si="58"/>
        <v>0</v>
      </c>
      <c r="JD96" s="94">
        <f t="shared" si="58"/>
        <v>0</v>
      </c>
      <c r="JE96" s="94">
        <f t="shared" si="58"/>
        <v>0</v>
      </c>
      <c r="JF96" s="94">
        <f t="shared" si="58"/>
        <v>0</v>
      </c>
      <c r="JG96" s="94">
        <f t="shared" si="58"/>
        <v>0</v>
      </c>
      <c r="JH96" s="94">
        <f t="shared" si="58"/>
        <v>0</v>
      </c>
      <c r="JI96" s="94">
        <f t="shared" si="58"/>
        <v>0</v>
      </c>
      <c r="JJ96" s="94">
        <f t="shared" si="58"/>
        <v>0</v>
      </c>
      <c r="JK96" s="94">
        <f t="shared" si="58"/>
        <v>0</v>
      </c>
      <c r="JL96" s="94">
        <f t="shared" si="58"/>
        <v>0</v>
      </c>
      <c r="JM96" s="94">
        <f t="shared" si="58"/>
        <v>0</v>
      </c>
      <c r="JN96" s="94">
        <f t="shared" si="58"/>
        <v>0</v>
      </c>
      <c r="JO96" s="94">
        <f t="shared" si="58"/>
        <v>0</v>
      </c>
      <c r="JP96" s="94">
        <f t="shared" si="58"/>
        <v>0</v>
      </c>
      <c r="JQ96" s="94">
        <f t="shared" si="58"/>
        <v>0</v>
      </c>
      <c r="JR96" s="94">
        <f t="shared" si="58"/>
        <v>0</v>
      </c>
      <c r="JS96" s="94">
        <f t="shared" si="58"/>
        <v>0</v>
      </c>
      <c r="JT96" s="94">
        <f t="shared" si="58"/>
        <v>0</v>
      </c>
      <c r="JU96" s="94">
        <f t="shared" si="58"/>
        <v>0</v>
      </c>
      <c r="JV96" s="94">
        <f t="shared" si="58"/>
        <v>0</v>
      </c>
      <c r="JW96" s="94">
        <f t="shared" si="58"/>
        <v>0</v>
      </c>
      <c r="JX96" s="94">
        <f t="shared" si="58"/>
        <v>0</v>
      </c>
      <c r="JY96" s="94">
        <f t="shared" si="58"/>
        <v>0</v>
      </c>
      <c r="JZ96" s="94">
        <f ca="1">SUM(JZ43:JZ95)</f>
        <v>1093.6439813971608</v>
      </c>
      <c r="KA96" s="94">
        <f ca="1">SUM(KA43:KA95)</f>
        <v>0</v>
      </c>
      <c r="KB96" s="94">
        <f ca="1">SUM(KB43:KB95)</f>
        <v>0</v>
      </c>
      <c r="KC96" s="94">
        <f ca="1">SUM(KC43:KC95)</f>
        <v>0</v>
      </c>
      <c r="KD96" s="94">
        <f ca="1">SUM(KD43:KD95)</f>
        <v>0</v>
      </c>
      <c r="KF96" s="94">
        <f t="shared" ref="KF96:KN96" si="59">SUM(KF43:KF95)</f>
        <v>0</v>
      </c>
      <c r="KG96" s="94">
        <f t="shared" si="59"/>
        <v>0</v>
      </c>
      <c r="KH96" s="94">
        <f t="shared" si="59"/>
        <v>0</v>
      </c>
      <c r="KI96" s="94">
        <f t="shared" si="59"/>
        <v>0</v>
      </c>
      <c r="KJ96" s="94">
        <f t="shared" si="59"/>
        <v>0</v>
      </c>
      <c r="KK96" s="94">
        <f t="shared" si="59"/>
        <v>0</v>
      </c>
      <c r="KL96" s="94">
        <f t="shared" si="59"/>
        <v>0</v>
      </c>
      <c r="KM96" s="94">
        <f t="shared" si="59"/>
        <v>0</v>
      </c>
      <c r="KN96" s="94">
        <f t="shared" si="59"/>
        <v>0</v>
      </c>
      <c r="KO96" s="94">
        <f t="shared" ref="KO96:MM96" si="60">SUM(KO43:KO95)</f>
        <v>0</v>
      </c>
      <c r="KP96" s="94">
        <f t="shared" si="60"/>
        <v>0</v>
      </c>
      <c r="KQ96" s="94">
        <f t="shared" si="60"/>
        <v>0</v>
      </c>
      <c r="KR96" s="94">
        <f t="shared" si="60"/>
        <v>0</v>
      </c>
      <c r="KS96" s="94">
        <f t="shared" si="60"/>
        <v>0</v>
      </c>
      <c r="KT96" s="94">
        <f t="shared" si="60"/>
        <v>0</v>
      </c>
      <c r="KU96" s="94">
        <f t="shared" si="60"/>
        <v>0</v>
      </c>
      <c r="KV96" s="94">
        <f t="shared" si="60"/>
        <v>0</v>
      </c>
      <c r="KW96" s="94">
        <f t="shared" si="60"/>
        <v>0</v>
      </c>
      <c r="KX96" s="94">
        <f t="shared" si="60"/>
        <v>0</v>
      </c>
      <c r="KY96" s="94">
        <f t="shared" si="60"/>
        <v>0</v>
      </c>
      <c r="KZ96" s="94">
        <f t="shared" si="60"/>
        <v>0</v>
      </c>
      <c r="LA96" s="94">
        <f t="shared" si="60"/>
        <v>0</v>
      </c>
      <c r="LB96" s="94">
        <f t="shared" si="60"/>
        <v>0</v>
      </c>
      <c r="LC96" s="94">
        <f t="shared" si="60"/>
        <v>0</v>
      </c>
      <c r="LD96" s="94">
        <f t="shared" si="60"/>
        <v>0</v>
      </c>
      <c r="LE96" s="94">
        <f t="shared" si="60"/>
        <v>0</v>
      </c>
      <c r="LF96" s="94">
        <f t="shared" si="60"/>
        <v>0</v>
      </c>
      <c r="LG96" s="94">
        <f t="shared" si="60"/>
        <v>0</v>
      </c>
      <c r="LH96" s="94">
        <f t="shared" si="60"/>
        <v>0</v>
      </c>
      <c r="LI96" s="94">
        <f t="shared" si="60"/>
        <v>0</v>
      </c>
      <c r="LJ96" s="94">
        <f t="shared" si="60"/>
        <v>0</v>
      </c>
      <c r="LK96" s="94">
        <f t="shared" si="60"/>
        <v>0</v>
      </c>
      <c r="LL96" s="94">
        <f t="shared" si="60"/>
        <v>0</v>
      </c>
      <c r="LM96" s="94">
        <f t="shared" si="60"/>
        <v>0</v>
      </c>
      <c r="LN96" s="94">
        <f t="shared" si="60"/>
        <v>0</v>
      </c>
      <c r="LO96" s="94">
        <f t="shared" si="60"/>
        <v>0</v>
      </c>
      <c r="LP96" s="94">
        <f t="shared" si="60"/>
        <v>0</v>
      </c>
      <c r="LQ96" s="94">
        <f t="shared" si="60"/>
        <v>0</v>
      </c>
      <c r="LR96" s="94">
        <f t="shared" si="60"/>
        <v>0</v>
      </c>
      <c r="LS96" s="94">
        <f t="shared" si="60"/>
        <v>0</v>
      </c>
      <c r="LT96" s="94">
        <f t="shared" si="60"/>
        <v>0</v>
      </c>
      <c r="LU96" s="94">
        <f t="shared" si="60"/>
        <v>0</v>
      </c>
      <c r="LV96" s="94">
        <f t="shared" si="60"/>
        <v>0</v>
      </c>
      <c r="LW96" s="94">
        <f t="shared" si="60"/>
        <v>0</v>
      </c>
      <c r="LX96" s="94">
        <f t="shared" si="60"/>
        <v>0</v>
      </c>
      <c r="LY96" s="94">
        <f t="shared" si="60"/>
        <v>0</v>
      </c>
      <c r="LZ96" s="94">
        <f t="shared" si="60"/>
        <v>0</v>
      </c>
      <c r="MA96" s="94">
        <f t="shared" si="60"/>
        <v>0</v>
      </c>
      <c r="MB96" s="94">
        <f t="shared" si="60"/>
        <v>0</v>
      </c>
      <c r="MC96" s="94">
        <f t="shared" si="60"/>
        <v>0</v>
      </c>
      <c r="MD96" s="94">
        <f t="shared" si="60"/>
        <v>0</v>
      </c>
      <c r="ME96" s="94">
        <f t="shared" si="60"/>
        <v>0</v>
      </c>
      <c r="MF96" s="94">
        <f t="shared" si="60"/>
        <v>0</v>
      </c>
      <c r="MG96" s="94">
        <f t="shared" si="60"/>
        <v>0</v>
      </c>
      <c r="MH96" s="94">
        <f t="shared" si="60"/>
        <v>0</v>
      </c>
      <c r="MI96" s="94">
        <f t="shared" si="60"/>
        <v>0</v>
      </c>
      <c r="MJ96" s="94">
        <f t="shared" si="60"/>
        <v>0</v>
      </c>
      <c r="MK96" s="94">
        <f t="shared" si="60"/>
        <v>0</v>
      </c>
      <c r="ML96" s="94">
        <f t="shared" si="60"/>
        <v>0</v>
      </c>
      <c r="MM96" s="94">
        <f t="shared" si="60"/>
        <v>0</v>
      </c>
      <c r="MN96" s="94">
        <f ca="1">SUM(MN43:MN95)</f>
        <v>0</v>
      </c>
      <c r="MO96" s="94">
        <f ca="1">SUM(MO43:MO95)</f>
        <v>0</v>
      </c>
      <c r="MP96" s="94">
        <f ca="1">SUM(MP43:MP95)</f>
        <v>0</v>
      </c>
      <c r="MQ96" s="94">
        <f ca="1">SUM(MQ43:MQ95)</f>
        <v>0</v>
      </c>
      <c r="MR96" s="94">
        <f ca="1">SUM(MR43:MR95)</f>
        <v>0</v>
      </c>
    </row>
    <row r="97" spans="1:356" x14ac:dyDescent="0.25">
      <c r="A97">
        <f>1</f>
        <v>1</v>
      </c>
      <c r="B97" s="85">
        <f t="shared" si="37"/>
        <v>43885</v>
      </c>
      <c r="C97" s="85">
        <f t="shared" si="25"/>
        <v>43885</v>
      </c>
      <c r="D97">
        <f t="shared" ca="1" si="26"/>
        <v>1</v>
      </c>
      <c r="E97" s="85">
        <f t="shared" si="27"/>
        <v>43862</v>
      </c>
      <c r="F97">
        <f t="shared" si="33"/>
        <v>9</v>
      </c>
      <c r="G97" s="85"/>
      <c r="AA97" t="s">
        <v>1301</v>
      </c>
      <c r="AB97" s="6">
        <f t="shared" ref="AB97:CI97" si="61">MAX(AB43:AB95)</f>
        <v>388.17143954725253</v>
      </c>
      <c r="AC97" s="6">
        <f t="shared" si="61"/>
        <v>0</v>
      </c>
      <c r="AD97" s="6">
        <f t="shared" si="61"/>
        <v>0</v>
      </c>
      <c r="AE97" s="6">
        <f>MAX(AE43:AE95)</f>
        <v>0</v>
      </c>
      <c r="AF97" s="6">
        <f t="shared" si="61"/>
        <v>0</v>
      </c>
      <c r="AG97" s="6">
        <f t="shared" si="61"/>
        <v>0</v>
      </c>
      <c r="AH97" s="6">
        <f>MAX(AH43:AH95)</f>
        <v>0</v>
      </c>
      <c r="AI97" s="6">
        <f>MAX(AI43:AI95)</f>
        <v>0</v>
      </c>
      <c r="AJ97" s="6">
        <f>MAX(AJ43:AJ95)</f>
        <v>0</v>
      </c>
      <c r="AK97" s="6">
        <f t="shared" si="61"/>
        <v>0</v>
      </c>
      <c r="AL97" s="6">
        <f t="shared" si="61"/>
        <v>0</v>
      </c>
      <c r="AM97" s="6">
        <f t="shared" si="61"/>
        <v>0</v>
      </c>
      <c r="AN97" s="6">
        <f t="shared" si="61"/>
        <v>0</v>
      </c>
      <c r="AO97" s="6">
        <f t="shared" si="61"/>
        <v>0</v>
      </c>
      <c r="AP97" s="6">
        <f t="shared" si="61"/>
        <v>0</v>
      </c>
      <c r="AQ97" s="6">
        <f t="shared" si="61"/>
        <v>0</v>
      </c>
      <c r="AR97" s="6">
        <f t="shared" si="61"/>
        <v>0</v>
      </c>
      <c r="AS97" s="6">
        <f t="shared" si="61"/>
        <v>0</v>
      </c>
      <c r="AT97" s="6">
        <f t="shared" si="61"/>
        <v>0</v>
      </c>
      <c r="AU97" s="6">
        <f t="shared" si="61"/>
        <v>0</v>
      </c>
      <c r="AV97" s="6">
        <f t="shared" si="61"/>
        <v>0</v>
      </c>
      <c r="AW97" s="6">
        <f t="shared" si="61"/>
        <v>0</v>
      </c>
      <c r="AX97" s="6">
        <f t="shared" si="61"/>
        <v>0</v>
      </c>
      <c r="AY97" s="6">
        <f t="shared" si="61"/>
        <v>0</v>
      </c>
      <c r="AZ97" s="6">
        <f t="shared" si="61"/>
        <v>0</v>
      </c>
      <c r="BA97" s="6">
        <f t="shared" si="61"/>
        <v>0</v>
      </c>
      <c r="BB97" s="6">
        <f t="shared" si="61"/>
        <v>0</v>
      </c>
      <c r="BC97" s="6">
        <f t="shared" si="61"/>
        <v>0</v>
      </c>
      <c r="BD97" s="6">
        <f t="shared" si="61"/>
        <v>0</v>
      </c>
      <c r="BE97" s="6">
        <f t="shared" si="61"/>
        <v>0</v>
      </c>
      <c r="BF97" s="6">
        <f t="shared" si="61"/>
        <v>0</v>
      </c>
      <c r="BG97" s="6">
        <f t="shared" si="61"/>
        <v>0</v>
      </c>
      <c r="BH97" s="6">
        <f t="shared" si="61"/>
        <v>0</v>
      </c>
      <c r="BI97" s="6">
        <f t="shared" si="61"/>
        <v>0</v>
      </c>
      <c r="BJ97" s="6">
        <f t="shared" si="61"/>
        <v>0</v>
      </c>
      <c r="BK97" s="6">
        <f t="shared" si="61"/>
        <v>0</v>
      </c>
      <c r="BL97" s="6">
        <f t="shared" si="61"/>
        <v>0</v>
      </c>
      <c r="BM97" s="6">
        <f t="shared" si="61"/>
        <v>0</v>
      </c>
      <c r="BN97" s="6">
        <f t="shared" si="61"/>
        <v>0</v>
      </c>
      <c r="BO97" s="6">
        <f t="shared" si="61"/>
        <v>0</v>
      </c>
      <c r="BP97" s="6">
        <f t="shared" si="61"/>
        <v>0</v>
      </c>
      <c r="BQ97" s="6">
        <f t="shared" si="61"/>
        <v>0</v>
      </c>
      <c r="BR97" s="6">
        <f t="shared" si="61"/>
        <v>0</v>
      </c>
      <c r="BS97" s="6">
        <f t="shared" si="61"/>
        <v>0</v>
      </c>
      <c r="BT97" s="6">
        <f t="shared" si="61"/>
        <v>0</v>
      </c>
      <c r="BU97" s="6">
        <f t="shared" si="61"/>
        <v>0</v>
      </c>
      <c r="BV97" s="6">
        <f t="shared" si="61"/>
        <v>0</v>
      </c>
      <c r="BW97" s="6">
        <f t="shared" si="61"/>
        <v>0</v>
      </c>
      <c r="BX97" s="6">
        <f t="shared" si="61"/>
        <v>0</v>
      </c>
      <c r="BY97" s="6">
        <f t="shared" si="61"/>
        <v>0</v>
      </c>
      <c r="BZ97" s="6">
        <f t="shared" si="61"/>
        <v>0</v>
      </c>
      <c r="CA97" s="6">
        <f t="shared" si="61"/>
        <v>0</v>
      </c>
      <c r="CB97" s="6">
        <f t="shared" si="61"/>
        <v>0</v>
      </c>
      <c r="CC97" s="6">
        <f t="shared" si="61"/>
        <v>0</v>
      </c>
      <c r="CD97" s="6">
        <f t="shared" si="61"/>
        <v>0</v>
      </c>
      <c r="CE97" s="6">
        <f t="shared" si="61"/>
        <v>0</v>
      </c>
      <c r="CF97" s="6">
        <f t="shared" si="61"/>
        <v>0</v>
      </c>
      <c r="CG97" s="6">
        <f t="shared" si="61"/>
        <v>0</v>
      </c>
      <c r="CH97" s="6">
        <f t="shared" si="61"/>
        <v>0</v>
      </c>
      <c r="CI97" s="6">
        <f t="shared" si="61"/>
        <v>0</v>
      </c>
      <c r="CJ97" s="6">
        <f ca="1">MAX(CJ43:CJ95)</f>
        <v>388.17143954725253</v>
      </c>
      <c r="CK97" s="6">
        <f ca="1">MAX(CK43:CK95)</f>
        <v>0</v>
      </c>
      <c r="CL97" s="6">
        <f ca="1">MAX(CL43:CL95)</f>
        <v>0</v>
      </c>
      <c r="CM97" s="6">
        <f ca="1">MAX(CM43:CM95)</f>
        <v>0</v>
      </c>
      <c r="CN97" s="6">
        <f ca="1">MAX(CN43:CN95)</f>
        <v>0</v>
      </c>
      <c r="CP97" s="6">
        <f ca="1">MAX(CP43:CP95)</f>
        <v>24.919784152855019</v>
      </c>
      <c r="CQ97" s="6">
        <f t="shared" ref="CQ97:EW97" si="62">MAX(CQ43:CQ95)</f>
        <v>0</v>
      </c>
      <c r="CR97" s="6">
        <f t="shared" si="62"/>
        <v>0</v>
      </c>
      <c r="CS97" s="6">
        <f>MAX(CS43:CS95)</f>
        <v>0</v>
      </c>
      <c r="CT97" s="6">
        <f t="shared" si="62"/>
        <v>0</v>
      </c>
      <c r="CU97" s="6">
        <f t="shared" si="62"/>
        <v>0</v>
      </c>
      <c r="CV97" s="6">
        <f>MAX(CV43:CV95)</f>
        <v>0</v>
      </c>
      <c r="CW97" s="6">
        <f>MAX(CW43:CW95)</f>
        <v>0</v>
      </c>
      <c r="CX97" s="6">
        <f>MAX(CX43:CX95)</f>
        <v>0</v>
      </c>
      <c r="CY97" s="6">
        <f t="shared" si="62"/>
        <v>0</v>
      </c>
      <c r="CZ97" s="6">
        <f t="shared" si="62"/>
        <v>0</v>
      </c>
      <c r="DA97" s="6">
        <f t="shared" si="62"/>
        <v>0</v>
      </c>
      <c r="DB97" s="6">
        <f t="shared" si="62"/>
        <v>0</v>
      </c>
      <c r="DC97" s="6">
        <f t="shared" si="62"/>
        <v>0</v>
      </c>
      <c r="DD97" s="6">
        <f t="shared" si="62"/>
        <v>0</v>
      </c>
      <c r="DE97" s="6">
        <f t="shared" si="62"/>
        <v>0</v>
      </c>
      <c r="DF97" s="6">
        <f t="shared" si="62"/>
        <v>0</v>
      </c>
      <c r="DG97" s="6">
        <f t="shared" si="62"/>
        <v>0</v>
      </c>
      <c r="DH97" s="6">
        <f t="shared" si="62"/>
        <v>0</v>
      </c>
      <c r="DI97" s="6">
        <f t="shared" si="62"/>
        <v>0</v>
      </c>
      <c r="DJ97" s="6">
        <f t="shared" si="62"/>
        <v>0</v>
      </c>
      <c r="DK97" s="6">
        <f t="shared" si="62"/>
        <v>0</v>
      </c>
      <c r="DL97" s="6">
        <f t="shared" si="62"/>
        <v>0</v>
      </c>
      <c r="DM97" s="6">
        <f t="shared" si="62"/>
        <v>0</v>
      </c>
      <c r="DN97" s="6">
        <f t="shared" si="62"/>
        <v>0</v>
      </c>
      <c r="DO97" s="6">
        <f t="shared" si="62"/>
        <v>0</v>
      </c>
      <c r="DP97" s="6">
        <f t="shared" si="62"/>
        <v>0</v>
      </c>
      <c r="DQ97" s="6">
        <f t="shared" si="62"/>
        <v>0</v>
      </c>
      <c r="DR97" s="6">
        <f t="shared" si="62"/>
        <v>0</v>
      </c>
      <c r="DS97" s="6">
        <f t="shared" si="62"/>
        <v>0</v>
      </c>
      <c r="DT97" s="6">
        <f t="shared" si="62"/>
        <v>0</v>
      </c>
      <c r="DU97" s="6">
        <f t="shared" si="62"/>
        <v>0</v>
      </c>
      <c r="DV97" s="6">
        <f t="shared" si="62"/>
        <v>0</v>
      </c>
      <c r="DW97" s="6">
        <f t="shared" si="62"/>
        <v>0</v>
      </c>
      <c r="DX97" s="6">
        <f t="shared" si="62"/>
        <v>0</v>
      </c>
      <c r="DY97" s="6">
        <f t="shared" si="62"/>
        <v>0</v>
      </c>
      <c r="DZ97" s="6">
        <f t="shared" si="62"/>
        <v>0</v>
      </c>
      <c r="EA97" s="6">
        <f t="shared" si="62"/>
        <v>0</v>
      </c>
      <c r="EB97" s="6">
        <f t="shared" si="62"/>
        <v>0</v>
      </c>
      <c r="EC97" s="6">
        <f t="shared" si="62"/>
        <v>0</v>
      </c>
      <c r="ED97" s="6">
        <f t="shared" si="62"/>
        <v>0</v>
      </c>
      <c r="EE97" s="6">
        <f t="shared" si="62"/>
        <v>0</v>
      </c>
      <c r="EF97" s="6">
        <f t="shared" si="62"/>
        <v>0</v>
      </c>
      <c r="EG97" s="6">
        <f t="shared" si="62"/>
        <v>0</v>
      </c>
      <c r="EH97" s="6">
        <f t="shared" si="62"/>
        <v>0</v>
      </c>
      <c r="EI97" s="6">
        <f t="shared" si="62"/>
        <v>0</v>
      </c>
      <c r="EJ97" s="6">
        <f t="shared" si="62"/>
        <v>0</v>
      </c>
      <c r="EK97" s="6">
        <f t="shared" si="62"/>
        <v>0</v>
      </c>
      <c r="EL97" s="6">
        <f t="shared" si="62"/>
        <v>0</v>
      </c>
      <c r="EM97" s="6">
        <f t="shared" si="62"/>
        <v>0</v>
      </c>
      <c r="EN97" s="6">
        <f t="shared" si="62"/>
        <v>0</v>
      </c>
      <c r="EO97" s="6">
        <f t="shared" si="62"/>
        <v>0</v>
      </c>
      <c r="EP97" s="6">
        <f t="shared" si="62"/>
        <v>0</v>
      </c>
      <c r="EQ97" s="6">
        <f t="shared" si="62"/>
        <v>0</v>
      </c>
      <c r="ER97" s="6">
        <f t="shared" si="62"/>
        <v>0</v>
      </c>
      <c r="ES97" s="6">
        <f t="shared" si="62"/>
        <v>0</v>
      </c>
      <c r="ET97" s="6">
        <f t="shared" si="62"/>
        <v>0</v>
      </c>
      <c r="EU97" s="6">
        <f t="shared" si="62"/>
        <v>0</v>
      </c>
      <c r="EV97" s="6">
        <f t="shared" si="62"/>
        <v>0</v>
      </c>
      <c r="EW97" s="6">
        <f t="shared" si="62"/>
        <v>0</v>
      </c>
      <c r="EX97" s="6">
        <f ca="1">MAX(EX43:EX95)</f>
        <v>24.919784152855019</v>
      </c>
      <c r="EY97" s="6">
        <f ca="1">MAX(EY43:EY95)</f>
        <v>0</v>
      </c>
      <c r="EZ97" s="6">
        <f ca="1">MAX(EZ43:EZ95)</f>
        <v>0</v>
      </c>
      <c r="FA97" s="6">
        <f ca="1">MAX(FA43:FA95)</f>
        <v>0</v>
      </c>
      <c r="FB97" s="6">
        <f ca="1">MAX(FB43:FB95)</f>
        <v>0</v>
      </c>
      <c r="FD97" s="6">
        <f t="shared" ref="FD97:FL97" si="63">MAX(FD43:FD95)</f>
        <v>0</v>
      </c>
      <c r="FE97" s="6">
        <f t="shared" si="63"/>
        <v>0</v>
      </c>
      <c r="FF97" s="6">
        <f t="shared" si="63"/>
        <v>0</v>
      </c>
      <c r="FG97" s="6">
        <f t="shared" si="63"/>
        <v>0</v>
      </c>
      <c r="FH97" s="6">
        <f t="shared" si="63"/>
        <v>0</v>
      </c>
      <c r="FI97" s="6">
        <f t="shared" si="63"/>
        <v>0</v>
      </c>
      <c r="FJ97" s="6">
        <f t="shared" si="63"/>
        <v>0</v>
      </c>
      <c r="FK97" s="6">
        <f t="shared" si="63"/>
        <v>0</v>
      </c>
      <c r="FL97" s="6">
        <f t="shared" si="63"/>
        <v>0</v>
      </c>
      <c r="FM97" s="6">
        <f t="shared" ref="FM97:HK97" si="64">MAX(FM43:FM95)</f>
        <v>0</v>
      </c>
      <c r="FN97" s="6">
        <f t="shared" si="64"/>
        <v>0</v>
      </c>
      <c r="FO97" s="6">
        <f t="shared" si="64"/>
        <v>0</v>
      </c>
      <c r="FP97" s="6">
        <f t="shared" si="64"/>
        <v>0</v>
      </c>
      <c r="FQ97" s="6">
        <f t="shared" si="64"/>
        <v>0</v>
      </c>
      <c r="FR97" s="6">
        <f t="shared" si="64"/>
        <v>0</v>
      </c>
      <c r="FS97" s="6">
        <f t="shared" si="64"/>
        <v>0</v>
      </c>
      <c r="FT97" s="6">
        <f t="shared" si="64"/>
        <v>0</v>
      </c>
      <c r="FU97" s="6">
        <f t="shared" si="64"/>
        <v>0</v>
      </c>
      <c r="FV97" s="6">
        <f t="shared" si="64"/>
        <v>0</v>
      </c>
      <c r="FW97" s="6">
        <f t="shared" si="64"/>
        <v>0</v>
      </c>
      <c r="FX97" s="6">
        <f t="shared" si="64"/>
        <v>0</v>
      </c>
      <c r="FY97" s="6">
        <f t="shared" si="64"/>
        <v>0</v>
      </c>
      <c r="FZ97" s="6">
        <f t="shared" si="64"/>
        <v>0</v>
      </c>
      <c r="GA97" s="6">
        <f t="shared" si="64"/>
        <v>0</v>
      </c>
      <c r="GB97" s="6">
        <f t="shared" si="64"/>
        <v>0</v>
      </c>
      <c r="GC97" s="6">
        <f t="shared" si="64"/>
        <v>0</v>
      </c>
      <c r="GD97" s="6">
        <f t="shared" si="64"/>
        <v>0</v>
      </c>
      <c r="GE97" s="6">
        <f t="shared" si="64"/>
        <v>0</v>
      </c>
      <c r="GF97" s="6">
        <f t="shared" si="64"/>
        <v>0</v>
      </c>
      <c r="GG97" s="6">
        <f t="shared" si="64"/>
        <v>0</v>
      </c>
      <c r="GH97" s="6">
        <f t="shared" si="64"/>
        <v>0</v>
      </c>
      <c r="GI97" s="6">
        <f t="shared" si="64"/>
        <v>0</v>
      </c>
      <c r="GJ97" s="6">
        <f t="shared" si="64"/>
        <v>0</v>
      </c>
      <c r="GK97" s="6">
        <f t="shared" si="64"/>
        <v>0</v>
      </c>
      <c r="GL97" s="6">
        <f t="shared" si="64"/>
        <v>0</v>
      </c>
      <c r="GM97" s="6">
        <f t="shared" si="64"/>
        <v>0</v>
      </c>
      <c r="GN97" s="6">
        <f t="shared" si="64"/>
        <v>0</v>
      </c>
      <c r="GO97" s="6">
        <f t="shared" si="64"/>
        <v>0</v>
      </c>
      <c r="GP97" s="6">
        <f t="shared" si="64"/>
        <v>0</v>
      </c>
      <c r="GQ97" s="6">
        <f t="shared" si="64"/>
        <v>0</v>
      </c>
      <c r="GR97" s="6">
        <f t="shared" si="64"/>
        <v>0</v>
      </c>
      <c r="GS97" s="6">
        <f t="shared" si="64"/>
        <v>0</v>
      </c>
      <c r="GT97" s="6">
        <f t="shared" si="64"/>
        <v>0</v>
      </c>
      <c r="GU97" s="6">
        <f t="shared" si="64"/>
        <v>0</v>
      </c>
      <c r="GV97" s="6">
        <f t="shared" si="64"/>
        <v>0</v>
      </c>
      <c r="GW97" s="6">
        <f t="shared" si="64"/>
        <v>0</v>
      </c>
      <c r="GX97" s="6">
        <f t="shared" si="64"/>
        <v>0</v>
      </c>
      <c r="GY97" s="6">
        <f t="shared" si="64"/>
        <v>0</v>
      </c>
      <c r="GZ97" s="6">
        <f t="shared" si="64"/>
        <v>0</v>
      </c>
      <c r="HA97" s="6">
        <f t="shared" si="64"/>
        <v>0</v>
      </c>
      <c r="HB97" s="6">
        <f t="shared" si="64"/>
        <v>0</v>
      </c>
      <c r="HC97" s="6">
        <f t="shared" si="64"/>
        <v>0</v>
      </c>
      <c r="HD97" s="6">
        <f t="shared" si="64"/>
        <v>0</v>
      </c>
      <c r="HE97" s="6">
        <f t="shared" si="64"/>
        <v>0</v>
      </c>
      <c r="HF97" s="6">
        <f t="shared" si="64"/>
        <v>0</v>
      </c>
      <c r="HG97" s="6">
        <f t="shared" si="64"/>
        <v>0</v>
      </c>
      <c r="HH97" s="6">
        <f t="shared" si="64"/>
        <v>0</v>
      </c>
      <c r="HI97" s="6">
        <f t="shared" si="64"/>
        <v>0</v>
      </c>
      <c r="HJ97" s="6">
        <f t="shared" si="64"/>
        <v>0</v>
      </c>
      <c r="HK97" s="6">
        <f t="shared" si="64"/>
        <v>0</v>
      </c>
      <c r="HL97" s="6">
        <f ca="1">MAX(HL43:HL95)</f>
        <v>0</v>
      </c>
      <c r="HM97" s="6">
        <f ca="1">MAX(HM43:HM95)</f>
        <v>0</v>
      </c>
      <c r="HN97" s="6">
        <f ca="1">MAX(HN43:HN95)</f>
        <v>0</v>
      </c>
      <c r="HO97" s="6">
        <f ca="1">MAX(HO43:HO95)</f>
        <v>0</v>
      </c>
      <c r="HP97" s="6">
        <f ca="1">MAX(HP43:HP95)</f>
        <v>0</v>
      </c>
      <c r="HR97" s="6">
        <f ca="1">MAX(HR43:HR95)</f>
        <v>21.427839876658773</v>
      </c>
      <c r="HS97" s="6">
        <f t="shared" ref="HS97:JY97" si="65">MAX(HS43:HS95)</f>
        <v>0</v>
      </c>
      <c r="HT97" s="6">
        <f t="shared" si="65"/>
        <v>0</v>
      </c>
      <c r="HU97" s="6">
        <f>MAX(HU43:HU95)</f>
        <v>0</v>
      </c>
      <c r="HV97" s="6">
        <f t="shared" si="65"/>
        <v>0</v>
      </c>
      <c r="HW97" s="6">
        <f t="shared" si="65"/>
        <v>0</v>
      </c>
      <c r="HX97" s="6">
        <f>MAX(HX43:HX95)</f>
        <v>0</v>
      </c>
      <c r="HY97" s="6">
        <f>MAX(HY43:HY95)</f>
        <v>0</v>
      </c>
      <c r="HZ97" s="6">
        <f>MAX(HZ43:HZ95)</f>
        <v>0</v>
      </c>
      <c r="IA97" s="6">
        <f t="shared" si="65"/>
        <v>0</v>
      </c>
      <c r="IB97" s="6">
        <f t="shared" si="65"/>
        <v>0</v>
      </c>
      <c r="IC97" s="6">
        <f t="shared" si="65"/>
        <v>0</v>
      </c>
      <c r="ID97" s="6">
        <f t="shared" si="65"/>
        <v>0</v>
      </c>
      <c r="IE97" s="6">
        <f t="shared" si="65"/>
        <v>0</v>
      </c>
      <c r="IF97" s="6">
        <f t="shared" si="65"/>
        <v>0</v>
      </c>
      <c r="IG97" s="6">
        <f t="shared" si="65"/>
        <v>0</v>
      </c>
      <c r="IH97" s="6">
        <f t="shared" si="65"/>
        <v>0</v>
      </c>
      <c r="II97" s="6">
        <f t="shared" si="65"/>
        <v>0</v>
      </c>
      <c r="IJ97" s="6">
        <f t="shared" si="65"/>
        <v>0</v>
      </c>
      <c r="IK97" s="6">
        <f t="shared" si="65"/>
        <v>0</v>
      </c>
      <c r="IL97" s="6">
        <f t="shared" si="65"/>
        <v>0</v>
      </c>
      <c r="IM97" s="6">
        <f t="shared" si="65"/>
        <v>0</v>
      </c>
      <c r="IN97" s="6">
        <f t="shared" si="65"/>
        <v>0</v>
      </c>
      <c r="IO97" s="6">
        <f t="shared" si="65"/>
        <v>0</v>
      </c>
      <c r="IP97" s="6">
        <f t="shared" si="65"/>
        <v>0</v>
      </c>
      <c r="IQ97" s="6">
        <f t="shared" si="65"/>
        <v>0</v>
      </c>
      <c r="IR97" s="6">
        <f t="shared" si="65"/>
        <v>0</v>
      </c>
      <c r="IS97" s="6">
        <f t="shared" si="65"/>
        <v>0</v>
      </c>
      <c r="IT97" s="6">
        <f t="shared" si="65"/>
        <v>0</v>
      </c>
      <c r="IU97" s="6">
        <f t="shared" si="65"/>
        <v>0</v>
      </c>
      <c r="IV97" s="6">
        <f t="shared" si="65"/>
        <v>0</v>
      </c>
      <c r="IW97" s="6">
        <f t="shared" si="65"/>
        <v>0</v>
      </c>
      <c r="IX97" s="6">
        <f t="shared" si="65"/>
        <v>0</v>
      </c>
      <c r="IY97" s="6">
        <f t="shared" si="65"/>
        <v>0</v>
      </c>
      <c r="IZ97" s="6">
        <f t="shared" si="65"/>
        <v>0</v>
      </c>
      <c r="JA97" s="6">
        <f t="shared" si="65"/>
        <v>0</v>
      </c>
      <c r="JB97" s="6">
        <f t="shared" si="65"/>
        <v>0</v>
      </c>
      <c r="JC97" s="6">
        <f t="shared" si="65"/>
        <v>0</v>
      </c>
      <c r="JD97" s="6">
        <f t="shared" si="65"/>
        <v>0</v>
      </c>
      <c r="JE97" s="6">
        <f t="shared" si="65"/>
        <v>0</v>
      </c>
      <c r="JF97" s="6">
        <f t="shared" si="65"/>
        <v>0</v>
      </c>
      <c r="JG97" s="6">
        <f t="shared" si="65"/>
        <v>0</v>
      </c>
      <c r="JH97" s="6">
        <f t="shared" si="65"/>
        <v>0</v>
      </c>
      <c r="JI97" s="6">
        <f t="shared" si="65"/>
        <v>0</v>
      </c>
      <c r="JJ97" s="6">
        <f t="shared" si="65"/>
        <v>0</v>
      </c>
      <c r="JK97" s="6">
        <f t="shared" si="65"/>
        <v>0</v>
      </c>
      <c r="JL97" s="6">
        <f t="shared" si="65"/>
        <v>0</v>
      </c>
      <c r="JM97" s="6">
        <f t="shared" si="65"/>
        <v>0</v>
      </c>
      <c r="JN97" s="6">
        <f t="shared" si="65"/>
        <v>0</v>
      </c>
      <c r="JO97" s="6">
        <f t="shared" si="65"/>
        <v>0</v>
      </c>
      <c r="JP97" s="6">
        <f t="shared" si="65"/>
        <v>0</v>
      </c>
      <c r="JQ97" s="6">
        <f t="shared" si="65"/>
        <v>0</v>
      </c>
      <c r="JR97" s="6">
        <f t="shared" si="65"/>
        <v>0</v>
      </c>
      <c r="JS97" s="6">
        <f t="shared" si="65"/>
        <v>0</v>
      </c>
      <c r="JT97" s="6">
        <f t="shared" si="65"/>
        <v>0</v>
      </c>
      <c r="JU97" s="6">
        <f t="shared" si="65"/>
        <v>0</v>
      </c>
      <c r="JV97" s="6">
        <f t="shared" si="65"/>
        <v>0</v>
      </c>
      <c r="JW97" s="6">
        <f t="shared" si="65"/>
        <v>0</v>
      </c>
      <c r="JX97" s="6">
        <f t="shared" si="65"/>
        <v>0</v>
      </c>
      <c r="JY97" s="6">
        <f t="shared" si="65"/>
        <v>0</v>
      </c>
      <c r="JZ97" s="6">
        <f ca="1">MAX(JZ43:JZ95)</f>
        <v>21.427839876658773</v>
      </c>
      <c r="KA97" s="6">
        <f ca="1">MAX(KA43:KA95)</f>
        <v>0</v>
      </c>
      <c r="KB97" s="6">
        <f ca="1">MAX(KB43:KB95)</f>
        <v>0</v>
      </c>
      <c r="KC97" s="6">
        <f ca="1">MAX(KC43:KC95)</f>
        <v>0</v>
      </c>
      <c r="KD97" s="6">
        <f ca="1">MAX(KD43:KD95)</f>
        <v>0</v>
      </c>
      <c r="KF97" s="6">
        <f t="shared" ref="KF97:KN97" si="66">MAX(KF43:KF95)</f>
        <v>0</v>
      </c>
      <c r="KG97" s="6">
        <f t="shared" si="66"/>
        <v>0</v>
      </c>
      <c r="KH97" s="6">
        <f t="shared" si="66"/>
        <v>0</v>
      </c>
      <c r="KI97" s="6">
        <f t="shared" si="66"/>
        <v>0</v>
      </c>
      <c r="KJ97" s="6">
        <f t="shared" si="66"/>
        <v>0</v>
      </c>
      <c r="KK97" s="6">
        <f t="shared" si="66"/>
        <v>0</v>
      </c>
      <c r="KL97" s="6">
        <f t="shared" si="66"/>
        <v>0</v>
      </c>
      <c r="KM97" s="6">
        <f t="shared" si="66"/>
        <v>0</v>
      </c>
      <c r="KN97" s="6">
        <f t="shared" si="66"/>
        <v>0</v>
      </c>
      <c r="KO97" s="6">
        <f t="shared" ref="KO97:MM97" si="67">MAX(KO43:KO95)</f>
        <v>0</v>
      </c>
      <c r="KP97" s="6">
        <f t="shared" si="67"/>
        <v>0</v>
      </c>
      <c r="KQ97" s="6">
        <f t="shared" si="67"/>
        <v>0</v>
      </c>
      <c r="KR97" s="6">
        <f t="shared" si="67"/>
        <v>0</v>
      </c>
      <c r="KS97" s="6">
        <f t="shared" si="67"/>
        <v>0</v>
      </c>
      <c r="KT97" s="6">
        <f t="shared" si="67"/>
        <v>0</v>
      </c>
      <c r="KU97" s="6">
        <f t="shared" si="67"/>
        <v>0</v>
      </c>
      <c r="KV97" s="6">
        <f t="shared" si="67"/>
        <v>0</v>
      </c>
      <c r="KW97" s="6">
        <f t="shared" si="67"/>
        <v>0</v>
      </c>
      <c r="KX97" s="6">
        <f t="shared" si="67"/>
        <v>0</v>
      </c>
      <c r="KY97" s="6">
        <f t="shared" si="67"/>
        <v>0</v>
      </c>
      <c r="KZ97" s="6">
        <f t="shared" si="67"/>
        <v>0</v>
      </c>
      <c r="LA97" s="6">
        <f t="shared" si="67"/>
        <v>0</v>
      </c>
      <c r="LB97" s="6">
        <f t="shared" si="67"/>
        <v>0</v>
      </c>
      <c r="LC97" s="6">
        <f t="shared" si="67"/>
        <v>0</v>
      </c>
      <c r="LD97" s="6">
        <f t="shared" si="67"/>
        <v>0</v>
      </c>
      <c r="LE97" s="6">
        <f t="shared" si="67"/>
        <v>0</v>
      </c>
      <c r="LF97" s="6">
        <f t="shared" si="67"/>
        <v>0</v>
      </c>
      <c r="LG97" s="6">
        <f t="shared" si="67"/>
        <v>0</v>
      </c>
      <c r="LH97" s="6">
        <f t="shared" si="67"/>
        <v>0</v>
      </c>
      <c r="LI97" s="6">
        <f t="shared" si="67"/>
        <v>0</v>
      </c>
      <c r="LJ97" s="6">
        <f t="shared" si="67"/>
        <v>0</v>
      </c>
      <c r="LK97" s="6">
        <f t="shared" si="67"/>
        <v>0</v>
      </c>
      <c r="LL97" s="6">
        <f t="shared" si="67"/>
        <v>0</v>
      </c>
      <c r="LM97" s="6">
        <f t="shared" si="67"/>
        <v>0</v>
      </c>
      <c r="LN97" s="6">
        <f t="shared" si="67"/>
        <v>0</v>
      </c>
      <c r="LO97" s="6">
        <f t="shared" si="67"/>
        <v>0</v>
      </c>
      <c r="LP97" s="6">
        <f t="shared" si="67"/>
        <v>0</v>
      </c>
      <c r="LQ97" s="6">
        <f t="shared" si="67"/>
        <v>0</v>
      </c>
      <c r="LR97" s="6">
        <f t="shared" si="67"/>
        <v>0</v>
      </c>
      <c r="LS97" s="6">
        <f t="shared" si="67"/>
        <v>0</v>
      </c>
      <c r="LT97" s="6">
        <f t="shared" si="67"/>
        <v>0</v>
      </c>
      <c r="LU97" s="6">
        <f t="shared" si="67"/>
        <v>0</v>
      </c>
      <c r="LV97" s="6">
        <f t="shared" si="67"/>
        <v>0</v>
      </c>
      <c r="LW97" s="6">
        <f t="shared" si="67"/>
        <v>0</v>
      </c>
      <c r="LX97" s="6">
        <f t="shared" si="67"/>
        <v>0</v>
      </c>
      <c r="LY97" s="6">
        <f t="shared" si="67"/>
        <v>0</v>
      </c>
      <c r="LZ97" s="6">
        <f t="shared" si="67"/>
        <v>0</v>
      </c>
      <c r="MA97" s="6">
        <f t="shared" si="67"/>
        <v>0</v>
      </c>
      <c r="MB97" s="6">
        <f t="shared" si="67"/>
        <v>0</v>
      </c>
      <c r="MC97" s="6">
        <f t="shared" si="67"/>
        <v>0</v>
      </c>
      <c r="MD97" s="6">
        <f t="shared" si="67"/>
        <v>0</v>
      </c>
      <c r="ME97" s="6">
        <f t="shared" si="67"/>
        <v>0</v>
      </c>
      <c r="MF97" s="6">
        <f t="shared" si="67"/>
        <v>0</v>
      </c>
      <c r="MG97" s="6">
        <f t="shared" si="67"/>
        <v>0</v>
      </c>
      <c r="MH97" s="6">
        <f t="shared" si="67"/>
        <v>0</v>
      </c>
      <c r="MI97" s="6">
        <f t="shared" si="67"/>
        <v>0</v>
      </c>
      <c r="MJ97" s="6">
        <f t="shared" si="67"/>
        <v>0</v>
      </c>
      <c r="MK97" s="6">
        <f t="shared" si="67"/>
        <v>0</v>
      </c>
      <c r="ML97" s="6">
        <f t="shared" si="67"/>
        <v>0</v>
      </c>
      <c r="MM97" s="6">
        <f t="shared" si="67"/>
        <v>0</v>
      </c>
      <c r="MN97" s="6">
        <f ca="1">MAX(MN43:MN95)</f>
        <v>0</v>
      </c>
      <c r="MO97" s="6">
        <f ca="1">MAX(MO43:MO95)</f>
        <v>0</v>
      </c>
      <c r="MP97" s="6">
        <f ca="1">MAX(MP43:MP95)</f>
        <v>0</v>
      </c>
      <c r="MQ97" s="6">
        <f ca="1">MAX(MQ43:MQ95)</f>
        <v>0</v>
      </c>
      <c r="MR97" s="6">
        <f ca="1">MAX(MR43:MR95)</f>
        <v>0</v>
      </c>
    </row>
    <row r="98" spans="1:356" x14ac:dyDescent="0.25">
      <c r="A98">
        <f>1</f>
        <v>1</v>
      </c>
      <c r="B98" s="85">
        <f t="shared" si="37"/>
        <v>43886</v>
      </c>
      <c r="C98" s="85">
        <f t="shared" si="25"/>
        <v>43885</v>
      </c>
      <c r="D98">
        <f t="shared" ca="1" si="26"/>
        <v>1</v>
      </c>
      <c r="E98" s="85">
        <f t="shared" si="27"/>
        <v>43862</v>
      </c>
      <c r="F98">
        <f t="shared" si="33"/>
        <v>9</v>
      </c>
      <c r="G98" s="85"/>
      <c r="AA98" t="s">
        <v>1443</v>
      </c>
      <c r="AB98" s="6">
        <f t="shared" ref="AB98:AD98" si="68">AVERAGE(AB43:AB95)</f>
        <v>388.17143954725213</v>
      </c>
      <c r="AC98" s="6">
        <f t="shared" si="68"/>
        <v>0</v>
      </c>
      <c r="AD98" s="6">
        <f t="shared" si="68"/>
        <v>0</v>
      </c>
      <c r="AE98" s="6">
        <f>AVERAGE(AE43:AE95)</f>
        <v>0</v>
      </c>
      <c r="AF98" s="6">
        <f t="shared" ref="AF98:CN98" si="69">AVERAGE(AF43:AF95)</f>
        <v>0</v>
      </c>
      <c r="AG98" s="6">
        <f t="shared" si="69"/>
        <v>0</v>
      </c>
      <c r="AH98" s="6">
        <f t="shared" si="69"/>
        <v>0</v>
      </c>
      <c r="AI98" s="6">
        <f t="shared" si="69"/>
        <v>0</v>
      </c>
      <c r="AJ98" s="6">
        <f t="shared" si="69"/>
        <v>0</v>
      </c>
      <c r="AK98" s="6">
        <f t="shared" si="69"/>
        <v>0</v>
      </c>
      <c r="AL98" s="6">
        <f t="shared" si="69"/>
        <v>0</v>
      </c>
      <c r="AM98" s="6">
        <f t="shared" si="69"/>
        <v>0</v>
      </c>
      <c r="AN98" s="6">
        <f t="shared" si="69"/>
        <v>0</v>
      </c>
      <c r="AO98" s="6">
        <f t="shared" si="69"/>
        <v>0</v>
      </c>
      <c r="AP98" s="6">
        <f t="shared" si="69"/>
        <v>0</v>
      </c>
      <c r="AQ98" s="6">
        <f t="shared" si="69"/>
        <v>0</v>
      </c>
      <c r="AR98" s="6">
        <f t="shared" si="69"/>
        <v>0</v>
      </c>
      <c r="AS98" s="6">
        <f t="shared" si="69"/>
        <v>0</v>
      </c>
      <c r="AT98" s="6">
        <f t="shared" si="69"/>
        <v>0</v>
      </c>
      <c r="AU98" s="6">
        <f t="shared" si="69"/>
        <v>0</v>
      </c>
      <c r="AV98" s="6">
        <f t="shared" si="69"/>
        <v>0</v>
      </c>
      <c r="AW98" s="6">
        <f t="shared" si="69"/>
        <v>0</v>
      </c>
      <c r="AX98" s="6">
        <f t="shared" si="69"/>
        <v>0</v>
      </c>
      <c r="AY98" s="6">
        <f t="shared" si="69"/>
        <v>0</v>
      </c>
      <c r="AZ98" s="6">
        <f t="shared" si="69"/>
        <v>0</v>
      </c>
      <c r="BA98" s="6">
        <f t="shared" si="69"/>
        <v>0</v>
      </c>
      <c r="BB98" s="6">
        <f t="shared" si="69"/>
        <v>0</v>
      </c>
      <c r="BC98" s="6">
        <f t="shared" si="69"/>
        <v>0</v>
      </c>
      <c r="BD98" s="6">
        <f t="shared" si="69"/>
        <v>0</v>
      </c>
      <c r="BE98" s="6">
        <f t="shared" si="69"/>
        <v>0</v>
      </c>
      <c r="BF98" s="6">
        <f t="shared" si="69"/>
        <v>0</v>
      </c>
      <c r="BG98" s="6">
        <f t="shared" si="69"/>
        <v>0</v>
      </c>
      <c r="BH98" s="6">
        <f t="shared" si="69"/>
        <v>0</v>
      </c>
      <c r="BI98" s="6">
        <f t="shared" si="69"/>
        <v>0</v>
      </c>
      <c r="BJ98" s="6">
        <f t="shared" si="69"/>
        <v>0</v>
      </c>
      <c r="BK98" s="6">
        <f t="shared" si="69"/>
        <v>0</v>
      </c>
      <c r="BL98" s="6">
        <f t="shared" si="69"/>
        <v>0</v>
      </c>
      <c r="BM98" s="6">
        <f t="shared" si="69"/>
        <v>0</v>
      </c>
      <c r="BN98" s="6">
        <f t="shared" si="69"/>
        <v>0</v>
      </c>
      <c r="BO98" s="6">
        <f t="shared" si="69"/>
        <v>0</v>
      </c>
      <c r="BP98" s="6">
        <f t="shared" si="69"/>
        <v>0</v>
      </c>
      <c r="BQ98" s="6">
        <f t="shared" si="69"/>
        <v>0</v>
      </c>
      <c r="BR98" s="6">
        <f t="shared" si="69"/>
        <v>0</v>
      </c>
      <c r="BS98" s="6">
        <f t="shared" si="69"/>
        <v>0</v>
      </c>
      <c r="BT98" s="6">
        <f t="shared" si="69"/>
        <v>0</v>
      </c>
      <c r="BU98" s="6">
        <f t="shared" si="69"/>
        <v>0</v>
      </c>
      <c r="BV98" s="6">
        <f t="shared" si="69"/>
        <v>0</v>
      </c>
      <c r="BW98" s="6">
        <f t="shared" si="69"/>
        <v>0</v>
      </c>
      <c r="BX98" s="6">
        <f t="shared" si="69"/>
        <v>0</v>
      </c>
      <c r="BY98" s="6">
        <f t="shared" si="69"/>
        <v>0</v>
      </c>
      <c r="BZ98" s="6">
        <f t="shared" si="69"/>
        <v>0</v>
      </c>
      <c r="CA98" s="6">
        <f t="shared" si="69"/>
        <v>0</v>
      </c>
      <c r="CB98" s="6">
        <f t="shared" si="69"/>
        <v>0</v>
      </c>
      <c r="CC98" s="6">
        <f t="shared" si="69"/>
        <v>0</v>
      </c>
      <c r="CD98" s="6">
        <f t="shared" si="69"/>
        <v>0</v>
      </c>
      <c r="CE98" s="6">
        <f t="shared" si="69"/>
        <v>0</v>
      </c>
      <c r="CF98" s="6">
        <f t="shared" si="69"/>
        <v>0</v>
      </c>
      <c r="CG98" s="6">
        <f t="shared" si="69"/>
        <v>0</v>
      </c>
      <c r="CH98" s="6">
        <f t="shared" si="69"/>
        <v>0</v>
      </c>
      <c r="CI98" s="6">
        <f t="shared" si="69"/>
        <v>0</v>
      </c>
      <c r="CJ98" s="6">
        <f t="shared" ca="1" si="69"/>
        <v>388.17143954725213</v>
      </c>
      <c r="CK98" s="6">
        <f t="shared" ca="1" si="69"/>
        <v>0</v>
      </c>
      <c r="CL98" s="6">
        <f t="shared" ca="1" si="69"/>
        <v>0</v>
      </c>
      <c r="CM98" s="6">
        <f t="shared" ca="1" si="69"/>
        <v>0</v>
      </c>
      <c r="CN98" s="6">
        <f t="shared" ca="1" si="69"/>
        <v>0</v>
      </c>
      <c r="CP98" s="6">
        <f t="shared" ref="CP98:CR98" ca="1" si="70">AVERAGE(CP43:CP95)</f>
        <v>23.997498962872712</v>
      </c>
      <c r="CQ98" s="6">
        <f t="shared" si="70"/>
        <v>0</v>
      </c>
      <c r="CR98" s="6">
        <f t="shared" si="70"/>
        <v>0</v>
      </c>
      <c r="CS98" s="6">
        <f>AVERAGE(CS43:CS95)</f>
        <v>0</v>
      </c>
      <c r="CT98" s="6">
        <f t="shared" ref="CT98:FB98" si="71">AVERAGE(CT43:CT95)</f>
        <v>0</v>
      </c>
      <c r="CU98" s="6">
        <f t="shared" si="71"/>
        <v>0</v>
      </c>
      <c r="CV98" s="6">
        <f t="shared" si="71"/>
        <v>0</v>
      </c>
      <c r="CW98" s="6">
        <f t="shared" si="71"/>
        <v>0</v>
      </c>
      <c r="CX98" s="6">
        <f t="shared" si="71"/>
        <v>0</v>
      </c>
      <c r="CY98" s="6">
        <f t="shared" si="71"/>
        <v>0</v>
      </c>
      <c r="CZ98" s="6">
        <f t="shared" si="71"/>
        <v>0</v>
      </c>
      <c r="DA98" s="6">
        <f t="shared" si="71"/>
        <v>0</v>
      </c>
      <c r="DB98" s="6">
        <f t="shared" si="71"/>
        <v>0</v>
      </c>
      <c r="DC98" s="6">
        <f t="shared" si="71"/>
        <v>0</v>
      </c>
      <c r="DD98" s="6">
        <f t="shared" si="71"/>
        <v>0</v>
      </c>
      <c r="DE98" s="6">
        <f t="shared" si="71"/>
        <v>0</v>
      </c>
      <c r="DF98" s="6">
        <f t="shared" si="71"/>
        <v>0</v>
      </c>
      <c r="DG98" s="6">
        <f t="shared" si="71"/>
        <v>0</v>
      </c>
      <c r="DH98" s="6">
        <f t="shared" si="71"/>
        <v>0</v>
      </c>
      <c r="DI98" s="6">
        <f t="shared" si="71"/>
        <v>0</v>
      </c>
      <c r="DJ98" s="6">
        <f t="shared" si="71"/>
        <v>0</v>
      </c>
      <c r="DK98" s="6">
        <f t="shared" si="71"/>
        <v>0</v>
      </c>
      <c r="DL98" s="6">
        <f t="shared" si="71"/>
        <v>0</v>
      </c>
      <c r="DM98" s="6">
        <f t="shared" si="71"/>
        <v>0</v>
      </c>
      <c r="DN98" s="6">
        <f t="shared" si="71"/>
        <v>0</v>
      </c>
      <c r="DO98" s="6">
        <f t="shared" si="71"/>
        <v>0</v>
      </c>
      <c r="DP98" s="6">
        <f t="shared" si="71"/>
        <v>0</v>
      </c>
      <c r="DQ98" s="6">
        <f t="shared" si="71"/>
        <v>0</v>
      </c>
      <c r="DR98" s="6">
        <f t="shared" si="71"/>
        <v>0</v>
      </c>
      <c r="DS98" s="6">
        <f t="shared" si="71"/>
        <v>0</v>
      </c>
      <c r="DT98" s="6">
        <f t="shared" si="71"/>
        <v>0</v>
      </c>
      <c r="DU98" s="6">
        <f t="shared" si="71"/>
        <v>0</v>
      </c>
      <c r="DV98" s="6">
        <f t="shared" si="71"/>
        <v>0</v>
      </c>
      <c r="DW98" s="6">
        <f t="shared" si="71"/>
        <v>0</v>
      </c>
      <c r="DX98" s="6">
        <f t="shared" si="71"/>
        <v>0</v>
      </c>
      <c r="DY98" s="6">
        <f t="shared" si="71"/>
        <v>0</v>
      </c>
      <c r="DZ98" s="6">
        <f t="shared" si="71"/>
        <v>0</v>
      </c>
      <c r="EA98" s="6">
        <f t="shared" si="71"/>
        <v>0</v>
      </c>
      <c r="EB98" s="6">
        <f t="shared" si="71"/>
        <v>0</v>
      </c>
      <c r="EC98" s="6">
        <f t="shared" si="71"/>
        <v>0</v>
      </c>
      <c r="ED98" s="6">
        <f t="shared" si="71"/>
        <v>0</v>
      </c>
      <c r="EE98" s="6">
        <f t="shared" si="71"/>
        <v>0</v>
      </c>
      <c r="EF98" s="6">
        <f t="shared" si="71"/>
        <v>0</v>
      </c>
      <c r="EG98" s="6">
        <f t="shared" si="71"/>
        <v>0</v>
      </c>
      <c r="EH98" s="6">
        <f t="shared" si="71"/>
        <v>0</v>
      </c>
      <c r="EI98" s="6">
        <f t="shared" si="71"/>
        <v>0</v>
      </c>
      <c r="EJ98" s="6">
        <f t="shared" si="71"/>
        <v>0</v>
      </c>
      <c r="EK98" s="6">
        <f t="shared" si="71"/>
        <v>0</v>
      </c>
      <c r="EL98" s="6">
        <f t="shared" si="71"/>
        <v>0</v>
      </c>
      <c r="EM98" s="6">
        <f t="shared" si="71"/>
        <v>0</v>
      </c>
      <c r="EN98" s="6">
        <f t="shared" si="71"/>
        <v>0</v>
      </c>
      <c r="EO98" s="6">
        <f t="shared" si="71"/>
        <v>0</v>
      </c>
      <c r="EP98" s="6">
        <f t="shared" si="71"/>
        <v>0</v>
      </c>
      <c r="EQ98" s="6">
        <f t="shared" si="71"/>
        <v>0</v>
      </c>
      <c r="ER98" s="6">
        <f t="shared" si="71"/>
        <v>0</v>
      </c>
      <c r="ES98" s="6">
        <f t="shared" si="71"/>
        <v>0</v>
      </c>
      <c r="ET98" s="6">
        <f t="shared" si="71"/>
        <v>0</v>
      </c>
      <c r="EU98" s="6">
        <f t="shared" si="71"/>
        <v>0</v>
      </c>
      <c r="EV98" s="6">
        <f t="shared" si="71"/>
        <v>0</v>
      </c>
      <c r="EW98" s="6">
        <f t="shared" si="71"/>
        <v>0</v>
      </c>
      <c r="EX98" s="6">
        <f t="shared" ca="1" si="71"/>
        <v>23.997498962872712</v>
      </c>
      <c r="EY98" s="6">
        <f t="shared" ca="1" si="71"/>
        <v>0</v>
      </c>
      <c r="EZ98" s="6">
        <f t="shared" ca="1" si="71"/>
        <v>0</v>
      </c>
      <c r="FA98" s="6">
        <f t="shared" ca="1" si="71"/>
        <v>0</v>
      </c>
      <c r="FB98" s="6">
        <f t="shared" ca="1" si="71"/>
        <v>0</v>
      </c>
      <c r="FD98" s="6">
        <f t="shared" ref="FD98:FF98" si="72">AVERAGE(FD43:FD95)</f>
        <v>0</v>
      </c>
      <c r="FE98" s="6">
        <f t="shared" si="72"/>
        <v>0</v>
      </c>
      <c r="FF98" s="6">
        <f t="shared" si="72"/>
        <v>0</v>
      </c>
      <c r="FG98" s="6">
        <f>AVERAGE(FG43:FG95)</f>
        <v>0</v>
      </c>
      <c r="FH98" s="6">
        <f t="shared" ref="FH98:HP98" si="73">AVERAGE(FH43:FH95)</f>
        <v>0</v>
      </c>
      <c r="FI98" s="6">
        <f t="shared" si="73"/>
        <v>0</v>
      </c>
      <c r="FJ98" s="6">
        <f t="shared" si="73"/>
        <v>0</v>
      </c>
      <c r="FK98" s="6">
        <f t="shared" si="73"/>
        <v>0</v>
      </c>
      <c r="FL98" s="6">
        <f t="shared" si="73"/>
        <v>0</v>
      </c>
      <c r="FM98" s="6">
        <f t="shared" si="73"/>
        <v>0</v>
      </c>
      <c r="FN98" s="6">
        <f t="shared" si="73"/>
        <v>0</v>
      </c>
      <c r="FO98" s="6">
        <f t="shared" si="73"/>
        <v>0</v>
      </c>
      <c r="FP98" s="6">
        <f t="shared" si="73"/>
        <v>0</v>
      </c>
      <c r="FQ98" s="6">
        <f t="shared" si="73"/>
        <v>0</v>
      </c>
      <c r="FR98" s="6">
        <f t="shared" si="73"/>
        <v>0</v>
      </c>
      <c r="FS98" s="6">
        <f t="shared" si="73"/>
        <v>0</v>
      </c>
      <c r="FT98" s="6">
        <f t="shared" si="73"/>
        <v>0</v>
      </c>
      <c r="FU98" s="6">
        <f t="shared" si="73"/>
        <v>0</v>
      </c>
      <c r="FV98" s="6">
        <f t="shared" si="73"/>
        <v>0</v>
      </c>
      <c r="FW98" s="6">
        <f t="shared" si="73"/>
        <v>0</v>
      </c>
      <c r="FX98" s="6">
        <f t="shared" si="73"/>
        <v>0</v>
      </c>
      <c r="FY98" s="6">
        <f t="shared" si="73"/>
        <v>0</v>
      </c>
      <c r="FZ98" s="6">
        <f t="shared" si="73"/>
        <v>0</v>
      </c>
      <c r="GA98" s="6">
        <f t="shared" si="73"/>
        <v>0</v>
      </c>
      <c r="GB98" s="6">
        <f t="shared" si="73"/>
        <v>0</v>
      </c>
      <c r="GC98" s="6">
        <f t="shared" si="73"/>
        <v>0</v>
      </c>
      <c r="GD98" s="6">
        <f t="shared" si="73"/>
        <v>0</v>
      </c>
      <c r="GE98" s="6">
        <f t="shared" si="73"/>
        <v>0</v>
      </c>
      <c r="GF98" s="6">
        <f t="shared" si="73"/>
        <v>0</v>
      </c>
      <c r="GG98" s="6">
        <f t="shared" si="73"/>
        <v>0</v>
      </c>
      <c r="GH98" s="6">
        <f t="shared" si="73"/>
        <v>0</v>
      </c>
      <c r="GI98" s="6">
        <f t="shared" si="73"/>
        <v>0</v>
      </c>
      <c r="GJ98" s="6">
        <f t="shared" si="73"/>
        <v>0</v>
      </c>
      <c r="GK98" s="6">
        <f t="shared" si="73"/>
        <v>0</v>
      </c>
      <c r="GL98" s="6">
        <f t="shared" si="73"/>
        <v>0</v>
      </c>
      <c r="GM98" s="6">
        <f t="shared" si="73"/>
        <v>0</v>
      </c>
      <c r="GN98" s="6">
        <f t="shared" si="73"/>
        <v>0</v>
      </c>
      <c r="GO98" s="6">
        <f t="shared" si="73"/>
        <v>0</v>
      </c>
      <c r="GP98" s="6">
        <f t="shared" si="73"/>
        <v>0</v>
      </c>
      <c r="GQ98" s="6">
        <f t="shared" si="73"/>
        <v>0</v>
      </c>
      <c r="GR98" s="6">
        <f t="shared" si="73"/>
        <v>0</v>
      </c>
      <c r="GS98" s="6">
        <f t="shared" si="73"/>
        <v>0</v>
      </c>
      <c r="GT98" s="6">
        <f t="shared" si="73"/>
        <v>0</v>
      </c>
      <c r="GU98" s="6">
        <f t="shared" si="73"/>
        <v>0</v>
      </c>
      <c r="GV98" s="6">
        <f t="shared" si="73"/>
        <v>0</v>
      </c>
      <c r="GW98" s="6">
        <f t="shared" si="73"/>
        <v>0</v>
      </c>
      <c r="GX98" s="6">
        <f t="shared" si="73"/>
        <v>0</v>
      </c>
      <c r="GY98" s="6">
        <f t="shared" si="73"/>
        <v>0</v>
      </c>
      <c r="GZ98" s="6">
        <f t="shared" si="73"/>
        <v>0</v>
      </c>
      <c r="HA98" s="6">
        <f t="shared" si="73"/>
        <v>0</v>
      </c>
      <c r="HB98" s="6">
        <f t="shared" si="73"/>
        <v>0</v>
      </c>
      <c r="HC98" s="6">
        <f t="shared" si="73"/>
        <v>0</v>
      </c>
      <c r="HD98" s="6">
        <f t="shared" si="73"/>
        <v>0</v>
      </c>
      <c r="HE98" s="6">
        <f t="shared" si="73"/>
        <v>0</v>
      </c>
      <c r="HF98" s="6">
        <f t="shared" si="73"/>
        <v>0</v>
      </c>
      <c r="HG98" s="6">
        <f t="shared" si="73"/>
        <v>0</v>
      </c>
      <c r="HH98" s="6">
        <f t="shared" si="73"/>
        <v>0</v>
      </c>
      <c r="HI98" s="6">
        <f t="shared" si="73"/>
        <v>0</v>
      </c>
      <c r="HJ98" s="6">
        <f t="shared" si="73"/>
        <v>0</v>
      </c>
      <c r="HK98" s="6">
        <f t="shared" si="73"/>
        <v>0</v>
      </c>
      <c r="HL98" s="6">
        <f t="shared" ca="1" si="73"/>
        <v>0</v>
      </c>
      <c r="HM98" s="6">
        <f t="shared" ca="1" si="73"/>
        <v>0</v>
      </c>
      <c r="HN98" s="6">
        <f t="shared" ca="1" si="73"/>
        <v>0</v>
      </c>
      <c r="HO98" s="6">
        <f t="shared" ca="1" si="73"/>
        <v>0</v>
      </c>
      <c r="HP98" s="6">
        <f t="shared" ca="1" si="73"/>
        <v>0</v>
      </c>
      <c r="HR98" s="6">
        <f t="shared" ref="HR98:HT98" ca="1" si="74">AVERAGE(HR43:HR95)</f>
        <v>20.634792101833224</v>
      </c>
      <c r="HS98" s="6">
        <f t="shared" si="74"/>
        <v>0</v>
      </c>
      <c r="HT98" s="6">
        <f t="shared" si="74"/>
        <v>0</v>
      </c>
      <c r="HU98" s="6">
        <f>AVERAGE(HU43:HU95)</f>
        <v>0</v>
      </c>
      <c r="HV98" s="6">
        <f t="shared" ref="HV98:KD98" si="75">AVERAGE(HV43:HV95)</f>
        <v>0</v>
      </c>
      <c r="HW98" s="6">
        <f t="shared" si="75"/>
        <v>0</v>
      </c>
      <c r="HX98" s="6">
        <f t="shared" si="75"/>
        <v>0</v>
      </c>
      <c r="HY98" s="6">
        <f t="shared" si="75"/>
        <v>0</v>
      </c>
      <c r="HZ98" s="6">
        <f t="shared" si="75"/>
        <v>0</v>
      </c>
      <c r="IA98" s="6">
        <f t="shared" si="75"/>
        <v>0</v>
      </c>
      <c r="IB98" s="6">
        <f t="shared" si="75"/>
        <v>0</v>
      </c>
      <c r="IC98" s="6">
        <f t="shared" si="75"/>
        <v>0</v>
      </c>
      <c r="ID98" s="6">
        <f t="shared" si="75"/>
        <v>0</v>
      </c>
      <c r="IE98" s="6">
        <f t="shared" si="75"/>
        <v>0</v>
      </c>
      <c r="IF98" s="6">
        <f t="shared" si="75"/>
        <v>0</v>
      </c>
      <c r="IG98" s="6">
        <f t="shared" si="75"/>
        <v>0</v>
      </c>
      <c r="IH98" s="6">
        <f t="shared" si="75"/>
        <v>0</v>
      </c>
      <c r="II98" s="6">
        <f t="shared" si="75"/>
        <v>0</v>
      </c>
      <c r="IJ98" s="6">
        <f t="shared" si="75"/>
        <v>0</v>
      </c>
      <c r="IK98" s="6">
        <f t="shared" si="75"/>
        <v>0</v>
      </c>
      <c r="IL98" s="6">
        <f t="shared" si="75"/>
        <v>0</v>
      </c>
      <c r="IM98" s="6">
        <f t="shared" si="75"/>
        <v>0</v>
      </c>
      <c r="IN98" s="6">
        <f t="shared" si="75"/>
        <v>0</v>
      </c>
      <c r="IO98" s="6">
        <f t="shared" si="75"/>
        <v>0</v>
      </c>
      <c r="IP98" s="6">
        <f t="shared" si="75"/>
        <v>0</v>
      </c>
      <c r="IQ98" s="6">
        <f t="shared" si="75"/>
        <v>0</v>
      </c>
      <c r="IR98" s="6">
        <f t="shared" si="75"/>
        <v>0</v>
      </c>
      <c r="IS98" s="6">
        <f t="shared" si="75"/>
        <v>0</v>
      </c>
      <c r="IT98" s="6">
        <f t="shared" si="75"/>
        <v>0</v>
      </c>
      <c r="IU98" s="6">
        <f t="shared" si="75"/>
        <v>0</v>
      </c>
      <c r="IV98" s="6">
        <f t="shared" si="75"/>
        <v>0</v>
      </c>
      <c r="IW98" s="6">
        <f t="shared" si="75"/>
        <v>0</v>
      </c>
      <c r="IX98" s="6">
        <f t="shared" si="75"/>
        <v>0</v>
      </c>
      <c r="IY98" s="6">
        <f t="shared" si="75"/>
        <v>0</v>
      </c>
      <c r="IZ98" s="6">
        <f t="shared" si="75"/>
        <v>0</v>
      </c>
      <c r="JA98" s="6">
        <f t="shared" si="75"/>
        <v>0</v>
      </c>
      <c r="JB98" s="6">
        <f t="shared" si="75"/>
        <v>0</v>
      </c>
      <c r="JC98" s="6">
        <f t="shared" si="75"/>
        <v>0</v>
      </c>
      <c r="JD98" s="6">
        <f t="shared" si="75"/>
        <v>0</v>
      </c>
      <c r="JE98" s="6">
        <f t="shared" si="75"/>
        <v>0</v>
      </c>
      <c r="JF98" s="6">
        <f t="shared" si="75"/>
        <v>0</v>
      </c>
      <c r="JG98" s="6">
        <f t="shared" si="75"/>
        <v>0</v>
      </c>
      <c r="JH98" s="6">
        <f t="shared" si="75"/>
        <v>0</v>
      </c>
      <c r="JI98" s="6">
        <f t="shared" si="75"/>
        <v>0</v>
      </c>
      <c r="JJ98" s="6">
        <f t="shared" si="75"/>
        <v>0</v>
      </c>
      <c r="JK98" s="6">
        <f t="shared" si="75"/>
        <v>0</v>
      </c>
      <c r="JL98" s="6">
        <f t="shared" si="75"/>
        <v>0</v>
      </c>
      <c r="JM98" s="6">
        <f t="shared" si="75"/>
        <v>0</v>
      </c>
      <c r="JN98" s="6">
        <f t="shared" si="75"/>
        <v>0</v>
      </c>
      <c r="JO98" s="6">
        <f t="shared" si="75"/>
        <v>0</v>
      </c>
      <c r="JP98" s="6">
        <f t="shared" si="75"/>
        <v>0</v>
      </c>
      <c r="JQ98" s="6">
        <f t="shared" si="75"/>
        <v>0</v>
      </c>
      <c r="JR98" s="6">
        <f t="shared" si="75"/>
        <v>0</v>
      </c>
      <c r="JS98" s="6">
        <f t="shared" si="75"/>
        <v>0</v>
      </c>
      <c r="JT98" s="6">
        <f t="shared" si="75"/>
        <v>0</v>
      </c>
      <c r="JU98" s="6">
        <f t="shared" si="75"/>
        <v>0</v>
      </c>
      <c r="JV98" s="6">
        <f t="shared" si="75"/>
        <v>0</v>
      </c>
      <c r="JW98" s="6">
        <f t="shared" si="75"/>
        <v>0</v>
      </c>
      <c r="JX98" s="6">
        <f t="shared" si="75"/>
        <v>0</v>
      </c>
      <c r="JY98" s="6">
        <f t="shared" si="75"/>
        <v>0</v>
      </c>
      <c r="JZ98" s="6">
        <f t="shared" ca="1" si="75"/>
        <v>20.634792101833224</v>
      </c>
      <c r="KA98" s="6">
        <f t="shared" ca="1" si="75"/>
        <v>0</v>
      </c>
      <c r="KB98" s="6">
        <f t="shared" ca="1" si="75"/>
        <v>0</v>
      </c>
      <c r="KC98" s="6">
        <f t="shared" ca="1" si="75"/>
        <v>0</v>
      </c>
      <c r="KD98" s="6">
        <f t="shared" ca="1" si="75"/>
        <v>0</v>
      </c>
      <c r="KF98" s="6">
        <f t="shared" ref="KF98:KH98" si="76">AVERAGE(KF43:KF95)</f>
        <v>0</v>
      </c>
      <c r="KG98" s="6">
        <f t="shared" si="76"/>
        <v>0</v>
      </c>
      <c r="KH98" s="6">
        <f t="shared" si="76"/>
        <v>0</v>
      </c>
      <c r="KI98" s="6">
        <f>AVERAGE(KI43:KI95)</f>
        <v>0</v>
      </c>
      <c r="KJ98" s="6">
        <f t="shared" ref="KJ98:MR98" si="77">AVERAGE(KJ43:KJ95)</f>
        <v>0</v>
      </c>
      <c r="KK98" s="6">
        <f t="shared" si="77"/>
        <v>0</v>
      </c>
      <c r="KL98" s="6">
        <f t="shared" si="77"/>
        <v>0</v>
      </c>
      <c r="KM98" s="6">
        <f t="shared" si="77"/>
        <v>0</v>
      </c>
      <c r="KN98" s="6">
        <f t="shared" si="77"/>
        <v>0</v>
      </c>
      <c r="KO98" s="6">
        <f t="shared" si="77"/>
        <v>0</v>
      </c>
      <c r="KP98" s="6">
        <f t="shared" si="77"/>
        <v>0</v>
      </c>
      <c r="KQ98" s="6">
        <f t="shared" si="77"/>
        <v>0</v>
      </c>
      <c r="KR98" s="6">
        <f t="shared" si="77"/>
        <v>0</v>
      </c>
      <c r="KS98" s="6">
        <f t="shared" si="77"/>
        <v>0</v>
      </c>
      <c r="KT98" s="6">
        <f t="shared" si="77"/>
        <v>0</v>
      </c>
      <c r="KU98" s="6">
        <f t="shared" si="77"/>
        <v>0</v>
      </c>
      <c r="KV98" s="6">
        <f t="shared" si="77"/>
        <v>0</v>
      </c>
      <c r="KW98" s="6">
        <f t="shared" si="77"/>
        <v>0</v>
      </c>
      <c r="KX98" s="6">
        <f t="shared" si="77"/>
        <v>0</v>
      </c>
      <c r="KY98" s="6">
        <f t="shared" si="77"/>
        <v>0</v>
      </c>
      <c r="KZ98" s="6">
        <f t="shared" si="77"/>
        <v>0</v>
      </c>
      <c r="LA98" s="6">
        <f t="shared" si="77"/>
        <v>0</v>
      </c>
      <c r="LB98" s="6">
        <f t="shared" si="77"/>
        <v>0</v>
      </c>
      <c r="LC98" s="6">
        <f t="shared" si="77"/>
        <v>0</v>
      </c>
      <c r="LD98" s="6">
        <f t="shared" si="77"/>
        <v>0</v>
      </c>
      <c r="LE98" s="6">
        <f t="shared" si="77"/>
        <v>0</v>
      </c>
      <c r="LF98" s="6">
        <f t="shared" si="77"/>
        <v>0</v>
      </c>
      <c r="LG98" s="6">
        <f t="shared" si="77"/>
        <v>0</v>
      </c>
      <c r="LH98" s="6">
        <f t="shared" si="77"/>
        <v>0</v>
      </c>
      <c r="LI98" s="6">
        <f t="shared" si="77"/>
        <v>0</v>
      </c>
      <c r="LJ98" s="6">
        <f t="shared" si="77"/>
        <v>0</v>
      </c>
      <c r="LK98" s="6">
        <f t="shared" si="77"/>
        <v>0</v>
      </c>
      <c r="LL98" s="6">
        <f t="shared" si="77"/>
        <v>0</v>
      </c>
      <c r="LM98" s="6">
        <f t="shared" si="77"/>
        <v>0</v>
      </c>
      <c r="LN98" s="6">
        <f t="shared" si="77"/>
        <v>0</v>
      </c>
      <c r="LO98" s="6">
        <f t="shared" si="77"/>
        <v>0</v>
      </c>
      <c r="LP98" s="6">
        <f t="shared" si="77"/>
        <v>0</v>
      </c>
      <c r="LQ98" s="6">
        <f t="shared" si="77"/>
        <v>0</v>
      </c>
      <c r="LR98" s="6">
        <f t="shared" si="77"/>
        <v>0</v>
      </c>
      <c r="LS98" s="6">
        <f t="shared" si="77"/>
        <v>0</v>
      </c>
      <c r="LT98" s="6">
        <f t="shared" si="77"/>
        <v>0</v>
      </c>
      <c r="LU98" s="6">
        <f t="shared" si="77"/>
        <v>0</v>
      </c>
      <c r="LV98" s="6">
        <f t="shared" si="77"/>
        <v>0</v>
      </c>
      <c r="LW98" s="6">
        <f t="shared" si="77"/>
        <v>0</v>
      </c>
      <c r="LX98" s="6">
        <f t="shared" si="77"/>
        <v>0</v>
      </c>
      <c r="LY98" s="6">
        <f t="shared" si="77"/>
        <v>0</v>
      </c>
      <c r="LZ98" s="6">
        <f t="shared" si="77"/>
        <v>0</v>
      </c>
      <c r="MA98" s="6">
        <f t="shared" si="77"/>
        <v>0</v>
      </c>
      <c r="MB98" s="6">
        <f t="shared" si="77"/>
        <v>0</v>
      </c>
      <c r="MC98" s="6">
        <f t="shared" si="77"/>
        <v>0</v>
      </c>
      <c r="MD98" s="6">
        <f t="shared" si="77"/>
        <v>0</v>
      </c>
      <c r="ME98" s="6">
        <f t="shared" si="77"/>
        <v>0</v>
      </c>
      <c r="MF98" s="6">
        <f t="shared" si="77"/>
        <v>0</v>
      </c>
      <c r="MG98" s="6">
        <f t="shared" si="77"/>
        <v>0</v>
      </c>
      <c r="MH98" s="6">
        <f t="shared" si="77"/>
        <v>0</v>
      </c>
      <c r="MI98" s="6">
        <f t="shared" si="77"/>
        <v>0</v>
      </c>
      <c r="MJ98" s="6">
        <f t="shared" si="77"/>
        <v>0</v>
      </c>
      <c r="MK98" s="6">
        <f t="shared" si="77"/>
        <v>0</v>
      </c>
      <c r="ML98" s="6">
        <f t="shared" si="77"/>
        <v>0</v>
      </c>
      <c r="MM98" s="6">
        <f t="shared" si="77"/>
        <v>0</v>
      </c>
      <c r="MN98" s="6">
        <f t="shared" ca="1" si="77"/>
        <v>0</v>
      </c>
      <c r="MO98" s="6">
        <f t="shared" ca="1" si="77"/>
        <v>0</v>
      </c>
      <c r="MP98" s="6">
        <f t="shared" ca="1" si="77"/>
        <v>0</v>
      </c>
      <c r="MQ98" s="6">
        <f t="shared" ca="1" si="77"/>
        <v>0</v>
      </c>
      <c r="MR98" s="6">
        <f t="shared" ca="1" si="77"/>
        <v>0</v>
      </c>
    </row>
    <row r="99" spans="1:356" x14ac:dyDescent="0.25">
      <c r="A99">
        <f>1</f>
        <v>1</v>
      </c>
      <c r="B99" s="85">
        <f t="shared" si="37"/>
        <v>43887</v>
      </c>
      <c r="C99" s="85">
        <f t="shared" si="25"/>
        <v>43885</v>
      </c>
      <c r="D99">
        <f t="shared" ca="1" si="26"/>
        <v>1</v>
      </c>
      <c r="E99" s="85">
        <f t="shared" si="27"/>
        <v>43862</v>
      </c>
      <c r="F99">
        <f t="shared" si="33"/>
        <v>9</v>
      </c>
      <c r="G99" s="85"/>
      <c r="O99" s="1"/>
    </row>
    <row r="100" spans="1:356" x14ac:dyDescent="0.25">
      <c r="A100">
        <f>1</f>
        <v>1</v>
      </c>
      <c r="B100" s="85">
        <f t="shared" si="37"/>
        <v>43888</v>
      </c>
      <c r="C100" s="85">
        <f t="shared" si="25"/>
        <v>43885</v>
      </c>
      <c r="D100">
        <f t="shared" ca="1" si="26"/>
        <v>1</v>
      </c>
      <c r="E100" s="85">
        <f t="shared" si="27"/>
        <v>43862</v>
      </c>
      <c r="F100">
        <f t="shared" si="33"/>
        <v>9</v>
      </c>
      <c r="I100" s="1" t="s">
        <v>1247</v>
      </c>
      <c r="O100" s="1" t="s">
        <v>1241</v>
      </c>
      <c r="AA100" s="1" t="s">
        <v>1244</v>
      </c>
      <c r="AB100" s="1" t="s">
        <v>1299</v>
      </c>
      <c r="AC100" s="1" t="s">
        <v>1243</v>
      </c>
      <c r="AE100" t="s">
        <v>1297</v>
      </c>
      <c r="AG100" t="s">
        <v>1258</v>
      </c>
      <c r="AH100" t="s">
        <v>1259</v>
      </c>
    </row>
    <row r="101" spans="1:356" x14ac:dyDescent="0.25">
      <c r="A101">
        <f>1</f>
        <v>1</v>
      </c>
      <c r="B101" s="85">
        <f t="shared" si="37"/>
        <v>43889</v>
      </c>
      <c r="C101" s="85">
        <f t="shared" si="25"/>
        <v>43885</v>
      </c>
      <c r="D101">
        <f t="shared" ca="1" si="26"/>
        <v>1</v>
      </c>
      <c r="E101" s="85">
        <f t="shared" si="27"/>
        <v>43862</v>
      </c>
      <c r="F101">
        <f t="shared" si="33"/>
        <v>9</v>
      </c>
      <c r="L101" t="s">
        <v>947</v>
      </c>
      <c r="M101" t="s">
        <v>815</v>
      </c>
      <c r="N101">
        <v>1</v>
      </c>
      <c r="O101" s="6">
        <f t="array" aca="1" ref="O101" ca="1">SUM(INDEX(Demand_Activity_Weekly_Summary,0,$N101)*O$43:O$95)</f>
        <v>1940.8571977362626</v>
      </c>
      <c r="P101" s="6">
        <f t="array" aca="1" ref="P101" ca="1">SUM(INDEX(Demand_Activity_Weekly_Summary,0,$N101)*P$43:P$95)</f>
        <v>1552.6857581890101</v>
      </c>
      <c r="Q101" s="6">
        <f t="array" aca="1" ref="Q101" ca="1">SUM(INDEX(Demand_Activity_Weekly_Summary,0,$N101)*Q$43:Q$95)</f>
        <v>1707.9543340079113</v>
      </c>
      <c r="R101" s="6">
        <f t="array" aca="1" ref="R101" ca="1">SUM(INDEX(Demand_Activity_Weekly_Summary,0,$N101)*R$43:R$95)</f>
        <v>1707.954334007911</v>
      </c>
      <c r="S101" s="6">
        <f t="array" aca="1" ref="S101" ca="1">SUM(INDEX(Demand_Activity_Weekly_Summary,0,$N101)*S$43:S$95)</f>
        <v>1630.3200460984606</v>
      </c>
      <c r="T101" s="6">
        <f t="array" aca="1" ref="T101" ca="1">SUM(INDEX(Demand_Activity_Weekly_Summary,0,$N101)*T$43:T$95)</f>
        <v>1707.9543340079113</v>
      </c>
      <c r="U101" s="6">
        <f t="array" aca="1" ref="U101" ca="1">SUM(INDEX(Demand_Activity_Weekly_Summary,0,$N101)*U$43:U$95)</f>
        <v>1785.5886219173615</v>
      </c>
      <c r="V101" s="6">
        <f t="array" aca="1" ref="V101" ca="1">SUM(INDEX(Demand_Activity_Weekly_Summary,0,$N101)*V$43:V$95)</f>
        <v>1552.6857581890101</v>
      </c>
      <c r="W101" s="6">
        <f t="array" aca="1" ref="W101" ca="1">SUM(INDEX(Demand_Activity_Weekly_Summary,0,$N101)*W$43:W$95)</f>
        <v>1785.5886219173617</v>
      </c>
      <c r="X101" s="6">
        <f t="array" aca="1" ref="X101" ca="1">SUM(INDEX(Demand_Activity_Weekly_Summary,0,$N101)*X$43:X$95)</f>
        <v>1707.954334007911</v>
      </c>
      <c r="Y101" s="6">
        <f t="array" aca="1" ref="Y101" ca="1">SUM(INDEX(Demand_Activity_Weekly_Summary,0,$N101)*Y$43:Y$95)</f>
        <v>1630.3200460984606</v>
      </c>
      <c r="Z101" s="6">
        <f t="array" aca="1" ref="Z101" ca="1">SUM(INDEX(Demand_Activity_Weekly_Summary,0,$N101)*Z$43:Z$95)</f>
        <v>1863.2229098268119</v>
      </c>
      <c r="AA101" s="6" t="str">
        <f>IF($J$104="","",INDEX($CJ$43:$CN$98,$J$104,$N101))</f>
        <v/>
      </c>
      <c r="AB101" s="6" t="str">
        <f>IF($J$105="","",IF($J$105&lt;=12,INDEX(Demand_Activity_Monthly,$N101,$J$105),AVERAGE(O101:Z101)))</f>
        <v/>
      </c>
      <c r="AC101" s="6">
        <f t="shared" ref="AC101:AC115" ca="1" si="78">SUM(O101:Z101)</f>
        <v>20573.086296004381</v>
      </c>
      <c r="AD101" s="6"/>
      <c r="AE101" s="6" t="s">
        <v>1255</v>
      </c>
      <c r="AF101" s="6">
        <f t="array" aca="1" ref="AF101" ca="1">MAX(Demand_Activity_Weekly_Summary+WLBasic_Activity_Weekly_Summary+WLFlow_Activity_Weekly_Summary)</f>
        <v>388.17143954725253</v>
      </c>
      <c r="AG101" s="6">
        <f ca="1">10^LEN(INT(AF101))/20</f>
        <v>50</v>
      </c>
      <c r="AH101" s="6">
        <f ca="1">MROUND(AF101,AG101)+IF(MROUND(AF101,AG101)&lt;AF101,AG101,0)</f>
        <v>400</v>
      </c>
      <c r="AI101" s="112"/>
      <c r="AL101" s="112"/>
      <c r="AN101" s="112"/>
      <c r="AP101" s="112"/>
    </row>
    <row r="102" spans="1:356" x14ac:dyDescent="0.25">
      <c r="A102">
        <f>1</f>
        <v>1</v>
      </c>
      <c r="B102" s="85">
        <f t="shared" si="37"/>
        <v>43890</v>
      </c>
      <c r="C102" s="85">
        <f t="shared" si="25"/>
        <v>43885</v>
      </c>
      <c r="D102">
        <f t="shared" ca="1" si="26"/>
        <v>0</v>
      </c>
      <c r="E102" s="85">
        <f t="shared" si="27"/>
        <v>43862</v>
      </c>
      <c r="F102">
        <f t="shared" si="33"/>
        <v>9</v>
      </c>
      <c r="I102" t="s">
        <v>1242</v>
      </c>
      <c r="J102">
        <f ca="1">Aggregate_Process_Select</f>
        <v>0</v>
      </c>
      <c r="M102" t="s">
        <v>841</v>
      </c>
      <c r="N102">
        <v>2</v>
      </c>
      <c r="O102" s="6">
        <f t="array" aca="1" ref="O102" ca="1">SUM(INDEX(Demand_Activity_Weekly_Summary,0,$N102)*O$43:O$95)</f>
        <v>0</v>
      </c>
      <c r="P102" s="6">
        <f t="array" aca="1" ref="P102" ca="1">SUM(INDEX(Demand_Activity_Weekly_Summary,0,$N102)*P$43:P$95)</f>
        <v>0</v>
      </c>
      <c r="Q102" s="6">
        <f t="array" aca="1" ref="Q102" ca="1">SUM(INDEX(Demand_Activity_Weekly_Summary,0,$N102)*Q$43:Q$95)</f>
        <v>0</v>
      </c>
      <c r="R102" s="6">
        <f t="array" aca="1" ref="R102" ca="1">SUM(INDEX(Demand_Activity_Weekly_Summary,0,$N102)*R$43:R$95)</f>
        <v>0</v>
      </c>
      <c r="S102" s="6">
        <f t="array" aca="1" ref="S102" ca="1">SUM(INDEX(Demand_Activity_Weekly_Summary,0,$N102)*S$43:S$95)</f>
        <v>0</v>
      </c>
      <c r="T102" s="6">
        <f t="array" aca="1" ref="T102" ca="1">SUM(INDEX(Demand_Activity_Weekly_Summary,0,$N102)*T$43:T$95)</f>
        <v>0</v>
      </c>
      <c r="U102" s="6">
        <f t="array" aca="1" ref="U102" ca="1">SUM(INDEX(Demand_Activity_Weekly_Summary,0,$N102)*U$43:U$95)</f>
        <v>0</v>
      </c>
      <c r="V102" s="6">
        <f t="array" aca="1" ref="V102" ca="1">SUM(INDEX(Demand_Activity_Weekly_Summary,0,$N102)*V$43:V$95)</f>
        <v>0</v>
      </c>
      <c r="W102" s="6">
        <f t="array" aca="1" ref="W102" ca="1">SUM(INDEX(Demand_Activity_Weekly_Summary,0,$N102)*W$43:W$95)</f>
        <v>0</v>
      </c>
      <c r="X102" s="6">
        <f t="array" aca="1" ref="X102" ca="1">SUM(INDEX(Demand_Activity_Weekly_Summary,0,$N102)*X$43:X$95)</f>
        <v>0</v>
      </c>
      <c r="Y102" s="6">
        <f t="array" aca="1" ref="Y102" ca="1">SUM(INDEX(Demand_Activity_Weekly_Summary,0,$N102)*Y$43:Y$95)</f>
        <v>0</v>
      </c>
      <c r="Z102" s="6">
        <f t="array" aca="1" ref="Z102" ca="1">SUM(INDEX(Demand_Activity_Weekly_Summary,0,$N102)*Z$43:Z$95)</f>
        <v>0</v>
      </c>
      <c r="AA102" s="6" t="str">
        <f t="shared" ref="AA102:AA105" si="79">IF($J$104="","",INDEX($CJ$43:$CN$98,$J$104,$N102))</f>
        <v/>
      </c>
      <c r="AB102" s="6" t="str">
        <f>IF($J$105="","",IF($J$105&lt;=12,INDEX(Demand_Activity_Monthly,$N102,$J$105),AVERAGE(O102:Z102)))</f>
        <v/>
      </c>
      <c r="AC102" s="6">
        <f t="shared" ca="1" si="78"/>
        <v>0</v>
      </c>
      <c r="AD102" s="6"/>
      <c r="AE102" s="6" t="s">
        <v>1256</v>
      </c>
      <c r="AF102" s="6">
        <f t="array" aca="1" ref="AF102" ca="1">MAX(Demand_Activity_Monthly+WLBasic_Activity_Monthly+WLFlow_Activity_Monthly)</f>
        <v>1940.8571977362626</v>
      </c>
      <c r="AG102" s="6">
        <f ca="1">10^LEN(INT(AF102))/20</f>
        <v>500</v>
      </c>
      <c r="AH102" s="6">
        <f ca="1">MROUND(AF102,AG102)+IF(MROUND(AF102,AG102)&lt;AF102,AG102,0)</f>
        <v>2000</v>
      </c>
    </row>
    <row r="103" spans="1:356" x14ac:dyDescent="0.25">
      <c r="A103">
        <f>1</f>
        <v>1</v>
      </c>
      <c r="B103" s="85">
        <f t="shared" si="37"/>
        <v>43891</v>
      </c>
      <c r="C103" s="85">
        <f t="shared" si="25"/>
        <v>43885</v>
      </c>
      <c r="D103">
        <f t="shared" ca="1" si="26"/>
        <v>0</v>
      </c>
      <c r="E103" s="85">
        <f t="shared" si="27"/>
        <v>43891</v>
      </c>
      <c r="F103">
        <f t="shared" si="33"/>
        <v>9</v>
      </c>
      <c r="I103" t="s">
        <v>1248</v>
      </c>
      <c r="J103">
        <f>'Dependency (hide)'!G17</f>
        <v>1</v>
      </c>
      <c r="M103" t="s">
        <v>991</v>
      </c>
      <c r="N103">
        <v>3</v>
      </c>
      <c r="O103" s="6">
        <f t="array" aca="1" ref="O103" ca="1">SUM(INDEX(Demand_Activity_Weekly_Summary,0,$N103)*O$43:O$95)</f>
        <v>0</v>
      </c>
      <c r="P103" s="6">
        <f t="array" aca="1" ref="P103" ca="1">SUM(INDEX(Demand_Activity_Weekly_Summary,0,$N103)*P$43:P$95)</f>
        <v>0</v>
      </c>
      <c r="Q103" s="6">
        <f t="array" aca="1" ref="Q103" ca="1">SUM(INDEX(Demand_Activity_Weekly_Summary,0,$N103)*Q$43:Q$95)</f>
        <v>0</v>
      </c>
      <c r="R103" s="6">
        <f t="array" aca="1" ref="R103" ca="1">SUM(INDEX(Demand_Activity_Weekly_Summary,0,$N103)*R$43:R$95)</f>
        <v>0</v>
      </c>
      <c r="S103" s="6">
        <f t="array" aca="1" ref="S103" ca="1">SUM(INDEX(Demand_Activity_Weekly_Summary,0,$N103)*S$43:S$95)</f>
        <v>0</v>
      </c>
      <c r="T103" s="6">
        <f t="array" aca="1" ref="T103" ca="1">SUM(INDEX(Demand_Activity_Weekly_Summary,0,$N103)*T$43:T$95)</f>
        <v>0</v>
      </c>
      <c r="U103" s="6">
        <f t="array" aca="1" ref="U103" ca="1">SUM(INDEX(Demand_Activity_Weekly_Summary,0,$N103)*U$43:U$95)</f>
        <v>0</v>
      </c>
      <c r="V103" s="6">
        <f t="array" aca="1" ref="V103" ca="1">SUM(INDEX(Demand_Activity_Weekly_Summary,0,$N103)*V$43:V$95)</f>
        <v>0</v>
      </c>
      <c r="W103" s="6">
        <f t="array" aca="1" ref="W103" ca="1">SUM(INDEX(Demand_Activity_Weekly_Summary,0,$N103)*W$43:W$95)</f>
        <v>0</v>
      </c>
      <c r="X103" s="6">
        <f t="array" aca="1" ref="X103" ca="1">SUM(INDEX(Demand_Activity_Weekly_Summary,0,$N103)*X$43:X$95)</f>
        <v>0</v>
      </c>
      <c r="Y103" s="6">
        <f t="array" aca="1" ref="Y103" ca="1">SUM(INDEX(Demand_Activity_Weekly_Summary,0,$N103)*Y$43:Y$95)</f>
        <v>0</v>
      </c>
      <c r="Z103" s="6">
        <f t="array" aca="1" ref="Z103" ca="1">SUM(INDEX(Demand_Activity_Weekly_Summary,0,$N103)*Z$43:Z$95)</f>
        <v>0</v>
      </c>
      <c r="AA103" s="6" t="str">
        <f t="shared" si="79"/>
        <v/>
      </c>
      <c r="AB103" s="6" t="str">
        <f>IF($J$105="","",IF($J$105&lt;=12,INDEX(Demand_Activity_Monthly,$N103,$J$105),AVERAGE(O103:Z103)))</f>
        <v/>
      </c>
      <c r="AC103" s="6">
        <f t="shared" ca="1" si="78"/>
        <v>0</v>
      </c>
      <c r="AD103" s="6"/>
      <c r="AE103" s="6" t="s">
        <v>1257</v>
      </c>
      <c r="AF103" s="6">
        <f t="array" aca="1" ref="AF103" ca="1">MAX(Demand_Activity_Yearly+WLBasic_Activity_Yearly+WLFlow_Activity_Yearly)</f>
        <v>20573.086296004381</v>
      </c>
      <c r="AG103" s="6">
        <f ca="1">10^LEN(INT(AF103))/20</f>
        <v>5000</v>
      </c>
      <c r="AH103" s="6">
        <f ca="1">MROUND(AF103,AG103)+IF(MROUND(AF103,AG103)&lt;AF103,AG103,0)</f>
        <v>25000</v>
      </c>
    </row>
    <row r="104" spans="1:356" x14ac:dyDescent="0.25">
      <c r="A104">
        <f>1</f>
        <v>1</v>
      </c>
      <c r="B104" s="85">
        <f t="shared" si="37"/>
        <v>43892</v>
      </c>
      <c r="C104" s="85">
        <f t="shared" si="25"/>
        <v>43892</v>
      </c>
      <c r="D104">
        <f t="shared" ca="1" si="26"/>
        <v>1</v>
      </c>
      <c r="E104" s="85">
        <f t="shared" si="27"/>
        <v>43891</v>
      </c>
      <c r="F104">
        <f t="shared" si="33"/>
        <v>10</v>
      </c>
      <c r="I104" t="s">
        <v>1249</v>
      </c>
      <c r="J104" t="str">
        <f>IF('Dependency (hide)'!$G$19=1,'Dependency (hide)'!$G$20,"")</f>
        <v/>
      </c>
      <c r="M104" t="s">
        <v>842</v>
      </c>
      <c r="N104">
        <v>4</v>
      </c>
      <c r="O104" s="6">
        <f t="array" aca="1" ref="O104" ca="1">SUM(INDEX(Demand_Activity_Weekly_Summary,0,$N104)*O$43:O$95)</f>
        <v>0</v>
      </c>
      <c r="P104" s="6">
        <f t="array" aca="1" ref="P104" ca="1">SUM(INDEX(Demand_Activity_Weekly_Summary,0,$N104)*P$43:P$95)</f>
        <v>0</v>
      </c>
      <c r="Q104" s="6">
        <f t="array" aca="1" ref="Q104" ca="1">SUM(INDEX(Demand_Activity_Weekly_Summary,0,$N104)*Q$43:Q$95)</f>
        <v>0</v>
      </c>
      <c r="R104" s="6">
        <f t="array" aca="1" ref="R104" ca="1">SUM(INDEX(Demand_Activity_Weekly_Summary,0,$N104)*R$43:R$95)</f>
        <v>0</v>
      </c>
      <c r="S104" s="6">
        <f t="array" aca="1" ref="S104" ca="1">SUM(INDEX(Demand_Activity_Weekly_Summary,0,$N104)*S$43:S$95)</f>
        <v>0</v>
      </c>
      <c r="T104" s="6">
        <f t="array" aca="1" ref="T104" ca="1">SUM(INDEX(Demand_Activity_Weekly_Summary,0,$N104)*T$43:T$95)</f>
        <v>0</v>
      </c>
      <c r="U104" s="6">
        <f t="array" aca="1" ref="U104" ca="1">SUM(INDEX(Demand_Activity_Weekly_Summary,0,$N104)*U$43:U$95)</f>
        <v>0</v>
      </c>
      <c r="V104" s="6">
        <f t="array" aca="1" ref="V104" ca="1">SUM(INDEX(Demand_Activity_Weekly_Summary,0,$N104)*V$43:V$95)</f>
        <v>0</v>
      </c>
      <c r="W104" s="6">
        <f t="array" aca="1" ref="W104" ca="1">SUM(INDEX(Demand_Activity_Weekly_Summary,0,$N104)*W$43:W$95)</f>
        <v>0</v>
      </c>
      <c r="X104" s="6">
        <f t="array" aca="1" ref="X104" ca="1">SUM(INDEX(Demand_Activity_Weekly_Summary,0,$N104)*X$43:X$95)</f>
        <v>0</v>
      </c>
      <c r="Y104" s="6">
        <f t="array" aca="1" ref="Y104" ca="1">SUM(INDEX(Demand_Activity_Weekly_Summary,0,$N104)*Y$43:Y$95)</f>
        <v>0</v>
      </c>
      <c r="Z104" s="6">
        <f t="array" aca="1" ref="Z104" ca="1">SUM(INDEX(Demand_Activity_Weekly_Summary,0,$N104)*Z$43:Z$95)</f>
        <v>0</v>
      </c>
      <c r="AA104" s="6" t="str">
        <f t="shared" si="79"/>
        <v/>
      </c>
      <c r="AB104" s="6" t="str">
        <f>IF($J$105="","",IF($J$105&lt;=12,INDEX(Demand_Activity_Monthly,$N104,$J$105),AVERAGE(O104:Z104)))</f>
        <v/>
      </c>
      <c r="AC104" s="6">
        <f t="shared" ca="1" si="78"/>
        <v>0</v>
      </c>
      <c r="AD104" s="6"/>
      <c r="AE104" s="6"/>
      <c r="AF104" s="6"/>
      <c r="AG104" s="6"/>
      <c r="AH104" s="6"/>
    </row>
    <row r="105" spans="1:356" x14ac:dyDescent="0.25">
      <c r="A105">
        <f>1</f>
        <v>1</v>
      </c>
      <c r="B105" s="85">
        <f t="shared" si="37"/>
        <v>43893</v>
      </c>
      <c r="C105" s="85">
        <f t="shared" si="25"/>
        <v>43892</v>
      </c>
      <c r="D105">
        <f t="shared" ca="1" si="26"/>
        <v>1</v>
      </c>
      <c r="E105" s="85">
        <f t="shared" si="27"/>
        <v>43891</v>
      </c>
      <c r="F105">
        <f t="shared" si="33"/>
        <v>10</v>
      </c>
      <c r="I105" t="s">
        <v>1300</v>
      </c>
      <c r="J105" t="str">
        <f>IF('Dependency (hide)'!$G$19=2,'Dependency (hide)'!$G$20,"")</f>
        <v/>
      </c>
      <c r="M105" t="s">
        <v>839</v>
      </c>
      <c r="N105">
        <v>5</v>
      </c>
      <c r="O105" s="6">
        <f t="array" aca="1" ref="O105" ca="1">SUM(INDEX(Demand_Activity_Weekly_Summary,0,$N105)*O$43:O$95)</f>
        <v>0</v>
      </c>
      <c r="P105" s="6">
        <f t="array" aca="1" ref="P105" ca="1">SUM(INDEX(Demand_Activity_Weekly_Summary,0,$N105)*P$43:P$95)</f>
        <v>0</v>
      </c>
      <c r="Q105" s="6">
        <f t="array" aca="1" ref="Q105" ca="1">SUM(INDEX(Demand_Activity_Weekly_Summary,0,$N105)*Q$43:Q$95)</f>
        <v>0</v>
      </c>
      <c r="R105" s="6">
        <f t="array" aca="1" ref="R105" ca="1">SUM(INDEX(Demand_Activity_Weekly_Summary,0,$N105)*R$43:R$95)</f>
        <v>0</v>
      </c>
      <c r="S105" s="6">
        <f t="array" aca="1" ref="S105" ca="1">SUM(INDEX(Demand_Activity_Weekly_Summary,0,$N105)*S$43:S$95)</f>
        <v>0</v>
      </c>
      <c r="T105" s="6">
        <f t="array" aca="1" ref="T105" ca="1">SUM(INDEX(Demand_Activity_Weekly_Summary,0,$N105)*T$43:T$95)</f>
        <v>0</v>
      </c>
      <c r="U105" s="6">
        <f t="array" aca="1" ref="U105" ca="1">SUM(INDEX(Demand_Activity_Weekly_Summary,0,$N105)*U$43:U$95)</f>
        <v>0</v>
      </c>
      <c r="V105" s="6">
        <f t="array" aca="1" ref="V105" ca="1">SUM(INDEX(Demand_Activity_Weekly_Summary,0,$N105)*V$43:V$95)</f>
        <v>0</v>
      </c>
      <c r="W105" s="6">
        <f t="array" aca="1" ref="W105" ca="1">SUM(INDEX(Demand_Activity_Weekly_Summary,0,$N105)*W$43:W$95)</f>
        <v>0</v>
      </c>
      <c r="X105" s="6">
        <f t="array" aca="1" ref="X105" ca="1">SUM(INDEX(Demand_Activity_Weekly_Summary,0,$N105)*X$43:X$95)</f>
        <v>0</v>
      </c>
      <c r="Y105" s="6">
        <f t="array" aca="1" ref="Y105" ca="1">SUM(INDEX(Demand_Activity_Weekly_Summary,0,$N105)*Y$43:Y$95)</f>
        <v>0</v>
      </c>
      <c r="Z105" s="6">
        <f t="array" aca="1" ref="Z105" ca="1">SUM(INDEX(Demand_Activity_Weekly_Summary,0,$N105)*Z$43:Z$95)</f>
        <v>0</v>
      </c>
      <c r="AA105" s="6" t="str">
        <f t="shared" si="79"/>
        <v/>
      </c>
      <c r="AB105" s="6" t="str">
        <f>IF($J$105="","",IF($J$105&lt;=12,INDEX(Demand_Activity_Monthly,$N105,$J$105),AVERAGE(O105:Z105)))</f>
        <v/>
      </c>
      <c r="AC105" s="6">
        <f t="shared" ca="1" si="78"/>
        <v>0</v>
      </c>
      <c r="AD105" s="6"/>
      <c r="AE105" s="6"/>
      <c r="AF105" s="6"/>
      <c r="AG105" s="6"/>
      <c r="AH105" s="6"/>
    </row>
    <row r="106" spans="1:356" x14ac:dyDescent="0.25">
      <c r="A106">
        <f>1</f>
        <v>1</v>
      </c>
      <c r="B106" s="85">
        <f t="shared" si="37"/>
        <v>43894</v>
      </c>
      <c r="C106" s="85">
        <f t="shared" si="25"/>
        <v>43892</v>
      </c>
      <c r="D106">
        <f t="shared" ca="1" si="26"/>
        <v>1</v>
      </c>
      <c r="E106" s="85">
        <f t="shared" si="27"/>
        <v>43891</v>
      </c>
      <c r="F106">
        <f t="shared" si="33"/>
        <v>10</v>
      </c>
      <c r="I106" s="99"/>
      <c r="L106" t="s">
        <v>951</v>
      </c>
      <c r="M106" t="s">
        <v>815</v>
      </c>
      <c r="N106">
        <v>1</v>
      </c>
      <c r="O106" s="6">
        <f t="array" aca="1" ref="O106" ca="1">SUM(INDEX(Capacity_Activity_Weekly_Summary,0,$N101)*O$43:O$95)</f>
        <v>109.64705027256208</v>
      </c>
      <c r="P106" s="6">
        <f t="array" aca="1" ref="P106" ca="1">SUM(INDEX(Capacity_Activity_Weekly_Summary,0,$N101)*P$43:P$95)</f>
        <v>99.679136611420077</v>
      </c>
      <c r="Q106" s="6">
        <f t="array" aca="1" ref="Q106" ca="1">SUM(INDEX(Capacity_Activity_Weekly_Summary,0,$N101)*Q$43:Q$95)</f>
        <v>109.64705027256208</v>
      </c>
      <c r="R106" s="6">
        <f t="array" aca="1" ref="R106" ca="1">SUM(INDEX(Capacity_Activity_Weekly_Summary,0,$N101)*R$43:R$95)</f>
        <v>99.679136611420077</v>
      </c>
      <c r="S106" s="6">
        <f t="array" aca="1" ref="S106" ca="1">SUM(INDEX(Capacity_Activity_Weekly_Summary,0,$N101)*S$43:S$95)</f>
        <v>98.528992727442144</v>
      </c>
      <c r="T106" s="6">
        <f t="array" aca="1" ref="T106" ca="1">SUM(INDEX(Capacity_Activity_Weekly_Summary,0,$N101)*T$43:T$95)</f>
        <v>107.11673372781064</v>
      </c>
      <c r="U106" s="6">
        <f t="array" aca="1" ref="U106" ca="1">SUM(INDEX(Capacity_Activity_Weekly_Summary,0,$N101)*U$43:U$95)</f>
        <v>111.98567616998383</v>
      </c>
      <c r="V106" s="6">
        <f t="array" aca="1" ref="V106" ca="1">SUM(INDEX(Capacity_Activity_Weekly_Summary,0,$N101)*V$43:V$95)</f>
        <v>97.378848843464212</v>
      </c>
      <c r="W106" s="6">
        <f t="array" aca="1" ref="W106" ca="1">SUM(INDEX(Capacity_Activity_Weekly_Summary,0,$N101)*W$43:W$95)</f>
        <v>111.98567616998385</v>
      </c>
      <c r="X106" s="6">
        <f t="array" aca="1" ref="X106" ca="1">SUM(INDEX(Capacity_Activity_Weekly_Summary,0,$N101)*X$43:X$95)</f>
        <v>107.11673372781063</v>
      </c>
      <c r="Y106" s="6">
        <f t="array" aca="1" ref="Y106" ca="1">SUM(INDEX(Capacity_Activity_Weekly_Summary,0,$N101)*Y$43:Y$95)</f>
        <v>102.24779128563742</v>
      </c>
      <c r="Z106" s="6">
        <f t="array" aca="1" ref="Z106" ca="1">SUM(INDEX(Capacity_Activity_Weekly_Summary,0,$N101)*Z$43:Z$95)</f>
        <v>116.85461861215704</v>
      </c>
      <c r="AA106" s="6" t="str">
        <f>IF($J$104="","",INDEX($EX$43:$FB$98,$J$104,$N106))</f>
        <v/>
      </c>
      <c r="AB106" s="6" t="str">
        <f>IF($J$105="","",IF($J$105&lt;=12,INDEX(Capacity_Activity_Monthly,$N106,$J$105),AVERAGE(O106:Z106)))</f>
        <v/>
      </c>
      <c r="AC106" s="6">
        <f t="shared" ca="1" si="78"/>
        <v>1271.8674450322542</v>
      </c>
      <c r="AD106" s="6"/>
      <c r="AE106" s="6"/>
      <c r="AF106" s="6"/>
      <c r="AG106" s="6"/>
      <c r="AH106" s="6"/>
    </row>
    <row r="107" spans="1:356" x14ac:dyDescent="0.25">
      <c r="A107">
        <f>1</f>
        <v>1</v>
      </c>
      <c r="B107" s="85">
        <f t="shared" si="37"/>
        <v>43895</v>
      </c>
      <c r="C107" s="85">
        <f t="shared" ref="C107:C170" si="80">B107-WEEKDAY(B107,3)</f>
        <v>43892</v>
      </c>
      <c r="D107">
        <f t="shared" ref="D107:D170" ca="1" si="81">IF(WEEKDAY(B107,3)&gt;=5,0,IF(ISNA(MATCH(B107,OFFSET($A$6,$C$40,1,1,13),0))=FALSE,0,1))</f>
        <v>1</v>
      </c>
      <c r="E107" s="85">
        <f t="shared" ref="E107:E170" si="82">DATE(YEAR(B107),MONTH(B107),1)</f>
        <v>43891</v>
      </c>
      <c r="F107">
        <f t="shared" si="33"/>
        <v>10</v>
      </c>
      <c r="M107" t="s">
        <v>841</v>
      </c>
      <c r="N107">
        <v>2</v>
      </c>
      <c r="O107" s="6">
        <f t="array" aca="1" ref="O107" ca="1">SUM(INDEX(Capacity_Activity_Weekly_Summary,0,$N102)*O$43:O$95)</f>
        <v>0</v>
      </c>
      <c r="P107" s="6">
        <f t="array" aca="1" ref="P107" ca="1">SUM(INDEX(Capacity_Activity_Weekly_Summary,0,$N102)*P$43:P$95)</f>
        <v>0</v>
      </c>
      <c r="Q107" s="6">
        <f t="array" aca="1" ref="Q107" ca="1">SUM(INDEX(Capacity_Activity_Weekly_Summary,0,$N102)*Q$43:Q$95)</f>
        <v>0</v>
      </c>
      <c r="R107" s="6">
        <f t="array" aca="1" ref="R107" ca="1">SUM(INDEX(Capacity_Activity_Weekly_Summary,0,$N102)*R$43:R$95)</f>
        <v>0</v>
      </c>
      <c r="S107" s="6">
        <f t="array" aca="1" ref="S107" ca="1">SUM(INDEX(Capacity_Activity_Weekly_Summary,0,$N102)*S$43:S$95)</f>
        <v>0</v>
      </c>
      <c r="T107" s="6">
        <f t="array" aca="1" ref="T107" ca="1">SUM(INDEX(Capacity_Activity_Weekly_Summary,0,$N102)*T$43:T$95)</f>
        <v>0</v>
      </c>
      <c r="U107" s="6">
        <f t="array" aca="1" ref="U107" ca="1">SUM(INDEX(Capacity_Activity_Weekly_Summary,0,$N102)*U$43:U$95)</f>
        <v>0</v>
      </c>
      <c r="V107" s="6">
        <f t="array" aca="1" ref="V107" ca="1">SUM(INDEX(Capacity_Activity_Weekly_Summary,0,$N102)*V$43:V$95)</f>
        <v>0</v>
      </c>
      <c r="W107" s="6">
        <f t="array" aca="1" ref="W107" ca="1">SUM(INDEX(Capacity_Activity_Weekly_Summary,0,$N102)*W$43:W$95)</f>
        <v>0</v>
      </c>
      <c r="X107" s="6">
        <f t="array" aca="1" ref="X107" ca="1">SUM(INDEX(Capacity_Activity_Weekly_Summary,0,$N102)*X$43:X$95)</f>
        <v>0</v>
      </c>
      <c r="Y107" s="6">
        <f t="array" aca="1" ref="Y107" ca="1">SUM(INDEX(Capacity_Activity_Weekly_Summary,0,$N102)*Y$43:Y$95)</f>
        <v>0</v>
      </c>
      <c r="Z107" s="6">
        <f t="array" aca="1" ref="Z107" ca="1">SUM(INDEX(Capacity_Activity_Weekly_Summary,0,$N102)*Z$43:Z$95)</f>
        <v>0</v>
      </c>
      <c r="AA107" s="6" t="str">
        <f t="shared" ref="AA107:AA110" si="83">IF($J$104="","",INDEX($EX$43:$FB$98,$J$104,$N107))</f>
        <v/>
      </c>
      <c r="AB107" s="6" t="str">
        <f>IF($J$105="","",IF($J$105&lt;=12,INDEX(Capacity_Activity_Monthly,$N107,$J$105),AVERAGE(O107:Z107)))</f>
        <v/>
      </c>
      <c r="AC107" s="6">
        <f t="shared" ca="1" si="78"/>
        <v>0</v>
      </c>
      <c r="AD107" s="6"/>
      <c r="AE107" s="6"/>
      <c r="AF107" s="6"/>
      <c r="AG107" s="6"/>
      <c r="AH107" s="6"/>
    </row>
    <row r="108" spans="1:356" x14ac:dyDescent="0.25">
      <c r="A108">
        <f>1</f>
        <v>1</v>
      </c>
      <c r="B108" s="85">
        <f t="shared" si="37"/>
        <v>43896</v>
      </c>
      <c r="C108" s="85">
        <f t="shared" si="80"/>
        <v>43892</v>
      </c>
      <c r="D108">
        <f t="shared" ca="1" si="81"/>
        <v>1</v>
      </c>
      <c r="E108" s="85">
        <f t="shared" si="82"/>
        <v>43891</v>
      </c>
      <c r="F108">
        <f t="shared" ref="F108:F171" si="84">WEEKNUM(B108,21)</f>
        <v>10</v>
      </c>
      <c r="I108" s="99"/>
      <c r="M108" t="s">
        <v>991</v>
      </c>
      <c r="N108">
        <v>3</v>
      </c>
      <c r="O108" s="6">
        <f t="array" aca="1" ref="O108" ca="1">SUM(INDEX(Capacity_Activity_Weekly_Summary,0,$N103)*O$43:O$95)</f>
        <v>0</v>
      </c>
      <c r="P108" s="6">
        <f t="array" aca="1" ref="P108" ca="1">SUM(INDEX(Capacity_Activity_Weekly_Summary,0,$N103)*P$43:P$95)</f>
        <v>0</v>
      </c>
      <c r="Q108" s="6">
        <f t="array" aca="1" ref="Q108" ca="1">SUM(INDEX(Capacity_Activity_Weekly_Summary,0,$N103)*Q$43:Q$95)</f>
        <v>0</v>
      </c>
      <c r="R108" s="6">
        <f t="array" aca="1" ref="R108" ca="1">SUM(INDEX(Capacity_Activity_Weekly_Summary,0,$N103)*R$43:R$95)</f>
        <v>0</v>
      </c>
      <c r="S108" s="6">
        <f t="array" aca="1" ref="S108" ca="1">SUM(INDEX(Capacity_Activity_Weekly_Summary,0,$N103)*S$43:S$95)</f>
        <v>0</v>
      </c>
      <c r="T108" s="6">
        <f t="array" aca="1" ref="T108" ca="1">SUM(INDEX(Capacity_Activity_Weekly_Summary,0,$N103)*T$43:T$95)</f>
        <v>0</v>
      </c>
      <c r="U108" s="6">
        <f t="array" aca="1" ref="U108" ca="1">SUM(INDEX(Capacity_Activity_Weekly_Summary,0,$N103)*U$43:U$95)</f>
        <v>0</v>
      </c>
      <c r="V108" s="6">
        <f t="array" aca="1" ref="V108" ca="1">SUM(INDEX(Capacity_Activity_Weekly_Summary,0,$N103)*V$43:V$95)</f>
        <v>0</v>
      </c>
      <c r="W108" s="6">
        <f t="array" aca="1" ref="W108" ca="1">SUM(INDEX(Capacity_Activity_Weekly_Summary,0,$N103)*W$43:W$95)</f>
        <v>0</v>
      </c>
      <c r="X108" s="6">
        <f t="array" aca="1" ref="X108" ca="1">SUM(INDEX(Capacity_Activity_Weekly_Summary,0,$N103)*X$43:X$95)</f>
        <v>0</v>
      </c>
      <c r="Y108" s="6">
        <f t="array" aca="1" ref="Y108" ca="1">SUM(INDEX(Capacity_Activity_Weekly_Summary,0,$N103)*Y$43:Y$95)</f>
        <v>0</v>
      </c>
      <c r="Z108" s="6">
        <f t="array" aca="1" ref="Z108" ca="1">SUM(INDEX(Capacity_Activity_Weekly_Summary,0,$N103)*Z$43:Z$95)</f>
        <v>0</v>
      </c>
      <c r="AA108" s="6" t="str">
        <f t="shared" si="83"/>
        <v/>
      </c>
      <c r="AB108" s="6" t="str">
        <f>IF($J$105="","",IF($J$105&lt;=12,INDEX(Capacity_Activity_Monthly,$N108,$J$105),AVERAGE(O108:Z108)))</f>
        <v/>
      </c>
      <c r="AC108" s="6">
        <f t="shared" ca="1" si="78"/>
        <v>0</v>
      </c>
      <c r="AD108" s="6"/>
      <c r="AE108" s="6"/>
      <c r="AF108" s="6"/>
      <c r="AG108" s="6"/>
      <c r="AH108" s="6"/>
    </row>
    <row r="109" spans="1:356" x14ac:dyDescent="0.25">
      <c r="A109">
        <f>1</f>
        <v>1</v>
      </c>
      <c r="B109" s="85">
        <f t="shared" ref="B109:B172" si="85">B108+1</f>
        <v>43897</v>
      </c>
      <c r="C109" s="85">
        <f t="shared" si="80"/>
        <v>43892</v>
      </c>
      <c r="D109">
        <f t="shared" ca="1" si="81"/>
        <v>0</v>
      </c>
      <c r="E109" s="85">
        <f t="shared" si="82"/>
        <v>43891</v>
      </c>
      <c r="F109">
        <f t="shared" si="84"/>
        <v>10</v>
      </c>
      <c r="I109" s="99"/>
      <c r="M109" t="s">
        <v>842</v>
      </c>
      <c r="N109">
        <v>4</v>
      </c>
      <c r="O109" s="6">
        <f t="array" aca="1" ref="O109" ca="1">SUM(INDEX(Capacity_Activity_Weekly_Summary,0,$N104)*O$43:O$95)</f>
        <v>0</v>
      </c>
      <c r="P109" s="6">
        <f t="array" aca="1" ref="P109" ca="1">SUM(INDEX(Capacity_Activity_Weekly_Summary,0,$N104)*P$43:P$95)</f>
        <v>0</v>
      </c>
      <c r="Q109" s="6">
        <f t="array" aca="1" ref="Q109" ca="1">SUM(INDEX(Capacity_Activity_Weekly_Summary,0,$N104)*Q$43:Q$95)</f>
        <v>0</v>
      </c>
      <c r="R109" s="6">
        <f t="array" aca="1" ref="R109" ca="1">SUM(INDEX(Capacity_Activity_Weekly_Summary,0,$N104)*R$43:R$95)</f>
        <v>0</v>
      </c>
      <c r="S109" s="6">
        <f t="array" aca="1" ref="S109" ca="1">SUM(INDEX(Capacity_Activity_Weekly_Summary,0,$N104)*S$43:S$95)</f>
        <v>0</v>
      </c>
      <c r="T109" s="6">
        <f t="array" aca="1" ref="T109" ca="1">SUM(INDEX(Capacity_Activity_Weekly_Summary,0,$N104)*T$43:T$95)</f>
        <v>0</v>
      </c>
      <c r="U109" s="6">
        <f t="array" aca="1" ref="U109" ca="1">SUM(INDEX(Capacity_Activity_Weekly_Summary,0,$N104)*U$43:U$95)</f>
        <v>0</v>
      </c>
      <c r="V109" s="6">
        <f t="array" aca="1" ref="V109" ca="1">SUM(INDEX(Capacity_Activity_Weekly_Summary,0,$N104)*V$43:V$95)</f>
        <v>0</v>
      </c>
      <c r="W109" s="6">
        <f t="array" aca="1" ref="W109" ca="1">SUM(INDEX(Capacity_Activity_Weekly_Summary,0,$N104)*W$43:W$95)</f>
        <v>0</v>
      </c>
      <c r="X109" s="6">
        <f t="array" aca="1" ref="X109" ca="1">SUM(INDEX(Capacity_Activity_Weekly_Summary,0,$N104)*X$43:X$95)</f>
        <v>0</v>
      </c>
      <c r="Y109" s="6">
        <f t="array" aca="1" ref="Y109" ca="1">SUM(INDEX(Capacity_Activity_Weekly_Summary,0,$N104)*Y$43:Y$95)</f>
        <v>0</v>
      </c>
      <c r="Z109" s="6">
        <f t="array" aca="1" ref="Z109" ca="1">SUM(INDEX(Capacity_Activity_Weekly_Summary,0,$N104)*Z$43:Z$95)</f>
        <v>0</v>
      </c>
      <c r="AA109" s="6" t="str">
        <f t="shared" si="83"/>
        <v/>
      </c>
      <c r="AB109" s="6" t="str">
        <f>IF($J$105="","",IF($J$105&lt;=12,INDEX(Capacity_Activity_Monthly,$N109,$J$105),AVERAGE(O109:Z109)))</f>
        <v/>
      </c>
      <c r="AC109" s="6">
        <f t="shared" ca="1" si="78"/>
        <v>0</v>
      </c>
      <c r="AD109" s="6"/>
      <c r="AE109" s="6"/>
      <c r="AF109" s="6"/>
      <c r="AG109" s="6"/>
      <c r="AH109" s="6"/>
    </row>
    <row r="110" spans="1:356" x14ac:dyDescent="0.25">
      <c r="A110">
        <f>1</f>
        <v>1</v>
      </c>
      <c r="B110" s="85">
        <f t="shared" si="85"/>
        <v>43898</v>
      </c>
      <c r="C110" s="85">
        <f t="shared" si="80"/>
        <v>43892</v>
      </c>
      <c r="D110">
        <f t="shared" ca="1" si="81"/>
        <v>0</v>
      </c>
      <c r="E110" s="85">
        <f t="shared" si="82"/>
        <v>43891</v>
      </c>
      <c r="F110">
        <f t="shared" si="84"/>
        <v>10</v>
      </c>
      <c r="I110" s="99"/>
      <c r="M110" t="s">
        <v>839</v>
      </c>
      <c r="N110">
        <v>5</v>
      </c>
      <c r="O110" s="6">
        <f t="array" aca="1" ref="O110" ca="1">SUM(INDEX(Capacity_Activity_Weekly_Summary,0,$N105)*O$43:O$95)</f>
        <v>0</v>
      </c>
      <c r="P110" s="6">
        <f t="array" aca="1" ref="P110" ca="1">SUM(INDEX(Capacity_Activity_Weekly_Summary,0,$N105)*P$43:P$95)</f>
        <v>0</v>
      </c>
      <c r="Q110" s="6">
        <f t="array" aca="1" ref="Q110" ca="1">SUM(INDEX(Capacity_Activity_Weekly_Summary,0,$N105)*Q$43:Q$95)</f>
        <v>0</v>
      </c>
      <c r="R110" s="6">
        <f t="array" aca="1" ref="R110" ca="1">SUM(INDEX(Capacity_Activity_Weekly_Summary,0,$N105)*R$43:R$95)</f>
        <v>0</v>
      </c>
      <c r="S110" s="6">
        <f t="array" aca="1" ref="S110" ca="1">SUM(INDEX(Capacity_Activity_Weekly_Summary,0,$N105)*S$43:S$95)</f>
        <v>0</v>
      </c>
      <c r="T110" s="6">
        <f t="array" aca="1" ref="T110" ca="1">SUM(INDEX(Capacity_Activity_Weekly_Summary,0,$N105)*T$43:T$95)</f>
        <v>0</v>
      </c>
      <c r="U110" s="6">
        <f t="array" aca="1" ref="U110" ca="1">SUM(INDEX(Capacity_Activity_Weekly_Summary,0,$N105)*U$43:U$95)</f>
        <v>0</v>
      </c>
      <c r="V110" s="6">
        <f t="array" aca="1" ref="V110" ca="1">SUM(INDEX(Capacity_Activity_Weekly_Summary,0,$N105)*V$43:V$95)</f>
        <v>0</v>
      </c>
      <c r="W110" s="6">
        <f t="array" aca="1" ref="W110" ca="1">SUM(INDEX(Capacity_Activity_Weekly_Summary,0,$N105)*W$43:W$95)</f>
        <v>0</v>
      </c>
      <c r="X110" s="6">
        <f t="array" aca="1" ref="X110" ca="1">SUM(INDEX(Capacity_Activity_Weekly_Summary,0,$N105)*X$43:X$95)</f>
        <v>0</v>
      </c>
      <c r="Y110" s="6">
        <f t="array" aca="1" ref="Y110" ca="1">SUM(INDEX(Capacity_Activity_Weekly_Summary,0,$N105)*Y$43:Y$95)</f>
        <v>0</v>
      </c>
      <c r="Z110" s="6">
        <f t="array" aca="1" ref="Z110" ca="1">SUM(INDEX(Capacity_Activity_Weekly_Summary,0,$N105)*Z$43:Z$95)</f>
        <v>0</v>
      </c>
      <c r="AA110" s="6" t="str">
        <f t="shared" si="83"/>
        <v/>
      </c>
      <c r="AB110" s="6" t="str">
        <f>IF($J$105="","",IF($J$105&lt;=12,INDEX(Capacity_Activity_Monthly,$N110,$J$105),AVERAGE(O110:Z110)))</f>
        <v/>
      </c>
      <c r="AC110" s="6">
        <f t="shared" ca="1" si="78"/>
        <v>0</v>
      </c>
      <c r="AD110" s="6"/>
      <c r="AE110" s="6"/>
      <c r="AF110" s="6"/>
      <c r="AG110" s="6"/>
      <c r="AH110" s="6"/>
    </row>
    <row r="111" spans="1:356" x14ac:dyDescent="0.25">
      <c r="A111">
        <f>1</f>
        <v>1</v>
      </c>
      <c r="B111" s="85">
        <f t="shared" si="85"/>
        <v>43899</v>
      </c>
      <c r="C111" s="85">
        <f t="shared" si="80"/>
        <v>43899</v>
      </c>
      <c r="D111">
        <f t="shared" ca="1" si="81"/>
        <v>1</v>
      </c>
      <c r="E111" s="85">
        <f t="shared" si="82"/>
        <v>43891</v>
      </c>
      <c r="F111">
        <f t="shared" si="84"/>
        <v>11</v>
      </c>
      <c r="I111" s="99"/>
      <c r="L111" t="s">
        <v>1313</v>
      </c>
      <c r="M111" t="s">
        <v>815</v>
      </c>
      <c r="N111">
        <v>1</v>
      </c>
      <c r="O111" s="6">
        <f t="array" aca="1" ref="O111" ca="1">SUM(INDEX(CapacityCore_Activity_Weekly_Summary,0,$N101)*O$43:O$95)</f>
        <v>94.282495457298609</v>
      </c>
      <c r="P111" s="6">
        <f t="array" aca="1" ref="P111" ca="1">SUM(INDEX(CapacityCore_Activity_Weekly_Summary,0,$N101)*P$43:P$95)</f>
        <v>85.711359506635091</v>
      </c>
      <c r="Q111" s="6">
        <f t="array" aca="1" ref="Q111" ca="1">SUM(INDEX(CapacityCore_Activity_Weekly_Summary,0,$N101)*Q$43:Q$95)</f>
        <v>94.282495457298594</v>
      </c>
      <c r="R111" s="6">
        <f t="array" aca="1" ref="R111" ca="1">SUM(INDEX(CapacityCore_Activity_Weekly_Summary,0,$N101)*R$43:R$95)</f>
        <v>85.711359506635105</v>
      </c>
      <c r="S111" s="6">
        <f t="array" aca="1" ref="S111" ca="1">SUM(INDEX(CapacityCore_Activity_Weekly_Summary,0,$N101)*S$43:S$95)</f>
        <v>84.722382281558524</v>
      </c>
      <c r="T111" s="6">
        <f t="array" aca="1" ref="T111" ca="1">SUM(INDEX(CapacityCore_Activity_Weekly_Summary,0,$N101)*T$43:T$95)</f>
        <v>92.106745562130172</v>
      </c>
      <c r="U111" s="6">
        <f t="array" aca="1" ref="U111" ca="1">SUM(INDEX(CapacityCore_Activity_Weekly_Summary,0,$N101)*U$43:U$95)</f>
        <v>96.293415814954258</v>
      </c>
      <c r="V111" s="6">
        <f t="array" aca="1" ref="V111" ca="1">SUM(INDEX(CapacityCore_Activity_Weekly_Summary,0,$N101)*V$43:V$95)</f>
        <v>83.733405056481971</v>
      </c>
      <c r="W111" s="6">
        <f t="array" aca="1" ref="W111" ca="1">SUM(INDEX(CapacityCore_Activity_Weekly_Summary,0,$N101)*W$43:W$95)</f>
        <v>96.293415814954272</v>
      </c>
      <c r="X111" s="6">
        <f t="array" aca="1" ref="X111" ca="1">SUM(INDEX(CapacityCore_Activity_Weekly_Summary,0,$N101)*X$43:X$95)</f>
        <v>92.106745562130158</v>
      </c>
      <c r="Y111" s="6">
        <f t="array" aca="1" ref="Y111" ca="1">SUM(INDEX(CapacityCore_Activity_Weekly_Summary,0,$N101)*Y$43:Y$95)</f>
        <v>87.920075309306071</v>
      </c>
      <c r="Z111" s="6">
        <f t="array" aca="1" ref="Z111" ca="1">SUM(INDEX(CapacityCore_Activity_Weekly_Summary,0,$N101)*Z$43:Z$95)</f>
        <v>100.48008606777836</v>
      </c>
      <c r="AA111" s="6" t="str">
        <f>IF($J$104="","",INDEX($JZ$43:$KD$98,$J$104,$N111))</f>
        <v/>
      </c>
      <c r="AB111" s="6" t="str">
        <f>IF($J$105="","",IF($J$105&lt;=12,INDEX(CapacityCore_Activity_Monthly,$N111,$J$105),AVERAGE(O111:Z111)))</f>
        <v/>
      </c>
      <c r="AC111" s="6">
        <f t="shared" ca="1" si="78"/>
        <v>1093.6439813971613</v>
      </c>
      <c r="AD111" s="6"/>
      <c r="AE111" s="6"/>
      <c r="AF111" s="6"/>
      <c r="AG111" s="6"/>
      <c r="AH111" s="6"/>
    </row>
    <row r="112" spans="1:356" x14ac:dyDescent="0.25">
      <c r="A112">
        <f>1</f>
        <v>1</v>
      </c>
      <c r="B112" s="85">
        <f t="shared" si="85"/>
        <v>43900</v>
      </c>
      <c r="C112" s="85">
        <f t="shared" si="80"/>
        <v>43899</v>
      </c>
      <c r="D112">
        <f t="shared" ca="1" si="81"/>
        <v>1</v>
      </c>
      <c r="E112" s="85">
        <f t="shared" si="82"/>
        <v>43891</v>
      </c>
      <c r="F112">
        <f t="shared" si="84"/>
        <v>11</v>
      </c>
      <c r="I112" s="99"/>
      <c r="M112" t="s">
        <v>841</v>
      </c>
      <c r="N112">
        <v>2</v>
      </c>
      <c r="O112" s="6">
        <f t="array" aca="1" ref="O112" ca="1">SUM(INDEX(CapacityCore_Activity_Weekly_Summary,0,$N102)*O$43:O$95)</f>
        <v>0</v>
      </c>
      <c r="P112" s="6">
        <f t="array" aca="1" ref="P112" ca="1">SUM(INDEX(CapacityCore_Activity_Weekly_Summary,0,$N102)*P$43:P$95)</f>
        <v>0</v>
      </c>
      <c r="Q112" s="6">
        <f t="array" aca="1" ref="Q112" ca="1">SUM(INDEX(CapacityCore_Activity_Weekly_Summary,0,$N102)*Q$43:Q$95)</f>
        <v>0</v>
      </c>
      <c r="R112" s="6">
        <f t="array" aca="1" ref="R112" ca="1">SUM(INDEX(CapacityCore_Activity_Weekly_Summary,0,$N102)*R$43:R$95)</f>
        <v>0</v>
      </c>
      <c r="S112" s="6">
        <f t="array" aca="1" ref="S112" ca="1">SUM(INDEX(CapacityCore_Activity_Weekly_Summary,0,$N102)*S$43:S$95)</f>
        <v>0</v>
      </c>
      <c r="T112" s="6">
        <f t="array" aca="1" ref="T112" ca="1">SUM(INDEX(CapacityCore_Activity_Weekly_Summary,0,$N102)*T$43:T$95)</f>
        <v>0</v>
      </c>
      <c r="U112" s="6">
        <f t="array" aca="1" ref="U112" ca="1">SUM(INDEX(CapacityCore_Activity_Weekly_Summary,0,$N102)*U$43:U$95)</f>
        <v>0</v>
      </c>
      <c r="V112" s="6">
        <f t="array" aca="1" ref="V112" ca="1">SUM(INDEX(CapacityCore_Activity_Weekly_Summary,0,$N102)*V$43:V$95)</f>
        <v>0</v>
      </c>
      <c r="W112" s="6">
        <f t="array" aca="1" ref="W112" ca="1">SUM(INDEX(CapacityCore_Activity_Weekly_Summary,0,$N102)*W$43:W$95)</f>
        <v>0</v>
      </c>
      <c r="X112" s="6">
        <f t="array" aca="1" ref="X112" ca="1">SUM(INDEX(CapacityCore_Activity_Weekly_Summary,0,$N102)*X$43:X$95)</f>
        <v>0</v>
      </c>
      <c r="Y112" s="6">
        <f t="array" aca="1" ref="Y112" ca="1">SUM(INDEX(CapacityCore_Activity_Weekly_Summary,0,$N102)*Y$43:Y$95)</f>
        <v>0</v>
      </c>
      <c r="Z112" s="6">
        <f t="array" aca="1" ref="Z112" ca="1">SUM(INDEX(CapacityCore_Activity_Weekly_Summary,0,$N102)*Z$43:Z$95)</f>
        <v>0</v>
      </c>
      <c r="AA112" s="6" t="str">
        <f t="shared" ref="AA112:AA115" si="86">IF($J$104="","",INDEX($JZ$43:$KD$98,$J$104,$N112))</f>
        <v/>
      </c>
      <c r="AB112" s="6" t="str">
        <f>IF($J$105="","",IF($J$105&lt;=12,INDEX(CapacityCore_Activity_Monthly,$N112,$J$105),AVERAGE(O112:Z112)))</f>
        <v/>
      </c>
      <c r="AC112" s="6">
        <f t="shared" ca="1" si="78"/>
        <v>0</v>
      </c>
      <c r="AD112" s="6"/>
      <c r="AE112" s="6"/>
      <c r="AF112" s="6"/>
      <c r="AG112" s="6"/>
      <c r="AH112" s="6"/>
    </row>
    <row r="113" spans="1:43" x14ac:dyDescent="0.25">
      <c r="A113">
        <f>1</f>
        <v>1</v>
      </c>
      <c r="B113" s="85">
        <f t="shared" si="85"/>
        <v>43901</v>
      </c>
      <c r="C113" s="85">
        <f t="shared" si="80"/>
        <v>43899</v>
      </c>
      <c r="D113">
        <f t="shared" ca="1" si="81"/>
        <v>1</v>
      </c>
      <c r="E113" s="85">
        <f t="shared" si="82"/>
        <v>43891</v>
      </c>
      <c r="F113">
        <f t="shared" si="84"/>
        <v>11</v>
      </c>
      <c r="I113" s="99"/>
      <c r="M113" t="s">
        <v>991</v>
      </c>
      <c r="N113">
        <v>3</v>
      </c>
      <c r="O113" s="6">
        <f t="array" aca="1" ref="O113" ca="1">SUM(INDEX(CapacityCore_Activity_Weekly_Summary,0,$N103)*O$43:O$95)</f>
        <v>0</v>
      </c>
      <c r="P113" s="6">
        <f t="array" aca="1" ref="P113" ca="1">SUM(INDEX(CapacityCore_Activity_Weekly_Summary,0,$N103)*P$43:P$95)</f>
        <v>0</v>
      </c>
      <c r="Q113" s="6">
        <f t="array" aca="1" ref="Q113" ca="1">SUM(INDEX(CapacityCore_Activity_Weekly_Summary,0,$N103)*Q$43:Q$95)</f>
        <v>0</v>
      </c>
      <c r="R113" s="6">
        <f t="array" aca="1" ref="R113" ca="1">SUM(INDEX(CapacityCore_Activity_Weekly_Summary,0,$N103)*R$43:R$95)</f>
        <v>0</v>
      </c>
      <c r="S113" s="6">
        <f t="array" aca="1" ref="S113" ca="1">SUM(INDEX(CapacityCore_Activity_Weekly_Summary,0,$N103)*S$43:S$95)</f>
        <v>0</v>
      </c>
      <c r="T113" s="6">
        <f t="array" aca="1" ref="T113" ca="1">SUM(INDEX(CapacityCore_Activity_Weekly_Summary,0,$N103)*T$43:T$95)</f>
        <v>0</v>
      </c>
      <c r="U113" s="6">
        <f t="array" aca="1" ref="U113" ca="1">SUM(INDEX(CapacityCore_Activity_Weekly_Summary,0,$N103)*U$43:U$95)</f>
        <v>0</v>
      </c>
      <c r="V113" s="6">
        <f t="array" aca="1" ref="V113" ca="1">SUM(INDEX(CapacityCore_Activity_Weekly_Summary,0,$N103)*V$43:V$95)</f>
        <v>0</v>
      </c>
      <c r="W113" s="6">
        <f t="array" aca="1" ref="W113" ca="1">SUM(INDEX(CapacityCore_Activity_Weekly_Summary,0,$N103)*W$43:W$95)</f>
        <v>0</v>
      </c>
      <c r="X113" s="6">
        <f t="array" aca="1" ref="X113" ca="1">SUM(INDEX(CapacityCore_Activity_Weekly_Summary,0,$N103)*X$43:X$95)</f>
        <v>0</v>
      </c>
      <c r="Y113" s="6">
        <f t="array" aca="1" ref="Y113" ca="1">SUM(INDEX(CapacityCore_Activity_Weekly_Summary,0,$N103)*Y$43:Y$95)</f>
        <v>0</v>
      </c>
      <c r="Z113" s="6">
        <f t="array" aca="1" ref="Z113" ca="1">SUM(INDEX(CapacityCore_Activity_Weekly_Summary,0,$N103)*Z$43:Z$95)</f>
        <v>0</v>
      </c>
      <c r="AA113" s="6" t="str">
        <f t="shared" si="86"/>
        <v/>
      </c>
      <c r="AB113" s="6" t="str">
        <f>IF($J$105="","",IF($J$105&lt;=12,INDEX(CapacityCore_Activity_Monthly,$N113,$J$105),AVERAGE(O113:Z113)))</f>
        <v/>
      </c>
      <c r="AC113" s="6">
        <f t="shared" ca="1" si="78"/>
        <v>0</v>
      </c>
      <c r="AD113" s="6"/>
      <c r="AE113" s="6"/>
      <c r="AF113" s="6"/>
      <c r="AG113" s="6"/>
      <c r="AH113" s="6"/>
    </row>
    <row r="114" spans="1:43" x14ac:dyDescent="0.25">
      <c r="A114">
        <f>1</f>
        <v>1</v>
      </c>
      <c r="B114" s="85">
        <f t="shared" si="85"/>
        <v>43902</v>
      </c>
      <c r="C114" s="85">
        <f t="shared" si="80"/>
        <v>43899</v>
      </c>
      <c r="D114">
        <f t="shared" ca="1" si="81"/>
        <v>1</v>
      </c>
      <c r="E114" s="85">
        <f t="shared" si="82"/>
        <v>43891</v>
      </c>
      <c r="F114">
        <f t="shared" si="84"/>
        <v>11</v>
      </c>
      <c r="I114" s="99"/>
      <c r="M114" t="s">
        <v>842</v>
      </c>
      <c r="N114">
        <v>4</v>
      </c>
      <c r="O114" s="6">
        <f t="array" aca="1" ref="O114" ca="1">SUM(INDEX(CapacityCore_Activity_Weekly_Summary,0,$N104)*O$43:O$95)</f>
        <v>0</v>
      </c>
      <c r="P114" s="6">
        <f t="array" aca="1" ref="P114" ca="1">SUM(INDEX(CapacityCore_Activity_Weekly_Summary,0,$N104)*P$43:P$95)</f>
        <v>0</v>
      </c>
      <c r="Q114" s="6">
        <f t="array" aca="1" ref="Q114" ca="1">SUM(INDEX(CapacityCore_Activity_Weekly_Summary,0,$N104)*Q$43:Q$95)</f>
        <v>0</v>
      </c>
      <c r="R114" s="6">
        <f t="array" aca="1" ref="R114" ca="1">SUM(INDEX(CapacityCore_Activity_Weekly_Summary,0,$N104)*R$43:R$95)</f>
        <v>0</v>
      </c>
      <c r="S114" s="6">
        <f t="array" aca="1" ref="S114" ca="1">SUM(INDEX(CapacityCore_Activity_Weekly_Summary,0,$N104)*S$43:S$95)</f>
        <v>0</v>
      </c>
      <c r="T114" s="6">
        <f t="array" aca="1" ref="T114" ca="1">SUM(INDEX(CapacityCore_Activity_Weekly_Summary,0,$N104)*T$43:T$95)</f>
        <v>0</v>
      </c>
      <c r="U114" s="6">
        <f t="array" aca="1" ref="U114" ca="1">SUM(INDEX(CapacityCore_Activity_Weekly_Summary,0,$N104)*U$43:U$95)</f>
        <v>0</v>
      </c>
      <c r="V114" s="6">
        <f t="array" aca="1" ref="V114" ca="1">SUM(INDEX(CapacityCore_Activity_Weekly_Summary,0,$N104)*V$43:V$95)</f>
        <v>0</v>
      </c>
      <c r="W114" s="6">
        <f t="array" aca="1" ref="W114" ca="1">SUM(INDEX(CapacityCore_Activity_Weekly_Summary,0,$N104)*W$43:W$95)</f>
        <v>0</v>
      </c>
      <c r="X114" s="6">
        <f t="array" aca="1" ref="X114" ca="1">SUM(INDEX(CapacityCore_Activity_Weekly_Summary,0,$N104)*X$43:X$95)</f>
        <v>0</v>
      </c>
      <c r="Y114" s="6">
        <f t="array" aca="1" ref="Y114" ca="1">SUM(INDEX(CapacityCore_Activity_Weekly_Summary,0,$N104)*Y$43:Y$95)</f>
        <v>0</v>
      </c>
      <c r="Z114" s="6">
        <f t="array" aca="1" ref="Z114" ca="1">SUM(INDEX(CapacityCore_Activity_Weekly_Summary,0,$N104)*Z$43:Z$95)</f>
        <v>0</v>
      </c>
      <c r="AA114" s="6" t="str">
        <f t="shared" si="86"/>
        <v/>
      </c>
      <c r="AB114" s="6" t="str">
        <f>IF($J$105="","",IF($J$105&lt;=12,INDEX(CapacityCore_Activity_Monthly,$N114,$J$105),AVERAGE(O114:Z114)))</f>
        <v/>
      </c>
      <c r="AC114" s="6">
        <f t="shared" ca="1" si="78"/>
        <v>0</v>
      </c>
      <c r="AD114" s="6"/>
      <c r="AE114" s="6"/>
      <c r="AF114" s="6"/>
      <c r="AG114" s="6"/>
      <c r="AH114" s="6"/>
    </row>
    <row r="115" spans="1:43" x14ac:dyDescent="0.25">
      <c r="A115">
        <f>1</f>
        <v>1</v>
      </c>
      <c r="B115" s="85">
        <f t="shared" si="85"/>
        <v>43903</v>
      </c>
      <c r="C115" s="85">
        <f t="shared" si="80"/>
        <v>43899</v>
      </c>
      <c r="D115">
        <f t="shared" ca="1" si="81"/>
        <v>1</v>
      </c>
      <c r="E115" s="85">
        <f t="shared" si="82"/>
        <v>43891</v>
      </c>
      <c r="F115">
        <f t="shared" si="84"/>
        <v>11</v>
      </c>
      <c r="G115" s="85"/>
      <c r="M115" t="s">
        <v>839</v>
      </c>
      <c r="N115">
        <v>5</v>
      </c>
      <c r="O115" s="6">
        <f t="array" aca="1" ref="O115" ca="1">SUM(INDEX(CapacityCore_Activity_Weekly_Summary,0,$N105)*O$43:O$95)</f>
        <v>0</v>
      </c>
      <c r="P115" s="6">
        <f t="array" aca="1" ref="P115" ca="1">SUM(INDEX(CapacityCore_Activity_Weekly_Summary,0,$N105)*P$43:P$95)</f>
        <v>0</v>
      </c>
      <c r="Q115" s="6">
        <f t="array" aca="1" ref="Q115" ca="1">SUM(INDEX(CapacityCore_Activity_Weekly_Summary,0,$N105)*Q$43:Q$95)</f>
        <v>0</v>
      </c>
      <c r="R115" s="6">
        <f t="array" aca="1" ref="R115" ca="1">SUM(INDEX(CapacityCore_Activity_Weekly_Summary,0,$N105)*R$43:R$95)</f>
        <v>0</v>
      </c>
      <c r="S115" s="6">
        <f t="array" aca="1" ref="S115" ca="1">SUM(INDEX(CapacityCore_Activity_Weekly_Summary,0,$N105)*S$43:S$95)</f>
        <v>0</v>
      </c>
      <c r="T115" s="6">
        <f t="array" aca="1" ref="T115" ca="1">SUM(INDEX(CapacityCore_Activity_Weekly_Summary,0,$N105)*T$43:T$95)</f>
        <v>0</v>
      </c>
      <c r="U115" s="6">
        <f t="array" aca="1" ref="U115" ca="1">SUM(INDEX(CapacityCore_Activity_Weekly_Summary,0,$N105)*U$43:U$95)</f>
        <v>0</v>
      </c>
      <c r="V115" s="6">
        <f t="array" aca="1" ref="V115" ca="1">SUM(INDEX(CapacityCore_Activity_Weekly_Summary,0,$N105)*V$43:V$95)</f>
        <v>0</v>
      </c>
      <c r="W115" s="6">
        <f t="array" aca="1" ref="W115" ca="1">SUM(INDEX(CapacityCore_Activity_Weekly_Summary,0,$N105)*W$43:W$95)</f>
        <v>0</v>
      </c>
      <c r="X115" s="6">
        <f t="array" aca="1" ref="X115" ca="1">SUM(INDEX(CapacityCore_Activity_Weekly_Summary,0,$N105)*X$43:X$95)</f>
        <v>0</v>
      </c>
      <c r="Y115" s="6">
        <f t="array" aca="1" ref="Y115" ca="1">SUM(INDEX(CapacityCore_Activity_Weekly_Summary,0,$N105)*Y$43:Y$95)</f>
        <v>0</v>
      </c>
      <c r="Z115" s="6">
        <f t="array" aca="1" ref="Z115" ca="1">SUM(INDEX(CapacityCore_Activity_Weekly_Summary,0,$N105)*Z$43:Z$95)</f>
        <v>0</v>
      </c>
      <c r="AA115" s="6" t="str">
        <f t="shared" si="86"/>
        <v/>
      </c>
      <c r="AB115" s="6" t="str">
        <f>IF($J$105="","",IF($J$105&lt;=12,INDEX(CapacityCore_Activity_Monthly,$N115,$J$105),AVERAGE(O115:Z115)))</f>
        <v/>
      </c>
      <c r="AC115" s="6">
        <f t="shared" ca="1" si="78"/>
        <v>0</v>
      </c>
      <c r="AD115" s="6"/>
      <c r="AE115" s="6"/>
      <c r="AF115" s="6"/>
      <c r="AG115" s="6"/>
      <c r="AH115" s="6"/>
    </row>
    <row r="116" spans="1:43" x14ac:dyDescent="0.25">
      <c r="A116">
        <f>1</f>
        <v>1</v>
      </c>
      <c r="B116" s="85">
        <f t="shared" si="85"/>
        <v>43904</v>
      </c>
      <c r="C116" s="85">
        <f t="shared" si="80"/>
        <v>43899</v>
      </c>
      <c r="D116">
        <f t="shared" ca="1" si="81"/>
        <v>0</v>
      </c>
      <c r="E116" s="85">
        <f t="shared" si="82"/>
        <v>43891</v>
      </c>
      <c r="F116">
        <f t="shared" si="84"/>
        <v>11</v>
      </c>
      <c r="G116" s="85"/>
      <c r="O116" s="6"/>
      <c r="P116" s="6"/>
      <c r="Q116" s="6"/>
      <c r="R116" s="6"/>
      <c r="S116" s="6"/>
      <c r="T116" s="6"/>
      <c r="U116" s="6"/>
      <c r="V116" s="6"/>
      <c r="W116" s="6"/>
      <c r="X116" s="6"/>
      <c r="Y116" s="6"/>
      <c r="Z116" s="6"/>
      <c r="AB116" s="6"/>
      <c r="AC116" s="6"/>
      <c r="AD116" s="6"/>
      <c r="AE116" s="6"/>
      <c r="AF116" s="6"/>
      <c r="AG116" s="6"/>
      <c r="AH116" s="6"/>
    </row>
    <row r="117" spans="1:43" x14ac:dyDescent="0.25">
      <c r="A117">
        <f>1</f>
        <v>1</v>
      </c>
      <c r="B117" s="85">
        <f t="shared" si="85"/>
        <v>43905</v>
      </c>
      <c r="C117" s="85">
        <f t="shared" si="80"/>
        <v>43899</v>
      </c>
      <c r="D117">
        <f t="shared" ca="1" si="81"/>
        <v>0</v>
      </c>
      <c r="E117" s="85">
        <f t="shared" si="82"/>
        <v>43891</v>
      </c>
      <c r="F117">
        <f t="shared" si="84"/>
        <v>11</v>
      </c>
      <c r="G117" s="85"/>
      <c r="O117" s="6"/>
      <c r="P117" s="6"/>
      <c r="Q117" s="6"/>
      <c r="R117" s="6"/>
      <c r="S117" s="6"/>
      <c r="T117" s="6"/>
      <c r="U117" s="6"/>
      <c r="V117" s="6"/>
      <c r="W117" s="6"/>
      <c r="X117" s="6"/>
      <c r="Y117" s="6"/>
      <c r="Z117" s="6"/>
      <c r="AB117" s="6"/>
      <c r="AC117" s="6"/>
      <c r="AD117" s="6"/>
      <c r="AE117" s="6"/>
      <c r="AF117" s="6"/>
      <c r="AG117" s="6"/>
      <c r="AH117" s="6"/>
    </row>
    <row r="118" spans="1:43" x14ac:dyDescent="0.25">
      <c r="A118">
        <f>1</f>
        <v>1</v>
      </c>
      <c r="B118" s="85">
        <f t="shared" si="85"/>
        <v>43906</v>
      </c>
      <c r="C118" s="85">
        <f t="shared" si="80"/>
        <v>43906</v>
      </c>
      <c r="D118">
        <f t="shared" ca="1" si="81"/>
        <v>1</v>
      </c>
      <c r="E118" s="85">
        <f t="shared" si="82"/>
        <v>43891</v>
      </c>
      <c r="F118">
        <f t="shared" si="84"/>
        <v>12</v>
      </c>
      <c r="G118" s="85"/>
      <c r="O118" s="6"/>
      <c r="P118" s="6"/>
      <c r="Q118" s="6"/>
      <c r="R118" s="6"/>
      <c r="S118" s="6"/>
      <c r="T118" s="6"/>
      <c r="U118" s="6"/>
      <c r="V118" s="6"/>
      <c r="W118" s="6"/>
      <c r="X118" s="6"/>
      <c r="Y118" s="6"/>
      <c r="Z118" s="6"/>
      <c r="AB118" s="6"/>
      <c r="AC118" s="6"/>
      <c r="AD118" s="6"/>
      <c r="AE118" s="6"/>
      <c r="AF118" s="6"/>
      <c r="AG118" s="6"/>
      <c r="AH118" s="6"/>
    </row>
    <row r="119" spans="1:43" x14ac:dyDescent="0.25">
      <c r="A119">
        <f>1</f>
        <v>1</v>
      </c>
      <c r="B119" s="85">
        <f t="shared" si="85"/>
        <v>43907</v>
      </c>
      <c r="C119" s="85">
        <f t="shared" si="80"/>
        <v>43906</v>
      </c>
      <c r="D119">
        <f t="shared" ca="1" si="81"/>
        <v>1</v>
      </c>
      <c r="E119" s="85">
        <f t="shared" si="82"/>
        <v>43891</v>
      </c>
      <c r="F119">
        <f t="shared" si="84"/>
        <v>12</v>
      </c>
      <c r="G119" s="85"/>
      <c r="O119" s="6"/>
      <c r="P119" s="6"/>
      <c r="Q119" s="6"/>
      <c r="R119" s="6"/>
      <c r="S119" s="6"/>
      <c r="T119" s="6"/>
      <c r="U119" s="6"/>
      <c r="V119" s="6"/>
      <c r="W119" s="6"/>
      <c r="X119" s="6"/>
      <c r="Y119" s="6"/>
      <c r="Z119" s="6"/>
      <c r="AB119" s="6"/>
      <c r="AC119" s="6"/>
      <c r="AD119" s="6"/>
      <c r="AE119" s="6"/>
      <c r="AF119" s="6"/>
      <c r="AG119" s="6"/>
      <c r="AH119" s="6"/>
    </row>
    <row r="120" spans="1:43" x14ac:dyDescent="0.25">
      <c r="A120">
        <f>1</f>
        <v>1</v>
      </c>
      <c r="B120" s="85">
        <f t="shared" si="85"/>
        <v>43908</v>
      </c>
      <c r="C120" s="85">
        <f t="shared" si="80"/>
        <v>43906</v>
      </c>
      <c r="D120">
        <f t="shared" ca="1" si="81"/>
        <v>1</v>
      </c>
      <c r="E120" s="85">
        <f t="shared" si="82"/>
        <v>43891</v>
      </c>
      <c r="F120">
        <f t="shared" si="84"/>
        <v>12</v>
      </c>
      <c r="G120" s="85"/>
      <c r="O120" s="6"/>
      <c r="P120" s="6"/>
      <c r="Q120" s="6"/>
      <c r="R120" s="6"/>
      <c r="S120" s="6"/>
      <c r="T120" s="6"/>
      <c r="U120" s="6"/>
      <c r="V120" s="6"/>
      <c r="W120" s="6"/>
      <c r="X120" s="6"/>
      <c r="Y120" s="6"/>
      <c r="Z120" s="6"/>
      <c r="AB120" s="6"/>
      <c r="AC120" s="6"/>
      <c r="AD120" s="6"/>
      <c r="AE120" s="6"/>
      <c r="AF120" s="6"/>
      <c r="AG120" s="6"/>
      <c r="AH120" s="6"/>
    </row>
    <row r="121" spans="1:43" x14ac:dyDescent="0.25">
      <c r="A121">
        <f>1</f>
        <v>1</v>
      </c>
      <c r="B121" s="85">
        <f t="shared" si="85"/>
        <v>43909</v>
      </c>
      <c r="C121" s="85">
        <f t="shared" si="80"/>
        <v>43906</v>
      </c>
      <c r="D121">
        <f t="shared" ca="1" si="81"/>
        <v>1</v>
      </c>
      <c r="E121" s="85">
        <f t="shared" si="82"/>
        <v>43891</v>
      </c>
      <c r="F121">
        <f t="shared" si="84"/>
        <v>12</v>
      </c>
      <c r="G121" s="85"/>
      <c r="O121" s="6"/>
      <c r="P121" s="6"/>
      <c r="Q121" s="6"/>
      <c r="R121" s="6"/>
      <c r="S121" s="6"/>
      <c r="T121" s="6"/>
      <c r="U121" s="6"/>
      <c r="V121" s="6"/>
      <c r="W121" s="6"/>
      <c r="X121" s="6"/>
      <c r="Y121" s="6"/>
      <c r="Z121" s="6"/>
      <c r="AA121" s="6"/>
      <c r="AB121" s="6"/>
      <c r="AC121" s="6"/>
      <c r="AD121" s="6"/>
      <c r="AE121" s="6"/>
      <c r="AF121" s="6"/>
      <c r="AG121" s="6"/>
      <c r="AH121" s="6"/>
    </row>
    <row r="122" spans="1:43" x14ac:dyDescent="0.25">
      <c r="A122">
        <f>1</f>
        <v>1</v>
      </c>
      <c r="B122" s="85">
        <f t="shared" si="85"/>
        <v>43910</v>
      </c>
      <c r="C122" s="85">
        <f t="shared" si="80"/>
        <v>43906</v>
      </c>
      <c r="D122">
        <f t="shared" ca="1" si="81"/>
        <v>1</v>
      </c>
      <c r="E122" s="85">
        <f t="shared" si="82"/>
        <v>43891</v>
      </c>
      <c r="F122">
        <f t="shared" si="84"/>
        <v>12</v>
      </c>
      <c r="G122" s="85"/>
      <c r="L122" t="s">
        <v>947</v>
      </c>
      <c r="M122" t="s">
        <v>1253</v>
      </c>
      <c r="N122" t="s">
        <v>1254</v>
      </c>
      <c r="O122" s="6"/>
      <c r="P122" s="6"/>
      <c r="Q122" s="6"/>
      <c r="R122" s="6"/>
      <c r="S122" s="6"/>
      <c r="T122" s="6"/>
      <c r="U122" s="6"/>
      <c r="V122" s="6"/>
      <c r="W122" s="6"/>
      <c r="X122" s="6"/>
      <c r="Y122" s="6"/>
      <c r="Z122" s="6"/>
      <c r="AA122" s="6" t="s">
        <v>1302</v>
      </c>
      <c r="AB122" s="6" t="s">
        <v>1459</v>
      </c>
      <c r="AC122" s="6"/>
      <c r="AF122" s="6"/>
      <c r="AG122" s="6"/>
      <c r="AH122" s="6"/>
    </row>
    <row r="123" spans="1:43" x14ac:dyDescent="0.25">
      <c r="A123">
        <f>1</f>
        <v>1</v>
      </c>
      <c r="B123" s="85">
        <f t="shared" si="85"/>
        <v>43911</v>
      </c>
      <c r="C123" s="85">
        <f t="shared" si="80"/>
        <v>43906</v>
      </c>
      <c r="D123">
        <f t="shared" ca="1" si="81"/>
        <v>0</v>
      </c>
      <c r="E123" s="85">
        <f t="shared" si="82"/>
        <v>43891</v>
      </c>
      <c r="F123">
        <f t="shared" si="84"/>
        <v>12</v>
      </c>
      <c r="G123" s="85"/>
      <c r="L123" t="str">
        <f ca="1">INDEX($AB$42:$CI$42,ROW(A1))</f>
        <v>New</v>
      </c>
      <c r="M123">
        <v>0</v>
      </c>
      <c r="N123">
        <v>1</v>
      </c>
      <c r="O123" s="6">
        <f t="array" aca="1" ref="O123" ca="1">SUM(OFFSET($AA$43,0,($M123*3)+$N123,53,1)*O$43:O$95)</f>
        <v>1940.8571977362626</v>
      </c>
      <c r="P123" s="6">
        <f t="array" aca="1" ref="P123" ca="1">SUM(OFFSET($AA$43,0,($M123*3)+$N123,53,1)*P$43:P$95)</f>
        <v>1552.6857581890101</v>
      </c>
      <c r="Q123" s="6">
        <f t="array" aca="1" ref="Q123" ca="1">SUM(OFFSET($AA$43,0,($M123*3)+$N123,53,1)*Q$43:Q$95)</f>
        <v>1707.9543340079113</v>
      </c>
      <c r="R123" s="6">
        <f t="array" aca="1" ref="R123" ca="1">SUM(OFFSET($AA$43,0,($M123*3)+$N123,53,1)*R$43:R$95)</f>
        <v>1707.954334007911</v>
      </c>
      <c r="S123" s="6">
        <f t="array" aca="1" ref="S123" ca="1">SUM(OFFSET($AA$43,0,($M123*3)+$N123,53,1)*S$43:S$95)</f>
        <v>1630.3200460984606</v>
      </c>
      <c r="T123" s="6">
        <f t="array" aca="1" ref="T123" ca="1">SUM(OFFSET($AA$43,0,($M123*3)+$N123,53,1)*T$43:T$95)</f>
        <v>1707.9543340079113</v>
      </c>
      <c r="U123" s="6">
        <f t="array" aca="1" ref="U123" ca="1">SUM(OFFSET($AA$43,0,($M123*3)+$N123,53,1)*U$43:U$95)</f>
        <v>1785.5886219173615</v>
      </c>
      <c r="V123" s="6">
        <f t="array" aca="1" ref="V123" ca="1">SUM(OFFSET($AA$43,0,($M123*3)+$N123,53,1)*V$43:V$95)</f>
        <v>1552.6857581890101</v>
      </c>
      <c r="W123" s="6">
        <f t="array" aca="1" ref="W123" ca="1">SUM(OFFSET($AA$43,0,($M123*3)+$N123,53,1)*W$43:W$95)</f>
        <v>1785.5886219173617</v>
      </c>
      <c r="X123" s="6">
        <f t="array" aca="1" ref="X123" ca="1">SUM(OFFSET($AA$43,0,($M123*3)+$N123,53,1)*X$43:X$95)</f>
        <v>1707.954334007911</v>
      </c>
      <c r="Y123" s="6">
        <f t="array" aca="1" ref="Y123" ca="1">SUM(OFFSET($AA$43,0,($M123*3)+$N123,53,1)*Y$43:Y$95)</f>
        <v>1630.3200460984606</v>
      </c>
      <c r="Z123" s="6">
        <f t="array" aca="1" ref="Z123" ca="1">SUM(OFFSET($AA$43,0,($M123*3)+$N123,53,1)*Z$43:Z$95)</f>
        <v>1863.2229098268119</v>
      </c>
      <c r="AA123" s="6">
        <f t="shared" ref="AA123:AA154" ca="1" si="87">SUM(O123:Z123)</f>
        <v>20573.086296004381</v>
      </c>
      <c r="AB123" s="6">
        <f ca="1">AVERAGE(O123:Z123)</f>
        <v>1714.423858000365</v>
      </c>
      <c r="AC123" s="6" t="s">
        <v>1326</v>
      </c>
      <c r="AD123" s="6"/>
    </row>
    <row r="124" spans="1:43" x14ac:dyDescent="0.25">
      <c r="A124">
        <f>1</f>
        <v>1</v>
      </c>
      <c r="B124" s="85">
        <f t="shared" si="85"/>
        <v>43912</v>
      </c>
      <c r="C124" s="85">
        <f t="shared" si="80"/>
        <v>43906</v>
      </c>
      <c r="D124">
        <f t="shared" ca="1" si="81"/>
        <v>0</v>
      </c>
      <c r="E124" s="85">
        <f t="shared" si="82"/>
        <v>43891</v>
      </c>
      <c r="F124">
        <f t="shared" si="84"/>
        <v>12</v>
      </c>
      <c r="G124" s="85"/>
      <c r="L124" t="str">
        <f t="shared" ref="L124:L182" ca="1" si="88">INDEX($AB$42:$CI$42,ROW(A2))</f>
        <v/>
      </c>
      <c r="M124">
        <v>0</v>
      </c>
      <c r="N124">
        <v>2</v>
      </c>
      <c r="O124" s="6">
        <f t="array" aca="1" ref="O124" ca="1">SUM(OFFSET($AA$43,0,($M124*3)+$N124,53,1)*O$43:O$95)</f>
        <v>0</v>
      </c>
      <c r="P124" s="6">
        <f t="array" aca="1" ref="P124" ca="1">SUM(OFFSET($AA$43,0,($M124*3)+$N124,53,1)*P$43:P$95)</f>
        <v>0</v>
      </c>
      <c r="Q124" s="6">
        <f t="array" aca="1" ref="Q124" ca="1">SUM(OFFSET($AA$43,0,($M124*3)+$N124,53,1)*Q$43:Q$95)</f>
        <v>0</v>
      </c>
      <c r="R124" s="6">
        <f t="array" aca="1" ref="R124" ca="1">SUM(OFFSET($AA$43,0,($M124*3)+$N124,53,1)*R$43:R$95)</f>
        <v>0</v>
      </c>
      <c r="S124" s="6">
        <f t="array" aca="1" ref="S124" ca="1">SUM(OFFSET($AA$43,0,($M124*3)+$N124,53,1)*S$43:S$95)</f>
        <v>0</v>
      </c>
      <c r="T124" s="6">
        <f t="array" aca="1" ref="T124" ca="1">SUM(OFFSET($AA$43,0,($M124*3)+$N124,53,1)*T$43:T$95)</f>
        <v>0</v>
      </c>
      <c r="U124" s="6">
        <f t="array" aca="1" ref="U124" ca="1">SUM(OFFSET($AA$43,0,($M124*3)+$N124,53,1)*U$43:U$95)</f>
        <v>0</v>
      </c>
      <c r="V124" s="6">
        <f t="array" aca="1" ref="V124" ca="1">SUM(OFFSET($AA$43,0,($M124*3)+$N124,53,1)*V$43:V$95)</f>
        <v>0</v>
      </c>
      <c r="W124" s="6">
        <f t="array" aca="1" ref="W124" ca="1">SUM(OFFSET($AA$43,0,($M124*3)+$N124,53,1)*W$43:W$95)</f>
        <v>0</v>
      </c>
      <c r="X124" s="6">
        <f t="array" aca="1" ref="X124" ca="1">SUM(OFFSET($AA$43,0,($M124*3)+$N124,53,1)*X$43:X$95)</f>
        <v>0</v>
      </c>
      <c r="Y124" s="6">
        <f t="array" aca="1" ref="Y124" ca="1">SUM(OFFSET($AA$43,0,($M124*3)+$N124,53,1)*Y$43:Y$95)</f>
        <v>0</v>
      </c>
      <c r="Z124" s="6">
        <f t="array" aca="1" ref="Z124" ca="1">SUM(OFFSET($AA$43,0,($M124*3)+$N124,53,1)*Z$43:Z$95)</f>
        <v>0</v>
      </c>
      <c r="AA124" s="6">
        <f t="shared" ca="1" si="87"/>
        <v>0</v>
      </c>
      <c r="AB124" s="6">
        <f t="shared" ref="AB124:AB187" ca="1" si="89">AVERAGE(O124:Z124)</f>
        <v>0</v>
      </c>
    </row>
    <row r="125" spans="1:43" x14ac:dyDescent="0.25">
      <c r="A125">
        <f>1</f>
        <v>1</v>
      </c>
      <c r="B125" s="85">
        <f t="shared" si="85"/>
        <v>43913</v>
      </c>
      <c r="C125" s="85">
        <f t="shared" si="80"/>
        <v>43913</v>
      </c>
      <c r="D125">
        <f t="shared" ca="1" si="81"/>
        <v>1</v>
      </c>
      <c r="E125" s="85">
        <f t="shared" si="82"/>
        <v>43891</v>
      </c>
      <c r="F125">
        <f t="shared" si="84"/>
        <v>13</v>
      </c>
      <c r="G125" s="85"/>
      <c r="L125" t="str">
        <f t="shared" ca="1" si="88"/>
        <v/>
      </c>
      <c r="M125">
        <v>0</v>
      </c>
      <c r="N125">
        <v>3</v>
      </c>
      <c r="O125" s="6">
        <f t="array" aca="1" ref="O125" ca="1">SUM(OFFSET($AA$43,0,($M125*3)+$N125,53,1)*O$43:O$95)</f>
        <v>0</v>
      </c>
      <c r="P125" s="6">
        <f t="array" aca="1" ref="P125" ca="1">SUM(OFFSET($AA$43,0,($M125*3)+$N125,53,1)*P$43:P$95)</f>
        <v>0</v>
      </c>
      <c r="Q125" s="6">
        <f t="array" aca="1" ref="Q125" ca="1">SUM(OFFSET($AA$43,0,($M125*3)+$N125,53,1)*Q$43:Q$95)</f>
        <v>0</v>
      </c>
      <c r="R125" s="6">
        <f t="array" aca="1" ref="R125" ca="1">SUM(OFFSET($AA$43,0,($M125*3)+$N125,53,1)*R$43:R$95)</f>
        <v>0</v>
      </c>
      <c r="S125" s="6">
        <f t="array" aca="1" ref="S125" ca="1">SUM(OFFSET($AA$43,0,($M125*3)+$N125,53,1)*S$43:S$95)</f>
        <v>0</v>
      </c>
      <c r="T125" s="6">
        <f t="array" aca="1" ref="T125" ca="1">SUM(OFFSET($AA$43,0,($M125*3)+$N125,53,1)*T$43:T$95)</f>
        <v>0</v>
      </c>
      <c r="U125" s="6">
        <f t="array" aca="1" ref="U125" ca="1">SUM(OFFSET($AA$43,0,($M125*3)+$N125,53,1)*U$43:U$95)</f>
        <v>0</v>
      </c>
      <c r="V125" s="6">
        <f t="array" aca="1" ref="V125" ca="1">SUM(OFFSET($AA$43,0,($M125*3)+$N125,53,1)*V$43:V$95)</f>
        <v>0</v>
      </c>
      <c r="W125" s="6">
        <f t="array" aca="1" ref="W125" ca="1">SUM(OFFSET($AA$43,0,($M125*3)+$N125,53,1)*W$43:W$95)</f>
        <v>0</v>
      </c>
      <c r="X125" s="6">
        <f t="array" aca="1" ref="X125" ca="1">SUM(OFFSET($AA$43,0,($M125*3)+$N125,53,1)*X$43:X$95)</f>
        <v>0</v>
      </c>
      <c r="Y125" s="6">
        <f t="array" aca="1" ref="Y125" ca="1">SUM(OFFSET($AA$43,0,($M125*3)+$N125,53,1)*Y$43:Y$95)</f>
        <v>0</v>
      </c>
      <c r="Z125" s="6">
        <f t="array" aca="1" ref="Z125" ca="1">SUM(OFFSET($AA$43,0,($M125*3)+$N125,53,1)*Z$43:Z$95)</f>
        <v>0</v>
      </c>
      <c r="AA125" s="6">
        <f t="shared" ca="1" si="87"/>
        <v>0</v>
      </c>
      <c r="AB125" s="6">
        <f t="shared" ca="1" si="89"/>
        <v>0</v>
      </c>
      <c r="AD125" t="s">
        <v>1316</v>
      </c>
      <c r="AE125" t="s">
        <v>815</v>
      </c>
      <c r="AF125">
        <f ca="1">SUMIFS(AF$130:AF$229,$AE$130:$AE$229,$AE125)</f>
        <v>1940.8571977362626</v>
      </c>
      <c r="AG125">
        <f t="shared" ref="AG125:AQ129" ca="1" si="90">SUMIFS(AG$130:AG$229,$AE$130:$AE$229,$AE125)</f>
        <v>1552.6857581890101</v>
      </c>
      <c r="AH125">
        <f t="shared" ca="1" si="90"/>
        <v>1707.9543340079113</v>
      </c>
      <c r="AI125">
        <f t="shared" ca="1" si="90"/>
        <v>1707.954334007911</v>
      </c>
      <c r="AJ125">
        <f t="shared" ca="1" si="90"/>
        <v>1630.3200460984606</v>
      </c>
      <c r="AK125">
        <f t="shared" ca="1" si="90"/>
        <v>1707.9543340079113</v>
      </c>
      <c r="AL125">
        <f t="shared" ca="1" si="90"/>
        <v>1785.5886219173615</v>
      </c>
      <c r="AM125">
        <f t="shared" ca="1" si="90"/>
        <v>1552.6857581890101</v>
      </c>
      <c r="AN125">
        <f t="shared" ca="1" si="90"/>
        <v>1785.5886219173617</v>
      </c>
      <c r="AO125">
        <f t="shared" ca="1" si="90"/>
        <v>1707.954334007911</v>
      </c>
      <c r="AP125">
        <f t="shared" ca="1" si="90"/>
        <v>1630.3200460984606</v>
      </c>
      <c r="AQ125">
        <f t="shared" ca="1" si="90"/>
        <v>1863.2229098268119</v>
      </c>
    </row>
    <row r="126" spans="1:43" x14ac:dyDescent="0.25">
      <c r="A126">
        <f>1</f>
        <v>1</v>
      </c>
      <c r="B126" s="85">
        <f t="shared" si="85"/>
        <v>43914</v>
      </c>
      <c r="C126" s="85">
        <f t="shared" si="80"/>
        <v>43913</v>
      </c>
      <c r="D126">
        <f t="shared" ca="1" si="81"/>
        <v>1</v>
      </c>
      <c r="E126" s="85">
        <f t="shared" si="82"/>
        <v>43891</v>
      </c>
      <c r="F126">
        <f t="shared" si="84"/>
        <v>13</v>
      </c>
      <c r="G126" s="85"/>
      <c r="L126" t="str">
        <f t="shared" ca="1" si="88"/>
        <v/>
      </c>
      <c r="M126">
        <v>1</v>
      </c>
      <c r="N126">
        <v>1</v>
      </c>
      <c r="O126" s="6">
        <f t="array" aca="1" ref="O126" ca="1">SUM(OFFSET($AA$43,0,($M126*3)+$N126,53,1)*O$43:O$95)</f>
        <v>0</v>
      </c>
      <c r="P126" s="6">
        <f t="array" aca="1" ref="P126" ca="1">SUM(OFFSET($AA$43,0,($M126*3)+$N126,53,1)*P$43:P$95)</f>
        <v>0</v>
      </c>
      <c r="Q126" s="6">
        <f t="array" aca="1" ref="Q126" ca="1">SUM(OFFSET($AA$43,0,($M126*3)+$N126,53,1)*Q$43:Q$95)</f>
        <v>0</v>
      </c>
      <c r="R126" s="6">
        <f t="array" aca="1" ref="R126" ca="1">SUM(OFFSET($AA$43,0,($M126*3)+$N126,53,1)*R$43:R$95)</f>
        <v>0</v>
      </c>
      <c r="S126" s="6">
        <f t="array" aca="1" ref="S126" ca="1">SUM(OFFSET($AA$43,0,($M126*3)+$N126,53,1)*S$43:S$95)</f>
        <v>0</v>
      </c>
      <c r="T126" s="6">
        <f t="array" aca="1" ref="T126" ca="1">SUM(OFFSET($AA$43,0,($M126*3)+$N126,53,1)*T$43:T$95)</f>
        <v>0</v>
      </c>
      <c r="U126" s="6">
        <f t="array" aca="1" ref="U126" ca="1">SUM(OFFSET($AA$43,0,($M126*3)+$N126,53,1)*U$43:U$95)</f>
        <v>0</v>
      </c>
      <c r="V126" s="6">
        <f t="array" aca="1" ref="V126" ca="1">SUM(OFFSET($AA$43,0,($M126*3)+$N126,53,1)*V$43:V$95)</f>
        <v>0</v>
      </c>
      <c r="W126" s="6">
        <f t="array" aca="1" ref="W126" ca="1">SUM(OFFSET($AA$43,0,($M126*3)+$N126,53,1)*W$43:W$95)</f>
        <v>0</v>
      </c>
      <c r="X126" s="6">
        <f t="array" aca="1" ref="X126" ca="1">SUM(OFFSET($AA$43,0,($M126*3)+$N126,53,1)*X$43:X$95)</f>
        <v>0</v>
      </c>
      <c r="Y126" s="6">
        <f t="array" aca="1" ref="Y126" ca="1">SUM(OFFSET($AA$43,0,($M126*3)+$N126,53,1)*Y$43:Y$95)</f>
        <v>0</v>
      </c>
      <c r="Z126" s="6">
        <f t="array" aca="1" ref="Z126" ca="1">SUM(OFFSET($AA$43,0,($M126*3)+$N126,53,1)*Z$43:Z$95)</f>
        <v>0</v>
      </c>
      <c r="AA126" s="6">
        <f t="shared" ca="1" si="87"/>
        <v>0</v>
      </c>
      <c r="AB126" s="6">
        <f t="shared" ca="1" si="89"/>
        <v>0</v>
      </c>
      <c r="AE126" t="s">
        <v>841</v>
      </c>
      <c r="AF126">
        <f ca="1">SUMIFS(AF$130:AF$229,$AE$130:$AE$229,$AE126)</f>
        <v>0</v>
      </c>
      <c r="AG126">
        <f t="shared" ca="1" si="90"/>
        <v>0</v>
      </c>
      <c r="AH126">
        <f t="shared" ca="1" si="90"/>
        <v>0</v>
      </c>
      <c r="AI126">
        <f t="shared" ca="1" si="90"/>
        <v>0</v>
      </c>
      <c r="AJ126">
        <f t="shared" ca="1" si="90"/>
        <v>0</v>
      </c>
      <c r="AK126">
        <f t="shared" ca="1" si="90"/>
        <v>0</v>
      </c>
      <c r="AL126">
        <f t="shared" ca="1" si="90"/>
        <v>0</v>
      </c>
      <c r="AM126">
        <f t="shared" ca="1" si="90"/>
        <v>0</v>
      </c>
      <c r="AN126">
        <f t="shared" ca="1" si="90"/>
        <v>0</v>
      </c>
      <c r="AO126">
        <f t="shared" ca="1" si="90"/>
        <v>0</v>
      </c>
      <c r="AP126">
        <f t="shared" ca="1" si="90"/>
        <v>0</v>
      </c>
      <c r="AQ126">
        <f t="shared" ca="1" si="90"/>
        <v>0</v>
      </c>
    </row>
    <row r="127" spans="1:43" x14ac:dyDescent="0.25">
      <c r="A127">
        <f>1</f>
        <v>1</v>
      </c>
      <c r="B127" s="85">
        <f t="shared" si="85"/>
        <v>43915</v>
      </c>
      <c r="C127" s="85">
        <f t="shared" si="80"/>
        <v>43913</v>
      </c>
      <c r="D127">
        <f t="shared" ca="1" si="81"/>
        <v>1</v>
      </c>
      <c r="E127" s="85">
        <f t="shared" si="82"/>
        <v>43891</v>
      </c>
      <c r="F127">
        <f t="shared" si="84"/>
        <v>13</v>
      </c>
      <c r="G127" s="85"/>
      <c r="L127" t="str">
        <f t="shared" ca="1" si="88"/>
        <v/>
      </c>
      <c r="M127">
        <v>1</v>
      </c>
      <c r="N127">
        <v>2</v>
      </c>
      <c r="O127" s="6">
        <f t="array" aca="1" ref="O127" ca="1">SUM(OFFSET($AA$43,0,($M127*3)+$N127,53,1)*O$43:O$95)</f>
        <v>0</v>
      </c>
      <c r="P127" s="6">
        <f t="array" aca="1" ref="P127" ca="1">SUM(OFFSET($AA$43,0,($M127*3)+$N127,53,1)*P$43:P$95)</f>
        <v>0</v>
      </c>
      <c r="Q127" s="6">
        <f t="array" aca="1" ref="Q127" ca="1">SUM(OFFSET($AA$43,0,($M127*3)+$N127,53,1)*Q$43:Q$95)</f>
        <v>0</v>
      </c>
      <c r="R127" s="6">
        <f t="array" aca="1" ref="R127" ca="1">SUM(OFFSET($AA$43,0,($M127*3)+$N127,53,1)*R$43:R$95)</f>
        <v>0</v>
      </c>
      <c r="S127" s="6">
        <f t="array" aca="1" ref="S127" ca="1">SUM(OFFSET($AA$43,0,($M127*3)+$N127,53,1)*S$43:S$95)</f>
        <v>0</v>
      </c>
      <c r="T127" s="6">
        <f t="array" aca="1" ref="T127" ca="1">SUM(OFFSET($AA$43,0,($M127*3)+$N127,53,1)*T$43:T$95)</f>
        <v>0</v>
      </c>
      <c r="U127" s="6">
        <f t="array" aca="1" ref="U127" ca="1">SUM(OFFSET($AA$43,0,($M127*3)+$N127,53,1)*U$43:U$95)</f>
        <v>0</v>
      </c>
      <c r="V127" s="6">
        <f t="array" aca="1" ref="V127" ca="1">SUM(OFFSET($AA$43,0,($M127*3)+$N127,53,1)*V$43:V$95)</f>
        <v>0</v>
      </c>
      <c r="W127" s="6">
        <f t="array" aca="1" ref="W127" ca="1">SUM(OFFSET($AA$43,0,($M127*3)+$N127,53,1)*W$43:W$95)</f>
        <v>0</v>
      </c>
      <c r="X127" s="6">
        <f t="array" aca="1" ref="X127" ca="1">SUM(OFFSET($AA$43,0,($M127*3)+$N127,53,1)*X$43:X$95)</f>
        <v>0</v>
      </c>
      <c r="Y127" s="6">
        <f t="array" aca="1" ref="Y127" ca="1">SUM(OFFSET($AA$43,0,($M127*3)+$N127,53,1)*Y$43:Y$95)</f>
        <v>0</v>
      </c>
      <c r="Z127" s="6">
        <f t="array" aca="1" ref="Z127" ca="1">SUM(OFFSET($AA$43,0,($M127*3)+$N127,53,1)*Z$43:Z$95)</f>
        <v>0</v>
      </c>
      <c r="AA127" s="6">
        <f t="shared" ca="1" si="87"/>
        <v>0</v>
      </c>
      <c r="AB127" s="6">
        <f t="shared" ca="1" si="89"/>
        <v>0</v>
      </c>
      <c r="AE127" t="s">
        <v>818</v>
      </c>
      <c r="AF127">
        <f ca="1">SUMIFS(AF$130:AF$229,$AE$130:$AE$229,$AE127)</f>
        <v>0</v>
      </c>
      <c r="AG127">
        <f t="shared" ca="1" si="90"/>
        <v>0</v>
      </c>
      <c r="AH127">
        <f t="shared" ca="1" si="90"/>
        <v>0</v>
      </c>
      <c r="AI127">
        <f t="shared" ca="1" si="90"/>
        <v>0</v>
      </c>
      <c r="AJ127">
        <f t="shared" ca="1" si="90"/>
        <v>0</v>
      </c>
      <c r="AK127">
        <f t="shared" ca="1" si="90"/>
        <v>0</v>
      </c>
      <c r="AL127">
        <f t="shared" ca="1" si="90"/>
        <v>0</v>
      </c>
      <c r="AM127">
        <f t="shared" ca="1" si="90"/>
        <v>0</v>
      </c>
      <c r="AN127">
        <f t="shared" ca="1" si="90"/>
        <v>0</v>
      </c>
      <c r="AO127">
        <f t="shared" ca="1" si="90"/>
        <v>0</v>
      </c>
      <c r="AP127">
        <f t="shared" ca="1" si="90"/>
        <v>0</v>
      </c>
      <c r="AQ127">
        <f t="shared" ca="1" si="90"/>
        <v>0</v>
      </c>
    </row>
    <row r="128" spans="1:43" x14ac:dyDescent="0.25">
      <c r="A128">
        <f>1</f>
        <v>1</v>
      </c>
      <c r="B128" s="85">
        <f t="shared" si="85"/>
        <v>43916</v>
      </c>
      <c r="C128" s="85">
        <f t="shared" si="80"/>
        <v>43913</v>
      </c>
      <c r="D128">
        <f t="shared" ca="1" si="81"/>
        <v>1</v>
      </c>
      <c r="E128" s="85">
        <f t="shared" si="82"/>
        <v>43891</v>
      </c>
      <c r="F128">
        <f t="shared" si="84"/>
        <v>13</v>
      </c>
      <c r="G128" s="85"/>
      <c r="L128" t="str">
        <f t="shared" ca="1" si="88"/>
        <v/>
      </c>
      <c r="M128">
        <v>1</v>
      </c>
      <c r="N128">
        <v>3</v>
      </c>
      <c r="O128" s="6">
        <f t="array" aca="1" ref="O128" ca="1">SUM(OFFSET($AA$43,0,($M128*3)+$N128,53,1)*O$43:O$95)</f>
        <v>0</v>
      </c>
      <c r="P128" s="6">
        <f t="array" aca="1" ref="P128" ca="1">SUM(OFFSET($AA$43,0,($M128*3)+$N128,53,1)*P$43:P$95)</f>
        <v>0</v>
      </c>
      <c r="Q128" s="6">
        <f t="array" aca="1" ref="Q128" ca="1">SUM(OFFSET($AA$43,0,($M128*3)+$N128,53,1)*Q$43:Q$95)</f>
        <v>0</v>
      </c>
      <c r="R128" s="6">
        <f t="array" aca="1" ref="R128" ca="1">SUM(OFFSET($AA$43,0,($M128*3)+$N128,53,1)*R$43:R$95)</f>
        <v>0</v>
      </c>
      <c r="S128" s="6">
        <f t="array" aca="1" ref="S128" ca="1">SUM(OFFSET($AA$43,0,($M128*3)+$N128,53,1)*S$43:S$95)</f>
        <v>0</v>
      </c>
      <c r="T128" s="6">
        <f t="array" aca="1" ref="T128" ca="1">SUM(OFFSET($AA$43,0,($M128*3)+$N128,53,1)*T$43:T$95)</f>
        <v>0</v>
      </c>
      <c r="U128" s="6">
        <f t="array" aca="1" ref="U128" ca="1">SUM(OFFSET($AA$43,0,($M128*3)+$N128,53,1)*U$43:U$95)</f>
        <v>0</v>
      </c>
      <c r="V128" s="6">
        <f t="array" aca="1" ref="V128" ca="1">SUM(OFFSET($AA$43,0,($M128*3)+$N128,53,1)*V$43:V$95)</f>
        <v>0</v>
      </c>
      <c r="W128" s="6">
        <f t="array" aca="1" ref="W128" ca="1">SUM(OFFSET($AA$43,0,($M128*3)+$N128,53,1)*W$43:W$95)</f>
        <v>0</v>
      </c>
      <c r="X128" s="6">
        <f t="array" aca="1" ref="X128" ca="1">SUM(OFFSET($AA$43,0,($M128*3)+$N128,53,1)*X$43:X$95)</f>
        <v>0</v>
      </c>
      <c r="Y128" s="6">
        <f t="array" aca="1" ref="Y128" ca="1">SUM(OFFSET($AA$43,0,($M128*3)+$N128,53,1)*Y$43:Y$95)</f>
        <v>0</v>
      </c>
      <c r="Z128" s="6">
        <f t="array" aca="1" ref="Z128" ca="1">SUM(OFFSET($AA$43,0,($M128*3)+$N128,53,1)*Z$43:Z$95)</f>
        <v>0</v>
      </c>
      <c r="AA128" s="6">
        <f t="shared" ca="1" si="87"/>
        <v>0</v>
      </c>
      <c r="AB128" s="6">
        <f t="shared" ca="1" si="89"/>
        <v>0</v>
      </c>
      <c r="AE128" t="s">
        <v>842</v>
      </c>
      <c r="AF128">
        <f ca="1">SUMIFS(AF$130:AF$229,$AE$130:$AE$229,$AE128)</f>
        <v>0</v>
      </c>
      <c r="AG128">
        <f t="shared" ca="1" si="90"/>
        <v>0</v>
      </c>
      <c r="AH128">
        <f t="shared" ca="1" si="90"/>
        <v>0</v>
      </c>
      <c r="AI128">
        <f t="shared" ca="1" si="90"/>
        <v>0</v>
      </c>
      <c r="AJ128">
        <f t="shared" ca="1" si="90"/>
        <v>0</v>
      </c>
      <c r="AK128">
        <f t="shared" ca="1" si="90"/>
        <v>0</v>
      </c>
      <c r="AL128">
        <f t="shared" ca="1" si="90"/>
        <v>0</v>
      </c>
      <c r="AM128">
        <f t="shared" ca="1" si="90"/>
        <v>0</v>
      </c>
      <c r="AN128">
        <f t="shared" ca="1" si="90"/>
        <v>0</v>
      </c>
      <c r="AO128">
        <f t="shared" ca="1" si="90"/>
        <v>0</v>
      </c>
      <c r="AP128">
        <f t="shared" ca="1" si="90"/>
        <v>0</v>
      </c>
      <c r="AQ128">
        <f t="shared" ca="1" si="90"/>
        <v>0</v>
      </c>
    </row>
    <row r="129" spans="1:43" x14ac:dyDescent="0.25">
      <c r="A129">
        <f>1</f>
        <v>1</v>
      </c>
      <c r="B129" s="85">
        <f t="shared" si="85"/>
        <v>43917</v>
      </c>
      <c r="C129" s="85">
        <f t="shared" si="80"/>
        <v>43913</v>
      </c>
      <c r="D129">
        <f t="shared" ca="1" si="81"/>
        <v>1</v>
      </c>
      <c r="E129" s="85">
        <f t="shared" si="82"/>
        <v>43891</v>
      </c>
      <c r="F129">
        <f t="shared" si="84"/>
        <v>13</v>
      </c>
      <c r="G129" s="85"/>
      <c r="L129" t="str">
        <f t="shared" ca="1" si="88"/>
        <v/>
      </c>
      <c r="M129">
        <v>2</v>
      </c>
      <c r="N129">
        <v>1</v>
      </c>
      <c r="O129" s="6">
        <f t="array" aca="1" ref="O129" ca="1">SUM(OFFSET($AA$43,0,($M129*3)+$N129,53,1)*O$43:O$95)</f>
        <v>0</v>
      </c>
      <c r="P129" s="6">
        <f t="array" aca="1" ref="P129" ca="1">SUM(OFFSET($AA$43,0,($M129*3)+$N129,53,1)*P$43:P$95)</f>
        <v>0</v>
      </c>
      <c r="Q129" s="6">
        <f t="array" aca="1" ref="Q129" ca="1">SUM(OFFSET($AA$43,0,($M129*3)+$N129,53,1)*Q$43:Q$95)</f>
        <v>0</v>
      </c>
      <c r="R129" s="6">
        <f t="array" aca="1" ref="R129" ca="1">SUM(OFFSET($AA$43,0,($M129*3)+$N129,53,1)*R$43:R$95)</f>
        <v>0</v>
      </c>
      <c r="S129" s="6">
        <f t="array" aca="1" ref="S129" ca="1">SUM(OFFSET($AA$43,0,($M129*3)+$N129,53,1)*S$43:S$95)</f>
        <v>0</v>
      </c>
      <c r="T129" s="6">
        <f t="array" aca="1" ref="T129" ca="1">SUM(OFFSET($AA$43,0,($M129*3)+$N129,53,1)*T$43:T$95)</f>
        <v>0</v>
      </c>
      <c r="U129" s="6">
        <f t="array" aca="1" ref="U129" ca="1">SUM(OFFSET($AA$43,0,($M129*3)+$N129,53,1)*U$43:U$95)</f>
        <v>0</v>
      </c>
      <c r="V129" s="6">
        <f t="array" aca="1" ref="V129" ca="1">SUM(OFFSET($AA$43,0,($M129*3)+$N129,53,1)*V$43:V$95)</f>
        <v>0</v>
      </c>
      <c r="W129" s="6">
        <f t="array" aca="1" ref="W129" ca="1">SUM(OFFSET($AA$43,0,($M129*3)+$N129,53,1)*W$43:W$95)</f>
        <v>0</v>
      </c>
      <c r="X129" s="6">
        <f t="array" aca="1" ref="X129" ca="1">SUM(OFFSET($AA$43,0,($M129*3)+$N129,53,1)*X$43:X$95)</f>
        <v>0</v>
      </c>
      <c r="Y129" s="6">
        <f t="array" aca="1" ref="Y129" ca="1">SUM(OFFSET($AA$43,0,($M129*3)+$N129,53,1)*Y$43:Y$95)</f>
        <v>0</v>
      </c>
      <c r="Z129" s="6">
        <f t="array" aca="1" ref="Z129" ca="1">SUM(OFFSET($AA$43,0,($M129*3)+$N129,53,1)*Z$43:Z$95)</f>
        <v>0</v>
      </c>
      <c r="AA129" s="6">
        <f t="shared" ca="1" si="87"/>
        <v>0</v>
      </c>
      <c r="AB129" s="6">
        <f t="shared" ca="1" si="89"/>
        <v>0</v>
      </c>
      <c r="AE129" t="s">
        <v>839</v>
      </c>
      <c r="AF129">
        <f ca="1">SUMIFS(AF$130:AF$229,$AE$130:$AE$229,$AE129)</f>
        <v>0</v>
      </c>
      <c r="AG129">
        <f t="shared" ca="1" si="90"/>
        <v>0</v>
      </c>
      <c r="AH129">
        <f t="shared" ca="1" si="90"/>
        <v>0</v>
      </c>
      <c r="AI129">
        <f t="shared" ca="1" si="90"/>
        <v>0</v>
      </c>
      <c r="AJ129">
        <f t="shared" ca="1" si="90"/>
        <v>0</v>
      </c>
      <c r="AK129">
        <f t="shared" ca="1" si="90"/>
        <v>0</v>
      </c>
      <c r="AL129">
        <f t="shared" ca="1" si="90"/>
        <v>0</v>
      </c>
      <c r="AM129">
        <f t="shared" ca="1" si="90"/>
        <v>0</v>
      </c>
      <c r="AN129">
        <f t="shared" ca="1" si="90"/>
        <v>0</v>
      </c>
      <c r="AO129">
        <f t="shared" ca="1" si="90"/>
        <v>0</v>
      </c>
      <c r="AP129">
        <f t="shared" ca="1" si="90"/>
        <v>0</v>
      </c>
      <c r="AQ129">
        <f t="shared" ca="1" si="90"/>
        <v>0</v>
      </c>
    </row>
    <row r="130" spans="1:43" x14ac:dyDescent="0.25">
      <c r="A130">
        <f>1</f>
        <v>1</v>
      </c>
      <c r="B130" s="85">
        <f t="shared" si="85"/>
        <v>43918</v>
      </c>
      <c r="C130" s="85">
        <f t="shared" si="80"/>
        <v>43913</v>
      </c>
      <c r="D130">
        <f t="shared" ca="1" si="81"/>
        <v>0</v>
      </c>
      <c r="E130" s="85">
        <f t="shared" si="82"/>
        <v>43891</v>
      </c>
      <c r="F130">
        <f t="shared" si="84"/>
        <v>13</v>
      </c>
      <c r="G130" s="85"/>
      <c r="L130" t="str">
        <f t="shared" ca="1" si="88"/>
        <v/>
      </c>
      <c r="M130">
        <v>2</v>
      </c>
      <c r="N130">
        <v>2</v>
      </c>
      <c r="O130" s="6">
        <f t="array" aca="1" ref="O130" ca="1">SUM(OFFSET($AA$43,0,($M130*3)+$N130,53,1)*O$43:O$95)</f>
        <v>0</v>
      </c>
      <c r="P130" s="6">
        <f t="array" aca="1" ref="P130" ca="1">SUM(OFFSET($AA$43,0,($M130*3)+$N130,53,1)*P$43:P$95)</f>
        <v>0</v>
      </c>
      <c r="Q130" s="6">
        <f t="array" aca="1" ref="Q130" ca="1">SUM(OFFSET($AA$43,0,($M130*3)+$N130,53,1)*Q$43:Q$95)</f>
        <v>0</v>
      </c>
      <c r="R130" s="6">
        <f t="array" aca="1" ref="R130" ca="1">SUM(OFFSET($AA$43,0,($M130*3)+$N130,53,1)*R$43:R$95)</f>
        <v>0</v>
      </c>
      <c r="S130" s="6">
        <f t="array" aca="1" ref="S130" ca="1">SUM(OFFSET($AA$43,0,($M130*3)+$N130,53,1)*S$43:S$95)</f>
        <v>0</v>
      </c>
      <c r="T130" s="6">
        <f t="array" aca="1" ref="T130" ca="1">SUM(OFFSET($AA$43,0,($M130*3)+$N130,53,1)*T$43:T$95)</f>
        <v>0</v>
      </c>
      <c r="U130" s="6">
        <f t="array" aca="1" ref="U130" ca="1">SUM(OFFSET($AA$43,0,($M130*3)+$N130,53,1)*U$43:U$95)</f>
        <v>0</v>
      </c>
      <c r="V130" s="6">
        <f t="array" aca="1" ref="V130" ca="1">SUM(OFFSET($AA$43,0,($M130*3)+$N130,53,1)*V$43:V$95)</f>
        <v>0</v>
      </c>
      <c r="W130" s="6">
        <f t="array" aca="1" ref="W130" ca="1">SUM(OFFSET($AA$43,0,($M130*3)+$N130,53,1)*W$43:W$95)</f>
        <v>0</v>
      </c>
      <c r="X130" s="6">
        <f t="array" aca="1" ref="X130" ca="1">SUM(OFFSET($AA$43,0,($M130*3)+$N130,53,1)*X$43:X$95)</f>
        <v>0</v>
      </c>
      <c r="Y130" s="6">
        <f t="array" aca="1" ref="Y130" ca="1">SUM(OFFSET($AA$43,0,($M130*3)+$N130,53,1)*Y$43:Y$95)</f>
        <v>0</v>
      </c>
      <c r="Z130" s="6">
        <f t="array" aca="1" ref="Z130" ca="1">SUM(OFFSET($AA$43,0,($M130*3)+$N130,53,1)*Z$43:Z$95)</f>
        <v>0</v>
      </c>
      <c r="AA130" s="6">
        <f t="shared" ca="1" si="87"/>
        <v>0</v>
      </c>
      <c r="AB130" s="6">
        <f t="shared" ca="1" si="89"/>
        <v>0</v>
      </c>
      <c r="AC130" s="8"/>
      <c r="AD130" s="8">
        <v>1</v>
      </c>
      <c r="AE130" t="str">
        <f>AE125</f>
        <v>New</v>
      </c>
      <c r="AF130">
        <f t="shared" ref="AF130:AQ134" ca="1" si="91">SUMIFS(O$123:O$125,$L$123:$L$125, $AE130)</f>
        <v>1940.8571977362626</v>
      </c>
      <c r="AG130">
        <f t="shared" ca="1" si="91"/>
        <v>1552.6857581890101</v>
      </c>
      <c r="AH130">
        <f t="shared" ca="1" si="91"/>
        <v>1707.9543340079113</v>
      </c>
      <c r="AI130">
        <f t="shared" ca="1" si="91"/>
        <v>1707.954334007911</v>
      </c>
      <c r="AJ130">
        <f t="shared" ca="1" si="91"/>
        <v>1630.3200460984606</v>
      </c>
      <c r="AK130">
        <f t="shared" ca="1" si="91"/>
        <v>1707.9543340079113</v>
      </c>
      <c r="AL130">
        <f t="shared" ca="1" si="91"/>
        <v>1785.5886219173615</v>
      </c>
      <c r="AM130">
        <f t="shared" ca="1" si="91"/>
        <v>1552.6857581890101</v>
      </c>
      <c r="AN130">
        <f t="shared" ca="1" si="91"/>
        <v>1785.5886219173617</v>
      </c>
      <c r="AO130">
        <f t="shared" ca="1" si="91"/>
        <v>1707.954334007911</v>
      </c>
      <c r="AP130">
        <f t="shared" ca="1" si="91"/>
        <v>1630.3200460984606</v>
      </c>
      <c r="AQ130">
        <f t="shared" ca="1" si="91"/>
        <v>1863.2229098268119</v>
      </c>
    </row>
    <row r="131" spans="1:43" x14ac:dyDescent="0.25">
      <c r="A131">
        <f>1</f>
        <v>1</v>
      </c>
      <c r="B131" s="85">
        <f t="shared" si="85"/>
        <v>43919</v>
      </c>
      <c r="C131" s="85">
        <f t="shared" si="80"/>
        <v>43913</v>
      </c>
      <c r="D131">
        <f t="shared" ca="1" si="81"/>
        <v>0</v>
      </c>
      <c r="E131" s="85">
        <f t="shared" si="82"/>
        <v>43891</v>
      </c>
      <c r="F131">
        <f t="shared" si="84"/>
        <v>13</v>
      </c>
      <c r="G131" s="85"/>
      <c r="L131" t="str">
        <f t="shared" ca="1" si="88"/>
        <v/>
      </c>
      <c r="M131">
        <v>2</v>
      </c>
      <c r="N131">
        <v>3</v>
      </c>
      <c r="O131" s="6">
        <f t="array" aca="1" ref="O131" ca="1">SUM(OFFSET($AA$43,0,($M131*3)+$N131,53,1)*O$43:O$95)</f>
        <v>0</v>
      </c>
      <c r="P131" s="6">
        <f t="array" aca="1" ref="P131" ca="1">SUM(OFFSET($AA$43,0,($M131*3)+$N131,53,1)*P$43:P$95)</f>
        <v>0</v>
      </c>
      <c r="Q131" s="6">
        <f t="array" aca="1" ref="Q131" ca="1">SUM(OFFSET($AA$43,0,($M131*3)+$N131,53,1)*Q$43:Q$95)</f>
        <v>0</v>
      </c>
      <c r="R131" s="6">
        <f t="array" aca="1" ref="R131" ca="1">SUM(OFFSET($AA$43,0,($M131*3)+$N131,53,1)*R$43:R$95)</f>
        <v>0</v>
      </c>
      <c r="S131" s="6">
        <f t="array" aca="1" ref="S131" ca="1">SUM(OFFSET($AA$43,0,($M131*3)+$N131,53,1)*S$43:S$95)</f>
        <v>0</v>
      </c>
      <c r="T131" s="6">
        <f t="array" aca="1" ref="T131" ca="1">SUM(OFFSET($AA$43,0,($M131*3)+$N131,53,1)*T$43:T$95)</f>
        <v>0</v>
      </c>
      <c r="U131" s="6">
        <f t="array" aca="1" ref="U131" ca="1">SUM(OFFSET($AA$43,0,($M131*3)+$N131,53,1)*U$43:U$95)</f>
        <v>0</v>
      </c>
      <c r="V131" s="6">
        <f t="array" aca="1" ref="V131" ca="1">SUM(OFFSET($AA$43,0,($M131*3)+$N131,53,1)*V$43:V$95)</f>
        <v>0</v>
      </c>
      <c r="W131" s="6">
        <f t="array" aca="1" ref="W131" ca="1">SUM(OFFSET($AA$43,0,($M131*3)+$N131,53,1)*W$43:W$95)</f>
        <v>0</v>
      </c>
      <c r="X131" s="6">
        <f t="array" aca="1" ref="X131" ca="1">SUM(OFFSET($AA$43,0,($M131*3)+$N131,53,1)*X$43:X$95)</f>
        <v>0</v>
      </c>
      <c r="Y131" s="6">
        <f t="array" aca="1" ref="Y131" ca="1">SUM(OFFSET($AA$43,0,($M131*3)+$N131,53,1)*Y$43:Y$95)</f>
        <v>0</v>
      </c>
      <c r="Z131" s="6">
        <f t="array" aca="1" ref="Z131" ca="1">SUM(OFFSET($AA$43,0,($M131*3)+$N131,53,1)*Z$43:Z$95)</f>
        <v>0</v>
      </c>
      <c r="AA131" s="6">
        <f t="shared" ca="1" si="87"/>
        <v>0</v>
      </c>
      <c r="AB131" s="6">
        <f t="shared" ca="1" si="89"/>
        <v>0</v>
      </c>
      <c r="AC131" s="8"/>
      <c r="AD131" s="8"/>
      <c r="AE131" t="str">
        <f t="shared" ref="AE131:AE194" si="92">AE126</f>
        <v>Diagnostic (N)</v>
      </c>
      <c r="AF131">
        <f t="shared" ca="1" si="91"/>
        <v>0</v>
      </c>
      <c r="AG131">
        <f t="shared" ca="1" si="91"/>
        <v>0</v>
      </c>
      <c r="AH131">
        <f t="shared" ca="1" si="91"/>
        <v>0</v>
      </c>
      <c r="AI131">
        <f t="shared" ca="1" si="91"/>
        <v>0</v>
      </c>
      <c r="AJ131">
        <f t="shared" ca="1" si="91"/>
        <v>0</v>
      </c>
      <c r="AK131">
        <f t="shared" ca="1" si="91"/>
        <v>0</v>
      </c>
      <c r="AL131">
        <f t="shared" ca="1" si="91"/>
        <v>0</v>
      </c>
      <c r="AM131">
        <f t="shared" ca="1" si="91"/>
        <v>0</v>
      </c>
      <c r="AN131">
        <f t="shared" ca="1" si="91"/>
        <v>0</v>
      </c>
      <c r="AO131">
        <f t="shared" ca="1" si="91"/>
        <v>0</v>
      </c>
      <c r="AP131">
        <f t="shared" ca="1" si="91"/>
        <v>0</v>
      </c>
      <c r="AQ131">
        <f t="shared" ca="1" si="91"/>
        <v>0</v>
      </c>
    </row>
    <row r="132" spans="1:43" x14ac:dyDescent="0.25">
      <c r="A132">
        <f>1</f>
        <v>1</v>
      </c>
      <c r="B132" s="85">
        <f t="shared" si="85"/>
        <v>43920</v>
      </c>
      <c r="C132" s="85">
        <f t="shared" si="80"/>
        <v>43920</v>
      </c>
      <c r="D132">
        <f t="shared" ca="1" si="81"/>
        <v>1</v>
      </c>
      <c r="E132" s="85">
        <f t="shared" si="82"/>
        <v>43891</v>
      </c>
      <c r="F132">
        <f t="shared" si="84"/>
        <v>14</v>
      </c>
      <c r="G132" s="85"/>
      <c r="L132" t="str">
        <f t="shared" ca="1" si="88"/>
        <v/>
      </c>
      <c r="M132">
        <v>3</v>
      </c>
      <c r="N132">
        <v>1</v>
      </c>
      <c r="O132" s="6">
        <f t="array" aca="1" ref="O132" ca="1">SUM(OFFSET($AA$43,0,($M132*3)+$N132,53,1)*O$43:O$95)</f>
        <v>0</v>
      </c>
      <c r="P132" s="6">
        <f t="array" aca="1" ref="P132" ca="1">SUM(OFFSET($AA$43,0,($M132*3)+$N132,53,1)*P$43:P$95)</f>
        <v>0</v>
      </c>
      <c r="Q132" s="6">
        <f t="array" aca="1" ref="Q132" ca="1">SUM(OFFSET($AA$43,0,($M132*3)+$N132,53,1)*Q$43:Q$95)</f>
        <v>0</v>
      </c>
      <c r="R132" s="6">
        <f t="array" aca="1" ref="R132" ca="1">SUM(OFFSET($AA$43,0,($M132*3)+$N132,53,1)*R$43:R$95)</f>
        <v>0</v>
      </c>
      <c r="S132" s="6">
        <f t="array" aca="1" ref="S132" ca="1">SUM(OFFSET($AA$43,0,($M132*3)+$N132,53,1)*S$43:S$95)</f>
        <v>0</v>
      </c>
      <c r="T132" s="6">
        <f t="array" aca="1" ref="T132" ca="1">SUM(OFFSET($AA$43,0,($M132*3)+$N132,53,1)*T$43:T$95)</f>
        <v>0</v>
      </c>
      <c r="U132" s="6">
        <f t="array" aca="1" ref="U132" ca="1">SUM(OFFSET($AA$43,0,($M132*3)+$N132,53,1)*U$43:U$95)</f>
        <v>0</v>
      </c>
      <c r="V132" s="6">
        <f t="array" aca="1" ref="V132" ca="1">SUM(OFFSET($AA$43,0,($M132*3)+$N132,53,1)*V$43:V$95)</f>
        <v>0</v>
      </c>
      <c r="W132" s="6">
        <f t="array" aca="1" ref="W132" ca="1">SUM(OFFSET($AA$43,0,($M132*3)+$N132,53,1)*W$43:W$95)</f>
        <v>0</v>
      </c>
      <c r="X132" s="6">
        <f t="array" aca="1" ref="X132" ca="1">SUM(OFFSET($AA$43,0,($M132*3)+$N132,53,1)*X$43:X$95)</f>
        <v>0</v>
      </c>
      <c r="Y132" s="6">
        <f t="array" aca="1" ref="Y132" ca="1">SUM(OFFSET($AA$43,0,($M132*3)+$N132,53,1)*Y$43:Y$95)</f>
        <v>0</v>
      </c>
      <c r="Z132" s="6">
        <f t="array" aca="1" ref="Z132" ca="1">SUM(OFFSET($AA$43,0,($M132*3)+$N132,53,1)*Z$43:Z$95)</f>
        <v>0</v>
      </c>
      <c r="AA132" s="6">
        <f t="shared" ca="1" si="87"/>
        <v>0</v>
      </c>
      <c r="AB132" s="6">
        <f t="shared" ca="1" si="89"/>
        <v>0</v>
      </c>
      <c r="AC132" s="8"/>
      <c r="AD132" s="8"/>
      <c r="AE132" t="str">
        <f t="shared" si="92"/>
        <v>Follow Up</v>
      </c>
      <c r="AF132">
        <f t="shared" ca="1" si="91"/>
        <v>0</v>
      </c>
      <c r="AG132">
        <f t="shared" ca="1" si="91"/>
        <v>0</v>
      </c>
      <c r="AH132">
        <f t="shared" ca="1" si="91"/>
        <v>0</v>
      </c>
      <c r="AI132">
        <f t="shared" ca="1" si="91"/>
        <v>0</v>
      </c>
      <c r="AJ132">
        <f t="shared" ca="1" si="91"/>
        <v>0</v>
      </c>
      <c r="AK132">
        <f t="shared" ca="1" si="91"/>
        <v>0</v>
      </c>
      <c r="AL132">
        <f t="shared" ca="1" si="91"/>
        <v>0</v>
      </c>
      <c r="AM132">
        <f t="shared" ca="1" si="91"/>
        <v>0</v>
      </c>
      <c r="AN132">
        <f t="shared" ca="1" si="91"/>
        <v>0</v>
      </c>
      <c r="AO132">
        <f t="shared" ca="1" si="91"/>
        <v>0</v>
      </c>
      <c r="AP132">
        <f t="shared" ca="1" si="91"/>
        <v>0</v>
      </c>
      <c r="AQ132">
        <f t="shared" ca="1" si="91"/>
        <v>0</v>
      </c>
    </row>
    <row r="133" spans="1:43" x14ac:dyDescent="0.25">
      <c r="A133">
        <f>1</f>
        <v>1</v>
      </c>
      <c r="B133" s="85">
        <f t="shared" si="85"/>
        <v>43921</v>
      </c>
      <c r="C133" s="85">
        <f t="shared" si="80"/>
        <v>43920</v>
      </c>
      <c r="D133">
        <f t="shared" ca="1" si="81"/>
        <v>1</v>
      </c>
      <c r="E133" s="85">
        <f t="shared" si="82"/>
        <v>43891</v>
      </c>
      <c r="F133">
        <f t="shared" si="84"/>
        <v>14</v>
      </c>
      <c r="G133" s="85"/>
      <c r="L133" t="str">
        <f t="shared" ca="1" si="88"/>
        <v/>
      </c>
      <c r="M133">
        <v>3</v>
      </c>
      <c r="N133">
        <v>2</v>
      </c>
      <c r="O133" s="6">
        <f t="array" aca="1" ref="O133" ca="1">SUM(OFFSET($AA$43,0,($M133*3)+$N133,53,1)*O$43:O$95)</f>
        <v>0</v>
      </c>
      <c r="P133" s="6">
        <f t="array" aca="1" ref="P133" ca="1">SUM(OFFSET($AA$43,0,($M133*3)+$N133,53,1)*P$43:P$95)</f>
        <v>0</v>
      </c>
      <c r="Q133" s="6">
        <f t="array" aca="1" ref="Q133" ca="1">SUM(OFFSET($AA$43,0,($M133*3)+$N133,53,1)*Q$43:Q$95)</f>
        <v>0</v>
      </c>
      <c r="R133" s="6">
        <f t="array" aca="1" ref="R133" ca="1">SUM(OFFSET($AA$43,0,($M133*3)+$N133,53,1)*R$43:R$95)</f>
        <v>0</v>
      </c>
      <c r="S133" s="6">
        <f t="array" aca="1" ref="S133" ca="1">SUM(OFFSET($AA$43,0,($M133*3)+$N133,53,1)*S$43:S$95)</f>
        <v>0</v>
      </c>
      <c r="T133" s="6">
        <f t="array" aca="1" ref="T133" ca="1">SUM(OFFSET($AA$43,0,($M133*3)+$N133,53,1)*T$43:T$95)</f>
        <v>0</v>
      </c>
      <c r="U133" s="6">
        <f t="array" aca="1" ref="U133" ca="1">SUM(OFFSET($AA$43,0,($M133*3)+$N133,53,1)*U$43:U$95)</f>
        <v>0</v>
      </c>
      <c r="V133" s="6">
        <f t="array" aca="1" ref="V133" ca="1">SUM(OFFSET($AA$43,0,($M133*3)+$N133,53,1)*V$43:V$95)</f>
        <v>0</v>
      </c>
      <c r="W133" s="6">
        <f t="array" aca="1" ref="W133" ca="1">SUM(OFFSET($AA$43,0,($M133*3)+$N133,53,1)*W$43:W$95)</f>
        <v>0</v>
      </c>
      <c r="X133" s="6">
        <f t="array" aca="1" ref="X133" ca="1">SUM(OFFSET($AA$43,0,($M133*3)+$N133,53,1)*X$43:X$95)</f>
        <v>0</v>
      </c>
      <c r="Y133" s="6">
        <f t="array" aca="1" ref="Y133" ca="1">SUM(OFFSET($AA$43,0,($M133*3)+$N133,53,1)*Y$43:Y$95)</f>
        <v>0</v>
      </c>
      <c r="Z133" s="6">
        <f t="array" aca="1" ref="Z133" ca="1">SUM(OFFSET($AA$43,0,($M133*3)+$N133,53,1)*Z$43:Z$95)</f>
        <v>0</v>
      </c>
      <c r="AA133" s="6">
        <f t="shared" ca="1" si="87"/>
        <v>0</v>
      </c>
      <c r="AB133" s="6">
        <f t="shared" ca="1" si="89"/>
        <v>0</v>
      </c>
      <c r="AC133" s="8"/>
      <c r="AD133" s="8"/>
      <c r="AE133" t="str">
        <f t="shared" si="92"/>
        <v>Diagnostic (FU)</v>
      </c>
      <c r="AF133">
        <f t="shared" ca="1" si="91"/>
        <v>0</v>
      </c>
      <c r="AG133">
        <f t="shared" ca="1" si="91"/>
        <v>0</v>
      </c>
      <c r="AH133">
        <f t="shared" ca="1" si="91"/>
        <v>0</v>
      </c>
      <c r="AI133">
        <f t="shared" ca="1" si="91"/>
        <v>0</v>
      </c>
      <c r="AJ133">
        <f t="shared" ca="1" si="91"/>
        <v>0</v>
      </c>
      <c r="AK133">
        <f t="shared" ca="1" si="91"/>
        <v>0</v>
      </c>
      <c r="AL133">
        <f t="shared" ca="1" si="91"/>
        <v>0</v>
      </c>
      <c r="AM133">
        <f t="shared" ca="1" si="91"/>
        <v>0</v>
      </c>
      <c r="AN133">
        <f t="shared" ca="1" si="91"/>
        <v>0</v>
      </c>
      <c r="AO133">
        <f t="shared" ca="1" si="91"/>
        <v>0</v>
      </c>
      <c r="AP133">
        <f t="shared" ca="1" si="91"/>
        <v>0</v>
      </c>
      <c r="AQ133">
        <f t="shared" ca="1" si="91"/>
        <v>0</v>
      </c>
    </row>
    <row r="134" spans="1:43" x14ac:dyDescent="0.25">
      <c r="A134">
        <f>1</f>
        <v>1</v>
      </c>
      <c r="B134" s="85">
        <f t="shared" si="85"/>
        <v>43922</v>
      </c>
      <c r="C134" s="85">
        <f t="shared" si="80"/>
        <v>43920</v>
      </c>
      <c r="D134">
        <f t="shared" ca="1" si="81"/>
        <v>1</v>
      </c>
      <c r="E134" s="85">
        <f t="shared" si="82"/>
        <v>43922</v>
      </c>
      <c r="F134">
        <f t="shared" si="84"/>
        <v>14</v>
      </c>
      <c r="G134" s="85"/>
      <c r="L134" t="str">
        <f t="shared" ca="1" si="88"/>
        <v/>
      </c>
      <c r="M134">
        <v>3</v>
      </c>
      <c r="N134">
        <v>3</v>
      </c>
      <c r="O134" s="6">
        <f t="array" aca="1" ref="O134" ca="1">SUM(OFFSET($AA$43,0,($M134*3)+$N134,53,1)*O$43:O$95)</f>
        <v>0</v>
      </c>
      <c r="P134" s="6">
        <f t="array" aca="1" ref="P134" ca="1">SUM(OFFSET($AA$43,0,($M134*3)+$N134,53,1)*P$43:P$95)</f>
        <v>0</v>
      </c>
      <c r="Q134" s="6">
        <f t="array" aca="1" ref="Q134" ca="1">SUM(OFFSET($AA$43,0,($M134*3)+$N134,53,1)*Q$43:Q$95)</f>
        <v>0</v>
      </c>
      <c r="R134" s="6">
        <f t="array" aca="1" ref="R134" ca="1">SUM(OFFSET($AA$43,0,($M134*3)+$N134,53,1)*R$43:R$95)</f>
        <v>0</v>
      </c>
      <c r="S134" s="6">
        <f t="array" aca="1" ref="S134" ca="1">SUM(OFFSET($AA$43,0,($M134*3)+$N134,53,1)*S$43:S$95)</f>
        <v>0</v>
      </c>
      <c r="T134" s="6">
        <f t="array" aca="1" ref="T134" ca="1">SUM(OFFSET($AA$43,0,($M134*3)+$N134,53,1)*T$43:T$95)</f>
        <v>0</v>
      </c>
      <c r="U134" s="6">
        <f t="array" aca="1" ref="U134" ca="1">SUM(OFFSET($AA$43,0,($M134*3)+$N134,53,1)*U$43:U$95)</f>
        <v>0</v>
      </c>
      <c r="V134" s="6">
        <f t="array" aca="1" ref="V134" ca="1">SUM(OFFSET($AA$43,0,($M134*3)+$N134,53,1)*V$43:V$95)</f>
        <v>0</v>
      </c>
      <c r="W134" s="6">
        <f t="array" aca="1" ref="W134" ca="1">SUM(OFFSET($AA$43,0,($M134*3)+$N134,53,1)*W$43:W$95)</f>
        <v>0</v>
      </c>
      <c r="X134" s="6">
        <f t="array" aca="1" ref="X134" ca="1">SUM(OFFSET($AA$43,0,($M134*3)+$N134,53,1)*X$43:X$95)</f>
        <v>0</v>
      </c>
      <c r="Y134" s="6">
        <f t="array" aca="1" ref="Y134" ca="1">SUM(OFFSET($AA$43,0,($M134*3)+$N134,53,1)*Y$43:Y$95)</f>
        <v>0</v>
      </c>
      <c r="Z134" s="6">
        <f t="array" aca="1" ref="Z134" ca="1">SUM(OFFSET($AA$43,0,($M134*3)+$N134,53,1)*Z$43:Z$95)</f>
        <v>0</v>
      </c>
      <c r="AA134" s="6">
        <f t="shared" ca="1" si="87"/>
        <v>0</v>
      </c>
      <c r="AB134" s="6">
        <f t="shared" ca="1" si="89"/>
        <v>0</v>
      </c>
      <c r="AC134" s="8"/>
      <c r="AD134" s="8"/>
      <c r="AE134" t="str">
        <f t="shared" si="92"/>
        <v>Admission</v>
      </c>
      <c r="AF134">
        <f t="shared" ca="1" si="91"/>
        <v>0</v>
      </c>
      <c r="AG134">
        <f t="shared" ca="1" si="91"/>
        <v>0</v>
      </c>
      <c r="AH134">
        <f t="shared" ca="1" si="91"/>
        <v>0</v>
      </c>
      <c r="AI134">
        <f t="shared" ca="1" si="91"/>
        <v>0</v>
      </c>
      <c r="AJ134">
        <f t="shared" ca="1" si="91"/>
        <v>0</v>
      </c>
      <c r="AK134">
        <f t="shared" ca="1" si="91"/>
        <v>0</v>
      </c>
      <c r="AL134">
        <f t="shared" ca="1" si="91"/>
        <v>0</v>
      </c>
      <c r="AM134">
        <f t="shared" ca="1" si="91"/>
        <v>0</v>
      </c>
      <c r="AN134">
        <f t="shared" ca="1" si="91"/>
        <v>0</v>
      </c>
      <c r="AO134">
        <f t="shared" ca="1" si="91"/>
        <v>0</v>
      </c>
      <c r="AP134">
        <f t="shared" ca="1" si="91"/>
        <v>0</v>
      </c>
      <c r="AQ134">
        <f t="shared" ca="1" si="91"/>
        <v>0</v>
      </c>
    </row>
    <row r="135" spans="1:43" x14ac:dyDescent="0.25">
      <c r="A135">
        <f>1</f>
        <v>1</v>
      </c>
      <c r="B135" s="85">
        <f t="shared" si="85"/>
        <v>43923</v>
      </c>
      <c r="C135" s="85">
        <f t="shared" si="80"/>
        <v>43920</v>
      </c>
      <c r="D135">
        <f t="shared" ca="1" si="81"/>
        <v>1</v>
      </c>
      <c r="E135" s="85">
        <f t="shared" si="82"/>
        <v>43922</v>
      </c>
      <c r="F135">
        <f t="shared" si="84"/>
        <v>14</v>
      </c>
      <c r="G135" s="85"/>
      <c r="L135" t="str">
        <f t="shared" ca="1" si="88"/>
        <v/>
      </c>
      <c r="M135">
        <v>4</v>
      </c>
      <c r="N135">
        <v>1</v>
      </c>
      <c r="O135" s="6">
        <f t="array" aca="1" ref="O135" ca="1">SUM(OFFSET($AA$43,0,($M135*3)+$N135,53,1)*O$43:O$95)</f>
        <v>0</v>
      </c>
      <c r="P135" s="6">
        <f t="array" aca="1" ref="P135" ca="1">SUM(OFFSET($AA$43,0,($M135*3)+$N135,53,1)*P$43:P$95)</f>
        <v>0</v>
      </c>
      <c r="Q135" s="6">
        <f t="array" aca="1" ref="Q135" ca="1">SUM(OFFSET($AA$43,0,($M135*3)+$N135,53,1)*Q$43:Q$95)</f>
        <v>0</v>
      </c>
      <c r="R135" s="6">
        <f t="array" aca="1" ref="R135" ca="1">SUM(OFFSET($AA$43,0,($M135*3)+$N135,53,1)*R$43:R$95)</f>
        <v>0</v>
      </c>
      <c r="S135" s="6">
        <f t="array" aca="1" ref="S135" ca="1">SUM(OFFSET($AA$43,0,($M135*3)+$N135,53,1)*S$43:S$95)</f>
        <v>0</v>
      </c>
      <c r="T135" s="6">
        <f t="array" aca="1" ref="T135" ca="1">SUM(OFFSET($AA$43,0,($M135*3)+$N135,53,1)*T$43:T$95)</f>
        <v>0</v>
      </c>
      <c r="U135" s="6">
        <f t="array" aca="1" ref="U135" ca="1">SUM(OFFSET($AA$43,0,($M135*3)+$N135,53,1)*U$43:U$95)</f>
        <v>0</v>
      </c>
      <c r="V135" s="6">
        <f t="array" aca="1" ref="V135" ca="1">SUM(OFFSET($AA$43,0,($M135*3)+$N135,53,1)*V$43:V$95)</f>
        <v>0</v>
      </c>
      <c r="W135" s="6">
        <f t="array" aca="1" ref="W135" ca="1">SUM(OFFSET($AA$43,0,($M135*3)+$N135,53,1)*W$43:W$95)</f>
        <v>0</v>
      </c>
      <c r="X135" s="6">
        <f t="array" aca="1" ref="X135" ca="1">SUM(OFFSET($AA$43,0,($M135*3)+$N135,53,1)*X$43:X$95)</f>
        <v>0</v>
      </c>
      <c r="Y135" s="6">
        <f t="array" aca="1" ref="Y135" ca="1">SUM(OFFSET($AA$43,0,($M135*3)+$N135,53,1)*Y$43:Y$95)</f>
        <v>0</v>
      </c>
      <c r="Z135" s="6">
        <f t="array" aca="1" ref="Z135" ca="1">SUM(OFFSET($AA$43,0,($M135*3)+$N135,53,1)*Z$43:Z$95)</f>
        <v>0</v>
      </c>
      <c r="AA135" s="6">
        <f t="shared" ca="1" si="87"/>
        <v>0</v>
      </c>
      <c r="AB135" s="6">
        <f t="shared" ca="1" si="89"/>
        <v>0</v>
      </c>
      <c r="AC135" s="8"/>
      <c r="AD135" s="8">
        <v>2</v>
      </c>
      <c r="AE135" t="str">
        <f t="shared" si="92"/>
        <v>New</v>
      </c>
      <c r="AF135">
        <f t="shared" ref="AF135:AQ139" ca="1" si="93">SUMIFS(O$126:O$128,$L$126:$L$128, $AE135)</f>
        <v>0</v>
      </c>
      <c r="AG135">
        <f t="shared" ca="1" si="93"/>
        <v>0</v>
      </c>
      <c r="AH135">
        <f t="shared" ca="1" si="93"/>
        <v>0</v>
      </c>
      <c r="AI135">
        <f t="shared" ca="1" si="93"/>
        <v>0</v>
      </c>
      <c r="AJ135">
        <f t="shared" ca="1" si="93"/>
        <v>0</v>
      </c>
      <c r="AK135">
        <f t="shared" ca="1" si="93"/>
        <v>0</v>
      </c>
      <c r="AL135">
        <f t="shared" ca="1" si="93"/>
        <v>0</v>
      </c>
      <c r="AM135">
        <f t="shared" ca="1" si="93"/>
        <v>0</v>
      </c>
      <c r="AN135">
        <f t="shared" ca="1" si="93"/>
        <v>0</v>
      </c>
      <c r="AO135">
        <f t="shared" ca="1" si="93"/>
        <v>0</v>
      </c>
      <c r="AP135">
        <f t="shared" ca="1" si="93"/>
        <v>0</v>
      </c>
      <c r="AQ135">
        <f t="shared" ca="1" si="93"/>
        <v>0</v>
      </c>
    </row>
    <row r="136" spans="1:43" x14ac:dyDescent="0.25">
      <c r="A136">
        <f>1</f>
        <v>1</v>
      </c>
      <c r="B136" s="85">
        <f t="shared" si="85"/>
        <v>43924</v>
      </c>
      <c r="C136" s="85">
        <f t="shared" si="80"/>
        <v>43920</v>
      </c>
      <c r="D136">
        <f t="shared" ca="1" si="81"/>
        <v>1</v>
      </c>
      <c r="E136" s="85">
        <f t="shared" si="82"/>
        <v>43922</v>
      </c>
      <c r="F136">
        <f t="shared" si="84"/>
        <v>14</v>
      </c>
      <c r="G136" s="85"/>
      <c r="L136" t="str">
        <f t="shared" ca="1" si="88"/>
        <v/>
      </c>
      <c r="M136">
        <v>4</v>
      </c>
      <c r="N136">
        <v>2</v>
      </c>
      <c r="O136" s="6">
        <f t="array" aca="1" ref="O136" ca="1">SUM(OFFSET($AA$43,0,($M136*3)+$N136,53,1)*O$43:O$95)</f>
        <v>0</v>
      </c>
      <c r="P136" s="6">
        <f t="array" aca="1" ref="P136" ca="1">SUM(OFFSET($AA$43,0,($M136*3)+$N136,53,1)*P$43:P$95)</f>
        <v>0</v>
      </c>
      <c r="Q136" s="6">
        <f t="array" aca="1" ref="Q136" ca="1">SUM(OFFSET($AA$43,0,($M136*3)+$N136,53,1)*Q$43:Q$95)</f>
        <v>0</v>
      </c>
      <c r="R136" s="6">
        <f t="array" aca="1" ref="R136" ca="1">SUM(OFFSET($AA$43,0,($M136*3)+$N136,53,1)*R$43:R$95)</f>
        <v>0</v>
      </c>
      <c r="S136" s="6">
        <f t="array" aca="1" ref="S136" ca="1">SUM(OFFSET($AA$43,0,($M136*3)+$N136,53,1)*S$43:S$95)</f>
        <v>0</v>
      </c>
      <c r="T136" s="6">
        <f t="array" aca="1" ref="T136" ca="1">SUM(OFFSET($AA$43,0,($M136*3)+$N136,53,1)*T$43:T$95)</f>
        <v>0</v>
      </c>
      <c r="U136" s="6">
        <f t="array" aca="1" ref="U136" ca="1">SUM(OFFSET($AA$43,0,($M136*3)+$N136,53,1)*U$43:U$95)</f>
        <v>0</v>
      </c>
      <c r="V136" s="6">
        <f t="array" aca="1" ref="V136" ca="1">SUM(OFFSET($AA$43,0,($M136*3)+$N136,53,1)*V$43:V$95)</f>
        <v>0</v>
      </c>
      <c r="W136" s="6">
        <f t="array" aca="1" ref="W136" ca="1">SUM(OFFSET($AA$43,0,($M136*3)+$N136,53,1)*W$43:W$95)</f>
        <v>0</v>
      </c>
      <c r="X136" s="6">
        <f t="array" aca="1" ref="X136" ca="1">SUM(OFFSET($AA$43,0,($M136*3)+$N136,53,1)*X$43:X$95)</f>
        <v>0</v>
      </c>
      <c r="Y136" s="6">
        <f t="array" aca="1" ref="Y136" ca="1">SUM(OFFSET($AA$43,0,($M136*3)+$N136,53,1)*Y$43:Y$95)</f>
        <v>0</v>
      </c>
      <c r="Z136" s="6">
        <f t="array" aca="1" ref="Z136" ca="1">SUM(OFFSET($AA$43,0,($M136*3)+$N136,53,1)*Z$43:Z$95)</f>
        <v>0</v>
      </c>
      <c r="AA136" s="6">
        <f t="shared" ca="1" si="87"/>
        <v>0</v>
      </c>
      <c r="AB136" s="6">
        <f t="shared" ca="1" si="89"/>
        <v>0</v>
      </c>
      <c r="AC136" s="8"/>
      <c r="AD136" s="8"/>
      <c r="AE136" t="str">
        <f t="shared" si="92"/>
        <v>Diagnostic (N)</v>
      </c>
      <c r="AF136">
        <f t="shared" ca="1" si="93"/>
        <v>0</v>
      </c>
      <c r="AG136">
        <f t="shared" ca="1" si="93"/>
        <v>0</v>
      </c>
      <c r="AH136">
        <f t="shared" ca="1" si="93"/>
        <v>0</v>
      </c>
      <c r="AI136">
        <f t="shared" ca="1" si="93"/>
        <v>0</v>
      </c>
      <c r="AJ136">
        <f t="shared" ca="1" si="93"/>
        <v>0</v>
      </c>
      <c r="AK136">
        <f t="shared" ca="1" si="93"/>
        <v>0</v>
      </c>
      <c r="AL136">
        <f t="shared" ca="1" si="93"/>
        <v>0</v>
      </c>
      <c r="AM136">
        <f t="shared" ca="1" si="93"/>
        <v>0</v>
      </c>
      <c r="AN136">
        <f t="shared" ca="1" si="93"/>
        <v>0</v>
      </c>
      <c r="AO136">
        <f t="shared" ca="1" si="93"/>
        <v>0</v>
      </c>
      <c r="AP136">
        <f t="shared" ca="1" si="93"/>
        <v>0</v>
      </c>
      <c r="AQ136">
        <f t="shared" ca="1" si="93"/>
        <v>0</v>
      </c>
    </row>
    <row r="137" spans="1:43" x14ac:dyDescent="0.25">
      <c r="A137">
        <f>1</f>
        <v>1</v>
      </c>
      <c r="B137" s="85">
        <f t="shared" si="85"/>
        <v>43925</v>
      </c>
      <c r="C137" s="85">
        <f t="shared" si="80"/>
        <v>43920</v>
      </c>
      <c r="D137">
        <f t="shared" ca="1" si="81"/>
        <v>0</v>
      </c>
      <c r="E137" s="85">
        <f t="shared" si="82"/>
        <v>43922</v>
      </c>
      <c r="F137">
        <f t="shared" si="84"/>
        <v>14</v>
      </c>
      <c r="G137" s="85"/>
      <c r="L137" t="str">
        <f t="shared" ca="1" si="88"/>
        <v/>
      </c>
      <c r="M137">
        <v>4</v>
      </c>
      <c r="N137">
        <v>3</v>
      </c>
      <c r="O137" s="6">
        <f t="array" aca="1" ref="O137" ca="1">SUM(OFFSET($AA$43,0,($M137*3)+$N137,53,1)*O$43:O$95)</f>
        <v>0</v>
      </c>
      <c r="P137" s="6">
        <f t="array" aca="1" ref="P137" ca="1">SUM(OFFSET($AA$43,0,($M137*3)+$N137,53,1)*P$43:P$95)</f>
        <v>0</v>
      </c>
      <c r="Q137" s="6">
        <f t="array" aca="1" ref="Q137" ca="1">SUM(OFFSET($AA$43,0,($M137*3)+$N137,53,1)*Q$43:Q$95)</f>
        <v>0</v>
      </c>
      <c r="R137" s="6">
        <f t="array" aca="1" ref="R137" ca="1">SUM(OFFSET($AA$43,0,($M137*3)+$N137,53,1)*R$43:R$95)</f>
        <v>0</v>
      </c>
      <c r="S137" s="6">
        <f t="array" aca="1" ref="S137" ca="1">SUM(OFFSET($AA$43,0,($M137*3)+$N137,53,1)*S$43:S$95)</f>
        <v>0</v>
      </c>
      <c r="T137" s="6">
        <f t="array" aca="1" ref="T137" ca="1">SUM(OFFSET($AA$43,0,($M137*3)+$N137,53,1)*T$43:T$95)</f>
        <v>0</v>
      </c>
      <c r="U137" s="6">
        <f t="array" aca="1" ref="U137" ca="1">SUM(OFFSET($AA$43,0,($M137*3)+$N137,53,1)*U$43:U$95)</f>
        <v>0</v>
      </c>
      <c r="V137" s="6">
        <f t="array" aca="1" ref="V137" ca="1">SUM(OFFSET($AA$43,0,($M137*3)+$N137,53,1)*V$43:V$95)</f>
        <v>0</v>
      </c>
      <c r="W137" s="6">
        <f t="array" aca="1" ref="W137" ca="1">SUM(OFFSET($AA$43,0,($M137*3)+$N137,53,1)*W$43:W$95)</f>
        <v>0</v>
      </c>
      <c r="X137" s="6">
        <f t="array" aca="1" ref="X137" ca="1">SUM(OFFSET($AA$43,0,($M137*3)+$N137,53,1)*X$43:X$95)</f>
        <v>0</v>
      </c>
      <c r="Y137" s="6">
        <f t="array" aca="1" ref="Y137" ca="1">SUM(OFFSET($AA$43,0,($M137*3)+$N137,53,1)*Y$43:Y$95)</f>
        <v>0</v>
      </c>
      <c r="Z137" s="6">
        <f t="array" aca="1" ref="Z137" ca="1">SUM(OFFSET($AA$43,0,($M137*3)+$N137,53,1)*Z$43:Z$95)</f>
        <v>0</v>
      </c>
      <c r="AA137" s="6">
        <f t="shared" ca="1" si="87"/>
        <v>0</v>
      </c>
      <c r="AB137" s="6">
        <f t="shared" ca="1" si="89"/>
        <v>0</v>
      </c>
      <c r="AC137" s="8"/>
      <c r="AD137" s="8"/>
      <c r="AE137" t="str">
        <f t="shared" si="92"/>
        <v>Follow Up</v>
      </c>
      <c r="AF137">
        <f t="shared" ca="1" si="93"/>
        <v>0</v>
      </c>
      <c r="AG137">
        <f t="shared" ca="1" si="93"/>
        <v>0</v>
      </c>
      <c r="AH137">
        <f t="shared" ca="1" si="93"/>
        <v>0</v>
      </c>
      <c r="AI137">
        <f t="shared" ca="1" si="93"/>
        <v>0</v>
      </c>
      <c r="AJ137">
        <f t="shared" ca="1" si="93"/>
        <v>0</v>
      </c>
      <c r="AK137">
        <f t="shared" ca="1" si="93"/>
        <v>0</v>
      </c>
      <c r="AL137">
        <f t="shared" ca="1" si="93"/>
        <v>0</v>
      </c>
      <c r="AM137">
        <f t="shared" ca="1" si="93"/>
        <v>0</v>
      </c>
      <c r="AN137">
        <f t="shared" ca="1" si="93"/>
        <v>0</v>
      </c>
      <c r="AO137">
        <f t="shared" ca="1" si="93"/>
        <v>0</v>
      </c>
      <c r="AP137">
        <f t="shared" ca="1" si="93"/>
        <v>0</v>
      </c>
      <c r="AQ137">
        <f t="shared" ca="1" si="93"/>
        <v>0</v>
      </c>
    </row>
    <row r="138" spans="1:43" x14ac:dyDescent="0.25">
      <c r="A138">
        <f>1</f>
        <v>1</v>
      </c>
      <c r="B138" s="85">
        <f t="shared" si="85"/>
        <v>43926</v>
      </c>
      <c r="C138" s="85">
        <f t="shared" si="80"/>
        <v>43920</v>
      </c>
      <c r="D138">
        <f t="shared" ca="1" si="81"/>
        <v>0</v>
      </c>
      <c r="E138" s="85">
        <f t="shared" si="82"/>
        <v>43922</v>
      </c>
      <c r="F138">
        <f t="shared" si="84"/>
        <v>14</v>
      </c>
      <c r="G138" s="85"/>
      <c r="L138" t="str">
        <f t="shared" ca="1" si="88"/>
        <v/>
      </c>
      <c r="M138">
        <v>5</v>
      </c>
      <c r="N138">
        <v>1</v>
      </c>
      <c r="O138" s="6">
        <f t="array" aca="1" ref="O138" ca="1">SUM(OFFSET($AA$43,0,($M138*3)+$N138,53,1)*O$43:O$95)</f>
        <v>0</v>
      </c>
      <c r="P138" s="6">
        <f t="array" aca="1" ref="P138" ca="1">SUM(OFFSET($AA$43,0,($M138*3)+$N138,53,1)*P$43:P$95)</f>
        <v>0</v>
      </c>
      <c r="Q138" s="6">
        <f t="array" aca="1" ref="Q138" ca="1">SUM(OFFSET($AA$43,0,($M138*3)+$N138,53,1)*Q$43:Q$95)</f>
        <v>0</v>
      </c>
      <c r="R138" s="6">
        <f t="array" aca="1" ref="R138" ca="1">SUM(OFFSET($AA$43,0,($M138*3)+$N138,53,1)*R$43:R$95)</f>
        <v>0</v>
      </c>
      <c r="S138" s="6">
        <f t="array" aca="1" ref="S138" ca="1">SUM(OFFSET($AA$43,0,($M138*3)+$N138,53,1)*S$43:S$95)</f>
        <v>0</v>
      </c>
      <c r="T138" s="6">
        <f t="array" aca="1" ref="T138" ca="1">SUM(OFFSET($AA$43,0,($M138*3)+$N138,53,1)*T$43:T$95)</f>
        <v>0</v>
      </c>
      <c r="U138" s="6">
        <f t="array" aca="1" ref="U138" ca="1">SUM(OFFSET($AA$43,0,($M138*3)+$N138,53,1)*U$43:U$95)</f>
        <v>0</v>
      </c>
      <c r="V138" s="6">
        <f t="array" aca="1" ref="V138" ca="1">SUM(OFFSET($AA$43,0,($M138*3)+$N138,53,1)*V$43:V$95)</f>
        <v>0</v>
      </c>
      <c r="W138" s="6">
        <f t="array" aca="1" ref="W138" ca="1">SUM(OFFSET($AA$43,0,($M138*3)+$N138,53,1)*W$43:W$95)</f>
        <v>0</v>
      </c>
      <c r="X138" s="6">
        <f t="array" aca="1" ref="X138" ca="1">SUM(OFFSET($AA$43,0,($M138*3)+$N138,53,1)*X$43:X$95)</f>
        <v>0</v>
      </c>
      <c r="Y138" s="6">
        <f t="array" aca="1" ref="Y138" ca="1">SUM(OFFSET($AA$43,0,($M138*3)+$N138,53,1)*Y$43:Y$95)</f>
        <v>0</v>
      </c>
      <c r="Z138" s="6">
        <f t="array" aca="1" ref="Z138" ca="1">SUM(OFFSET($AA$43,0,($M138*3)+$N138,53,1)*Z$43:Z$95)</f>
        <v>0</v>
      </c>
      <c r="AA138" s="6">
        <f t="shared" ca="1" si="87"/>
        <v>0</v>
      </c>
      <c r="AB138" s="6">
        <f t="shared" ca="1" si="89"/>
        <v>0</v>
      </c>
      <c r="AC138" s="8"/>
      <c r="AD138" s="8"/>
      <c r="AE138" t="str">
        <f t="shared" si="92"/>
        <v>Diagnostic (FU)</v>
      </c>
      <c r="AF138">
        <f t="shared" ca="1" si="93"/>
        <v>0</v>
      </c>
      <c r="AG138">
        <f t="shared" ca="1" si="93"/>
        <v>0</v>
      </c>
      <c r="AH138">
        <f t="shared" ca="1" si="93"/>
        <v>0</v>
      </c>
      <c r="AI138">
        <f t="shared" ca="1" si="93"/>
        <v>0</v>
      </c>
      <c r="AJ138">
        <f t="shared" ca="1" si="93"/>
        <v>0</v>
      </c>
      <c r="AK138">
        <f t="shared" ca="1" si="93"/>
        <v>0</v>
      </c>
      <c r="AL138">
        <f t="shared" ca="1" si="93"/>
        <v>0</v>
      </c>
      <c r="AM138">
        <f t="shared" ca="1" si="93"/>
        <v>0</v>
      </c>
      <c r="AN138">
        <f t="shared" ca="1" si="93"/>
        <v>0</v>
      </c>
      <c r="AO138">
        <f t="shared" ca="1" si="93"/>
        <v>0</v>
      </c>
      <c r="AP138">
        <f t="shared" ca="1" si="93"/>
        <v>0</v>
      </c>
      <c r="AQ138">
        <f t="shared" ca="1" si="93"/>
        <v>0</v>
      </c>
    </row>
    <row r="139" spans="1:43" x14ac:dyDescent="0.25">
      <c r="A139">
        <f>1</f>
        <v>1</v>
      </c>
      <c r="B139" s="85">
        <f t="shared" si="85"/>
        <v>43927</v>
      </c>
      <c r="C139" s="85">
        <f t="shared" si="80"/>
        <v>43927</v>
      </c>
      <c r="D139">
        <f t="shared" ca="1" si="81"/>
        <v>1</v>
      </c>
      <c r="E139" s="85">
        <f t="shared" si="82"/>
        <v>43922</v>
      </c>
      <c r="F139">
        <f t="shared" si="84"/>
        <v>15</v>
      </c>
      <c r="G139" s="85"/>
      <c r="L139" t="str">
        <f t="shared" ca="1" si="88"/>
        <v/>
      </c>
      <c r="M139">
        <v>5</v>
      </c>
      <c r="N139">
        <v>2</v>
      </c>
      <c r="O139" s="6">
        <f t="array" aca="1" ref="O139" ca="1">SUM(OFFSET($AA$43,0,($M139*3)+$N139,53,1)*O$43:O$95)</f>
        <v>0</v>
      </c>
      <c r="P139" s="6">
        <f t="array" aca="1" ref="P139" ca="1">SUM(OFFSET($AA$43,0,($M139*3)+$N139,53,1)*P$43:P$95)</f>
        <v>0</v>
      </c>
      <c r="Q139" s="6">
        <f t="array" aca="1" ref="Q139" ca="1">SUM(OFFSET($AA$43,0,($M139*3)+$N139,53,1)*Q$43:Q$95)</f>
        <v>0</v>
      </c>
      <c r="R139" s="6">
        <f t="array" aca="1" ref="R139" ca="1">SUM(OFFSET($AA$43,0,($M139*3)+$N139,53,1)*R$43:R$95)</f>
        <v>0</v>
      </c>
      <c r="S139" s="6">
        <f t="array" aca="1" ref="S139" ca="1">SUM(OFFSET($AA$43,0,($M139*3)+$N139,53,1)*S$43:S$95)</f>
        <v>0</v>
      </c>
      <c r="T139" s="6">
        <f t="array" aca="1" ref="T139" ca="1">SUM(OFFSET($AA$43,0,($M139*3)+$N139,53,1)*T$43:T$95)</f>
        <v>0</v>
      </c>
      <c r="U139" s="6">
        <f t="array" aca="1" ref="U139" ca="1">SUM(OFFSET($AA$43,0,($M139*3)+$N139,53,1)*U$43:U$95)</f>
        <v>0</v>
      </c>
      <c r="V139" s="6">
        <f t="array" aca="1" ref="V139" ca="1">SUM(OFFSET($AA$43,0,($M139*3)+$N139,53,1)*V$43:V$95)</f>
        <v>0</v>
      </c>
      <c r="W139" s="6">
        <f t="array" aca="1" ref="W139" ca="1">SUM(OFFSET($AA$43,0,($M139*3)+$N139,53,1)*W$43:W$95)</f>
        <v>0</v>
      </c>
      <c r="X139" s="6">
        <f t="array" aca="1" ref="X139" ca="1">SUM(OFFSET($AA$43,0,($M139*3)+$N139,53,1)*X$43:X$95)</f>
        <v>0</v>
      </c>
      <c r="Y139" s="6">
        <f t="array" aca="1" ref="Y139" ca="1">SUM(OFFSET($AA$43,0,($M139*3)+$N139,53,1)*Y$43:Y$95)</f>
        <v>0</v>
      </c>
      <c r="Z139" s="6">
        <f t="array" aca="1" ref="Z139" ca="1">SUM(OFFSET($AA$43,0,($M139*3)+$N139,53,1)*Z$43:Z$95)</f>
        <v>0</v>
      </c>
      <c r="AA139" s="6">
        <f t="shared" ca="1" si="87"/>
        <v>0</v>
      </c>
      <c r="AB139" s="6">
        <f t="shared" ca="1" si="89"/>
        <v>0</v>
      </c>
      <c r="AC139" s="8"/>
      <c r="AD139" s="8"/>
      <c r="AE139" t="str">
        <f t="shared" si="92"/>
        <v>Admission</v>
      </c>
      <c r="AF139">
        <f t="shared" ca="1" si="93"/>
        <v>0</v>
      </c>
      <c r="AG139">
        <f t="shared" ca="1" si="93"/>
        <v>0</v>
      </c>
      <c r="AH139">
        <f t="shared" ca="1" si="93"/>
        <v>0</v>
      </c>
      <c r="AI139">
        <f t="shared" ca="1" si="93"/>
        <v>0</v>
      </c>
      <c r="AJ139">
        <f t="shared" ca="1" si="93"/>
        <v>0</v>
      </c>
      <c r="AK139">
        <f t="shared" ca="1" si="93"/>
        <v>0</v>
      </c>
      <c r="AL139">
        <f t="shared" ca="1" si="93"/>
        <v>0</v>
      </c>
      <c r="AM139">
        <f t="shared" ca="1" si="93"/>
        <v>0</v>
      </c>
      <c r="AN139">
        <f t="shared" ca="1" si="93"/>
        <v>0</v>
      </c>
      <c r="AO139">
        <f t="shared" ca="1" si="93"/>
        <v>0</v>
      </c>
      <c r="AP139">
        <f t="shared" ca="1" si="93"/>
        <v>0</v>
      </c>
      <c r="AQ139">
        <f t="shared" ca="1" si="93"/>
        <v>0</v>
      </c>
    </row>
    <row r="140" spans="1:43" x14ac:dyDescent="0.25">
      <c r="A140">
        <f>1</f>
        <v>1</v>
      </c>
      <c r="B140" s="85">
        <f t="shared" si="85"/>
        <v>43928</v>
      </c>
      <c r="C140" s="85">
        <f t="shared" si="80"/>
        <v>43927</v>
      </c>
      <c r="D140">
        <f t="shared" ca="1" si="81"/>
        <v>1</v>
      </c>
      <c r="E140" s="85">
        <f t="shared" si="82"/>
        <v>43922</v>
      </c>
      <c r="F140">
        <f t="shared" si="84"/>
        <v>15</v>
      </c>
      <c r="G140" s="85"/>
      <c r="L140" t="str">
        <f t="shared" ca="1" si="88"/>
        <v/>
      </c>
      <c r="M140">
        <v>5</v>
      </c>
      <c r="N140">
        <v>3</v>
      </c>
      <c r="O140" s="6">
        <f t="array" aca="1" ref="O140" ca="1">SUM(OFFSET($AA$43,0,($M140*3)+$N140,53,1)*O$43:O$95)</f>
        <v>0</v>
      </c>
      <c r="P140" s="6">
        <f t="array" aca="1" ref="P140" ca="1">SUM(OFFSET($AA$43,0,($M140*3)+$N140,53,1)*P$43:P$95)</f>
        <v>0</v>
      </c>
      <c r="Q140" s="6">
        <f t="array" aca="1" ref="Q140" ca="1">SUM(OFFSET($AA$43,0,($M140*3)+$N140,53,1)*Q$43:Q$95)</f>
        <v>0</v>
      </c>
      <c r="R140" s="6">
        <f t="array" aca="1" ref="R140" ca="1">SUM(OFFSET($AA$43,0,($M140*3)+$N140,53,1)*R$43:R$95)</f>
        <v>0</v>
      </c>
      <c r="S140" s="6">
        <f t="array" aca="1" ref="S140" ca="1">SUM(OFFSET($AA$43,0,($M140*3)+$N140,53,1)*S$43:S$95)</f>
        <v>0</v>
      </c>
      <c r="T140" s="6">
        <f t="array" aca="1" ref="T140" ca="1">SUM(OFFSET($AA$43,0,($M140*3)+$N140,53,1)*T$43:T$95)</f>
        <v>0</v>
      </c>
      <c r="U140" s="6">
        <f t="array" aca="1" ref="U140" ca="1">SUM(OFFSET($AA$43,0,($M140*3)+$N140,53,1)*U$43:U$95)</f>
        <v>0</v>
      </c>
      <c r="V140" s="6">
        <f t="array" aca="1" ref="V140" ca="1">SUM(OFFSET($AA$43,0,($M140*3)+$N140,53,1)*V$43:V$95)</f>
        <v>0</v>
      </c>
      <c r="W140" s="6">
        <f t="array" aca="1" ref="W140" ca="1">SUM(OFFSET($AA$43,0,($M140*3)+$N140,53,1)*W$43:W$95)</f>
        <v>0</v>
      </c>
      <c r="X140" s="6">
        <f t="array" aca="1" ref="X140" ca="1">SUM(OFFSET($AA$43,0,($M140*3)+$N140,53,1)*X$43:X$95)</f>
        <v>0</v>
      </c>
      <c r="Y140" s="6">
        <f t="array" aca="1" ref="Y140" ca="1">SUM(OFFSET($AA$43,0,($M140*3)+$N140,53,1)*Y$43:Y$95)</f>
        <v>0</v>
      </c>
      <c r="Z140" s="6">
        <f t="array" aca="1" ref="Z140" ca="1">SUM(OFFSET($AA$43,0,($M140*3)+$N140,53,1)*Z$43:Z$95)</f>
        <v>0</v>
      </c>
      <c r="AA140" s="6">
        <f t="shared" ca="1" si="87"/>
        <v>0</v>
      </c>
      <c r="AB140" s="6">
        <f t="shared" ca="1" si="89"/>
        <v>0</v>
      </c>
      <c r="AC140" s="8"/>
      <c r="AD140" s="8">
        <v>3</v>
      </c>
      <c r="AE140" t="str">
        <f t="shared" si="92"/>
        <v>New</v>
      </c>
      <c r="AF140">
        <f t="shared" ref="AF140:AQ144" ca="1" si="94">SUMIFS(O$129:O$131,$L$129:$L$131, $AE140)</f>
        <v>0</v>
      </c>
      <c r="AG140">
        <f t="shared" ca="1" si="94"/>
        <v>0</v>
      </c>
      <c r="AH140">
        <f t="shared" ca="1" si="94"/>
        <v>0</v>
      </c>
      <c r="AI140">
        <f t="shared" ca="1" si="94"/>
        <v>0</v>
      </c>
      <c r="AJ140">
        <f t="shared" ca="1" si="94"/>
        <v>0</v>
      </c>
      <c r="AK140">
        <f t="shared" ca="1" si="94"/>
        <v>0</v>
      </c>
      <c r="AL140">
        <f t="shared" ca="1" si="94"/>
        <v>0</v>
      </c>
      <c r="AM140">
        <f t="shared" ca="1" si="94"/>
        <v>0</v>
      </c>
      <c r="AN140">
        <f t="shared" ca="1" si="94"/>
        <v>0</v>
      </c>
      <c r="AO140">
        <f t="shared" ca="1" si="94"/>
        <v>0</v>
      </c>
      <c r="AP140">
        <f t="shared" ca="1" si="94"/>
        <v>0</v>
      </c>
      <c r="AQ140">
        <f t="shared" ca="1" si="94"/>
        <v>0</v>
      </c>
    </row>
    <row r="141" spans="1:43" x14ac:dyDescent="0.25">
      <c r="A141">
        <f>1</f>
        <v>1</v>
      </c>
      <c r="B141" s="85">
        <f t="shared" si="85"/>
        <v>43929</v>
      </c>
      <c r="C141" s="85">
        <f t="shared" si="80"/>
        <v>43927</v>
      </c>
      <c r="D141">
        <f t="shared" ca="1" si="81"/>
        <v>1</v>
      </c>
      <c r="E141" s="85">
        <f t="shared" si="82"/>
        <v>43922</v>
      </c>
      <c r="F141">
        <f t="shared" si="84"/>
        <v>15</v>
      </c>
      <c r="G141" s="85"/>
      <c r="L141" t="str">
        <f t="shared" ca="1" si="88"/>
        <v/>
      </c>
      <c r="M141">
        <v>6</v>
      </c>
      <c r="N141">
        <v>1</v>
      </c>
      <c r="O141" s="6">
        <f t="array" aca="1" ref="O141" ca="1">SUM(OFFSET($AA$43,0,($M141*3)+$N141,53,1)*O$43:O$95)</f>
        <v>0</v>
      </c>
      <c r="P141" s="6">
        <f t="array" aca="1" ref="P141" ca="1">SUM(OFFSET($AA$43,0,($M141*3)+$N141,53,1)*P$43:P$95)</f>
        <v>0</v>
      </c>
      <c r="Q141" s="6">
        <f t="array" aca="1" ref="Q141" ca="1">SUM(OFFSET($AA$43,0,($M141*3)+$N141,53,1)*Q$43:Q$95)</f>
        <v>0</v>
      </c>
      <c r="R141" s="6">
        <f t="array" aca="1" ref="R141" ca="1">SUM(OFFSET($AA$43,0,($M141*3)+$N141,53,1)*R$43:R$95)</f>
        <v>0</v>
      </c>
      <c r="S141" s="6">
        <f t="array" aca="1" ref="S141" ca="1">SUM(OFFSET($AA$43,0,($M141*3)+$N141,53,1)*S$43:S$95)</f>
        <v>0</v>
      </c>
      <c r="T141" s="6">
        <f t="array" aca="1" ref="T141" ca="1">SUM(OFFSET($AA$43,0,($M141*3)+$N141,53,1)*T$43:T$95)</f>
        <v>0</v>
      </c>
      <c r="U141" s="6">
        <f t="array" aca="1" ref="U141" ca="1">SUM(OFFSET($AA$43,0,($M141*3)+$N141,53,1)*U$43:U$95)</f>
        <v>0</v>
      </c>
      <c r="V141" s="6">
        <f t="array" aca="1" ref="V141" ca="1">SUM(OFFSET($AA$43,0,($M141*3)+$N141,53,1)*V$43:V$95)</f>
        <v>0</v>
      </c>
      <c r="W141" s="6">
        <f t="array" aca="1" ref="W141" ca="1">SUM(OFFSET($AA$43,0,($M141*3)+$N141,53,1)*W$43:W$95)</f>
        <v>0</v>
      </c>
      <c r="X141" s="6">
        <f t="array" aca="1" ref="X141" ca="1">SUM(OFFSET($AA$43,0,($M141*3)+$N141,53,1)*X$43:X$95)</f>
        <v>0</v>
      </c>
      <c r="Y141" s="6">
        <f t="array" aca="1" ref="Y141" ca="1">SUM(OFFSET($AA$43,0,($M141*3)+$N141,53,1)*Y$43:Y$95)</f>
        <v>0</v>
      </c>
      <c r="Z141" s="6">
        <f t="array" aca="1" ref="Z141" ca="1">SUM(OFFSET($AA$43,0,($M141*3)+$N141,53,1)*Z$43:Z$95)</f>
        <v>0</v>
      </c>
      <c r="AA141" s="6">
        <f t="shared" ca="1" si="87"/>
        <v>0</v>
      </c>
      <c r="AB141" s="6">
        <f t="shared" ca="1" si="89"/>
        <v>0</v>
      </c>
      <c r="AC141" s="8"/>
      <c r="AD141" s="8"/>
      <c r="AE141" t="str">
        <f t="shared" si="92"/>
        <v>Diagnostic (N)</v>
      </c>
      <c r="AF141">
        <f t="shared" ca="1" si="94"/>
        <v>0</v>
      </c>
      <c r="AG141">
        <f t="shared" ca="1" si="94"/>
        <v>0</v>
      </c>
      <c r="AH141">
        <f t="shared" ca="1" si="94"/>
        <v>0</v>
      </c>
      <c r="AI141">
        <f t="shared" ca="1" si="94"/>
        <v>0</v>
      </c>
      <c r="AJ141">
        <f t="shared" ca="1" si="94"/>
        <v>0</v>
      </c>
      <c r="AK141">
        <f t="shared" ca="1" si="94"/>
        <v>0</v>
      </c>
      <c r="AL141">
        <f t="shared" ca="1" si="94"/>
        <v>0</v>
      </c>
      <c r="AM141">
        <f t="shared" ca="1" si="94"/>
        <v>0</v>
      </c>
      <c r="AN141">
        <f t="shared" ca="1" si="94"/>
        <v>0</v>
      </c>
      <c r="AO141">
        <f t="shared" ca="1" si="94"/>
        <v>0</v>
      </c>
      <c r="AP141">
        <f t="shared" ca="1" si="94"/>
        <v>0</v>
      </c>
      <c r="AQ141">
        <f t="shared" ca="1" si="94"/>
        <v>0</v>
      </c>
    </row>
    <row r="142" spans="1:43" x14ac:dyDescent="0.25">
      <c r="A142">
        <f>1</f>
        <v>1</v>
      </c>
      <c r="B142" s="85">
        <f t="shared" si="85"/>
        <v>43930</v>
      </c>
      <c r="C142" s="85">
        <f t="shared" si="80"/>
        <v>43927</v>
      </c>
      <c r="D142">
        <f t="shared" ca="1" si="81"/>
        <v>1</v>
      </c>
      <c r="E142" s="85">
        <f t="shared" si="82"/>
        <v>43922</v>
      </c>
      <c r="F142">
        <f t="shared" si="84"/>
        <v>15</v>
      </c>
      <c r="G142" s="85"/>
      <c r="L142" t="str">
        <f t="shared" ca="1" si="88"/>
        <v/>
      </c>
      <c r="M142">
        <v>6</v>
      </c>
      <c r="N142">
        <v>2</v>
      </c>
      <c r="O142" s="6">
        <f t="array" aca="1" ref="O142" ca="1">SUM(OFFSET($AA$43,0,($M142*3)+$N142,53,1)*O$43:O$95)</f>
        <v>0</v>
      </c>
      <c r="P142" s="6">
        <f t="array" aca="1" ref="P142" ca="1">SUM(OFFSET($AA$43,0,($M142*3)+$N142,53,1)*P$43:P$95)</f>
        <v>0</v>
      </c>
      <c r="Q142" s="6">
        <f t="array" aca="1" ref="Q142" ca="1">SUM(OFFSET($AA$43,0,($M142*3)+$N142,53,1)*Q$43:Q$95)</f>
        <v>0</v>
      </c>
      <c r="R142" s="6">
        <f t="array" aca="1" ref="R142" ca="1">SUM(OFFSET($AA$43,0,($M142*3)+$N142,53,1)*R$43:R$95)</f>
        <v>0</v>
      </c>
      <c r="S142" s="6">
        <f t="array" aca="1" ref="S142" ca="1">SUM(OFFSET($AA$43,0,($M142*3)+$N142,53,1)*S$43:S$95)</f>
        <v>0</v>
      </c>
      <c r="T142" s="6">
        <f t="array" aca="1" ref="T142" ca="1">SUM(OFFSET($AA$43,0,($M142*3)+$N142,53,1)*T$43:T$95)</f>
        <v>0</v>
      </c>
      <c r="U142" s="6">
        <f t="array" aca="1" ref="U142" ca="1">SUM(OFFSET($AA$43,0,($M142*3)+$N142,53,1)*U$43:U$95)</f>
        <v>0</v>
      </c>
      <c r="V142" s="6">
        <f t="array" aca="1" ref="V142" ca="1">SUM(OFFSET($AA$43,0,($M142*3)+$N142,53,1)*V$43:V$95)</f>
        <v>0</v>
      </c>
      <c r="W142" s="6">
        <f t="array" aca="1" ref="W142" ca="1">SUM(OFFSET($AA$43,0,($M142*3)+$N142,53,1)*W$43:W$95)</f>
        <v>0</v>
      </c>
      <c r="X142" s="6">
        <f t="array" aca="1" ref="X142" ca="1">SUM(OFFSET($AA$43,0,($M142*3)+$N142,53,1)*X$43:X$95)</f>
        <v>0</v>
      </c>
      <c r="Y142" s="6">
        <f t="array" aca="1" ref="Y142" ca="1">SUM(OFFSET($AA$43,0,($M142*3)+$N142,53,1)*Y$43:Y$95)</f>
        <v>0</v>
      </c>
      <c r="Z142" s="6">
        <f t="array" aca="1" ref="Z142" ca="1">SUM(OFFSET($AA$43,0,($M142*3)+$N142,53,1)*Z$43:Z$95)</f>
        <v>0</v>
      </c>
      <c r="AA142" s="6">
        <f t="shared" ca="1" si="87"/>
        <v>0</v>
      </c>
      <c r="AB142" s="6">
        <f t="shared" ca="1" si="89"/>
        <v>0</v>
      </c>
      <c r="AC142" s="8"/>
      <c r="AD142" s="8"/>
      <c r="AE142" t="str">
        <f t="shared" si="92"/>
        <v>Follow Up</v>
      </c>
      <c r="AF142">
        <f t="shared" ca="1" si="94"/>
        <v>0</v>
      </c>
      <c r="AG142">
        <f t="shared" ca="1" si="94"/>
        <v>0</v>
      </c>
      <c r="AH142">
        <f t="shared" ca="1" si="94"/>
        <v>0</v>
      </c>
      <c r="AI142">
        <f t="shared" ca="1" si="94"/>
        <v>0</v>
      </c>
      <c r="AJ142">
        <f t="shared" ca="1" si="94"/>
        <v>0</v>
      </c>
      <c r="AK142">
        <f t="shared" ca="1" si="94"/>
        <v>0</v>
      </c>
      <c r="AL142">
        <f t="shared" ca="1" si="94"/>
        <v>0</v>
      </c>
      <c r="AM142">
        <f t="shared" ca="1" si="94"/>
        <v>0</v>
      </c>
      <c r="AN142">
        <f t="shared" ca="1" si="94"/>
        <v>0</v>
      </c>
      <c r="AO142">
        <f t="shared" ca="1" si="94"/>
        <v>0</v>
      </c>
      <c r="AP142">
        <f t="shared" ca="1" si="94"/>
        <v>0</v>
      </c>
      <c r="AQ142">
        <f t="shared" ca="1" si="94"/>
        <v>0</v>
      </c>
    </row>
    <row r="143" spans="1:43" x14ac:dyDescent="0.25">
      <c r="A143">
        <f>1</f>
        <v>1</v>
      </c>
      <c r="B143" s="85">
        <f t="shared" si="85"/>
        <v>43931</v>
      </c>
      <c r="C143" s="85">
        <f t="shared" si="80"/>
        <v>43927</v>
      </c>
      <c r="D143">
        <f t="shared" ca="1" si="81"/>
        <v>0</v>
      </c>
      <c r="E143" s="85">
        <f t="shared" si="82"/>
        <v>43922</v>
      </c>
      <c r="F143">
        <f t="shared" si="84"/>
        <v>15</v>
      </c>
      <c r="G143" s="85"/>
      <c r="L143" t="str">
        <f t="shared" ca="1" si="88"/>
        <v/>
      </c>
      <c r="M143">
        <v>6</v>
      </c>
      <c r="N143">
        <v>3</v>
      </c>
      <c r="O143" s="6">
        <f t="array" aca="1" ref="O143" ca="1">SUM(OFFSET($AA$43,0,($M143*3)+$N143,53,1)*O$43:O$95)</f>
        <v>0</v>
      </c>
      <c r="P143" s="6">
        <f t="array" aca="1" ref="P143" ca="1">SUM(OFFSET($AA$43,0,($M143*3)+$N143,53,1)*P$43:P$95)</f>
        <v>0</v>
      </c>
      <c r="Q143" s="6">
        <f t="array" aca="1" ref="Q143" ca="1">SUM(OFFSET($AA$43,0,($M143*3)+$N143,53,1)*Q$43:Q$95)</f>
        <v>0</v>
      </c>
      <c r="R143" s="6">
        <f t="array" aca="1" ref="R143" ca="1">SUM(OFFSET($AA$43,0,($M143*3)+$N143,53,1)*R$43:R$95)</f>
        <v>0</v>
      </c>
      <c r="S143" s="6">
        <f t="array" aca="1" ref="S143" ca="1">SUM(OFFSET($AA$43,0,($M143*3)+$N143,53,1)*S$43:S$95)</f>
        <v>0</v>
      </c>
      <c r="T143" s="6">
        <f t="array" aca="1" ref="T143" ca="1">SUM(OFFSET($AA$43,0,($M143*3)+$N143,53,1)*T$43:T$95)</f>
        <v>0</v>
      </c>
      <c r="U143" s="6">
        <f t="array" aca="1" ref="U143" ca="1">SUM(OFFSET($AA$43,0,($M143*3)+$N143,53,1)*U$43:U$95)</f>
        <v>0</v>
      </c>
      <c r="V143" s="6">
        <f t="array" aca="1" ref="V143" ca="1">SUM(OFFSET($AA$43,0,($M143*3)+$N143,53,1)*V$43:V$95)</f>
        <v>0</v>
      </c>
      <c r="W143" s="6">
        <f t="array" aca="1" ref="W143" ca="1">SUM(OFFSET($AA$43,0,($M143*3)+$N143,53,1)*W$43:W$95)</f>
        <v>0</v>
      </c>
      <c r="X143" s="6">
        <f t="array" aca="1" ref="X143" ca="1">SUM(OFFSET($AA$43,0,($M143*3)+$N143,53,1)*X$43:X$95)</f>
        <v>0</v>
      </c>
      <c r="Y143" s="6">
        <f t="array" aca="1" ref="Y143" ca="1">SUM(OFFSET($AA$43,0,($M143*3)+$N143,53,1)*Y$43:Y$95)</f>
        <v>0</v>
      </c>
      <c r="Z143" s="6">
        <f t="array" aca="1" ref="Z143" ca="1">SUM(OFFSET($AA$43,0,($M143*3)+$N143,53,1)*Z$43:Z$95)</f>
        <v>0</v>
      </c>
      <c r="AA143" s="6">
        <f t="shared" ca="1" si="87"/>
        <v>0</v>
      </c>
      <c r="AB143" s="6">
        <f t="shared" ca="1" si="89"/>
        <v>0</v>
      </c>
      <c r="AC143" s="8"/>
      <c r="AD143" s="8"/>
      <c r="AE143" t="str">
        <f t="shared" si="92"/>
        <v>Diagnostic (FU)</v>
      </c>
      <c r="AF143">
        <f t="shared" ca="1" si="94"/>
        <v>0</v>
      </c>
      <c r="AG143">
        <f t="shared" ca="1" si="94"/>
        <v>0</v>
      </c>
      <c r="AH143">
        <f t="shared" ca="1" si="94"/>
        <v>0</v>
      </c>
      <c r="AI143">
        <f t="shared" ca="1" si="94"/>
        <v>0</v>
      </c>
      <c r="AJ143">
        <f t="shared" ca="1" si="94"/>
        <v>0</v>
      </c>
      <c r="AK143">
        <f t="shared" ca="1" si="94"/>
        <v>0</v>
      </c>
      <c r="AL143">
        <f t="shared" ca="1" si="94"/>
        <v>0</v>
      </c>
      <c r="AM143">
        <f t="shared" ca="1" si="94"/>
        <v>0</v>
      </c>
      <c r="AN143">
        <f t="shared" ca="1" si="94"/>
        <v>0</v>
      </c>
      <c r="AO143">
        <f t="shared" ca="1" si="94"/>
        <v>0</v>
      </c>
      <c r="AP143">
        <f t="shared" ca="1" si="94"/>
        <v>0</v>
      </c>
      <c r="AQ143">
        <f t="shared" ca="1" si="94"/>
        <v>0</v>
      </c>
    </row>
    <row r="144" spans="1:43" x14ac:dyDescent="0.25">
      <c r="A144">
        <f>1</f>
        <v>1</v>
      </c>
      <c r="B144" s="85">
        <f t="shared" si="85"/>
        <v>43932</v>
      </c>
      <c r="C144" s="85">
        <f t="shared" si="80"/>
        <v>43927</v>
      </c>
      <c r="D144">
        <f t="shared" ca="1" si="81"/>
        <v>0</v>
      </c>
      <c r="E144" s="85">
        <f t="shared" si="82"/>
        <v>43922</v>
      </c>
      <c r="F144">
        <f t="shared" si="84"/>
        <v>15</v>
      </c>
      <c r="G144" s="85"/>
      <c r="L144" t="str">
        <f t="shared" ca="1" si="88"/>
        <v/>
      </c>
      <c r="M144">
        <v>7</v>
      </c>
      <c r="N144">
        <v>1</v>
      </c>
      <c r="O144" s="6">
        <f t="array" aca="1" ref="O144" ca="1">SUM(OFFSET($AA$43,0,($M144*3)+$N144,53,1)*O$43:O$95)</f>
        <v>0</v>
      </c>
      <c r="P144" s="6">
        <f t="array" aca="1" ref="P144" ca="1">SUM(OFFSET($AA$43,0,($M144*3)+$N144,53,1)*P$43:P$95)</f>
        <v>0</v>
      </c>
      <c r="Q144" s="6">
        <f t="array" aca="1" ref="Q144" ca="1">SUM(OFFSET($AA$43,0,($M144*3)+$N144,53,1)*Q$43:Q$95)</f>
        <v>0</v>
      </c>
      <c r="R144" s="6">
        <f t="array" aca="1" ref="R144" ca="1">SUM(OFFSET($AA$43,0,($M144*3)+$N144,53,1)*R$43:R$95)</f>
        <v>0</v>
      </c>
      <c r="S144" s="6">
        <f t="array" aca="1" ref="S144" ca="1">SUM(OFFSET($AA$43,0,($M144*3)+$N144,53,1)*S$43:S$95)</f>
        <v>0</v>
      </c>
      <c r="T144" s="6">
        <f t="array" aca="1" ref="T144" ca="1">SUM(OFFSET($AA$43,0,($M144*3)+$N144,53,1)*T$43:T$95)</f>
        <v>0</v>
      </c>
      <c r="U144" s="6">
        <f t="array" aca="1" ref="U144" ca="1">SUM(OFFSET($AA$43,0,($M144*3)+$N144,53,1)*U$43:U$95)</f>
        <v>0</v>
      </c>
      <c r="V144" s="6">
        <f t="array" aca="1" ref="V144" ca="1">SUM(OFFSET($AA$43,0,($M144*3)+$N144,53,1)*V$43:V$95)</f>
        <v>0</v>
      </c>
      <c r="W144" s="6">
        <f t="array" aca="1" ref="W144" ca="1">SUM(OFFSET($AA$43,0,($M144*3)+$N144,53,1)*W$43:W$95)</f>
        <v>0</v>
      </c>
      <c r="X144" s="6">
        <f t="array" aca="1" ref="X144" ca="1">SUM(OFFSET($AA$43,0,($M144*3)+$N144,53,1)*X$43:X$95)</f>
        <v>0</v>
      </c>
      <c r="Y144" s="6">
        <f t="array" aca="1" ref="Y144" ca="1">SUM(OFFSET($AA$43,0,($M144*3)+$N144,53,1)*Y$43:Y$95)</f>
        <v>0</v>
      </c>
      <c r="Z144" s="6">
        <f t="array" aca="1" ref="Z144" ca="1">SUM(OFFSET($AA$43,0,($M144*3)+$N144,53,1)*Z$43:Z$95)</f>
        <v>0</v>
      </c>
      <c r="AA144" s="6">
        <f t="shared" ca="1" si="87"/>
        <v>0</v>
      </c>
      <c r="AB144" s="6">
        <f t="shared" ca="1" si="89"/>
        <v>0</v>
      </c>
      <c r="AC144" s="8"/>
      <c r="AD144" s="8"/>
      <c r="AE144" t="str">
        <f t="shared" si="92"/>
        <v>Admission</v>
      </c>
      <c r="AF144">
        <f t="shared" ca="1" si="94"/>
        <v>0</v>
      </c>
      <c r="AG144">
        <f t="shared" ca="1" si="94"/>
        <v>0</v>
      </c>
      <c r="AH144">
        <f t="shared" ca="1" si="94"/>
        <v>0</v>
      </c>
      <c r="AI144">
        <f t="shared" ca="1" si="94"/>
        <v>0</v>
      </c>
      <c r="AJ144">
        <f t="shared" ca="1" si="94"/>
        <v>0</v>
      </c>
      <c r="AK144">
        <f t="shared" ca="1" si="94"/>
        <v>0</v>
      </c>
      <c r="AL144">
        <f t="shared" ca="1" si="94"/>
        <v>0</v>
      </c>
      <c r="AM144">
        <f t="shared" ca="1" si="94"/>
        <v>0</v>
      </c>
      <c r="AN144">
        <f t="shared" ca="1" si="94"/>
        <v>0</v>
      </c>
      <c r="AO144">
        <f t="shared" ca="1" si="94"/>
        <v>0</v>
      </c>
      <c r="AP144">
        <f t="shared" ca="1" si="94"/>
        <v>0</v>
      </c>
      <c r="AQ144">
        <f t="shared" ca="1" si="94"/>
        <v>0</v>
      </c>
    </row>
    <row r="145" spans="1:43" x14ac:dyDescent="0.25">
      <c r="A145">
        <f>1</f>
        <v>1</v>
      </c>
      <c r="B145" s="85">
        <f t="shared" si="85"/>
        <v>43933</v>
      </c>
      <c r="C145" s="85">
        <f t="shared" si="80"/>
        <v>43927</v>
      </c>
      <c r="D145">
        <f t="shared" ca="1" si="81"/>
        <v>0</v>
      </c>
      <c r="E145" s="85">
        <f t="shared" si="82"/>
        <v>43922</v>
      </c>
      <c r="F145">
        <f t="shared" si="84"/>
        <v>15</v>
      </c>
      <c r="G145" s="85"/>
      <c r="L145" t="str">
        <f t="shared" ca="1" si="88"/>
        <v/>
      </c>
      <c r="M145">
        <v>7</v>
      </c>
      <c r="N145">
        <v>2</v>
      </c>
      <c r="O145" s="6">
        <f t="array" aca="1" ref="O145" ca="1">SUM(OFFSET($AA$43,0,($M145*3)+$N145,53,1)*O$43:O$95)</f>
        <v>0</v>
      </c>
      <c r="P145" s="6">
        <f t="array" aca="1" ref="P145" ca="1">SUM(OFFSET($AA$43,0,($M145*3)+$N145,53,1)*P$43:P$95)</f>
        <v>0</v>
      </c>
      <c r="Q145" s="6">
        <f t="array" aca="1" ref="Q145" ca="1">SUM(OFFSET($AA$43,0,($M145*3)+$N145,53,1)*Q$43:Q$95)</f>
        <v>0</v>
      </c>
      <c r="R145" s="6">
        <f t="array" aca="1" ref="R145" ca="1">SUM(OFFSET($AA$43,0,($M145*3)+$N145,53,1)*R$43:R$95)</f>
        <v>0</v>
      </c>
      <c r="S145" s="6">
        <f t="array" aca="1" ref="S145" ca="1">SUM(OFFSET($AA$43,0,($M145*3)+$N145,53,1)*S$43:S$95)</f>
        <v>0</v>
      </c>
      <c r="T145" s="6">
        <f t="array" aca="1" ref="T145" ca="1">SUM(OFFSET($AA$43,0,($M145*3)+$N145,53,1)*T$43:T$95)</f>
        <v>0</v>
      </c>
      <c r="U145" s="6">
        <f t="array" aca="1" ref="U145" ca="1">SUM(OFFSET($AA$43,0,($M145*3)+$N145,53,1)*U$43:U$95)</f>
        <v>0</v>
      </c>
      <c r="V145" s="6">
        <f t="array" aca="1" ref="V145" ca="1">SUM(OFFSET($AA$43,0,($M145*3)+$N145,53,1)*V$43:V$95)</f>
        <v>0</v>
      </c>
      <c r="W145" s="6">
        <f t="array" aca="1" ref="W145" ca="1">SUM(OFFSET($AA$43,0,($M145*3)+$N145,53,1)*W$43:W$95)</f>
        <v>0</v>
      </c>
      <c r="X145" s="6">
        <f t="array" aca="1" ref="X145" ca="1">SUM(OFFSET($AA$43,0,($M145*3)+$N145,53,1)*X$43:X$95)</f>
        <v>0</v>
      </c>
      <c r="Y145" s="6">
        <f t="array" aca="1" ref="Y145" ca="1">SUM(OFFSET($AA$43,0,($M145*3)+$N145,53,1)*Y$43:Y$95)</f>
        <v>0</v>
      </c>
      <c r="Z145" s="6">
        <f t="array" aca="1" ref="Z145" ca="1">SUM(OFFSET($AA$43,0,($M145*3)+$N145,53,1)*Z$43:Z$95)</f>
        <v>0</v>
      </c>
      <c r="AA145" s="6">
        <f t="shared" ca="1" si="87"/>
        <v>0</v>
      </c>
      <c r="AB145" s="6">
        <f t="shared" ca="1" si="89"/>
        <v>0</v>
      </c>
      <c r="AC145" s="8"/>
      <c r="AD145" s="8">
        <v>4</v>
      </c>
      <c r="AE145" t="str">
        <f t="shared" si="92"/>
        <v>New</v>
      </c>
      <c r="AF145">
        <f t="shared" ref="AF145:AQ149" ca="1" si="95">SUMIFS(O$132:O$134,$L$132:$L$134, $AE145)</f>
        <v>0</v>
      </c>
      <c r="AG145">
        <f t="shared" ca="1" si="95"/>
        <v>0</v>
      </c>
      <c r="AH145">
        <f t="shared" ca="1" si="95"/>
        <v>0</v>
      </c>
      <c r="AI145">
        <f t="shared" ca="1" si="95"/>
        <v>0</v>
      </c>
      <c r="AJ145">
        <f t="shared" ca="1" si="95"/>
        <v>0</v>
      </c>
      <c r="AK145">
        <f t="shared" ca="1" si="95"/>
        <v>0</v>
      </c>
      <c r="AL145">
        <f t="shared" ca="1" si="95"/>
        <v>0</v>
      </c>
      <c r="AM145">
        <f t="shared" ca="1" si="95"/>
        <v>0</v>
      </c>
      <c r="AN145">
        <f t="shared" ca="1" si="95"/>
        <v>0</v>
      </c>
      <c r="AO145">
        <f t="shared" ca="1" si="95"/>
        <v>0</v>
      </c>
      <c r="AP145">
        <f t="shared" ca="1" si="95"/>
        <v>0</v>
      </c>
      <c r="AQ145">
        <f t="shared" ca="1" si="95"/>
        <v>0</v>
      </c>
    </row>
    <row r="146" spans="1:43" x14ac:dyDescent="0.25">
      <c r="A146">
        <f>1</f>
        <v>1</v>
      </c>
      <c r="B146" s="85">
        <f t="shared" si="85"/>
        <v>43934</v>
      </c>
      <c r="C146" s="85">
        <f t="shared" si="80"/>
        <v>43934</v>
      </c>
      <c r="D146">
        <f t="shared" ca="1" si="81"/>
        <v>0</v>
      </c>
      <c r="E146" s="85">
        <f t="shared" si="82"/>
        <v>43922</v>
      </c>
      <c r="F146">
        <f t="shared" si="84"/>
        <v>16</v>
      </c>
      <c r="G146" s="85"/>
      <c r="L146" t="str">
        <f t="shared" ca="1" si="88"/>
        <v/>
      </c>
      <c r="M146">
        <v>7</v>
      </c>
      <c r="N146">
        <v>3</v>
      </c>
      <c r="O146" s="6">
        <f t="array" aca="1" ref="O146" ca="1">SUM(OFFSET($AA$43,0,($M146*3)+$N146,53,1)*O$43:O$95)</f>
        <v>0</v>
      </c>
      <c r="P146" s="6">
        <f t="array" aca="1" ref="P146" ca="1">SUM(OFFSET($AA$43,0,($M146*3)+$N146,53,1)*P$43:P$95)</f>
        <v>0</v>
      </c>
      <c r="Q146" s="6">
        <f t="array" aca="1" ref="Q146" ca="1">SUM(OFFSET($AA$43,0,($M146*3)+$N146,53,1)*Q$43:Q$95)</f>
        <v>0</v>
      </c>
      <c r="R146" s="6">
        <f t="array" aca="1" ref="R146" ca="1">SUM(OFFSET($AA$43,0,($M146*3)+$N146,53,1)*R$43:R$95)</f>
        <v>0</v>
      </c>
      <c r="S146" s="6">
        <f t="array" aca="1" ref="S146" ca="1">SUM(OFFSET($AA$43,0,($M146*3)+$N146,53,1)*S$43:S$95)</f>
        <v>0</v>
      </c>
      <c r="T146" s="6">
        <f t="array" aca="1" ref="T146" ca="1">SUM(OFFSET($AA$43,0,($M146*3)+$N146,53,1)*T$43:T$95)</f>
        <v>0</v>
      </c>
      <c r="U146" s="6">
        <f t="array" aca="1" ref="U146" ca="1">SUM(OFFSET($AA$43,0,($M146*3)+$N146,53,1)*U$43:U$95)</f>
        <v>0</v>
      </c>
      <c r="V146" s="6">
        <f t="array" aca="1" ref="V146" ca="1">SUM(OFFSET($AA$43,0,($M146*3)+$N146,53,1)*V$43:V$95)</f>
        <v>0</v>
      </c>
      <c r="W146" s="6">
        <f t="array" aca="1" ref="W146" ca="1">SUM(OFFSET($AA$43,0,($M146*3)+$N146,53,1)*W$43:W$95)</f>
        <v>0</v>
      </c>
      <c r="X146" s="6">
        <f t="array" aca="1" ref="X146" ca="1">SUM(OFFSET($AA$43,0,($M146*3)+$N146,53,1)*X$43:X$95)</f>
        <v>0</v>
      </c>
      <c r="Y146" s="6">
        <f t="array" aca="1" ref="Y146" ca="1">SUM(OFFSET($AA$43,0,($M146*3)+$N146,53,1)*Y$43:Y$95)</f>
        <v>0</v>
      </c>
      <c r="Z146" s="6">
        <f t="array" aca="1" ref="Z146" ca="1">SUM(OFFSET($AA$43,0,($M146*3)+$N146,53,1)*Z$43:Z$95)</f>
        <v>0</v>
      </c>
      <c r="AA146" s="6">
        <f t="shared" ca="1" si="87"/>
        <v>0</v>
      </c>
      <c r="AB146" s="6">
        <f t="shared" ca="1" si="89"/>
        <v>0</v>
      </c>
      <c r="AC146" s="8"/>
      <c r="AD146" s="8"/>
      <c r="AE146" t="str">
        <f t="shared" si="92"/>
        <v>Diagnostic (N)</v>
      </c>
      <c r="AF146">
        <f t="shared" ca="1" si="95"/>
        <v>0</v>
      </c>
      <c r="AG146">
        <f t="shared" ca="1" si="95"/>
        <v>0</v>
      </c>
      <c r="AH146">
        <f t="shared" ca="1" si="95"/>
        <v>0</v>
      </c>
      <c r="AI146">
        <f t="shared" ca="1" si="95"/>
        <v>0</v>
      </c>
      <c r="AJ146">
        <f t="shared" ca="1" si="95"/>
        <v>0</v>
      </c>
      <c r="AK146">
        <f t="shared" ca="1" si="95"/>
        <v>0</v>
      </c>
      <c r="AL146">
        <f t="shared" ca="1" si="95"/>
        <v>0</v>
      </c>
      <c r="AM146">
        <f t="shared" ca="1" si="95"/>
        <v>0</v>
      </c>
      <c r="AN146">
        <f t="shared" ca="1" si="95"/>
        <v>0</v>
      </c>
      <c r="AO146">
        <f t="shared" ca="1" si="95"/>
        <v>0</v>
      </c>
      <c r="AP146">
        <f t="shared" ca="1" si="95"/>
        <v>0</v>
      </c>
      <c r="AQ146">
        <f t="shared" ca="1" si="95"/>
        <v>0</v>
      </c>
    </row>
    <row r="147" spans="1:43" x14ac:dyDescent="0.25">
      <c r="A147">
        <f>1</f>
        <v>1</v>
      </c>
      <c r="B147" s="85">
        <f t="shared" si="85"/>
        <v>43935</v>
      </c>
      <c r="C147" s="85">
        <f t="shared" si="80"/>
        <v>43934</v>
      </c>
      <c r="D147">
        <f t="shared" ca="1" si="81"/>
        <v>1</v>
      </c>
      <c r="E147" s="85">
        <f t="shared" si="82"/>
        <v>43922</v>
      </c>
      <c r="F147">
        <f t="shared" si="84"/>
        <v>16</v>
      </c>
      <c r="G147" s="85"/>
      <c r="L147" t="str">
        <f t="shared" ca="1" si="88"/>
        <v/>
      </c>
      <c r="M147">
        <v>8</v>
      </c>
      <c r="N147">
        <v>1</v>
      </c>
      <c r="O147" s="6">
        <f t="array" aca="1" ref="O147" ca="1">SUM(OFFSET($AA$43,0,($M147*3)+$N147,53,1)*O$43:O$95)</f>
        <v>0</v>
      </c>
      <c r="P147" s="6">
        <f t="array" aca="1" ref="P147" ca="1">SUM(OFFSET($AA$43,0,($M147*3)+$N147,53,1)*P$43:P$95)</f>
        <v>0</v>
      </c>
      <c r="Q147" s="6">
        <f t="array" aca="1" ref="Q147" ca="1">SUM(OFFSET($AA$43,0,($M147*3)+$N147,53,1)*Q$43:Q$95)</f>
        <v>0</v>
      </c>
      <c r="R147" s="6">
        <f t="array" aca="1" ref="R147" ca="1">SUM(OFFSET($AA$43,0,($M147*3)+$N147,53,1)*R$43:R$95)</f>
        <v>0</v>
      </c>
      <c r="S147" s="6">
        <f t="array" aca="1" ref="S147" ca="1">SUM(OFFSET($AA$43,0,($M147*3)+$N147,53,1)*S$43:S$95)</f>
        <v>0</v>
      </c>
      <c r="T147" s="6">
        <f t="array" aca="1" ref="T147" ca="1">SUM(OFFSET($AA$43,0,($M147*3)+$N147,53,1)*T$43:T$95)</f>
        <v>0</v>
      </c>
      <c r="U147" s="6">
        <f t="array" aca="1" ref="U147" ca="1">SUM(OFFSET($AA$43,0,($M147*3)+$N147,53,1)*U$43:U$95)</f>
        <v>0</v>
      </c>
      <c r="V147" s="6">
        <f t="array" aca="1" ref="V147" ca="1">SUM(OFFSET($AA$43,0,($M147*3)+$N147,53,1)*V$43:V$95)</f>
        <v>0</v>
      </c>
      <c r="W147" s="6">
        <f t="array" aca="1" ref="W147" ca="1">SUM(OFFSET($AA$43,0,($M147*3)+$N147,53,1)*W$43:W$95)</f>
        <v>0</v>
      </c>
      <c r="X147" s="6">
        <f t="array" aca="1" ref="X147" ca="1">SUM(OFFSET($AA$43,0,($M147*3)+$N147,53,1)*X$43:X$95)</f>
        <v>0</v>
      </c>
      <c r="Y147" s="6">
        <f t="array" aca="1" ref="Y147" ca="1">SUM(OFFSET($AA$43,0,($M147*3)+$N147,53,1)*Y$43:Y$95)</f>
        <v>0</v>
      </c>
      <c r="Z147" s="6">
        <f t="array" aca="1" ref="Z147" ca="1">SUM(OFFSET($AA$43,0,($M147*3)+$N147,53,1)*Z$43:Z$95)</f>
        <v>0</v>
      </c>
      <c r="AA147" s="6">
        <f t="shared" ca="1" si="87"/>
        <v>0</v>
      </c>
      <c r="AB147" s="6">
        <f t="shared" ca="1" si="89"/>
        <v>0</v>
      </c>
      <c r="AC147" s="8"/>
      <c r="AD147" s="8"/>
      <c r="AE147" t="str">
        <f t="shared" si="92"/>
        <v>Follow Up</v>
      </c>
      <c r="AF147">
        <f t="shared" ca="1" si="95"/>
        <v>0</v>
      </c>
      <c r="AG147">
        <f t="shared" ca="1" si="95"/>
        <v>0</v>
      </c>
      <c r="AH147">
        <f t="shared" ca="1" si="95"/>
        <v>0</v>
      </c>
      <c r="AI147">
        <f t="shared" ca="1" si="95"/>
        <v>0</v>
      </c>
      <c r="AJ147">
        <f t="shared" ca="1" si="95"/>
        <v>0</v>
      </c>
      <c r="AK147">
        <f t="shared" ca="1" si="95"/>
        <v>0</v>
      </c>
      <c r="AL147">
        <f t="shared" ca="1" si="95"/>
        <v>0</v>
      </c>
      <c r="AM147">
        <f t="shared" ca="1" si="95"/>
        <v>0</v>
      </c>
      <c r="AN147">
        <f t="shared" ca="1" si="95"/>
        <v>0</v>
      </c>
      <c r="AO147">
        <f t="shared" ca="1" si="95"/>
        <v>0</v>
      </c>
      <c r="AP147">
        <f t="shared" ca="1" si="95"/>
        <v>0</v>
      </c>
      <c r="AQ147">
        <f t="shared" ca="1" si="95"/>
        <v>0</v>
      </c>
    </row>
    <row r="148" spans="1:43" x14ac:dyDescent="0.25">
      <c r="A148">
        <f>1</f>
        <v>1</v>
      </c>
      <c r="B148" s="85">
        <f t="shared" si="85"/>
        <v>43936</v>
      </c>
      <c r="C148" s="85">
        <f t="shared" si="80"/>
        <v>43934</v>
      </c>
      <c r="D148">
        <f t="shared" ca="1" si="81"/>
        <v>1</v>
      </c>
      <c r="E148" s="85">
        <f t="shared" si="82"/>
        <v>43922</v>
      </c>
      <c r="F148">
        <f t="shared" si="84"/>
        <v>16</v>
      </c>
      <c r="G148" s="85"/>
      <c r="L148" t="str">
        <f t="shared" ca="1" si="88"/>
        <v/>
      </c>
      <c r="M148">
        <v>8</v>
      </c>
      <c r="N148">
        <v>2</v>
      </c>
      <c r="O148" s="6">
        <f t="array" aca="1" ref="O148" ca="1">SUM(OFFSET($AA$43,0,($M148*3)+$N148,53,1)*O$43:O$95)</f>
        <v>0</v>
      </c>
      <c r="P148" s="6">
        <f t="array" aca="1" ref="P148" ca="1">SUM(OFFSET($AA$43,0,($M148*3)+$N148,53,1)*P$43:P$95)</f>
        <v>0</v>
      </c>
      <c r="Q148" s="6">
        <f t="array" aca="1" ref="Q148" ca="1">SUM(OFFSET($AA$43,0,($M148*3)+$N148,53,1)*Q$43:Q$95)</f>
        <v>0</v>
      </c>
      <c r="R148" s="6">
        <f t="array" aca="1" ref="R148" ca="1">SUM(OFFSET($AA$43,0,($M148*3)+$N148,53,1)*R$43:R$95)</f>
        <v>0</v>
      </c>
      <c r="S148" s="6">
        <f t="array" aca="1" ref="S148" ca="1">SUM(OFFSET($AA$43,0,($M148*3)+$N148,53,1)*S$43:S$95)</f>
        <v>0</v>
      </c>
      <c r="T148" s="6">
        <f t="array" aca="1" ref="T148" ca="1">SUM(OFFSET($AA$43,0,($M148*3)+$N148,53,1)*T$43:T$95)</f>
        <v>0</v>
      </c>
      <c r="U148" s="6">
        <f t="array" aca="1" ref="U148" ca="1">SUM(OFFSET($AA$43,0,($M148*3)+$N148,53,1)*U$43:U$95)</f>
        <v>0</v>
      </c>
      <c r="V148" s="6">
        <f t="array" aca="1" ref="V148" ca="1">SUM(OFFSET($AA$43,0,($M148*3)+$N148,53,1)*V$43:V$95)</f>
        <v>0</v>
      </c>
      <c r="W148" s="6">
        <f t="array" aca="1" ref="W148" ca="1">SUM(OFFSET($AA$43,0,($M148*3)+$N148,53,1)*W$43:W$95)</f>
        <v>0</v>
      </c>
      <c r="X148" s="6">
        <f t="array" aca="1" ref="X148" ca="1">SUM(OFFSET($AA$43,0,($M148*3)+$N148,53,1)*X$43:X$95)</f>
        <v>0</v>
      </c>
      <c r="Y148" s="6">
        <f t="array" aca="1" ref="Y148" ca="1">SUM(OFFSET($AA$43,0,($M148*3)+$N148,53,1)*Y$43:Y$95)</f>
        <v>0</v>
      </c>
      <c r="Z148" s="6">
        <f t="array" aca="1" ref="Z148" ca="1">SUM(OFFSET($AA$43,0,($M148*3)+$N148,53,1)*Z$43:Z$95)</f>
        <v>0</v>
      </c>
      <c r="AA148" s="6">
        <f t="shared" ca="1" si="87"/>
        <v>0</v>
      </c>
      <c r="AB148" s="6">
        <f t="shared" ca="1" si="89"/>
        <v>0</v>
      </c>
      <c r="AC148" s="8"/>
      <c r="AD148" s="8"/>
      <c r="AE148" t="str">
        <f t="shared" si="92"/>
        <v>Diagnostic (FU)</v>
      </c>
      <c r="AF148">
        <f t="shared" ca="1" si="95"/>
        <v>0</v>
      </c>
      <c r="AG148">
        <f t="shared" ca="1" si="95"/>
        <v>0</v>
      </c>
      <c r="AH148">
        <f t="shared" ca="1" si="95"/>
        <v>0</v>
      </c>
      <c r="AI148">
        <f t="shared" ca="1" si="95"/>
        <v>0</v>
      </c>
      <c r="AJ148">
        <f t="shared" ca="1" si="95"/>
        <v>0</v>
      </c>
      <c r="AK148">
        <f t="shared" ca="1" si="95"/>
        <v>0</v>
      </c>
      <c r="AL148">
        <f t="shared" ca="1" si="95"/>
        <v>0</v>
      </c>
      <c r="AM148">
        <f t="shared" ca="1" si="95"/>
        <v>0</v>
      </c>
      <c r="AN148">
        <f t="shared" ca="1" si="95"/>
        <v>0</v>
      </c>
      <c r="AO148">
        <f t="shared" ca="1" si="95"/>
        <v>0</v>
      </c>
      <c r="AP148">
        <f t="shared" ca="1" si="95"/>
        <v>0</v>
      </c>
      <c r="AQ148">
        <f t="shared" ca="1" si="95"/>
        <v>0</v>
      </c>
    </row>
    <row r="149" spans="1:43" x14ac:dyDescent="0.25">
      <c r="A149">
        <f>1</f>
        <v>1</v>
      </c>
      <c r="B149" s="85">
        <f t="shared" si="85"/>
        <v>43937</v>
      </c>
      <c r="C149" s="85">
        <f t="shared" si="80"/>
        <v>43934</v>
      </c>
      <c r="D149">
        <f t="shared" ca="1" si="81"/>
        <v>1</v>
      </c>
      <c r="E149" s="85">
        <f t="shared" si="82"/>
        <v>43922</v>
      </c>
      <c r="F149">
        <f t="shared" si="84"/>
        <v>16</v>
      </c>
      <c r="G149" s="85"/>
      <c r="L149" t="str">
        <f t="shared" ca="1" si="88"/>
        <v/>
      </c>
      <c r="M149">
        <v>8</v>
      </c>
      <c r="N149">
        <v>3</v>
      </c>
      <c r="O149" s="6">
        <f t="array" aca="1" ref="O149" ca="1">SUM(OFFSET($AA$43,0,($M149*3)+$N149,53,1)*O$43:O$95)</f>
        <v>0</v>
      </c>
      <c r="P149" s="6">
        <f t="array" aca="1" ref="P149" ca="1">SUM(OFFSET($AA$43,0,($M149*3)+$N149,53,1)*P$43:P$95)</f>
        <v>0</v>
      </c>
      <c r="Q149" s="6">
        <f t="array" aca="1" ref="Q149" ca="1">SUM(OFFSET($AA$43,0,($M149*3)+$N149,53,1)*Q$43:Q$95)</f>
        <v>0</v>
      </c>
      <c r="R149" s="6">
        <f t="array" aca="1" ref="R149" ca="1">SUM(OFFSET($AA$43,0,($M149*3)+$N149,53,1)*R$43:R$95)</f>
        <v>0</v>
      </c>
      <c r="S149" s="6">
        <f t="array" aca="1" ref="S149" ca="1">SUM(OFFSET($AA$43,0,($M149*3)+$N149,53,1)*S$43:S$95)</f>
        <v>0</v>
      </c>
      <c r="T149" s="6">
        <f t="array" aca="1" ref="T149" ca="1">SUM(OFFSET($AA$43,0,($M149*3)+$N149,53,1)*T$43:T$95)</f>
        <v>0</v>
      </c>
      <c r="U149" s="6">
        <f t="array" aca="1" ref="U149" ca="1">SUM(OFFSET($AA$43,0,($M149*3)+$N149,53,1)*U$43:U$95)</f>
        <v>0</v>
      </c>
      <c r="V149" s="6">
        <f t="array" aca="1" ref="V149" ca="1">SUM(OFFSET($AA$43,0,($M149*3)+$N149,53,1)*V$43:V$95)</f>
        <v>0</v>
      </c>
      <c r="W149" s="6">
        <f t="array" aca="1" ref="W149" ca="1">SUM(OFFSET($AA$43,0,($M149*3)+$N149,53,1)*W$43:W$95)</f>
        <v>0</v>
      </c>
      <c r="X149" s="6">
        <f t="array" aca="1" ref="X149" ca="1">SUM(OFFSET($AA$43,0,($M149*3)+$N149,53,1)*X$43:X$95)</f>
        <v>0</v>
      </c>
      <c r="Y149" s="6">
        <f t="array" aca="1" ref="Y149" ca="1">SUM(OFFSET($AA$43,0,($M149*3)+$N149,53,1)*Y$43:Y$95)</f>
        <v>0</v>
      </c>
      <c r="Z149" s="6">
        <f t="array" aca="1" ref="Z149" ca="1">SUM(OFFSET($AA$43,0,($M149*3)+$N149,53,1)*Z$43:Z$95)</f>
        <v>0</v>
      </c>
      <c r="AA149" s="6">
        <f t="shared" ca="1" si="87"/>
        <v>0</v>
      </c>
      <c r="AB149" s="6">
        <f t="shared" ca="1" si="89"/>
        <v>0</v>
      </c>
      <c r="AC149" s="8"/>
      <c r="AD149" s="8"/>
      <c r="AE149" t="str">
        <f t="shared" si="92"/>
        <v>Admission</v>
      </c>
      <c r="AF149">
        <f t="shared" ca="1" si="95"/>
        <v>0</v>
      </c>
      <c r="AG149">
        <f t="shared" ca="1" si="95"/>
        <v>0</v>
      </c>
      <c r="AH149">
        <f t="shared" ca="1" si="95"/>
        <v>0</v>
      </c>
      <c r="AI149">
        <f t="shared" ca="1" si="95"/>
        <v>0</v>
      </c>
      <c r="AJ149">
        <f t="shared" ca="1" si="95"/>
        <v>0</v>
      </c>
      <c r="AK149">
        <f t="shared" ca="1" si="95"/>
        <v>0</v>
      </c>
      <c r="AL149">
        <f t="shared" ca="1" si="95"/>
        <v>0</v>
      </c>
      <c r="AM149">
        <f t="shared" ca="1" si="95"/>
        <v>0</v>
      </c>
      <c r="AN149">
        <f t="shared" ca="1" si="95"/>
        <v>0</v>
      </c>
      <c r="AO149">
        <f t="shared" ca="1" si="95"/>
        <v>0</v>
      </c>
      <c r="AP149">
        <f t="shared" ca="1" si="95"/>
        <v>0</v>
      </c>
      <c r="AQ149">
        <f t="shared" ca="1" si="95"/>
        <v>0</v>
      </c>
    </row>
    <row r="150" spans="1:43" x14ac:dyDescent="0.25">
      <c r="A150">
        <f>1</f>
        <v>1</v>
      </c>
      <c r="B150" s="85">
        <f t="shared" si="85"/>
        <v>43938</v>
      </c>
      <c r="C150" s="85">
        <f t="shared" si="80"/>
        <v>43934</v>
      </c>
      <c r="D150">
        <f t="shared" ca="1" si="81"/>
        <v>1</v>
      </c>
      <c r="E150" s="85">
        <f t="shared" si="82"/>
        <v>43922</v>
      </c>
      <c r="F150">
        <f t="shared" si="84"/>
        <v>16</v>
      </c>
      <c r="G150" s="85"/>
      <c r="L150" t="str">
        <f t="shared" ca="1" si="88"/>
        <v/>
      </c>
      <c r="M150">
        <v>9</v>
      </c>
      <c r="N150">
        <v>1</v>
      </c>
      <c r="O150" s="6">
        <f t="array" aca="1" ref="O150" ca="1">SUM(OFFSET($AA$43,0,($M150*3)+$N150,53,1)*O$43:O$95)</f>
        <v>0</v>
      </c>
      <c r="P150" s="6">
        <f t="array" aca="1" ref="P150" ca="1">SUM(OFFSET($AA$43,0,($M150*3)+$N150,53,1)*P$43:P$95)</f>
        <v>0</v>
      </c>
      <c r="Q150" s="6">
        <f t="array" aca="1" ref="Q150" ca="1">SUM(OFFSET($AA$43,0,($M150*3)+$N150,53,1)*Q$43:Q$95)</f>
        <v>0</v>
      </c>
      <c r="R150" s="6">
        <f t="array" aca="1" ref="R150" ca="1">SUM(OFFSET($AA$43,0,($M150*3)+$N150,53,1)*R$43:R$95)</f>
        <v>0</v>
      </c>
      <c r="S150" s="6">
        <f t="array" aca="1" ref="S150" ca="1">SUM(OFFSET($AA$43,0,($M150*3)+$N150,53,1)*S$43:S$95)</f>
        <v>0</v>
      </c>
      <c r="T150" s="6">
        <f t="array" aca="1" ref="T150" ca="1">SUM(OFFSET($AA$43,0,($M150*3)+$N150,53,1)*T$43:T$95)</f>
        <v>0</v>
      </c>
      <c r="U150" s="6">
        <f t="array" aca="1" ref="U150" ca="1">SUM(OFFSET($AA$43,0,($M150*3)+$N150,53,1)*U$43:U$95)</f>
        <v>0</v>
      </c>
      <c r="V150" s="6">
        <f t="array" aca="1" ref="V150" ca="1">SUM(OFFSET($AA$43,0,($M150*3)+$N150,53,1)*V$43:V$95)</f>
        <v>0</v>
      </c>
      <c r="W150" s="6">
        <f t="array" aca="1" ref="W150" ca="1">SUM(OFFSET($AA$43,0,($M150*3)+$N150,53,1)*W$43:W$95)</f>
        <v>0</v>
      </c>
      <c r="X150" s="6">
        <f t="array" aca="1" ref="X150" ca="1">SUM(OFFSET($AA$43,0,($M150*3)+$N150,53,1)*X$43:X$95)</f>
        <v>0</v>
      </c>
      <c r="Y150" s="6">
        <f t="array" aca="1" ref="Y150" ca="1">SUM(OFFSET($AA$43,0,($M150*3)+$N150,53,1)*Y$43:Y$95)</f>
        <v>0</v>
      </c>
      <c r="Z150" s="6">
        <f t="array" aca="1" ref="Z150" ca="1">SUM(OFFSET($AA$43,0,($M150*3)+$N150,53,1)*Z$43:Z$95)</f>
        <v>0</v>
      </c>
      <c r="AA150" s="6">
        <f t="shared" ca="1" si="87"/>
        <v>0</v>
      </c>
      <c r="AB150" s="6">
        <f t="shared" ca="1" si="89"/>
        <v>0</v>
      </c>
      <c r="AC150" s="8"/>
      <c r="AD150" s="8">
        <v>5</v>
      </c>
      <c r="AE150" t="str">
        <f t="shared" si="92"/>
        <v>New</v>
      </c>
      <c r="AF150">
        <f t="shared" ref="AF150:AQ154" ca="1" si="96">SUMIFS(O$135:O$137,$L$135:$L$137, $AE150)</f>
        <v>0</v>
      </c>
      <c r="AG150">
        <f t="shared" ca="1" si="96"/>
        <v>0</v>
      </c>
      <c r="AH150">
        <f t="shared" ca="1" si="96"/>
        <v>0</v>
      </c>
      <c r="AI150">
        <f t="shared" ca="1" si="96"/>
        <v>0</v>
      </c>
      <c r="AJ150">
        <f t="shared" ca="1" si="96"/>
        <v>0</v>
      </c>
      <c r="AK150">
        <f t="shared" ca="1" si="96"/>
        <v>0</v>
      </c>
      <c r="AL150">
        <f t="shared" ca="1" si="96"/>
        <v>0</v>
      </c>
      <c r="AM150">
        <f t="shared" ca="1" si="96"/>
        <v>0</v>
      </c>
      <c r="AN150">
        <f t="shared" ca="1" si="96"/>
        <v>0</v>
      </c>
      <c r="AO150">
        <f t="shared" ca="1" si="96"/>
        <v>0</v>
      </c>
      <c r="AP150">
        <f t="shared" ca="1" si="96"/>
        <v>0</v>
      </c>
      <c r="AQ150">
        <f t="shared" ca="1" si="96"/>
        <v>0</v>
      </c>
    </row>
    <row r="151" spans="1:43" x14ac:dyDescent="0.25">
      <c r="A151">
        <f>1</f>
        <v>1</v>
      </c>
      <c r="B151" s="85">
        <f t="shared" si="85"/>
        <v>43939</v>
      </c>
      <c r="C151" s="85">
        <f t="shared" si="80"/>
        <v>43934</v>
      </c>
      <c r="D151">
        <f t="shared" ca="1" si="81"/>
        <v>0</v>
      </c>
      <c r="E151" s="85">
        <f t="shared" si="82"/>
        <v>43922</v>
      </c>
      <c r="F151">
        <f t="shared" si="84"/>
        <v>16</v>
      </c>
      <c r="G151" s="85"/>
      <c r="L151" t="str">
        <f t="shared" ca="1" si="88"/>
        <v/>
      </c>
      <c r="M151">
        <v>9</v>
      </c>
      <c r="N151">
        <v>2</v>
      </c>
      <c r="O151" s="6">
        <f t="array" aca="1" ref="O151" ca="1">SUM(OFFSET($AA$43,0,($M151*3)+$N151,53,1)*O$43:O$95)</f>
        <v>0</v>
      </c>
      <c r="P151" s="6">
        <f t="array" aca="1" ref="P151" ca="1">SUM(OFFSET($AA$43,0,($M151*3)+$N151,53,1)*P$43:P$95)</f>
        <v>0</v>
      </c>
      <c r="Q151" s="6">
        <f t="array" aca="1" ref="Q151" ca="1">SUM(OFFSET($AA$43,0,($M151*3)+$N151,53,1)*Q$43:Q$95)</f>
        <v>0</v>
      </c>
      <c r="R151" s="6">
        <f t="array" aca="1" ref="R151" ca="1">SUM(OFFSET($AA$43,0,($M151*3)+$N151,53,1)*R$43:R$95)</f>
        <v>0</v>
      </c>
      <c r="S151" s="6">
        <f t="array" aca="1" ref="S151" ca="1">SUM(OFFSET($AA$43,0,($M151*3)+$N151,53,1)*S$43:S$95)</f>
        <v>0</v>
      </c>
      <c r="T151" s="6">
        <f t="array" aca="1" ref="T151" ca="1">SUM(OFFSET($AA$43,0,($M151*3)+$N151,53,1)*T$43:T$95)</f>
        <v>0</v>
      </c>
      <c r="U151" s="6">
        <f t="array" aca="1" ref="U151" ca="1">SUM(OFFSET($AA$43,0,($M151*3)+$N151,53,1)*U$43:U$95)</f>
        <v>0</v>
      </c>
      <c r="V151" s="6">
        <f t="array" aca="1" ref="V151" ca="1">SUM(OFFSET($AA$43,0,($M151*3)+$N151,53,1)*V$43:V$95)</f>
        <v>0</v>
      </c>
      <c r="W151" s="6">
        <f t="array" aca="1" ref="W151" ca="1">SUM(OFFSET($AA$43,0,($M151*3)+$N151,53,1)*W$43:W$95)</f>
        <v>0</v>
      </c>
      <c r="X151" s="6">
        <f t="array" aca="1" ref="X151" ca="1">SUM(OFFSET($AA$43,0,($M151*3)+$N151,53,1)*X$43:X$95)</f>
        <v>0</v>
      </c>
      <c r="Y151" s="6">
        <f t="array" aca="1" ref="Y151" ca="1">SUM(OFFSET($AA$43,0,($M151*3)+$N151,53,1)*Y$43:Y$95)</f>
        <v>0</v>
      </c>
      <c r="Z151" s="6">
        <f t="array" aca="1" ref="Z151" ca="1">SUM(OFFSET($AA$43,0,($M151*3)+$N151,53,1)*Z$43:Z$95)</f>
        <v>0</v>
      </c>
      <c r="AA151" s="6">
        <f t="shared" ca="1" si="87"/>
        <v>0</v>
      </c>
      <c r="AB151" s="6">
        <f t="shared" ca="1" si="89"/>
        <v>0</v>
      </c>
      <c r="AC151" s="8"/>
      <c r="AD151" s="8"/>
      <c r="AE151" t="str">
        <f t="shared" si="92"/>
        <v>Diagnostic (N)</v>
      </c>
      <c r="AF151">
        <f t="shared" ca="1" si="96"/>
        <v>0</v>
      </c>
      <c r="AG151">
        <f t="shared" ca="1" si="96"/>
        <v>0</v>
      </c>
      <c r="AH151">
        <f t="shared" ca="1" si="96"/>
        <v>0</v>
      </c>
      <c r="AI151">
        <f t="shared" ca="1" si="96"/>
        <v>0</v>
      </c>
      <c r="AJ151">
        <f t="shared" ca="1" si="96"/>
        <v>0</v>
      </c>
      <c r="AK151">
        <f t="shared" ca="1" si="96"/>
        <v>0</v>
      </c>
      <c r="AL151">
        <f t="shared" ca="1" si="96"/>
        <v>0</v>
      </c>
      <c r="AM151">
        <f t="shared" ca="1" si="96"/>
        <v>0</v>
      </c>
      <c r="AN151">
        <f t="shared" ca="1" si="96"/>
        <v>0</v>
      </c>
      <c r="AO151">
        <f t="shared" ca="1" si="96"/>
        <v>0</v>
      </c>
      <c r="AP151">
        <f t="shared" ca="1" si="96"/>
        <v>0</v>
      </c>
      <c r="AQ151">
        <f t="shared" ca="1" si="96"/>
        <v>0</v>
      </c>
    </row>
    <row r="152" spans="1:43" x14ac:dyDescent="0.25">
      <c r="A152">
        <f>1</f>
        <v>1</v>
      </c>
      <c r="B152" s="85">
        <f t="shared" si="85"/>
        <v>43940</v>
      </c>
      <c r="C152" s="85">
        <f t="shared" si="80"/>
        <v>43934</v>
      </c>
      <c r="D152">
        <f t="shared" ca="1" si="81"/>
        <v>0</v>
      </c>
      <c r="E152" s="85">
        <f t="shared" si="82"/>
        <v>43922</v>
      </c>
      <c r="F152">
        <f t="shared" si="84"/>
        <v>16</v>
      </c>
      <c r="G152" s="85"/>
      <c r="L152" t="str">
        <f t="shared" ca="1" si="88"/>
        <v/>
      </c>
      <c r="M152">
        <v>9</v>
      </c>
      <c r="N152">
        <v>3</v>
      </c>
      <c r="O152" s="6">
        <f t="array" aca="1" ref="O152" ca="1">SUM(OFFSET($AA$43,0,($M152*3)+$N152,53,1)*O$43:O$95)</f>
        <v>0</v>
      </c>
      <c r="P152" s="6">
        <f t="array" aca="1" ref="P152" ca="1">SUM(OFFSET($AA$43,0,($M152*3)+$N152,53,1)*P$43:P$95)</f>
        <v>0</v>
      </c>
      <c r="Q152" s="6">
        <f t="array" aca="1" ref="Q152" ca="1">SUM(OFFSET($AA$43,0,($M152*3)+$N152,53,1)*Q$43:Q$95)</f>
        <v>0</v>
      </c>
      <c r="R152" s="6">
        <f t="array" aca="1" ref="R152" ca="1">SUM(OFFSET($AA$43,0,($M152*3)+$N152,53,1)*R$43:R$95)</f>
        <v>0</v>
      </c>
      <c r="S152" s="6">
        <f t="array" aca="1" ref="S152" ca="1">SUM(OFFSET($AA$43,0,($M152*3)+$N152,53,1)*S$43:S$95)</f>
        <v>0</v>
      </c>
      <c r="T152" s="6">
        <f t="array" aca="1" ref="T152" ca="1">SUM(OFFSET($AA$43,0,($M152*3)+$N152,53,1)*T$43:T$95)</f>
        <v>0</v>
      </c>
      <c r="U152" s="6">
        <f t="array" aca="1" ref="U152" ca="1">SUM(OFFSET($AA$43,0,($M152*3)+$N152,53,1)*U$43:U$95)</f>
        <v>0</v>
      </c>
      <c r="V152" s="6">
        <f t="array" aca="1" ref="V152" ca="1">SUM(OFFSET($AA$43,0,($M152*3)+$N152,53,1)*V$43:V$95)</f>
        <v>0</v>
      </c>
      <c r="W152" s="6">
        <f t="array" aca="1" ref="W152" ca="1">SUM(OFFSET($AA$43,0,($M152*3)+$N152,53,1)*W$43:W$95)</f>
        <v>0</v>
      </c>
      <c r="X152" s="6">
        <f t="array" aca="1" ref="X152" ca="1">SUM(OFFSET($AA$43,0,($M152*3)+$N152,53,1)*X$43:X$95)</f>
        <v>0</v>
      </c>
      <c r="Y152" s="6">
        <f t="array" aca="1" ref="Y152" ca="1">SUM(OFFSET($AA$43,0,($M152*3)+$N152,53,1)*Y$43:Y$95)</f>
        <v>0</v>
      </c>
      <c r="Z152" s="6">
        <f t="array" aca="1" ref="Z152" ca="1">SUM(OFFSET($AA$43,0,($M152*3)+$N152,53,1)*Z$43:Z$95)</f>
        <v>0</v>
      </c>
      <c r="AA152" s="6">
        <f t="shared" ca="1" si="87"/>
        <v>0</v>
      </c>
      <c r="AB152" s="6">
        <f t="shared" ca="1" si="89"/>
        <v>0</v>
      </c>
      <c r="AC152" s="8"/>
      <c r="AD152" s="8"/>
      <c r="AE152" t="str">
        <f t="shared" si="92"/>
        <v>Follow Up</v>
      </c>
      <c r="AF152">
        <f t="shared" ca="1" si="96"/>
        <v>0</v>
      </c>
      <c r="AG152">
        <f t="shared" ca="1" si="96"/>
        <v>0</v>
      </c>
      <c r="AH152">
        <f t="shared" ca="1" si="96"/>
        <v>0</v>
      </c>
      <c r="AI152">
        <f t="shared" ca="1" si="96"/>
        <v>0</v>
      </c>
      <c r="AJ152">
        <f t="shared" ca="1" si="96"/>
        <v>0</v>
      </c>
      <c r="AK152">
        <f t="shared" ca="1" si="96"/>
        <v>0</v>
      </c>
      <c r="AL152">
        <f t="shared" ca="1" si="96"/>
        <v>0</v>
      </c>
      <c r="AM152">
        <f t="shared" ca="1" si="96"/>
        <v>0</v>
      </c>
      <c r="AN152">
        <f t="shared" ca="1" si="96"/>
        <v>0</v>
      </c>
      <c r="AO152">
        <f t="shared" ca="1" si="96"/>
        <v>0</v>
      </c>
      <c r="AP152">
        <f t="shared" ca="1" si="96"/>
        <v>0</v>
      </c>
      <c r="AQ152">
        <f t="shared" ca="1" si="96"/>
        <v>0</v>
      </c>
    </row>
    <row r="153" spans="1:43" x14ac:dyDescent="0.25">
      <c r="A153">
        <f>1</f>
        <v>1</v>
      </c>
      <c r="B153" s="85">
        <f t="shared" si="85"/>
        <v>43941</v>
      </c>
      <c r="C153" s="85">
        <f t="shared" si="80"/>
        <v>43941</v>
      </c>
      <c r="D153">
        <f t="shared" ca="1" si="81"/>
        <v>1</v>
      </c>
      <c r="E153" s="85">
        <f t="shared" si="82"/>
        <v>43922</v>
      </c>
      <c r="F153">
        <f t="shared" si="84"/>
        <v>17</v>
      </c>
      <c r="G153" s="85"/>
      <c r="L153" t="str">
        <f t="shared" ca="1" si="88"/>
        <v/>
      </c>
      <c r="M153">
        <v>10</v>
      </c>
      <c r="N153">
        <v>1</v>
      </c>
      <c r="O153" s="6">
        <f t="array" aca="1" ref="O153" ca="1">SUM(OFFSET($AA$43,0,($M153*3)+$N153,53,1)*O$43:O$95)</f>
        <v>0</v>
      </c>
      <c r="P153" s="6">
        <f t="array" aca="1" ref="P153" ca="1">SUM(OFFSET($AA$43,0,($M153*3)+$N153,53,1)*P$43:P$95)</f>
        <v>0</v>
      </c>
      <c r="Q153" s="6">
        <f t="array" aca="1" ref="Q153" ca="1">SUM(OFFSET($AA$43,0,($M153*3)+$N153,53,1)*Q$43:Q$95)</f>
        <v>0</v>
      </c>
      <c r="R153" s="6">
        <f t="array" aca="1" ref="R153" ca="1">SUM(OFFSET($AA$43,0,($M153*3)+$N153,53,1)*R$43:R$95)</f>
        <v>0</v>
      </c>
      <c r="S153" s="6">
        <f t="array" aca="1" ref="S153" ca="1">SUM(OFFSET($AA$43,0,($M153*3)+$N153,53,1)*S$43:S$95)</f>
        <v>0</v>
      </c>
      <c r="T153" s="6">
        <f t="array" aca="1" ref="T153" ca="1">SUM(OFFSET($AA$43,0,($M153*3)+$N153,53,1)*T$43:T$95)</f>
        <v>0</v>
      </c>
      <c r="U153" s="6">
        <f t="array" aca="1" ref="U153" ca="1">SUM(OFFSET($AA$43,0,($M153*3)+$N153,53,1)*U$43:U$95)</f>
        <v>0</v>
      </c>
      <c r="V153" s="6">
        <f t="array" aca="1" ref="V153" ca="1">SUM(OFFSET($AA$43,0,($M153*3)+$N153,53,1)*V$43:V$95)</f>
        <v>0</v>
      </c>
      <c r="W153" s="6">
        <f t="array" aca="1" ref="W153" ca="1">SUM(OFFSET($AA$43,0,($M153*3)+$N153,53,1)*W$43:W$95)</f>
        <v>0</v>
      </c>
      <c r="X153" s="6">
        <f t="array" aca="1" ref="X153" ca="1">SUM(OFFSET($AA$43,0,($M153*3)+$N153,53,1)*X$43:X$95)</f>
        <v>0</v>
      </c>
      <c r="Y153" s="6">
        <f t="array" aca="1" ref="Y153" ca="1">SUM(OFFSET($AA$43,0,($M153*3)+$N153,53,1)*Y$43:Y$95)</f>
        <v>0</v>
      </c>
      <c r="Z153" s="6">
        <f t="array" aca="1" ref="Z153" ca="1">SUM(OFFSET($AA$43,0,($M153*3)+$N153,53,1)*Z$43:Z$95)</f>
        <v>0</v>
      </c>
      <c r="AA153" s="6">
        <f t="shared" ca="1" si="87"/>
        <v>0</v>
      </c>
      <c r="AB153" s="6">
        <f t="shared" ca="1" si="89"/>
        <v>0</v>
      </c>
      <c r="AC153" s="8"/>
      <c r="AD153" s="8"/>
      <c r="AE153" t="str">
        <f t="shared" si="92"/>
        <v>Diagnostic (FU)</v>
      </c>
      <c r="AF153">
        <f t="shared" ca="1" si="96"/>
        <v>0</v>
      </c>
      <c r="AG153">
        <f t="shared" ca="1" si="96"/>
        <v>0</v>
      </c>
      <c r="AH153">
        <f t="shared" ca="1" si="96"/>
        <v>0</v>
      </c>
      <c r="AI153">
        <f t="shared" ca="1" si="96"/>
        <v>0</v>
      </c>
      <c r="AJ153">
        <f t="shared" ca="1" si="96"/>
        <v>0</v>
      </c>
      <c r="AK153">
        <f t="shared" ca="1" si="96"/>
        <v>0</v>
      </c>
      <c r="AL153">
        <f t="shared" ca="1" si="96"/>
        <v>0</v>
      </c>
      <c r="AM153">
        <f t="shared" ca="1" si="96"/>
        <v>0</v>
      </c>
      <c r="AN153">
        <f t="shared" ca="1" si="96"/>
        <v>0</v>
      </c>
      <c r="AO153">
        <f t="shared" ca="1" si="96"/>
        <v>0</v>
      </c>
      <c r="AP153">
        <f t="shared" ca="1" si="96"/>
        <v>0</v>
      </c>
      <c r="AQ153">
        <f t="shared" ca="1" si="96"/>
        <v>0</v>
      </c>
    </row>
    <row r="154" spans="1:43" x14ac:dyDescent="0.25">
      <c r="A154">
        <f>1</f>
        <v>1</v>
      </c>
      <c r="B154" s="85">
        <f t="shared" si="85"/>
        <v>43942</v>
      </c>
      <c r="C154" s="85">
        <f t="shared" si="80"/>
        <v>43941</v>
      </c>
      <c r="D154">
        <f t="shared" ca="1" si="81"/>
        <v>1</v>
      </c>
      <c r="E154" s="85">
        <f t="shared" si="82"/>
        <v>43922</v>
      </c>
      <c r="F154">
        <f t="shared" si="84"/>
        <v>17</v>
      </c>
      <c r="G154" s="85"/>
      <c r="L154" t="str">
        <f t="shared" ca="1" si="88"/>
        <v/>
      </c>
      <c r="M154">
        <v>10</v>
      </c>
      <c r="N154">
        <v>2</v>
      </c>
      <c r="O154" s="6">
        <f t="array" aca="1" ref="O154" ca="1">SUM(OFFSET($AA$43,0,($M154*3)+$N154,53,1)*O$43:O$95)</f>
        <v>0</v>
      </c>
      <c r="P154" s="6">
        <f t="array" aca="1" ref="P154" ca="1">SUM(OFFSET($AA$43,0,($M154*3)+$N154,53,1)*P$43:P$95)</f>
        <v>0</v>
      </c>
      <c r="Q154" s="6">
        <f t="array" aca="1" ref="Q154" ca="1">SUM(OFFSET($AA$43,0,($M154*3)+$N154,53,1)*Q$43:Q$95)</f>
        <v>0</v>
      </c>
      <c r="R154" s="6">
        <f t="array" aca="1" ref="R154" ca="1">SUM(OFFSET($AA$43,0,($M154*3)+$N154,53,1)*R$43:R$95)</f>
        <v>0</v>
      </c>
      <c r="S154" s="6">
        <f t="array" aca="1" ref="S154" ca="1">SUM(OFFSET($AA$43,0,($M154*3)+$N154,53,1)*S$43:S$95)</f>
        <v>0</v>
      </c>
      <c r="T154" s="6">
        <f t="array" aca="1" ref="T154" ca="1">SUM(OFFSET($AA$43,0,($M154*3)+$N154,53,1)*T$43:T$95)</f>
        <v>0</v>
      </c>
      <c r="U154" s="6">
        <f t="array" aca="1" ref="U154" ca="1">SUM(OFFSET($AA$43,0,($M154*3)+$N154,53,1)*U$43:U$95)</f>
        <v>0</v>
      </c>
      <c r="V154" s="6">
        <f t="array" aca="1" ref="V154" ca="1">SUM(OFFSET($AA$43,0,($M154*3)+$N154,53,1)*V$43:V$95)</f>
        <v>0</v>
      </c>
      <c r="W154" s="6">
        <f t="array" aca="1" ref="W154" ca="1">SUM(OFFSET($AA$43,0,($M154*3)+$N154,53,1)*W$43:W$95)</f>
        <v>0</v>
      </c>
      <c r="X154" s="6">
        <f t="array" aca="1" ref="X154" ca="1">SUM(OFFSET($AA$43,0,($M154*3)+$N154,53,1)*X$43:X$95)</f>
        <v>0</v>
      </c>
      <c r="Y154" s="6">
        <f t="array" aca="1" ref="Y154" ca="1">SUM(OFFSET($AA$43,0,($M154*3)+$N154,53,1)*Y$43:Y$95)</f>
        <v>0</v>
      </c>
      <c r="Z154" s="6">
        <f t="array" aca="1" ref="Z154" ca="1">SUM(OFFSET($AA$43,0,($M154*3)+$N154,53,1)*Z$43:Z$95)</f>
        <v>0</v>
      </c>
      <c r="AA154" s="6">
        <f t="shared" ca="1" si="87"/>
        <v>0</v>
      </c>
      <c r="AB154" s="6">
        <f t="shared" ca="1" si="89"/>
        <v>0</v>
      </c>
      <c r="AC154" s="8"/>
      <c r="AD154" s="8"/>
      <c r="AE154" t="str">
        <f t="shared" si="92"/>
        <v>Admission</v>
      </c>
      <c r="AF154">
        <f t="shared" ca="1" si="96"/>
        <v>0</v>
      </c>
      <c r="AG154">
        <f t="shared" ca="1" si="96"/>
        <v>0</v>
      </c>
      <c r="AH154">
        <f t="shared" ca="1" si="96"/>
        <v>0</v>
      </c>
      <c r="AI154">
        <f t="shared" ca="1" si="96"/>
        <v>0</v>
      </c>
      <c r="AJ154">
        <f t="shared" ca="1" si="96"/>
        <v>0</v>
      </c>
      <c r="AK154">
        <f t="shared" ca="1" si="96"/>
        <v>0</v>
      </c>
      <c r="AL154">
        <f t="shared" ca="1" si="96"/>
        <v>0</v>
      </c>
      <c r="AM154">
        <f t="shared" ca="1" si="96"/>
        <v>0</v>
      </c>
      <c r="AN154">
        <f t="shared" ca="1" si="96"/>
        <v>0</v>
      </c>
      <c r="AO154">
        <f t="shared" ca="1" si="96"/>
        <v>0</v>
      </c>
      <c r="AP154">
        <f t="shared" ca="1" si="96"/>
        <v>0</v>
      </c>
      <c r="AQ154">
        <f t="shared" ca="1" si="96"/>
        <v>0</v>
      </c>
    </row>
    <row r="155" spans="1:43" x14ac:dyDescent="0.25">
      <c r="A155">
        <f>1</f>
        <v>1</v>
      </c>
      <c r="B155" s="85">
        <f t="shared" si="85"/>
        <v>43943</v>
      </c>
      <c r="C155" s="85">
        <f t="shared" si="80"/>
        <v>43941</v>
      </c>
      <c r="D155">
        <f t="shared" ca="1" si="81"/>
        <v>1</v>
      </c>
      <c r="E155" s="85">
        <f t="shared" si="82"/>
        <v>43922</v>
      </c>
      <c r="F155">
        <f t="shared" si="84"/>
        <v>17</v>
      </c>
      <c r="G155" s="85"/>
      <c r="L155" t="str">
        <f t="shared" ca="1" si="88"/>
        <v/>
      </c>
      <c r="M155">
        <v>10</v>
      </c>
      <c r="N155">
        <v>3</v>
      </c>
      <c r="O155" s="6">
        <f t="array" aca="1" ref="O155" ca="1">SUM(OFFSET($AA$43,0,($M155*3)+$N155,53,1)*O$43:O$95)</f>
        <v>0</v>
      </c>
      <c r="P155" s="6">
        <f t="array" aca="1" ref="P155" ca="1">SUM(OFFSET($AA$43,0,($M155*3)+$N155,53,1)*P$43:P$95)</f>
        <v>0</v>
      </c>
      <c r="Q155" s="6">
        <f t="array" aca="1" ref="Q155" ca="1">SUM(OFFSET($AA$43,0,($M155*3)+$N155,53,1)*Q$43:Q$95)</f>
        <v>0</v>
      </c>
      <c r="R155" s="6">
        <f t="array" aca="1" ref="R155" ca="1">SUM(OFFSET($AA$43,0,($M155*3)+$N155,53,1)*R$43:R$95)</f>
        <v>0</v>
      </c>
      <c r="S155" s="6">
        <f t="array" aca="1" ref="S155" ca="1">SUM(OFFSET($AA$43,0,($M155*3)+$N155,53,1)*S$43:S$95)</f>
        <v>0</v>
      </c>
      <c r="T155" s="6">
        <f t="array" aca="1" ref="T155" ca="1">SUM(OFFSET($AA$43,0,($M155*3)+$N155,53,1)*T$43:T$95)</f>
        <v>0</v>
      </c>
      <c r="U155" s="6">
        <f t="array" aca="1" ref="U155" ca="1">SUM(OFFSET($AA$43,0,($M155*3)+$N155,53,1)*U$43:U$95)</f>
        <v>0</v>
      </c>
      <c r="V155" s="6">
        <f t="array" aca="1" ref="V155" ca="1">SUM(OFFSET($AA$43,0,($M155*3)+$N155,53,1)*V$43:V$95)</f>
        <v>0</v>
      </c>
      <c r="W155" s="6">
        <f t="array" aca="1" ref="W155" ca="1">SUM(OFFSET($AA$43,0,($M155*3)+$N155,53,1)*W$43:W$95)</f>
        <v>0</v>
      </c>
      <c r="X155" s="6">
        <f t="array" aca="1" ref="X155" ca="1">SUM(OFFSET($AA$43,0,($M155*3)+$N155,53,1)*X$43:X$95)</f>
        <v>0</v>
      </c>
      <c r="Y155" s="6">
        <f t="array" aca="1" ref="Y155" ca="1">SUM(OFFSET($AA$43,0,($M155*3)+$N155,53,1)*Y$43:Y$95)</f>
        <v>0</v>
      </c>
      <c r="Z155" s="6">
        <f t="array" aca="1" ref="Z155" ca="1">SUM(OFFSET($AA$43,0,($M155*3)+$N155,53,1)*Z$43:Z$95)</f>
        <v>0</v>
      </c>
      <c r="AA155" s="6">
        <f t="shared" ref="AA155:AA182" ca="1" si="97">SUM(O155:Z155)</f>
        <v>0</v>
      </c>
      <c r="AB155" s="6">
        <f t="shared" ca="1" si="89"/>
        <v>0</v>
      </c>
      <c r="AC155" s="8"/>
      <c r="AD155" s="8">
        <v>6</v>
      </c>
      <c r="AE155" t="str">
        <f t="shared" si="92"/>
        <v>New</v>
      </c>
      <c r="AF155">
        <f t="shared" ref="AF155:AQ159" ca="1" si="98">SUMIFS(O$138:O$140,$L$138:$L$140, $AE155)</f>
        <v>0</v>
      </c>
      <c r="AG155">
        <f t="shared" ca="1" si="98"/>
        <v>0</v>
      </c>
      <c r="AH155">
        <f t="shared" ca="1" si="98"/>
        <v>0</v>
      </c>
      <c r="AI155">
        <f t="shared" ca="1" si="98"/>
        <v>0</v>
      </c>
      <c r="AJ155">
        <f t="shared" ca="1" si="98"/>
        <v>0</v>
      </c>
      <c r="AK155">
        <f t="shared" ca="1" si="98"/>
        <v>0</v>
      </c>
      <c r="AL155">
        <f t="shared" ca="1" si="98"/>
        <v>0</v>
      </c>
      <c r="AM155">
        <f t="shared" ca="1" si="98"/>
        <v>0</v>
      </c>
      <c r="AN155">
        <f t="shared" ca="1" si="98"/>
        <v>0</v>
      </c>
      <c r="AO155">
        <f t="shared" ca="1" si="98"/>
        <v>0</v>
      </c>
      <c r="AP155">
        <f t="shared" ca="1" si="98"/>
        <v>0</v>
      </c>
      <c r="AQ155">
        <f t="shared" ca="1" si="98"/>
        <v>0</v>
      </c>
    </row>
    <row r="156" spans="1:43" x14ac:dyDescent="0.25">
      <c r="A156">
        <f>1</f>
        <v>1</v>
      </c>
      <c r="B156" s="85">
        <f t="shared" si="85"/>
        <v>43944</v>
      </c>
      <c r="C156" s="85">
        <f t="shared" si="80"/>
        <v>43941</v>
      </c>
      <c r="D156">
        <f t="shared" ca="1" si="81"/>
        <v>1</v>
      </c>
      <c r="E156" s="85">
        <f t="shared" si="82"/>
        <v>43922</v>
      </c>
      <c r="F156">
        <f t="shared" si="84"/>
        <v>17</v>
      </c>
      <c r="G156" s="85"/>
      <c r="L156" t="str">
        <f t="shared" ca="1" si="88"/>
        <v/>
      </c>
      <c r="M156">
        <v>11</v>
      </c>
      <c r="N156">
        <v>1</v>
      </c>
      <c r="O156" s="6">
        <f t="array" aca="1" ref="O156" ca="1">SUM(OFFSET($AA$43,0,($M156*3)+$N156,53,1)*O$43:O$95)</f>
        <v>0</v>
      </c>
      <c r="P156" s="6">
        <f t="array" aca="1" ref="P156" ca="1">SUM(OFFSET($AA$43,0,($M156*3)+$N156,53,1)*P$43:P$95)</f>
        <v>0</v>
      </c>
      <c r="Q156" s="6">
        <f t="array" aca="1" ref="Q156" ca="1">SUM(OFFSET($AA$43,0,($M156*3)+$N156,53,1)*Q$43:Q$95)</f>
        <v>0</v>
      </c>
      <c r="R156" s="6">
        <f t="array" aca="1" ref="R156" ca="1">SUM(OFFSET($AA$43,0,($M156*3)+$N156,53,1)*R$43:R$95)</f>
        <v>0</v>
      </c>
      <c r="S156" s="6">
        <f t="array" aca="1" ref="S156" ca="1">SUM(OFFSET($AA$43,0,($M156*3)+$N156,53,1)*S$43:S$95)</f>
        <v>0</v>
      </c>
      <c r="T156" s="6">
        <f t="array" aca="1" ref="T156" ca="1">SUM(OFFSET($AA$43,0,($M156*3)+$N156,53,1)*T$43:T$95)</f>
        <v>0</v>
      </c>
      <c r="U156" s="6">
        <f t="array" aca="1" ref="U156" ca="1">SUM(OFFSET($AA$43,0,($M156*3)+$N156,53,1)*U$43:U$95)</f>
        <v>0</v>
      </c>
      <c r="V156" s="6">
        <f t="array" aca="1" ref="V156" ca="1">SUM(OFFSET($AA$43,0,($M156*3)+$N156,53,1)*V$43:V$95)</f>
        <v>0</v>
      </c>
      <c r="W156" s="6">
        <f t="array" aca="1" ref="W156" ca="1">SUM(OFFSET($AA$43,0,($M156*3)+$N156,53,1)*W$43:W$95)</f>
        <v>0</v>
      </c>
      <c r="X156" s="6">
        <f t="array" aca="1" ref="X156" ca="1">SUM(OFFSET($AA$43,0,($M156*3)+$N156,53,1)*X$43:X$95)</f>
        <v>0</v>
      </c>
      <c r="Y156" s="6">
        <f t="array" aca="1" ref="Y156" ca="1">SUM(OFFSET($AA$43,0,($M156*3)+$N156,53,1)*Y$43:Y$95)</f>
        <v>0</v>
      </c>
      <c r="Z156" s="6">
        <f t="array" aca="1" ref="Z156" ca="1">SUM(OFFSET($AA$43,0,($M156*3)+$N156,53,1)*Z$43:Z$95)</f>
        <v>0</v>
      </c>
      <c r="AA156" s="6">
        <f t="shared" ca="1" si="97"/>
        <v>0</v>
      </c>
      <c r="AB156" s="6">
        <f t="shared" ca="1" si="89"/>
        <v>0</v>
      </c>
      <c r="AC156" s="8"/>
      <c r="AD156" s="8"/>
      <c r="AE156" t="str">
        <f t="shared" si="92"/>
        <v>Diagnostic (N)</v>
      </c>
      <c r="AF156">
        <f t="shared" ca="1" si="98"/>
        <v>0</v>
      </c>
      <c r="AG156">
        <f t="shared" ca="1" si="98"/>
        <v>0</v>
      </c>
      <c r="AH156">
        <f t="shared" ca="1" si="98"/>
        <v>0</v>
      </c>
      <c r="AI156">
        <f t="shared" ca="1" si="98"/>
        <v>0</v>
      </c>
      <c r="AJ156">
        <f t="shared" ca="1" si="98"/>
        <v>0</v>
      </c>
      <c r="AK156">
        <f t="shared" ca="1" si="98"/>
        <v>0</v>
      </c>
      <c r="AL156">
        <f t="shared" ca="1" si="98"/>
        <v>0</v>
      </c>
      <c r="AM156">
        <f t="shared" ca="1" si="98"/>
        <v>0</v>
      </c>
      <c r="AN156">
        <f t="shared" ca="1" si="98"/>
        <v>0</v>
      </c>
      <c r="AO156">
        <f t="shared" ca="1" si="98"/>
        <v>0</v>
      </c>
      <c r="AP156">
        <f t="shared" ca="1" si="98"/>
        <v>0</v>
      </c>
      <c r="AQ156">
        <f t="shared" ca="1" si="98"/>
        <v>0</v>
      </c>
    </row>
    <row r="157" spans="1:43" x14ac:dyDescent="0.25">
      <c r="A157">
        <f>1</f>
        <v>1</v>
      </c>
      <c r="B157" s="85">
        <f t="shared" si="85"/>
        <v>43945</v>
      </c>
      <c r="C157" s="85">
        <f t="shared" si="80"/>
        <v>43941</v>
      </c>
      <c r="D157">
        <f t="shared" ca="1" si="81"/>
        <v>1</v>
      </c>
      <c r="E157" s="85">
        <f t="shared" si="82"/>
        <v>43922</v>
      </c>
      <c r="F157">
        <f t="shared" si="84"/>
        <v>17</v>
      </c>
      <c r="G157" s="85"/>
      <c r="L157" t="str">
        <f t="shared" ca="1" si="88"/>
        <v/>
      </c>
      <c r="M157">
        <v>11</v>
      </c>
      <c r="N157">
        <v>2</v>
      </c>
      <c r="O157" s="6">
        <f t="array" aca="1" ref="O157" ca="1">SUM(OFFSET($AA$43,0,($M157*3)+$N157,53,1)*O$43:O$95)</f>
        <v>0</v>
      </c>
      <c r="P157" s="6">
        <f t="array" aca="1" ref="P157" ca="1">SUM(OFFSET($AA$43,0,($M157*3)+$N157,53,1)*P$43:P$95)</f>
        <v>0</v>
      </c>
      <c r="Q157" s="6">
        <f t="array" aca="1" ref="Q157" ca="1">SUM(OFFSET($AA$43,0,($M157*3)+$N157,53,1)*Q$43:Q$95)</f>
        <v>0</v>
      </c>
      <c r="R157" s="6">
        <f t="array" aca="1" ref="R157" ca="1">SUM(OFFSET($AA$43,0,($M157*3)+$N157,53,1)*R$43:R$95)</f>
        <v>0</v>
      </c>
      <c r="S157" s="6">
        <f t="array" aca="1" ref="S157" ca="1">SUM(OFFSET($AA$43,0,($M157*3)+$N157,53,1)*S$43:S$95)</f>
        <v>0</v>
      </c>
      <c r="T157" s="6">
        <f t="array" aca="1" ref="T157" ca="1">SUM(OFFSET($AA$43,0,($M157*3)+$N157,53,1)*T$43:T$95)</f>
        <v>0</v>
      </c>
      <c r="U157" s="6">
        <f t="array" aca="1" ref="U157" ca="1">SUM(OFFSET($AA$43,0,($M157*3)+$N157,53,1)*U$43:U$95)</f>
        <v>0</v>
      </c>
      <c r="V157" s="6">
        <f t="array" aca="1" ref="V157" ca="1">SUM(OFFSET($AA$43,0,($M157*3)+$N157,53,1)*V$43:V$95)</f>
        <v>0</v>
      </c>
      <c r="W157" s="6">
        <f t="array" aca="1" ref="W157" ca="1">SUM(OFFSET($AA$43,0,($M157*3)+$N157,53,1)*W$43:W$95)</f>
        <v>0</v>
      </c>
      <c r="X157" s="6">
        <f t="array" aca="1" ref="X157" ca="1">SUM(OFFSET($AA$43,0,($M157*3)+$N157,53,1)*X$43:X$95)</f>
        <v>0</v>
      </c>
      <c r="Y157" s="6">
        <f t="array" aca="1" ref="Y157" ca="1">SUM(OFFSET($AA$43,0,($M157*3)+$N157,53,1)*Y$43:Y$95)</f>
        <v>0</v>
      </c>
      <c r="Z157" s="6">
        <f t="array" aca="1" ref="Z157" ca="1">SUM(OFFSET($AA$43,0,($M157*3)+$N157,53,1)*Z$43:Z$95)</f>
        <v>0</v>
      </c>
      <c r="AA157" s="6">
        <f t="shared" ca="1" si="97"/>
        <v>0</v>
      </c>
      <c r="AB157" s="6">
        <f t="shared" ca="1" si="89"/>
        <v>0</v>
      </c>
      <c r="AC157" s="8"/>
      <c r="AD157" s="8"/>
      <c r="AE157" t="str">
        <f t="shared" si="92"/>
        <v>Follow Up</v>
      </c>
      <c r="AF157">
        <f t="shared" ca="1" si="98"/>
        <v>0</v>
      </c>
      <c r="AG157">
        <f t="shared" ca="1" si="98"/>
        <v>0</v>
      </c>
      <c r="AH157">
        <f t="shared" ca="1" si="98"/>
        <v>0</v>
      </c>
      <c r="AI157">
        <f t="shared" ca="1" si="98"/>
        <v>0</v>
      </c>
      <c r="AJ157">
        <f t="shared" ca="1" si="98"/>
        <v>0</v>
      </c>
      <c r="AK157">
        <f t="shared" ca="1" si="98"/>
        <v>0</v>
      </c>
      <c r="AL157">
        <f t="shared" ca="1" si="98"/>
        <v>0</v>
      </c>
      <c r="AM157">
        <f t="shared" ca="1" si="98"/>
        <v>0</v>
      </c>
      <c r="AN157">
        <f t="shared" ca="1" si="98"/>
        <v>0</v>
      </c>
      <c r="AO157">
        <f t="shared" ca="1" si="98"/>
        <v>0</v>
      </c>
      <c r="AP157">
        <f t="shared" ca="1" si="98"/>
        <v>0</v>
      </c>
      <c r="AQ157">
        <f t="shared" ca="1" si="98"/>
        <v>0</v>
      </c>
    </row>
    <row r="158" spans="1:43" x14ac:dyDescent="0.25">
      <c r="A158">
        <f>1</f>
        <v>1</v>
      </c>
      <c r="B158" s="85">
        <f t="shared" si="85"/>
        <v>43946</v>
      </c>
      <c r="C158" s="85">
        <f t="shared" si="80"/>
        <v>43941</v>
      </c>
      <c r="D158">
        <f t="shared" ca="1" si="81"/>
        <v>0</v>
      </c>
      <c r="E158" s="85">
        <f t="shared" si="82"/>
        <v>43922</v>
      </c>
      <c r="F158">
        <f t="shared" si="84"/>
        <v>17</v>
      </c>
      <c r="G158" s="85"/>
      <c r="L158" t="str">
        <f t="shared" ca="1" si="88"/>
        <v/>
      </c>
      <c r="M158">
        <v>11</v>
      </c>
      <c r="N158">
        <v>3</v>
      </c>
      <c r="O158" s="6">
        <f t="array" aca="1" ref="O158" ca="1">SUM(OFFSET($AA$43,0,($M158*3)+$N158,53,1)*O$43:O$95)</f>
        <v>0</v>
      </c>
      <c r="P158" s="6">
        <f t="array" aca="1" ref="P158" ca="1">SUM(OFFSET($AA$43,0,($M158*3)+$N158,53,1)*P$43:P$95)</f>
        <v>0</v>
      </c>
      <c r="Q158" s="6">
        <f t="array" aca="1" ref="Q158" ca="1">SUM(OFFSET($AA$43,0,($M158*3)+$N158,53,1)*Q$43:Q$95)</f>
        <v>0</v>
      </c>
      <c r="R158" s="6">
        <f t="array" aca="1" ref="R158" ca="1">SUM(OFFSET($AA$43,0,($M158*3)+$N158,53,1)*R$43:R$95)</f>
        <v>0</v>
      </c>
      <c r="S158" s="6">
        <f t="array" aca="1" ref="S158" ca="1">SUM(OFFSET($AA$43,0,($M158*3)+$N158,53,1)*S$43:S$95)</f>
        <v>0</v>
      </c>
      <c r="T158" s="6">
        <f t="array" aca="1" ref="T158" ca="1">SUM(OFFSET($AA$43,0,($M158*3)+$N158,53,1)*T$43:T$95)</f>
        <v>0</v>
      </c>
      <c r="U158" s="6">
        <f t="array" aca="1" ref="U158" ca="1">SUM(OFFSET($AA$43,0,($M158*3)+$N158,53,1)*U$43:U$95)</f>
        <v>0</v>
      </c>
      <c r="V158" s="6">
        <f t="array" aca="1" ref="V158" ca="1">SUM(OFFSET($AA$43,0,($M158*3)+$N158,53,1)*V$43:V$95)</f>
        <v>0</v>
      </c>
      <c r="W158" s="6">
        <f t="array" aca="1" ref="W158" ca="1">SUM(OFFSET($AA$43,0,($M158*3)+$N158,53,1)*W$43:W$95)</f>
        <v>0</v>
      </c>
      <c r="X158" s="6">
        <f t="array" aca="1" ref="X158" ca="1">SUM(OFFSET($AA$43,0,($M158*3)+$N158,53,1)*X$43:X$95)</f>
        <v>0</v>
      </c>
      <c r="Y158" s="6">
        <f t="array" aca="1" ref="Y158" ca="1">SUM(OFFSET($AA$43,0,($M158*3)+$N158,53,1)*Y$43:Y$95)</f>
        <v>0</v>
      </c>
      <c r="Z158" s="6">
        <f t="array" aca="1" ref="Z158" ca="1">SUM(OFFSET($AA$43,0,($M158*3)+$N158,53,1)*Z$43:Z$95)</f>
        <v>0</v>
      </c>
      <c r="AA158" s="6">
        <f t="shared" ca="1" si="97"/>
        <v>0</v>
      </c>
      <c r="AB158" s="6">
        <f t="shared" ca="1" si="89"/>
        <v>0</v>
      </c>
      <c r="AC158" s="8"/>
      <c r="AD158" s="8"/>
      <c r="AE158" t="str">
        <f t="shared" si="92"/>
        <v>Diagnostic (FU)</v>
      </c>
      <c r="AF158">
        <f t="shared" ca="1" si="98"/>
        <v>0</v>
      </c>
      <c r="AG158">
        <f t="shared" ca="1" si="98"/>
        <v>0</v>
      </c>
      <c r="AH158">
        <f t="shared" ca="1" si="98"/>
        <v>0</v>
      </c>
      <c r="AI158">
        <f t="shared" ca="1" si="98"/>
        <v>0</v>
      </c>
      <c r="AJ158">
        <f t="shared" ca="1" si="98"/>
        <v>0</v>
      </c>
      <c r="AK158">
        <f t="shared" ca="1" si="98"/>
        <v>0</v>
      </c>
      <c r="AL158">
        <f t="shared" ca="1" si="98"/>
        <v>0</v>
      </c>
      <c r="AM158">
        <f t="shared" ca="1" si="98"/>
        <v>0</v>
      </c>
      <c r="AN158">
        <f t="shared" ca="1" si="98"/>
        <v>0</v>
      </c>
      <c r="AO158">
        <f t="shared" ca="1" si="98"/>
        <v>0</v>
      </c>
      <c r="AP158">
        <f t="shared" ca="1" si="98"/>
        <v>0</v>
      </c>
      <c r="AQ158">
        <f t="shared" ca="1" si="98"/>
        <v>0</v>
      </c>
    </row>
    <row r="159" spans="1:43" x14ac:dyDescent="0.25">
      <c r="A159">
        <f>1</f>
        <v>1</v>
      </c>
      <c r="B159" s="85">
        <f t="shared" si="85"/>
        <v>43947</v>
      </c>
      <c r="C159" s="85">
        <f t="shared" si="80"/>
        <v>43941</v>
      </c>
      <c r="D159">
        <f t="shared" ca="1" si="81"/>
        <v>0</v>
      </c>
      <c r="E159" s="85">
        <f t="shared" si="82"/>
        <v>43922</v>
      </c>
      <c r="F159">
        <f t="shared" si="84"/>
        <v>17</v>
      </c>
      <c r="G159" s="85"/>
      <c r="L159" t="str">
        <f t="shared" ca="1" si="88"/>
        <v/>
      </c>
      <c r="M159">
        <v>12</v>
      </c>
      <c r="N159">
        <v>1</v>
      </c>
      <c r="O159" s="6">
        <f t="array" aca="1" ref="O159" ca="1">SUM(OFFSET($AA$43,0,($M159*3)+$N159,53,1)*O$43:O$95)</f>
        <v>0</v>
      </c>
      <c r="P159" s="6">
        <f t="array" aca="1" ref="P159" ca="1">SUM(OFFSET($AA$43,0,($M159*3)+$N159,53,1)*P$43:P$95)</f>
        <v>0</v>
      </c>
      <c r="Q159" s="6">
        <f t="array" aca="1" ref="Q159" ca="1">SUM(OFFSET($AA$43,0,($M159*3)+$N159,53,1)*Q$43:Q$95)</f>
        <v>0</v>
      </c>
      <c r="R159" s="6">
        <f t="array" aca="1" ref="R159" ca="1">SUM(OFFSET($AA$43,0,($M159*3)+$N159,53,1)*R$43:R$95)</f>
        <v>0</v>
      </c>
      <c r="S159" s="6">
        <f t="array" aca="1" ref="S159" ca="1">SUM(OFFSET($AA$43,0,($M159*3)+$N159,53,1)*S$43:S$95)</f>
        <v>0</v>
      </c>
      <c r="T159" s="6">
        <f t="array" aca="1" ref="T159" ca="1">SUM(OFFSET($AA$43,0,($M159*3)+$N159,53,1)*T$43:T$95)</f>
        <v>0</v>
      </c>
      <c r="U159" s="6">
        <f t="array" aca="1" ref="U159" ca="1">SUM(OFFSET($AA$43,0,($M159*3)+$N159,53,1)*U$43:U$95)</f>
        <v>0</v>
      </c>
      <c r="V159" s="6">
        <f t="array" aca="1" ref="V159" ca="1">SUM(OFFSET($AA$43,0,($M159*3)+$N159,53,1)*V$43:V$95)</f>
        <v>0</v>
      </c>
      <c r="W159" s="6">
        <f t="array" aca="1" ref="W159" ca="1">SUM(OFFSET($AA$43,0,($M159*3)+$N159,53,1)*W$43:W$95)</f>
        <v>0</v>
      </c>
      <c r="X159" s="6">
        <f t="array" aca="1" ref="X159" ca="1">SUM(OFFSET($AA$43,0,($M159*3)+$N159,53,1)*X$43:X$95)</f>
        <v>0</v>
      </c>
      <c r="Y159" s="6">
        <f t="array" aca="1" ref="Y159" ca="1">SUM(OFFSET($AA$43,0,($M159*3)+$N159,53,1)*Y$43:Y$95)</f>
        <v>0</v>
      </c>
      <c r="Z159" s="6">
        <f t="array" aca="1" ref="Z159" ca="1">SUM(OFFSET($AA$43,0,($M159*3)+$N159,53,1)*Z$43:Z$95)</f>
        <v>0</v>
      </c>
      <c r="AA159" s="6">
        <f t="shared" ca="1" si="97"/>
        <v>0</v>
      </c>
      <c r="AB159" s="6">
        <f t="shared" ca="1" si="89"/>
        <v>0</v>
      </c>
      <c r="AC159" s="8"/>
      <c r="AD159" s="8"/>
      <c r="AE159" t="str">
        <f t="shared" si="92"/>
        <v>Admission</v>
      </c>
      <c r="AF159">
        <f t="shared" ca="1" si="98"/>
        <v>0</v>
      </c>
      <c r="AG159">
        <f t="shared" ca="1" si="98"/>
        <v>0</v>
      </c>
      <c r="AH159">
        <f t="shared" ca="1" si="98"/>
        <v>0</v>
      </c>
      <c r="AI159">
        <f t="shared" ca="1" si="98"/>
        <v>0</v>
      </c>
      <c r="AJ159">
        <f t="shared" ca="1" si="98"/>
        <v>0</v>
      </c>
      <c r="AK159">
        <f t="shared" ca="1" si="98"/>
        <v>0</v>
      </c>
      <c r="AL159">
        <f t="shared" ca="1" si="98"/>
        <v>0</v>
      </c>
      <c r="AM159">
        <f t="shared" ca="1" si="98"/>
        <v>0</v>
      </c>
      <c r="AN159">
        <f t="shared" ca="1" si="98"/>
        <v>0</v>
      </c>
      <c r="AO159">
        <f t="shared" ca="1" si="98"/>
        <v>0</v>
      </c>
      <c r="AP159">
        <f t="shared" ca="1" si="98"/>
        <v>0</v>
      </c>
      <c r="AQ159">
        <f t="shared" ca="1" si="98"/>
        <v>0</v>
      </c>
    </row>
    <row r="160" spans="1:43" x14ac:dyDescent="0.25">
      <c r="A160">
        <f>1</f>
        <v>1</v>
      </c>
      <c r="B160" s="85">
        <f t="shared" si="85"/>
        <v>43948</v>
      </c>
      <c r="C160" s="85">
        <f t="shared" si="80"/>
        <v>43948</v>
      </c>
      <c r="D160">
        <f t="shared" ca="1" si="81"/>
        <v>1</v>
      </c>
      <c r="E160" s="85">
        <f t="shared" si="82"/>
        <v>43922</v>
      </c>
      <c r="F160">
        <f t="shared" si="84"/>
        <v>18</v>
      </c>
      <c r="G160" s="85"/>
      <c r="L160" t="str">
        <f t="shared" ca="1" si="88"/>
        <v/>
      </c>
      <c r="M160">
        <v>12</v>
      </c>
      <c r="N160">
        <v>2</v>
      </c>
      <c r="O160" s="6">
        <f t="array" aca="1" ref="O160" ca="1">SUM(OFFSET($AA$43,0,($M160*3)+$N160,53,1)*O$43:O$95)</f>
        <v>0</v>
      </c>
      <c r="P160" s="6">
        <f t="array" aca="1" ref="P160" ca="1">SUM(OFFSET($AA$43,0,($M160*3)+$N160,53,1)*P$43:P$95)</f>
        <v>0</v>
      </c>
      <c r="Q160" s="6">
        <f t="array" aca="1" ref="Q160" ca="1">SUM(OFFSET($AA$43,0,($M160*3)+$N160,53,1)*Q$43:Q$95)</f>
        <v>0</v>
      </c>
      <c r="R160" s="6">
        <f t="array" aca="1" ref="R160" ca="1">SUM(OFFSET($AA$43,0,($M160*3)+$N160,53,1)*R$43:R$95)</f>
        <v>0</v>
      </c>
      <c r="S160" s="6">
        <f t="array" aca="1" ref="S160" ca="1">SUM(OFFSET($AA$43,0,($M160*3)+$N160,53,1)*S$43:S$95)</f>
        <v>0</v>
      </c>
      <c r="T160" s="6">
        <f t="array" aca="1" ref="T160" ca="1">SUM(OFFSET($AA$43,0,($M160*3)+$N160,53,1)*T$43:T$95)</f>
        <v>0</v>
      </c>
      <c r="U160" s="6">
        <f t="array" aca="1" ref="U160" ca="1">SUM(OFFSET($AA$43,0,($M160*3)+$N160,53,1)*U$43:U$95)</f>
        <v>0</v>
      </c>
      <c r="V160" s="6">
        <f t="array" aca="1" ref="V160" ca="1">SUM(OFFSET($AA$43,0,($M160*3)+$N160,53,1)*V$43:V$95)</f>
        <v>0</v>
      </c>
      <c r="W160" s="6">
        <f t="array" aca="1" ref="W160" ca="1">SUM(OFFSET($AA$43,0,($M160*3)+$N160,53,1)*W$43:W$95)</f>
        <v>0</v>
      </c>
      <c r="X160" s="6">
        <f t="array" aca="1" ref="X160" ca="1">SUM(OFFSET($AA$43,0,($M160*3)+$N160,53,1)*X$43:X$95)</f>
        <v>0</v>
      </c>
      <c r="Y160" s="6">
        <f t="array" aca="1" ref="Y160" ca="1">SUM(OFFSET($AA$43,0,($M160*3)+$N160,53,1)*Y$43:Y$95)</f>
        <v>0</v>
      </c>
      <c r="Z160" s="6">
        <f t="array" aca="1" ref="Z160" ca="1">SUM(OFFSET($AA$43,0,($M160*3)+$N160,53,1)*Z$43:Z$95)</f>
        <v>0</v>
      </c>
      <c r="AA160" s="6">
        <f t="shared" ca="1" si="97"/>
        <v>0</v>
      </c>
      <c r="AB160" s="6">
        <f t="shared" ca="1" si="89"/>
        <v>0</v>
      </c>
      <c r="AC160" s="8"/>
      <c r="AD160" s="8">
        <v>7</v>
      </c>
      <c r="AE160" t="str">
        <f t="shared" si="92"/>
        <v>New</v>
      </c>
      <c r="AF160">
        <f t="shared" ref="AF160:AQ164" ca="1" si="99">SUMIFS(O$141:O$143,$L$141:$L$143, $AE160)</f>
        <v>0</v>
      </c>
      <c r="AG160">
        <f t="shared" ca="1" si="99"/>
        <v>0</v>
      </c>
      <c r="AH160">
        <f t="shared" ca="1" si="99"/>
        <v>0</v>
      </c>
      <c r="AI160">
        <f t="shared" ca="1" si="99"/>
        <v>0</v>
      </c>
      <c r="AJ160">
        <f t="shared" ca="1" si="99"/>
        <v>0</v>
      </c>
      <c r="AK160">
        <f t="shared" ca="1" si="99"/>
        <v>0</v>
      </c>
      <c r="AL160">
        <f t="shared" ca="1" si="99"/>
        <v>0</v>
      </c>
      <c r="AM160">
        <f t="shared" ca="1" si="99"/>
        <v>0</v>
      </c>
      <c r="AN160">
        <f t="shared" ca="1" si="99"/>
        <v>0</v>
      </c>
      <c r="AO160">
        <f t="shared" ca="1" si="99"/>
        <v>0</v>
      </c>
      <c r="AP160">
        <f t="shared" ca="1" si="99"/>
        <v>0</v>
      </c>
      <c r="AQ160">
        <f t="shared" ca="1" si="99"/>
        <v>0</v>
      </c>
    </row>
    <row r="161" spans="1:43" x14ac:dyDescent="0.25">
      <c r="A161">
        <f>1</f>
        <v>1</v>
      </c>
      <c r="B161" s="85">
        <f t="shared" si="85"/>
        <v>43949</v>
      </c>
      <c r="C161" s="85">
        <f t="shared" si="80"/>
        <v>43948</v>
      </c>
      <c r="D161">
        <f t="shared" ca="1" si="81"/>
        <v>1</v>
      </c>
      <c r="E161" s="85">
        <f t="shared" si="82"/>
        <v>43922</v>
      </c>
      <c r="F161">
        <f t="shared" si="84"/>
        <v>18</v>
      </c>
      <c r="G161" s="85"/>
      <c r="L161" t="str">
        <f t="shared" ca="1" si="88"/>
        <v/>
      </c>
      <c r="M161">
        <v>12</v>
      </c>
      <c r="N161">
        <v>3</v>
      </c>
      <c r="O161" s="6">
        <f t="array" aca="1" ref="O161" ca="1">SUM(OFFSET($AA$43,0,($M161*3)+$N161,53,1)*O$43:O$95)</f>
        <v>0</v>
      </c>
      <c r="P161" s="6">
        <f t="array" aca="1" ref="P161" ca="1">SUM(OFFSET($AA$43,0,($M161*3)+$N161,53,1)*P$43:P$95)</f>
        <v>0</v>
      </c>
      <c r="Q161" s="6">
        <f t="array" aca="1" ref="Q161" ca="1">SUM(OFFSET($AA$43,0,($M161*3)+$N161,53,1)*Q$43:Q$95)</f>
        <v>0</v>
      </c>
      <c r="R161" s="6">
        <f t="array" aca="1" ref="R161" ca="1">SUM(OFFSET($AA$43,0,($M161*3)+$N161,53,1)*R$43:R$95)</f>
        <v>0</v>
      </c>
      <c r="S161" s="6">
        <f t="array" aca="1" ref="S161" ca="1">SUM(OFFSET($AA$43,0,($M161*3)+$N161,53,1)*S$43:S$95)</f>
        <v>0</v>
      </c>
      <c r="T161" s="6">
        <f t="array" aca="1" ref="T161" ca="1">SUM(OFFSET($AA$43,0,($M161*3)+$N161,53,1)*T$43:T$95)</f>
        <v>0</v>
      </c>
      <c r="U161" s="6">
        <f t="array" aca="1" ref="U161" ca="1">SUM(OFFSET($AA$43,0,($M161*3)+$N161,53,1)*U$43:U$95)</f>
        <v>0</v>
      </c>
      <c r="V161" s="6">
        <f t="array" aca="1" ref="V161" ca="1">SUM(OFFSET($AA$43,0,($M161*3)+$N161,53,1)*V$43:V$95)</f>
        <v>0</v>
      </c>
      <c r="W161" s="6">
        <f t="array" aca="1" ref="W161" ca="1">SUM(OFFSET($AA$43,0,($M161*3)+$N161,53,1)*W$43:W$95)</f>
        <v>0</v>
      </c>
      <c r="X161" s="6">
        <f t="array" aca="1" ref="X161" ca="1">SUM(OFFSET($AA$43,0,($M161*3)+$N161,53,1)*X$43:X$95)</f>
        <v>0</v>
      </c>
      <c r="Y161" s="6">
        <f t="array" aca="1" ref="Y161" ca="1">SUM(OFFSET($AA$43,0,($M161*3)+$N161,53,1)*Y$43:Y$95)</f>
        <v>0</v>
      </c>
      <c r="Z161" s="6">
        <f t="array" aca="1" ref="Z161" ca="1">SUM(OFFSET($AA$43,0,($M161*3)+$N161,53,1)*Z$43:Z$95)</f>
        <v>0</v>
      </c>
      <c r="AA161" s="6">
        <f t="shared" ca="1" si="97"/>
        <v>0</v>
      </c>
      <c r="AB161" s="6">
        <f t="shared" ca="1" si="89"/>
        <v>0</v>
      </c>
      <c r="AC161" s="8"/>
      <c r="AD161" s="8"/>
      <c r="AE161" t="str">
        <f t="shared" si="92"/>
        <v>Diagnostic (N)</v>
      </c>
      <c r="AF161">
        <f t="shared" ca="1" si="99"/>
        <v>0</v>
      </c>
      <c r="AG161">
        <f t="shared" ca="1" si="99"/>
        <v>0</v>
      </c>
      <c r="AH161">
        <f t="shared" ca="1" si="99"/>
        <v>0</v>
      </c>
      <c r="AI161">
        <f t="shared" ca="1" si="99"/>
        <v>0</v>
      </c>
      <c r="AJ161">
        <f t="shared" ca="1" si="99"/>
        <v>0</v>
      </c>
      <c r="AK161">
        <f t="shared" ca="1" si="99"/>
        <v>0</v>
      </c>
      <c r="AL161">
        <f t="shared" ca="1" si="99"/>
        <v>0</v>
      </c>
      <c r="AM161">
        <f t="shared" ca="1" si="99"/>
        <v>0</v>
      </c>
      <c r="AN161">
        <f t="shared" ca="1" si="99"/>
        <v>0</v>
      </c>
      <c r="AO161">
        <f t="shared" ca="1" si="99"/>
        <v>0</v>
      </c>
      <c r="AP161">
        <f t="shared" ca="1" si="99"/>
        <v>0</v>
      </c>
      <c r="AQ161">
        <f t="shared" ca="1" si="99"/>
        <v>0</v>
      </c>
    </row>
    <row r="162" spans="1:43" x14ac:dyDescent="0.25">
      <c r="A162">
        <f>1</f>
        <v>1</v>
      </c>
      <c r="B162" s="85">
        <f t="shared" si="85"/>
        <v>43950</v>
      </c>
      <c r="C162" s="85">
        <f t="shared" si="80"/>
        <v>43948</v>
      </c>
      <c r="D162">
        <f t="shared" ca="1" si="81"/>
        <v>1</v>
      </c>
      <c r="E162" s="85">
        <f t="shared" si="82"/>
        <v>43922</v>
      </c>
      <c r="F162">
        <f t="shared" si="84"/>
        <v>18</v>
      </c>
      <c r="G162" s="85"/>
      <c r="L162" t="str">
        <f t="shared" ca="1" si="88"/>
        <v/>
      </c>
      <c r="M162">
        <v>13</v>
      </c>
      <c r="N162">
        <v>1</v>
      </c>
      <c r="O162" s="6">
        <f t="array" aca="1" ref="O162" ca="1">SUM(OFFSET($AA$43,0,($M162*3)+$N162,53,1)*O$43:O$95)</f>
        <v>0</v>
      </c>
      <c r="P162" s="6">
        <f t="array" aca="1" ref="P162" ca="1">SUM(OFFSET($AA$43,0,($M162*3)+$N162,53,1)*P$43:P$95)</f>
        <v>0</v>
      </c>
      <c r="Q162" s="6">
        <f t="array" aca="1" ref="Q162" ca="1">SUM(OFFSET($AA$43,0,($M162*3)+$N162,53,1)*Q$43:Q$95)</f>
        <v>0</v>
      </c>
      <c r="R162" s="6">
        <f t="array" aca="1" ref="R162" ca="1">SUM(OFFSET($AA$43,0,($M162*3)+$N162,53,1)*R$43:R$95)</f>
        <v>0</v>
      </c>
      <c r="S162" s="6">
        <f t="array" aca="1" ref="S162" ca="1">SUM(OFFSET($AA$43,0,($M162*3)+$N162,53,1)*S$43:S$95)</f>
        <v>0</v>
      </c>
      <c r="T162" s="6">
        <f t="array" aca="1" ref="T162" ca="1">SUM(OFFSET($AA$43,0,($M162*3)+$N162,53,1)*T$43:T$95)</f>
        <v>0</v>
      </c>
      <c r="U162" s="6">
        <f t="array" aca="1" ref="U162" ca="1">SUM(OFFSET($AA$43,0,($M162*3)+$N162,53,1)*U$43:U$95)</f>
        <v>0</v>
      </c>
      <c r="V162" s="6">
        <f t="array" aca="1" ref="V162" ca="1">SUM(OFFSET($AA$43,0,($M162*3)+$N162,53,1)*V$43:V$95)</f>
        <v>0</v>
      </c>
      <c r="W162" s="6">
        <f t="array" aca="1" ref="W162" ca="1">SUM(OFFSET($AA$43,0,($M162*3)+$N162,53,1)*W$43:W$95)</f>
        <v>0</v>
      </c>
      <c r="X162" s="6">
        <f t="array" aca="1" ref="X162" ca="1">SUM(OFFSET($AA$43,0,($M162*3)+$N162,53,1)*X$43:X$95)</f>
        <v>0</v>
      </c>
      <c r="Y162" s="6">
        <f t="array" aca="1" ref="Y162" ca="1">SUM(OFFSET($AA$43,0,($M162*3)+$N162,53,1)*Y$43:Y$95)</f>
        <v>0</v>
      </c>
      <c r="Z162" s="6">
        <f t="array" aca="1" ref="Z162" ca="1">SUM(OFFSET($AA$43,0,($M162*3)+$N162,53,1)*Z$43:Z$95)</f>
        <v>0</v>
      </c>
      <c r="AA162" s="6">
        <f t="shared" ca="1" si="97"/>
        <v>0</v>
      </c>
      <c r="AB162" s="6">
        <f t="shared" ca="1" si="89"/>
        <v>0</v>
      </c>
      <c r="AC162" s="8"/>
      <c r="AD162" s="8"/>
      <c r="AE162" t="str">
        <f t="shared" si="92"/>
        <v>Follow Up</v>
      </c>
      <c r="AF162">
        <f t="shared" ca="1" si="99"/>
        <v>0</v>
      </c>
      <c r="AG162">
        <f t="shared" ca="1" si="99"/>
        <v>0</v>
      </c>
      <c r="AH162">
        <f t="shared" ca="1" si="99"/>
        <v>0</v>
      </c>
      <c r="AI162">
        <f t="shared" ca="1" si="99"/>
        <v>0</v>
      </c>
      <c r="AJ162">
        <f t="shared" ca="1" si="99"/>
        <v>0</v>
      </c>
      <c r="AK162">
        <f t="shared" ca="1" si="99"/>
        <v>0</v>
      </c>
      <c r="AL162">
        <f t="shared" ca="1" si="99"/>
        <v>0</v>
      </c>
      <c r="AM162">
        <f t="shared" ca="1" si="99"/>
        <v>0</v>
      </c>
      <c r="AN162">
        <f t="shared" ca="1" si="99"/>
        <v>0</v>
      </c>
      <c r="AO162">
        <f t="shared" ca="1" si="99"/>
        <v>0</v>
      </c>
      <c r="AP162">
        <f t="shared" ca="1" si="99"/>
        <v>0</v>
      </c>
      <c r="AQ162">
        <f t="shared" ca="1" si="99"/>
        <v>0</v>
      </c>
    </row>
    <row r="163" spans="1:43" x14ac:dyDescent="0.25">
      <c r="A163">
        <f>1</f>
        <v>1</v>
      </c>
      <c r="B163" s="85">
        <f t="shared" si="85"/>
        <v>43951</v>
      </c>
      <c r="C163" s="85">
        <f t="shared" si="80"/>
        <v>43948</v>
      </c>
      <c r="D163">
        <f t="shared" ca="1" si="81"/>
        <v>1</v>
      </c>
      <c r="E163" s="85">
        <f t="shared" si="82"/>
        <v>43922</v>
      </c>
      <c r="F163">
        <f t="shared" si="84"/>
        <v>18</v>
      </c>
      <c r="G163" s="85"/>
      <c r="L163" t="str">
        <f t="shared" ca="1" si="88"/>
        <v/>
      </c>
      <c r="M163">
        <v>13</v>
      </c>
      <c r="N163">
        <v>2</v>
      </c>
      <c r="O163" s="6">
        <f t="array" aca="1" ref="O163" ca="1">SUM(OFFSET($AA$43,0,($M163*3)+$N163,53,1)*O$43:O$95)</f>
        <v>0</v>
      </c>
      <c r="P163" s="6">
        <f t="array" aca="1" ref="P163" ca="1">SUM(OFFSET($AA$43,0,($M163*3)+$N163,53,1)*P$43:P$95)</f>
        <v>0</v>
      </c>
      <c r="Q163" s="6">
        <f t="array" aca="1" ref="Q163" ca="1">SUM(OFFSET($AA$43,0,($M163*3)+$N163,53,1)*Q$43:Q$95)</f>
        <v>0</v>
      </c>
      <c r="R163" s="6">
        <f t="array" aca="1" ref="R163" ca="1">SUM(OFFSET($AA$43,0,($M163*3)+$N163,53,1)*R$43:R$95)</f>
        <v>0</v>
      </c>
      <c r="S163" s="6">
        <f t="array" aca="1" ref="S163" ca="1">SUM(OFFSET($AA$43,0,($M163*3)+$N163,53,1)*S$43:S$95)</f>
        <v>0</v>
      </c>
      <c r="T163" s="6">
        <f t="array" aca="1" ref="T163" ca="1">SUM(OFFSET($AA$43,0,($M163*3)+$N163,53,1)*T$43:T$95)</f>
        <v>0</v>
      </c>
      <c r="U163" s="6">
        <f t="array" aca="1" ref="U163" ca="1">SUM(OFFSET($AA$43,0,($M163*3)+$N163,53,1)*U$43:U$95)</f>
        <v>0</v>
      </c>
      <c r="V163" s="6">
        <f t="array" aca="1" ref="V163" ca="1">SUM(OFFSET($AA$43,0,($M163*3)+$N163,53,1)*V$43:V$95)</f>
        <v>0</v>
      </c>
      <c r="W163" s="6">
        <f t="array" aca="1" ref="W163" ca="1">SUM(OFFSET($AA$43,0,($M163*3)+$N163,53,1)*W$43:W$95)</f>
        <v>0</v>
      </c>
      <c r="X163" s="6">
        <f t="array" aca="1" ref="X163" ca="1">SUM(OFFSET($AA$43,0,($M163*3)+$N163,53,1)*X$43:X$95)</f>
        <v>0</v>
      </c>
      <c r="Y163" s="6">
        <f t="array" aca="1" ref="Y163" ca="1">SUM(OFFSET($AA$43,0,($M163*3)+$N163,53,1)*Y$43:Y$95)</f>
        <v>0</v>
      </c>
      <c r="Z163" s="6">
        <f t="array" aca="1" ref="Z163" ca="1">SUM(OFFSET($AA$43,0,($M163*3)+$N163,53,1)*Z$43:Z$95)</f>
        <v>0</v>
      </c>
      <c r="AA163" s="6">
        <f t="shared" ca="1" si="97"/>
        <v>0</v>
      </c>
      <c r="AB163" s="6">
        <f t="shared" ca="1" si="89"/>
        <v>0</v>
      </c>
      <c r="AC163" s="8"/>
      <c r="AD163" s="8"/>
      <c r="AE163" t="str">
        <f t="shared" si="92"/>
        <v>Diagnostic (FU)</v>
      </c>
      <c r="AF163">
        <f t="shared" ca="1" si="99"/>
        <v>0</v>
      </c>
      <c r="AG163">
        <f t="shared" ca="1" si="99"/>
        <v>0</v>
      </c>
      <c r="AH163">
        <f t="shared" ca="1" si="99"/>
        <v>0</v>
      </c>
      <c r="AI163">
        <f t="shared" ca="1" si="99"/>
        <v>0</v>
      </c>
      <c r="AJ163">
        <f t="shared" ca="1" si="99"/>
        <v>0</v>
      </c>
      <c r="AK163">
        <f t="shared" ca="1" si="99"/>
        <v>0</v>
      </c>
      <c r="AL163">
        <f t="shared" ca="1" si="99"/>
        <v>0</v>
      </c>
      <c r="AM163">
        <f t="shared" ca="1" si="99"/>
        <v>0</v>
      </c>
      <c r="AN163">
        <f t="shared" ca="1" si="99"/>
        <v>0</v>
      </c>
      <c r="AO163">
        <f t="shared" ca="1" si="99"/>
        <v>0</v>
      </c>
      <c r="AP163">
        <f t="shared" ca="1" si="99"/>
        <v>0</v>
      </c>
      <c r="AQ163">
        <f t="shared" ca="1" si="99"/>
        <v>0</v>
      </c>
    </row>
    <row r="164" spans="1:43" x14ac:dyDescent="0.25">
      <c r="A164">
        <f>1</f>
        <v>1</v>
      </c>
      <c r="B164" s="85">
        <f t="shared" si="85"/>
        <v>43952</v>
      </c>
      <c r="C164" s="85">
        <f t="shared" si="80"/>
        <v>43948</v>
      </c>
      <c r="D164">
        <f t="shared" ca="1" si="81"/>
        <v>1</v>
      </c>
      <c r="E164" s="85">
        <f t="shared" si="82"/>
        <v>43952</v>
      </c>
      <c r="F164">
        <f t="shared" si="84"/>
        <v>18</v>
      </c>
      <c r="G164" s="85"/>
      <c r="L164" t="str">
        <f t="shared" ca="1" si="88"/>
        <v/>
      </c>
      <c r="M164">
        <v>13</v>
      </c>
      <c r="N164">
        <v>3</v>
      </c>
      <c r="O164" s="6">
        <f t="array" aca="1" ref="O164" ca="1">SUM(OFFSET($AA$43,0,($M164*3)+$N164,53,1)*O$43:O$95)</f>
        <v>0</v>
      </c>
      <c r="P164" s="6">
        <f t="array" aca="1" ref="P164" ca="1">SUM(OFFSET($AA$43,0,($M164*3)+$N164,53,1)*P$43:P$95)</f>
        <v>0</v>
      </c>
      <c r="Q164" s="6">
        <f t="array" aca="1" ref="Q164" ca="1">SUM(OFFSET($AA$43,0,($M164*3)+$N164,53,1)*Q$43:Q$95)</f>
        <v>0</v>
      </c>
      <c r="R164" s="6">
        <f t="array" aca="1" ref="R164" ca="1">SUM(OFFSET($AA$43,0,($M164*3)+$N164,53,1)*R$43:R$95)</f>
        <v>0</v>
      </c>
      <c r="S164" s="6">
        <f t="array" aca="1" ref="S164" ca="1">SUM(OFFSET($AA$43,0,($M164*3)+$N164,53,1)*S$43:S$95)</f>
        <v>0</v>
      </c>
      <c r="T164" s="6">
        <f t="array" aca="1" ref="T164" ca="1">SUM(OFFSET($AA$43,0,($M164*3)+$N164,53,1)*T$43:T$95)</f>
        <v>0</v>
      </c>
      <c r="U164" s="6">
        <f t="array" aca="1" ref="U164" ca="1">SUM(OFFSET($AA$43,0,($M164*3)+$N164,53,1)*U$43:U$95)</f>
        <v>0</v>
      </c>
      <c r="V164" s="6">
        <f t="array" aca="1" ref="V164" ca="1">SUM(OFFSET($AA$43,0,($M164*3)+$N164,53,1)*V$43:V$95)</f>
        <v>0</v>
      </c>
      <c r="W164" s="6">
        <f t="array" aca="1" ref="W164" ca="1">SUM(OFFSET($AA$43,0,($M164*3)+$N164,53,1)*W$43:W$95)</f>
        <v>0</v>
      </c>
      <c r="X164" s="6">
        <f t="array" aca="1" ref="X164" ca="1">SUM(OFFSET($AA$43,0,($M164*3)+$N164,53,1)*X$43:X$95)</f>
        <v>0</v>
      </c>
      <c r="Y164" s="6">
        <f t="array" aca="1" ref="Y164" ca="1">SUM(OFFSET($AA$43,0,($M164*3)+$N164,53,1)*Y$43:Y$95)</f>
        <v>0</v>
      </c>
      <c r="Z164" s="6">
        <f t="array" aca="1" ref="Z164" ca="1">SUM(OFFSET($AA$43,0,($M164*3)+$N164,53,1)*Z$43:Z$95)</f>
        <v>0</v>
      </c>
      <c r="AA164" s="6">
        <f t="shared" ca="1" si="97"/>
        <v>0</v>
      </c>
      <c r="AB164" s="6">
        <f t="shared" ca="1" si="89"/>
        <v>0</v>
      </c>
      <c r="AC164" s="8"/>
      <c r="AD164" s="8"/>
      <c r="AE164" t="str">
        <f t="shared" si="92"/>
        <v>Admission</v>
      </c>
      <c r="AF164">
        <f t="shared" ca="1" si="99"/>
        <v>0</v>
      </c>
      <c r="AG164">
        <f t="shared" ca="1" si="99"/>
        <v>0</v>
      </c>
      <c r="AH164">
        <f t="shared" ca="1" si="99"/>
        <v>0</v>
      </c>
      <c r="AI164">
        <f t="shared" ca="1" si="99"/>
        <v>0</v>
      </c>
      <c r="AJ164">
        <f t="shared" ca="1" si="99"/>
        <v>0</v>
      </c>
      <c r="AK164">
        <f t="shared" ca="1" si="99"/>
        <v>0</v>
      </c>
      <c r="AL164">
        <f t="shared" ca="1" si="99"/>
        <v>0</v>
      </c>
      <c r="AM164">
        <f t="shared" ca="1" si="99"/>
        <v>0</v>
      </c>
      <c r="AN164">
        <f t="shared" ca="1" si="99"/>
        <v>0</v>
      </c>
      <c r="AO164">
        <f t="shared" ca="1" si="99"/>
        <v>0</v>
      </c>
      <c r="AP164">
        <f t="shared" ca="1" si="99"/>
        <v>0</v>
      </c>
      <c r="AQ164">
        <f t="shared" ca="1" si="99"/>
        <v>0</v>
      </c>
    </row>
    <row r="165" spans="1:43" x14ac:dyDescent="0.25">
      <c r="A165">
        <f>1</f>
        <v>1</v>
      </c>
      <c r="B165" s="85">
        <f t="shared" si="85"/>
        <v>43953</v>
      </c>
      <c r="C165" s="85">
        <f t="shared" si="80"/>
        <v>43948</v>
      </c>
      <c r="D165">
        <f t="shared" ca="1" si="81"/>
        <v>0</v>
      </c>
      <c r="E165" s="85">
        <f t="shared" si="82"/>
        <v>43952</v>
      </c>
      <c r="F165">
        <f t="shared" si="84"/>
        <v>18</v>
      </c>
      <c r="G165" s="85"/>
      <c r="L165" t="str">
        <f t="shared" ca="1" si="88"/>
        <v/>
      </c>
      <c r="M165">
        <v>14</v>
      </c>
      <c r="N165">
        <v>1</v>
      </c>
      <c r="O165" s="6">
        <f t="array" aca="1" ref="O165" ca="1">SUM(OFFSET($AA$43,0,($M165*3)+$N165,53,1)*O$43:O$95)</f>
        <v>0</v>
      </c>
      <c r="P165" s="6">
        <f t="array" aca="1" ref="P165" ca="1">SUM(OFFSET($AA$43,0,($M165*3)+$N165,53,1)*P$43:P$95)</f>
        <v>0</v>
      </c>
      <c r="Q165" s="6">
        <f t="array" aca="1" ref="Q165" ca="1">SUM(OFFSET($AA$43,0,($M165*3)+$N165,53,1)*Q$43:Q$95)</f>
        <v>0</v>
      </c>
      <c r="R165" s="6">
        <f t="array" aca="1" ref="R165" ca="1">SUM(OFFSET($AA$43,0,($M165*3)+$N165,53,1)*R$43:R$95)</f>
        <v>0</v>
      </c>
      <c r="S165" s="6">
        <f t="array" aca="1" ref="S165" ca="1">SUM(OFFSET($AA$43,0,($M165*3)+$N165,53,1)*S$43:S$95)</f>
        <v>0</v>
      </c>
      <c r="T165" s="6">
        <f t="array" aca="1" ref="T165" ca="1">SUM(OFFSET($AA$43,0,($M165*3)+$N165,53,1)*T$43:T$95)</f>
        <v>0</v>
      </c>
      <c r="U165" s="6">
        <f t="array" aca="1" ref="U165" ca="1">SUM(OFFSET($AA$43,0,($M165*3)+$N165,53,1)*U$43:U$95)</f>
        <v>0</v>
      </c>
      <c r="V165" s="6">
        <f t="array" aca="1" ref="V165" ca="1">SUM(OFFSET($AA$43,0,($M165*3)+$N165,53,1)*V$43:V$95)</f>
        <v>0</v>
      </c>
      <c r="W165" s="6">
        <f t="array" aca="1" ref="W165" ca="1">SUM(OFFSET($AA$43,0,($M165*3)+$N165,53,1)*W$43:W$95)</f>
        <v>0</v>
      </c>
      <c r="X165" s="6">
        <f t="array" aca="1" ref="X165" ca="1">SUM(OFFSET($AA$43,0,($M165*3)+$N165,53,1)*X$43:X$95)</f>
        <v>0</v>
      </c>
      <c r="Y165" s="6">
        <f t="array" aca="1" ref="Y165" ca="1">SUM(OFFSET($AA$43,0,($M165*3)+$N165,53,1)*Y$43:Y$95)</f>
        <v>0</v>
      </c>
      <c r="Z165" s="6">
        <f t="array" aca="1" ref="Z165" ca="1">SUM(OFFSET($AA$43,0,($M165*3)+$N165,53,1)*Z$43:Z$95)</f>
        <v>0</v>
      </c>
      <c r="AA165" s="6">
        <f t="shared" ca="1" si="97"/>
        <v>0</v>
      </c>
      <c r="AB165" s="6">
        <f t="shared" ca="1" si="89"/>
        <v>0</v>
      </c>
      <c r="AC165" s="8"/>
      <c r="AD165" s="8">
        <v>8</v>
      </c>
      <c r="AE165" t="str">
        <f t="shared" si="92"/>
        <v>New</v>
      </c>
      <c r="AF165">
        <f t="shared" ref="AF165:AQ169" ca="1" si="100">SUMIFS(O$144:O$146,$L$144:$L$146, $AE165)</f>
        <v>0</v>
      </c>
      <c r="AG165">
        <f t="shared" ca="1" si="100"/>
        <v>0</v>
      </c>
      <c r="AH165">
        <f t="shared" ca="1" si="100"/>
        <v>0</v>
      </c>
      <c r="AI165">
        <f t="shared" ca="1" si="100"/>
        <v>0</v>
      </c>
      <c r="AJ165">
        <f t="shared" ca="1" si="100"/>
        <v>0</v>
      </c>
      <c r="AK165">
        <f t="shared" ca="1" si="100"/>
        <v>0</v>
      </c>
      <c r="AL165">
        <f t="shared" ca="1" si="100"/>
        <v>0</v>
      </c>
      <c r="AM165">
        <f t="shared" ca="1" si="100"/>
        <v>0</v>
      </c>
      <c r="AN165">
        <f t="shared" ca="1" si="100"/>
        <v>0</v>
      </c>
      <c r="AO165">
        <f t="shared" ca="1" si="100"/>
        <v>0</v>
      </c>
      <c r="AP165">
        <f t="shared" ca="1" si="100"/>
        <v>0</v>
      </c>
      <c r="AQ165">
        <f t="shared" ca="1" si="100"/>
        <v>0</v>
      </c>
    </row>
    <row r="166" spans="1:43" x14ac:dyDescent="0.25">
      <c r="A166">
        <f>1</f>
        <v>1</v>
      </c>
      <c r="B166" s="85">
        <f t="shared" si="85"/>
        <v>43954</v>
      </c>
      <c r="C166" s="85">
        <f t="shared" si="80"/>
        <v>43948</v>
      </c>
      <c r="D166">
        <f t="shared" ca="1" si="81"/>
        <v>0</v>
      </c>
      <c r="E166" s="85">
        <f t="shared" si="82"/>
        <v>43952</v>
      </c>
      <c r="F166">
        <f t="shared" si="84"/>
        <v>18</v>
      </c>
      <c r="G166" s="85"/>
      <c r="L166" t="str">
        <f t="shared" ca="1" si="88"/>
        <v/>
      </c>
      <c r="M166">
        <v>14</v>
      </c>
      <c r="N166">
        <v>2</v>
      </c>
      <c r="O166" s="6">
        <f t="array" aca="1" ref="O166" ca="1">SUM(OFFSET($AA$43,0,($M166*3)+$N166,53,1)*O$43:O$95)</f>
        <v>0</v>
      </c>
      <c r="P166" s="6">
        <f t="array" aca="1" ref="P166" ca="1">SUM(OFFSET($AA$43,0,($M166*3)+$N166,53,1)*P$43:P$95)</f>
        <v>0</v>
      </c>
      <c r="Q166" s="6">
        <f t="array" aca="1" ref="Q166" ca="1">SUM(OFFSET($AA$43,0,($M166*3)+$N166,53,1)*Q$43:Q$95)</f>
        <v>0</v>
      </c>
      <c r="R166" s="6">
        <f t="array" aca="1" ref="R166" ca="1">SUM(OFFSET($AA$43,0,($M166*3)+$N166,53,1)*R$43:R$95)</f>
        <v>0</v>
      </c>
      <c r="S166" s="6">
        <f t="array" aca="1" ref="S166" ca="1">SUM(OFFSET($AA$43,0,($M166*3)+$N166,53,1)*S$43:S$95)</f>
        <v>0</v>
      </c>
      <c r="T166" s="6">
        <f t="array" aca="1" ref="T166" ca="1">SUM(OFFSET($AA$43,0,($M166*3)+$N166,53,1)*T$43:T$95)</f>
        <v>0</v>
      </c>
      <c r="U166" s="6">
        <f t="array" aca="1" ref="U166" ca="1">SUM(OFFSET($AA$43,0,($M166*3)+$N166,53,1)*U$43:U$95)</f>
        <v>0</v>
      </c>
      <c r="V166" s="6">
        <f t="array" aca="1" ref="V166" ca="1">SUM(OFFSET($AA$43,0,($M166*3)+$N166,53,1)*V$43:V$95)</f>
        <v>0</v>
      </c>
      <c r="W166" s="6">
        <f t="array" aca="1" ref="W166" ca="1">SUM(OFFSET($AA$43,0,($M166*3)+$N166,53,1)*W$43:W$95)</f>
        <v>0</v>
      </c>
      <c r="X166" s="6">
        <f t="array" aca="1" ref="X166" ca="1">SUM(OFFSET($AA$43,0,($M166*3)+$N166,53,1)*X$43:X$95)</f>
        <v>0</v>
      </c>
      <c r="Y166" s="6">
        <f t="array" aca="1" ref="Y166" ca="1">SUM(OFFSET($AA$43,0,($M166*3)+$N166,53,1)*Y$43:Y$95)</f>
        <v>0</v>
      </c>
      <c r="Z166" s="6">
        <f t="array" aca="1" ref="Z166" ca="1">SUM(OFFSET($AA$43,0,($M166*3)+$N166,53,1)*Z$43:Z$95)</f>
        <v>0</v>
      </c>
      <c r="AA166" s="6">
        <f t="shared" ca="1" si="97"/>
        <v>0</v>
      </c>
      <c r="AB166" s="6">
        <f t="shared" ca="1" si="89"/>
        <v>0</v>
      </c>
      <c r="AC166" s="8"/>
      <c r="AD166" s="8"/>
      <c r="AE166" t="str">
        <f t="shared" si="92"/>
        <v>Diagnostic (N)</v>
      </c>
      <c r="AF166">
        <f t="shared" ca="1" si="100"/>
        <v>0</v>
      </c>
      <c r="AG166">
        <f t="shared" ca="1" si="100"/>
        <v>0</v>
      </c>
      <c r="AH166">
        <f t="shared" ca="1" si="100"/>
        <v>0</v>
      </c>
      <c r="AI166">
        <f t="shared" ca="1" si="100"/>
        <v>0</v>
      </c>
      <c r="AJ166">
        <f t="shared" ca="1" si="100"/>
        <v>0</v>
      </c>
      <c r="AK166">
        <f t="shared" ca="1" si="100"/>
        <v>0</v>
      </c>
      <c r="AL166">
        <f t="shared" ca="1" si="100"/>
        <v>0</v>
      </c>
      <c r="AM166">
        <f t="shared" ca="1" si="100"/>
        <v>0</v>
      </c>
      <c r="AN166">
        <f t="shared" ca="1" si="100"/>
        <v>0</v>
      </c>
      <c r="AO166">
        <f t="shared" ca="1" si="100"/>
        <v>0</v>
      </c>
      <c r="AP166">
        <f t="shared" ca="1" si="100"/>
        <v>0</v>
      </c>
      <c r="AQ166">
        <f t="shared" ca="1" si="100"/>
        <v>0</v>
      </c>
    </row>
    <row r="167" spans="1:43" x14ac:dyDescent="0.25">
      <c r="A167">
        <f>1</f>
        <v>1</v>
      </c>
      <c r="B167" s="85">
        <f t="shared" si="85"/>
        <v>43955</v>
      </c>
      <c r="C167" s="85">
        <f t="shared" si="80"/>
        <v>43955</v>
      </c>
      <c r="D167">
        <f t="shared" ca="1" si="81"/>
        <v>0</v>
      </c>
      <c r="E167" s="85">
        <f t="shared" si="82"/>
        <v>43952</v>
      </c>
      <c r="F167">
        <f t="shared" si="84"/>
        <v>19</v>
      </c>
      <c r="G167" s="85"/>
      <c r="L167" t="str">
        <f t="shared" ca="1" si="88"/>
        <v/>
      </c>
      <c r="M167">
        <v>14</v>
      </c>
      <c r="N167">
        <v>3</v>
      </c>
      <c r="O167" s="6">
        <f t="array" aca="1" ref="O167" ca="1">SUM(OFFSET($AA$43,0,($M167*3)+$N167,53,1)*O$43:O$95)</f>
        <v>0</v>
      </c>
      <c r="P167" s="6">
        <f t="array" aca="1" ref="P167" ca="1">SUM(OFFSET($AA$43,0,($M167*3)+$N167,53,1)*P$43:P$95)</f>
        <v>0</v>
      </c>
      <c r="Q167" s="6">
        <f t="array" aca="1" ref="Q167" ca="1">SUM(OFFSET($AA$43,0,($M167*3)+$N167,53,1)*Q$43:Q$95)</f>
        <v>0</v>
      </c>
      <c r="R167" s="6">
        <f t="array" aca="1" ref="R167" ca="1">SUM(OFFSET($AA$43,0,($M167*3)+$N167,53,1)*R$43:R$95)</f>
        <v>0</v>
      </c>
      <c r="S167" s="6">
        <f t="array" aca="1" ref="S167" ca="1">SUM(OFFSET($AA$43,0,($M167*3)+$N167,53,1)*S$43:S$95)</f>
        <v>0</v>
      </c>
      <c r="T167" s="6">
        <f t="array" aca="1" ref="T167" ca="1">SUM(OFFSET($AA$43,0,($M167*3)+$N167,53,1)*T$43:T$95)</f>
        <v>0</v>
      </c>
      <c r="U167" s="6">
        <f t="array" aca="1" ref="U167" ca="1">SUM(OFFSET($AA$43,0,($M167*3)+$N167,53,1)*U$43:U$95)</f>
        <v>0</v>
      </c>
      <c r="V167" s="6">
        <f t="array" aca="1" ref="V167" ca="1">SUM(OFFSET($AA$43,0,($M167*3)+$N167,53,1)*V$43:V$95)</f>
        <v>0</v>
      </c>
      <c r="W167" s="6">
        <f t="array" aca="1" ref="W167" ca="1">SUM(OFFSET($AA$43,0,($M167*3)+$N167,53,1)*W$43:W$95)</f>
        <v>0</v>
      </c>
      <c r="X167" s="6">
        <f t="array" aca="1" ref="X167" ca="1">SUM(OFFSET($AA$43,0,($M167*3)+$N167,53,1)*X$43:X$95)</f>
        <v>0</v>
      </c>
      <c r="Y167" s="6">
        <f t="array" aca="1" ref="Y167" ca="1">SUM(OFFSET($AA$43,0,($M167*3)+$N167,53,1)*Y$43:Y$95)</f>
        <v>0</v>
      </c>
      <c r="Z167" s="6">
        <f t="array" aca="1" ref="Z167" ca="1">SUM(OFFSET($AA$43,0,($M167*3)+$N167,53,1)*Z$43:Z$95)</f>
        <v>0</v>
      </c>
      <c r="AA167" s="6">
        <f t="shared" ca="1" si="97"/>
        <v>0</v>
      </c>
      <c r="AB167" s="6">
        <f t="shared" ca="1" si="89"/>
        <v>0</v>
      </c>
      <c r="AC167" s="8"/>
      <c r="AD167" s="8"/>
      <c r="AE167" t="str">
        <f t="shared" si="92"/>
        <v>Follow Up</v>
      </c>
      <c r="AF167">
        <f t="shared" ca="1" si="100"/>
        <v>0</v>
      </c>
      <c r="AG167">
        <f t="shared" ca="1" si="100"/>
        <v>0</v>
      </c>
      <c r="AH167">
        <f t="shared" ca="1" si="100"/>
        <v>0</v>
      </c>
      <c r="AI167">
        <f t="shared" ca="1" si="100"/>
        <v>0</v>
      </c>
      <c r="AJ167">
        <f t="shared" ca="1" si="100"/>
        <v>0</v>
      </c>
      <c r="AK167">
        <f t="shared" ca="1" si="100"/>
        <v>0</v>
      </c>
      <c r="AL167">
        <f t="shared" ca="1" si="100"/>
        <v>0</v>
      </c>
      <c r="AM167">
        <f t="shared" ca="1" si="100"/>
        <v>0</v>
      </c>
      <c r="AN167">
        <f t="shared" ca="1" si="100"/>
        <v>0</v>
      </c>
      <c r="AO167">
        <f t="shared" ca="1" si="100"/>
        <v>0</v>
      </c>
      <c r="AP167">
        <f t="shared" ca="1" si="100"/>
        <v>0</v>
      </c>
      <c r="AQ167">
        <f t="shared" ca="1" si="100"/>
        <v>0</v>
      </c>
    </row>
    <row r="168" spans="1:43" x14ac:dyDescent="0.25">
      <c r="A168">
        <f>1</f>
        <v>1</v>
      </c>
      <c r="B168" s="85">
        <f t="shared" si="85"/>
        <v>43956</v>
      </c>
      <c r="C168" s="85">
        <f t="shared" si="80"/>
        <v>43955</v>
      </c>
      <c r="D168">
        <f t="shared" ca="1" si="81"/>
        <v>1</v>
      </c>
      <c r="E168" s="85">
        <f t="shared" si="82"/>
        <v>43952</v>
      </c>
      <c r="F168">
        <f t="shared" si="84"/>
        <v>19</v>
      </c>
      <c r="L168" t="str">
        <f t="shared" ca="1" si="88"/>
        <v/>
      </c>
      <c r="M168">
        <v>15</v>
      </c>
      <c r="N168">
        <v>1</v>
      </c>
      <c r="O168" s="6">
        <f t="array" aca="1" ref="O168" ca="1">SUM(OFFSET($AA$43,0,($M168*3)+$N168,53,1)*O$43:O$95)</f>
        <v>0</v>
      </c>
      <c r="P168" s="6">
        <f t="array" aca="1" ref="P168" ca="1">SUM(OFFSET($AA$43,0,($M168*3)+$N168,53,1)*P$43:P$95)</f>
        <v>0</v>
      </c>
      <c r="Q168" s="6">
        <f t="array" aca="1" ref="Q168" ca="1">SUM(OFFSET($AA$43,0,($M168*3)+$N168,53,1)*Q$43:Q$95)</f>
        <v>0</v>
      </c>
      <c r="R168" s="6">
        <f t="array" aca="1" ref="R168" ca="1">SUM(OFFSET($AA$43,0,($M168*3)+$N168,53,1)*R$43:R$95)</f>
        <v>0</v>
      </c>
      <c r="S168" s="6">
        <f t="array" aca="1" ref="S168" ca="1">SUM(OFFSET($AA$43,0,($M168*3)+$N168,53,1)*S$43:S$95)</f>
        <v>0</v>
      </c>
      <c r="T168" s="6">
        <f t="array" aca="1" ref="T168" ca="1">SUM(OFFSET($AA$43,0,($M168*3)+$N168,53,1)*T$43:T$95)</f>
        <v>0</v>
      </c>
      <c r="U168" s="6">
        <f t="array" aca="1" ref="U168" ca="1">SUM(OFFSET($AA$43,0,($M168*3)+$N168,53,1)*U$43:U$95)</f>
        <v>0</v>
      </c>
      <c r="V168" s="6">
        <f t="array" aca="1" ref="V168" ca="1">SUM(OFFSET($AA$43,0,($M168*3)+$N168,53,1)*V$43:V$95)</f>
        <v>0</v>
      </c>
      <c r="W168" s="6">
        <f t="array" aca="1" ref="W168" ca="1">SUM(OFFSET($AA$43,0,($M168*3)+$N168,53,1)*W$43:W$95)</f>
        <v>0</v>
      </c>
      <c r="X168" s="6">
        <f t="array" aca="1" ref="X168" ca="1">SUM(OFFSET($AA$43,0,($M168*3)+$N168,53,1)*X$43:X$95)</f>
        <v>0</v>
      </c>
      <c r="Y168" s="6">
        <f t="array" aca="1" ref="Y168" ca="1">SUM(OFFSET($AA$43,0,($M168*3)+$N168,53,1)*Y$43:Y$95)</f>
        <v>0</v>
      </c>
      <c r="Z168" s="6">
        <f t="array" aca="1" ref="Z168" ca="1">SUM(OFFSET($AA$43,0,($M168*3)+$N168,53,1)*Z$43:Z$95)</f>
        <v>0</v>
      </c>
      <c r="AA168" s="6">
        <f t="shared" ca="1" si="97"/>
        <v>0</v>
      </c>
      <c r="AB168" s="6">
        <f t="shared" ca="1" si="89"/>
        <v>0</v>
      </c>
      <c r="AC168" s="8"/>
      <c r="AD168" s="8"/>
      <c r="AE168" t="str">
        <f t="shared" si="92"/>
        <v>Diagnostic (FU)</v>
      </c>
      <c r="AF168">
        <f t="shared" ca="1" si="100"/>
        <v>0</v>
      </c>
      <c r="AG168">
        <f t="shared" ca="1" si="100"/>
        <v>0</v>
      </c>
      <c r="AH168">
        <f t="shared" ca="1" si="100"/>
        <v>0</v>
      </c>
      <c r="AI168">
        <f t="shared" ca="1" si="100"/>
        <v>0</v>
      </c>
      <c r="AJ168">
        <f t="shared" ca="1" si="100"/>
        <v>0</v>
      </c>
      <c r="AK168">
        <f t="shared" ca="1" si="100"/>
        <v>0</v>
      </c>
      <c r="AL168">
        <f t="shared" ca="1" si="100"/>
        <v>0</v>
      </c>
      <c r="AM168">
        <f t="shared" ca="1" si="100"/>
        <v>0</v>
      </c>
      <c r="AN168">
        <f t="shared" ca="1" si="100"/>
        <v>0</v>
      </c>
      <c r="AO168">
        <f t="shared" ca="1" si="100"/>
        <v>0</v>
      </c>
      <c r="AP168">
        <f t="shared" ca="1" si="100"/>
        <v>0</v>
      </c>
      <c r="AQ168">
        <f t="shared" ca="1" si="100"/>
        <v>0</v>
      </c>
    </row>
    <row r="169" spans="1:43" x14ac:dyDescent="0.25">
      <c r="A169">
        <f>1</f>
        <v>1</v>
      </c>
      <c r="B169" s="85">
        <f t="shared" si="85"/>
        <v>43957</v>
      </c>
      <c r="C169" s="85">
        <f t="shared" si="80"/>
        <v>43955</v>
      </c>
      <c r="D169">
        <f t="shared" ca="1" si="81"/>
        <v>1</v>
      </c>
      <c r="E169" s="85">
        <f t="shared" si="82"/>
        <v>43952</v>
      </c>
      <c r="F169">
        <f t="shared" si="84"/>
        <v>19</v>
      </c>
      <c r="L169" t="str">
        <f t="shared" ca="1" si="88"/>
        <v/>
      </c>
      <c r="M169">
        <v>15</v>
      </c>
      <c r="N169">
        <v>2</v>
      </c>
      <c r="O169" s="6">
        <f t="array" aca="1" ref="O169" ca="1">SUM(OFFSET($AA$43,0,($M169*3)+$N169,53,1)*O$43:O$95)</f>
        <v>0</v>
      </c>
      <c r="P169" s="6">
        <f t="array" aca="1" ref="P169" ca="1">SUM(OFFSET($AA$43,0,($M169*3)+$N169,53,1)*P$43:P$95)</f>
        <v>0</v>
      </c>
      <c r="Q169" s="6">
        <f t="array" aca="1" ref="Q169" ca="1">SUM(OFFSET($AA$43,0,($M169*3)+$N169,53,1)*Q$43:Q$95)</f>
        <v>0</v>
      </c>
      <c r="R169" s="6">
        <f t="array" aca="1" ref="R169" ca="1">SUM(OFFSET($AA$43,0,($M169*3)+$N169,53,1)*R$43:R$95)</f>
        <v>0</v>
      </c>
      <c r="S169" s="6">
        <f t="array" aca="1" ref="S169" ca="1">SUM(OFFSET($AA$43,0,($M169*3)+$N169,53,1)*S$43:S$95)</f>
        <v>0</v>
      </c>
      <c r="T169" s="6">
        <f t="array" aca="1" ref="T169" ca="1">SUM(OFFSET($AA$43,0,($M169*3)+$N169,53,1)*T$43:T$95)</f>
        <v>0</v>
      </c>
      <c r="U169" s="6">
        <f t="array" aca="1" ref="U169" ca="1">SUM(OFFSET($AA$43,0,($M169*3)+$N169,53,1)*U$43:U$95)</f>
        <v>0</v>
      </c>
      <c r="V169" s="6">
        <f t="array" aca="1" ref="V169" ca="1">SUM(OFFSET($AA$43,0,($M169*3)+$N169,53,1)*V$43:V$95)</f>
        <v>0</v>
      </c>
      <c r="W169" s="6">
        <f t="array" aca="1" ref="W169" ca="1">SUM(OFFSET($AA$43,0,($M169*3)+$N169,53,1)*W$43:W$95)</f>
        <v>0</v>
      </c>
      <c r="X169" s="6">
        <f t="array" aca="1" ref="X169" ca="1">SUM(OFFSET($AA$43,0,($M169*3)+$N169,53,1)*X$43:X$95)</f>
        <v>0</v>
      </c>
      <c r="Y169" s="6">
        <f t="array" aca="1" ref="Y169" ca="1">SUM(OFFSET($AA$43,0,($M169*3)+$N169,53,1)*Y$43:Y$95)</f>
        <v>0</v>
      </c>
      <c r="Z169" s="6">
        <f t="array" aca="1" ref="Z169" ca="1">SUM(OFFSET($AA$43,0,($M169*3)+$N169,53,1)*Z$43:Z$95)</f>
        <v>0</v>
      </c>
      <c r="AA169" s="6">
        <f t="shared" ca="1" si="97"/>
        <v>0</v>
      </c>
      <c r="AB169" s="6">
        <f t="shared" ca="1" si="89"/>
        <v>0</v>
      </c>
      <c r="AC169" s="8"/>
      <c r="AD169" s="8"/>
      <c r="AE169" t="str">
        <f t="shared" si="92"/>
        <v>Admission</v>
      </c>
      <c r="AF169">
        <f t="shared" ca="1" si="100"/>
        <v>0</v>
      </c>
      <c r="AG169">
        <f t="shared" ca="1" si="100"/>
        <v>0</v>
      </c>
      <c r="AH169">
        <f t="shared" ca="1" si="100"/>
        <v>0</v>
      </c>
      <c r="AI169">
        <f t="shared" ca="1" si="100"/>
        <v>0</v>
      </c>
      <c r="AJ169">
        <f t="shared" ca="1" si="100"/>
        <v>0</v>
      </c>
      <c r="AK169">
        <f t="shared" ca="1" si="100"/>
        <v>0</v>
      </c>
      <c r="AL169">
        <f t="shared" ca="1" si="100"/>
        <v>0</v>
      </c>
      <c r="AM169">
        <f t="shared" ca="1" si="100"/>
        <v>0</v>
      </c>
      <c r="AN169">
        <f t="shared" ca="1" si="100"/>
        <v>0</v>
      </c>
      <c r="AO169">
        <f t="shared" ca="1" si="100"/>
        <v>0</v>
      </c>
      <c r="AP169">
        <f t="shared" ca="1" si="100"/>
        <v>0</v>
      </c>
      <c r="AQ169">
        <f t="shared" ca="1" si="100"/>
        <v>0</v>
      </c>
    </row>
    <row r="170" spans="1:43" x14ac:dyDescent="0.25">
      <c r="A170">
        <f>1</f>
        <v>1</v>
      </c>
      <c r="B170" s="85">
        <f t="shared" si="85"/>
        <v>43958</v>
      </c>
      <c r="C170" s="85">
        <f t="shared" si="80"/>
        <v>43955</v>
      </c>
      <c r="D170">
        <f t="shared" ca="1" si="81"/>
        <v>1</v>
      </c>
      <c r="E170" s="85">
        <f t="shared" si="82"/>
        <v>43952</v>
      </c>
      <c r="F170">
        <f t="shared" si="84"/>
        <v>19</v>
      </c>
      <c r="L170" t="str">
        <f t="shared" ca="1" si="88"/>
        <v/>
      </c>
      <c r="M170">
        <v>15</v>
      </c>
      <c r="N170">
        <v>3</v>
      </c>
      <c r="O170" s="6">
        <f t="array" aca="1" ref="O170" ca="1">SUM(OFFSET($AA$43,0,($M170*3)+$N170,53,1)*O$43:O$95)</f>
        <v>0</v>
      </c>
      <c r="P170" s="6">
        <f t="array" aca="1" ref="P170" ca="1">SUM(OFFSET($AA$43,0,($M170*3)+$N170,53,1)*P$43:P$95)</f>
        <v>0</v>
      </c>
      <c r="Q170" s="6">
        <f t="array" aca="1" ref="Q170" ca="1">SUM(OFFSET($AA$43,0,($M170*3)+$N170,53,1)*Q$43:Q$95)</f>
        <v>0</v>
      </c>
      <c r="R170" s="6">
        <f t="array" aca="1" ref="R170" ca="1">SUM(OFFSET($AA$43,0,($M170*3)+$N170,53,1)*R$43:R$95)</f>
        <v>0</v>
      </c>
      <c r="S170" s="6">
        <f t="array" aca="1" ref="S170" ca="1">SUM(OFFSET($AA$43,0,($M170*3)+$N170,53,1)*S$43:S$95)</f>
        <v>0</v>
      </c>
      <c r="T170" s="6">
        <f t="array" aca="1" ref="T170" ca="1">SUM(OFFSET($AA$43,0,($M170*3)+$N170,53,1)*T$43:T$95)</f>
        <v>0</v>
      </c>
      <c r="U170" s="6">
        <f t="array" aca="1" ref="U170" ca="1">SUM(OFFSET($AA$43,0,($M170*3)+$N170,53,1)*U$43:U$95)</f>
        <v>0</v>
      </c>
      <c r="V170" s="6">
        <f t="array" aca="1" ref="V170" ca="1">SUM(OFFSET($AA$43,0,($M170*3)+$N170,53,1)*V$43:V$95)</f>
        <v>0</v>
      </c>
      <c r="W170" s="6">
        <f t="array" aca="1" ref="W170" ca="1">SUM(OFFSET($AA$43,0,($M170*3)+$N170,53,1)*W$43:W$95)</f>
        <v>0</v>
      </c>
      <c r="X170" s="6">
        <f t="array" aca="1" ref="X170" ca="1">SUM(OFFSET($AA$43,0,($M170*3)+$N170,53,1)*X$43:X$95)</f>
        <v>0</v>
      </c>
      <c r="Y170" s="6">
        <f t="array" aca="1" ref="Y170" ca="1">SUM(OFFSET($AA$43,0,($M170*3)+$N170,53,1)*Y$43:Y$95)</f>
        <v>0</v>
      </c>
      <c r="Z170" s="6">
        <f t="array" aca="1" ref="Z170" ca="1">SUM(OFFSET($AA$43,0,($M170*3)+$N170,53,1)*Z$43:Z$95)</f>
        <v>0</v>
      </c>
      <c r="AA170" s="6">
        <f t="shared" ca="1" si="97"/>
        <v>0</v>
      </c>
      <c r="AB170" s="6">
        <f t="shared" ca="1" si="89"/>
        <v>0</v>
      </c>
      <c r="AC170" s="8"/>
      <c r="AD170" s="8">
        <v>9</v>
      </c>
      <c r="AE170" t="str">
        <f t="shared" si="92"/>
        <v>New</v>
      </c>
      <c r="AF170">
        <f t="shared" ref="AF170:AQ174" ca="1" si="101">SUMIFS(O$147:O$149,$L$147:$L$149, $AE170)</f>
        <v>0</v>
      </c>
      <c r="AG170">
        <f t="shared" ca="1" si="101"/>
        <v>0</v>
      </c>
      <c r="AH170">
        <f t="shared" ca="1" si="101"/>
        <v>0</v>
      </c>
      <c r="AI170">
        <f t="shared" ca="1" si="101"/>
        <v>0</v>
      </c>
      <c r="AJ170">
        <f t="shared" ca="1" si="101"/>
        <v>0</v>
      </c>
      <c r="AK170">
        <f t="shared" ca="1" si="101"/>
        <v>0</v>
      </c>
      <c r="AL170">
        <f t="shared" ca="1" si="101"/>
        <v>0</v>
      </c>
      <c r="AM170">
        <f t="shared" ca="1" si="101"/>
        <v>0</v>
      </c>
      <c r="AN170">
        <f t="shared" ca="1" si="101"/>
        <v>0</v>
      </c>
      <c r="AO170">
        <f t="shared" ca="1" si="101"/>
        <v>0</v>
      </c>
      <c r="AP170">
        <f t="shared" ca="1" si="101"/>
        <v>0</v>
      </c>
      <c r="AQ170">
        <f t="shared" ca="1" si="101"/>
        <v>0</v>
      </c>
    </row>
    <row r="171" spans="1:43" x14ac:dyDescent="0.25">
      <c r="A171">
        <f>1</f>
        <v>1</v>
      </c>
      <c r="B171" s="85">
        <f t="shared" si="85"/>
        <v>43959</v>
      </c>
      <c r="C171" s="85">
        <f t="shared" ref="C171:C234" si="102">B171-WEEKDAY(B171,3)</f>
        <v>43955</v>
      </c>
      <c r="D171">
        <f t="shared" ref="D171:D234" ca="1" si="103">IF(WEEKDAY(B171,3)&gt;=5,0,IF(ISNA(MATCH(B171,OFFSET($A$6,$C$40,1,1,13),0))=FALSE,0,1))</f>
        <v>1</v>
      </c>
      <c r="E171" s="85">
        <f t="shared" ref="E171:E234" si="104">DATE(YEAR(B171),MONTH(B171),1)</f>
        <v>43952</v>
      </c>
      <c r="F171">
        <f t="shared" si="84"/>
        <v>19</v>
      </c>
      <c r="L171" t="str">
        <f t="shared" ca="1" si="88"/>
        <v/>
      </c>
      <c r="M171">
        <v>16</v>
      </c>
      <c r="N171">
        <v>1</v>
      </c>
      <c r="O171" s="6">
        <f t="array" aca="1" ref="O171" ca="1">SUM(OFFSET($AA$43,0,($M171*3)+$N171,53,1)*O$43:O$95)</f>
        <v>0</v>
      </c>
      <c r="P171" s="6">
        <f t="array" aca="1" ref="P171" ca="1">SUM(OFFSET($AA$43,0,($M171*3)+$N171,53,1)*P$43:P$95)</f>
        <v>0</v>
      </c>
      <c r="Q171" s="6">
        <f t="array" aca="1" ref="Q171" ca="1">SUM(OFFSET($AA$43,0,($M171*3)+$N171,53,1)*Q$43:Q$95)</f>
        <v>0</v>
      </c>
      <c r="R171" s="6">
        <f t="array" aca="1" ref="R171" ca="1">SUM(OFFSET($AA$43,0,($M171*3)+$N171,53,1)*R$43:R$95)</f>
        <v>0</v>
      </c>
      <c r="S171" s="6">
        <f t="array" aca="1" ref="S171" ca="1">SUM(OFFSET($AA$43,0,($M171*3)+$N171,53,1)*S$43:S$95)</f>
        <v>0</v>
      </c>
      <c r="T171" s="6">
        <f t="array" aca="1" ref="T171" ca="1">SUM(OFFSET($AA$43,0,($M171*3)+$N171,53,1)*T$43:T$95)</f>
        <v>0</v>
      </c>
      <c r="U171" s="6">
        <f t="array" aca="1" ref="U171" ca="1">SUM(OFFSET($AA$43,0,($M171*3)+$N171,53,1)*U$43:U$95)</f>
        <v>0</v>
      </c>
      <c r="V171" s="6">
        <f t="array" aca="1" ref="V171" ca="1">SUM(OFFSET($AA$43,0,($M171*3)+$N171,53,1)*V$43:V$95)</f>
        <v>0</v>
      </c>
      <c r="W171" s="6">
        <f t="array" aca="1" ref="W171" ca="1">SUM(OFFSET($AA$43,0,($M171*3)+$N171,53,1)*W$43:W$95)</f>
        <v>0</v>
      </c>
      <c r="X171" s="6">
        <f t="array" aca="1" ref="X171" ca="1">SUM(OFFSET($AA$43,0,($M171*3)+$N171,53,1)*X$43:X$95)</f>
        <v>0</v>
      </c>
      <c r="Y171" s="6">
        <f t="array" aca="1" ref="Y171" ca="1">SUM(OFFSET($AA$43,0,($M171*3)+$N171,53,1)*Y$43:Y$95)</f>
        <v>0</v>
      </c>
      <c r="Z171" s="6">
        <f t="array" aca="1" ref="Z171" ca="1">SUM(OFFSET($AA$43,0,($M171*3)+$N171,53,1)*Z$43:Z$95)</f>
        <v>0</v>
      </c>
      <c r="AA171" s="6">
        <f t="shared" ca="1" si="97"/>
        <v>0</v>
      </c>
      <c r="AB171" s="6">
        <f t="shared" ca="1" si="89"/>
        <v>0</v>
      </c>
      <c r="AC171" s="8"/>
      <c r="AD171" s="8"/>
      <c r="AE171" t="str">
        <f t="shared" si="92"/>
        <v>Diagnostic (N)</v>
      </c>
      <c r="AF171">
        <f t="shared" ca="1" si="101"/>
        <v>0</v>
      </c>
      <c r="AG171">
        <f t="shared" ca="1" si="101"/>
        <v>0</v>
      </c>
      <c r="AH171">
        <f t="shared" ca="1" si="101"/>
        <v>0</v>
      </c>
      <c r="AI171">
        <f t="shared" ca="1" si="101"/>
        <v>0</v>
      </c>
      <c r="AJ171">
        <f t="shared" ca="1" si="101"/>
        <v>0</v>
      </c>
      <c r="AK171">
        <f t="shared" ca="1" si="101"/>
        <v>0</v>
      </c>
      <c r="AL171">
        <f t="shared" ca="1" si="101"/>
        <v>0</v>
      </c>
      <c r="AM171">
        <f t="shared" ca="1" si="101"/>
        <v>0</v>
      </c>
      <c r="AN171">
        <f t="shared" ca="1" si="101"/>
        <v>0</v>
      </c>
      <c r="AO171">
        <f t="shared" ca="1" si="101"/>
        <v>0</v>
      </c>
      <c r="AP171">
        <f t="shared" ca="1" si="101"/>
        <v>0</v>
      </c>
      <c r="AQ171">
        <f t="shared" ca="1" si="101"/>
        <v>0</v>
      </c>
    </row>
    <row r="172" spans="1:43" x14ac:dyDescent="0.25">
      <c r="A172">
        <f>1</f>
        <v>1</v>
      </c>
      <c r="B172" s="85">
        <f t="shared" si="85"/>
        <v>43960</v>
      </c>
      <c r="C172" s="85">
        <f t="shared" si="102"/>
        <v>43955</v>
      </c>
      <c r="D172">
        <f t="shared" ca="1" si="103"/>
        <v>0</v>
      </c>
      <c r="E172" s="85">
        <f t="shared" si="104"/>
        <v>43952</v>
      </c>
      <c r="F172">
        <f t="shared" ref="F172:F235" si="105">WEEKNUM(B172,21)</f>
        <v>19</v>
      </c>
      <c r="L172" t="str">
        <f t="shared" ca="1" si="88"/>
        <v/>
      </c>
      <c r="M172">
        <v>16</v>
      </c>
      <c r="N172">
        <v>2</v>
      </c>
      <c r="O172" s="6">
        <f t="array" aca="1" ref="O172" ca="1">SUM(OFFSET($AA$43,0,($M172*3)+$N172,53,1)*O$43:O$95)</f>
        <v>0</v>
      </c>
      <c r="P172" s="6">
        <f t="array" aca="1" ref="P172" ca="1">SUM(OFFSET($AA$43,0,($M172*3)+$N172,53,1)*P$43:P$95)</f>
        <v>0</v>
      </c>
      <c r="Q172" s="6">
        <f t="array" aca="1" ref="Q172" ca="1">SUM(OFFSET($AA$43,0,($M172*3)+$N172,53,1)*Q$43:Q$95)</f>
        <v>0</v>
      </c>
      <c r="R172" s="6">
        <f t="array" aca="1" ref="R172" ca="1">SUM(OFFSET($AA$43,0,($M172*3)+$N172,53,1)*R$43:R$95)</f>
        <v>0</v>
      </c>
      <c r="S172" s="6">
        <f t="array" aca="1" ref="S172" ca="1">SUM(OFFSET($AA$43,0,($M172*3)+$N172,53,1)*S$43:S$95)</f>
        <v>0</v>
      </c>
      <c r="T172" s="6">
        <f t="array" aca="1" ref="T172" ca="1">SUM(OFFSET($AA$43,0,($M172*3)+$N172,53,1)*T$43:T$95)</f>
        <v>0</v>
      </c>
      <c r="U172" s="6">
        <f t="array" aca="1" ref="U172" ca="1">SUM(OFFSET($AA$43,0,($M172*3)+$N172,53,1)*U$43:U$95)</f>
        <v>0</v>
      </c>
      <c r="V172" s="6">
        <f t="array" aca="1" ref="V172" ca="1">SUM(OFFSET($AA$43,0,($M172*3)+$N172,53,1)*V$43:V$95)</f>
        <v>0</v>
      </c>
      <c r="W172" s="6">
        <f t="array" aca="1" ref="W172" ca="1">SUM(OFFSET($AA$43,0,($M172*3)+$N172,53,1)*W$43:W$95)</f>
        <v>0</v>
      </c>
      <c r="X172" s="6">
        <f t="array" aca="1" ref="X172" ca="1">SUM(OFFSET($AA$43,0,($M172*3)+$N172,53,1)*X$43:X$95)</f>
        <v>0</v>
      </c>
      <c r="Y172" s="6">
        <f t="array" aca="1" ref="Y172" ca="1">SUM(OFFSET($AA$43,0,($M172*3)+$N172,53,1)*Y$43:Y$95)</f>
        <v>0</v>
      </c>
      <c r="Z172" s="6">
        <f t="array" aca="1" ref="Z172" ca="1">SUM(OFFSET($AA$43,0,($M172*3)+$N172,53,1)*Z$43:Z$95)</f>
        <v>0</v>
      </c>
      <c r="AA172" s="6">
        <f t="shared" ca="1" si="97"/>
        <v>0</v>
      </c>
      <c r="AB172" s="6">
        <f t="shared" ca="1" si="89"/>
        <v>0</v>
      </c>
      <c r="AC172" s="8"/>
      <c r="AD172" s="8"/>
      <c r="AE172" t="str">
        <f t="shared" si="92"/>
        <v>Follow Up</v>
      </c>
      <c r="AF172">
        <f t="shared" ca="1" si="101"/>
        <v>0</v>
      </c>
      <c r="AG172">
        <f t="shared" ca="1" si="101"/>
        <v>0</v>
      </c>
      <c r="AH172">
        <f t="shared" ca="1" si="101"/>
        <v>0</v>
      </c>
      <c r="AI172">
        <f t="shared" ca="1" si="101"/>
        <v>0</v>
      </c>
      <c r="AJ172">
        <f t="shared" ca="1" si="101"/>
        <v>0</v>
      </c>
      <c r="AK172">
        <f t="shared" ca="1" si="101"/>
        <v>0</v>
      </c>
      <c r="AL172">
        <f t="shared" ca="1" si="101"/>
        <v>0</v>
      </c>
      <c r="AM172">
        <f t="shared" ca="1" si="101"/>
        <v>0</v>
      </c>
      <c r="AN172">
        <f t="shared" ca="1" si="101"/>
        <v>0</v>
      </c>
      <c r="AO172">
        <f t="shared" ca="1" si="101"/>
        <v>0</v>
      </c>
      <c r="AP172">
        <f t="shared" ca="1" si="101"/>
        <v>0</v>
      </c>
      <c r="AQ172">
        <f t="shared" ca="1" si="101"/>
        <v>0</v>
      </c>
    </row>
    <row r="173" spans="1:43" x14ac:dyDescent="0.25">
      <c r="A173">
        <f>1</f>
        <v>1</v>
      </c>
      <c r="B173" s="85">
        <f t="shared" ref="B173:B236" si="106">B172+1</f>
        <v>43961</v>
      </c>
      <c r="C173" s="85">
        <f t="shared" si="102"/>
        <v>43955</v>
      </c>
      <c r="D173">
        <f t="shared" ca="1" si="103"/>
        <v>0</v>
      </c>
      <c r="E173" s="85">
        <f t="shared" si="104"/>
        <v>43952</v>
      </c>
      <c r="F173">
        <f t="shared" si="105"/>
        <v>19</v>
      </c>
      <c r="L173" t="str">
        <f t="shared" ca="1" si="88"/>
        <v/>
      </c>
      <c r="M173">
        <v>16</v>
      </c>
      <c r="N173">
        <v>3</v>
      </c>
      <c r="O173" s="6">
        <f t="array" aca="1" ref="O173" ca="1">SUM(OFFSET($AA$43,0,($M173*3)+$N173,53,1)*O$43:O$95)</f>
        <v>0</v>
      </c>
      <c r="P173" s="6">
        <f t="array" aca="1" ref="P173" ca="1">SUM(OFFSET($AA$43,0,($M173*3)+$N173,53,1)*P$43:P$95)</f>
        <v>0</v>
      </c>
      <c r="Q173" s="6">
        <f t="array" aca="1" ref="Q173" ca="1">SUM(OFFSET($AA$43,0,($M173*3)+$N173,53,1)*Q$43:Q$95)</f>
        <v>0</v>
      </c>
      <c r="R173" s="6">
        <f t="array" aca="1" ref="R173" ca="1">SUM(OFFSET($AA$43,0,($M173*3)+$N173,53,1)*R$43:R$95)</f>
        <v>0</v>
      </c>
      <c r="S173" s="6">
        <f t="array" aca="1" ref="S173" ca="1">SUM(OFFSET($AA$43,0,($M173*3)+$N173,53,1)*S$43:S$95)</f>
        <v>0</v>
      </c>
      <c r="T173" s="6">
        <f t="array" aca="1" ref="T173" ca="1">SUM(OFFSET($AA$43,0,($M173*3)+$N173,53,1)*T$43:T$95)</f>
        <v>0</v>
      </c>
      <c r="U173" s="6">
        <f t="array" aca="1" ref="U173" ca="1">SUM(OFFSET($AA$43,0,($M173*3)+$N173,53,1)*U$43:U$95)</f>
        <v>0</v>
      </c>
      <c r="V173" s="6">
        <f t="array" aca="1" ref="V173" ca="1">SUM(OFFSET($AA$43,0,($M173*3)+$N173,53,1)*V$43:V$95)</f>
        <v>0</v>
      </c>
      <c r="W173" s="6">
        <f t="array" aca="1" ref="W173" ca="1">SUM(OFFSET($AA$43,0,($M173*3)+$N173,53,1)*W$43:W$95)</f>
        <v>0</v>
      </c>
      <c r="X173" s="6">
        <f t="array" aca="1" ref="X173" ca="1">SUM(OFFSET($AA$43,0,($M173*3)+$N173,53,1)*X$43:X$95)</f>
        <v>0</v>
      </c>
      <c r="Y173" s="6">
        <f t="array" aca="1" ref="Y173" ca="1">SUM(OFFSET($AA$43,0,($M173*3)+$N173,53,1)*Y$43:Y$95)</f>
        <v>0</v>
      </c>
      <c r="Z173" s="6">
        <f t="array" aca="1" ref="Z173" ca="1">SUM(OFFSET($AA$43,0,($M173*3)+$N173,53,1)*Z$43:Z$95)</f>
        <v>0</v>
      </c>
      <c r="AA173" s="6">
        <f t="shared" ca="1" si="97"/>
        <v>0</v>
      </c>
      <c r="AB173" s="6">
        <f t="shared" ca="1" si="89"/>
        <v>0</v>
      </c>
      <c r="AC173" s="8"/>
      <c r="AD173" s="8"/>
      <c r="AE173" t="str">
        <f t="shared" si="92"/>
        <v>Diagnostic (FU)</v>
      </c>
      <c r="AF173">
        <f t="shared" ca="1" si="101"/>
        <v>0</v>
      </c>
      <c r="AG173">
        <f t="shared" ca="1" si="101"/>
        <v>0</v>
      </c>
      <c r="AH173">
        <f t="shared" ca="1" si="101"/>
        <v>0</v>
      </c>
      <c r="AI173">
        <f t="shared" ca="1" si="101"/>
        <v>0</v>
      </c>
      <c r="AJ173">
        <f t="shared" ca="1" si="101"/>
        <v>0</v>
      </c>
      <c r="AK173">
        <f t="shared" ca="1" si="101"/>
        <v>0</v>
      </c>
      <c r="AL173">
        <f t="shared" ca="1" si="101"/>
        <v>0</v>
      </c>
      <c r="AM173">
        <f t="shared" ca="1" si="101"/>
        <v>0</v>
      </c>
      <c r="AN173">
        <f t="shared" ca="1" si="101"/>
        <v>0</v>
      </c>
      <c r="AO173">
        <f t="shared" ca="1" si="101"/>
        <v>0</v>
      </c>
      <c r="AP173">
        <f t="shared" ca="1" si="101"/>
        <v>0</v>
      </c>
      <c r="AQ173">
        <f t="shared" ca="1" si="101"/>
        <v>0</v>
      </c>
    </row>
    <row r="174" spans="1:43" x14ac:dyDescent="0.25">
      <c r="A174">
        <f>1</f>
        <v>1</v>
      </c>
      <c r="B174" s="85">
        <f t="shared" si="106"/>
        <v>43962</v>
      </c>
      <c r="C174" s="85">
        <f t="shared" si="102"/>
        <v>43962</v>
      </c>
      <c r="D174">
        <f t="shared" ca="1" si="103"/>
        <v>1</v>
      </c>
      <c r="E174" s="85">
        <f t="shared" si="104"/>
        <v>43952</v>
      </c>
      <c r="F174">
        <f t="shared" si="105"/>
        <v>20</v>
      </c>
      <c r="L174" t="str">
        <f t="shared" ca="1" si="88"/>
        <v/>
      </c>
      <c r="M174">
        <v>17</v>
      </c>
      <c r="N174">
        <v>1</v>
      </c>
      <c r="O174" s="6">
        <f t="array" aca="1" ref="O174" ca="1">SUM(OFFSET($AA$43,0,($M174*3)+$N174,53,1)*O$43:O$95)</f>
        <v>0</v>
      </c>
      <c r="P174" s="6">
        <f t="array" aca="1" ref="P174" ca="1">SUM(OFFSET($AA$43,0,($M174*3)+$N174,53,1)*P$43:P$95)</f>
        <v>0</v>
      </c>
      <c r="Q174" s="6">
        <f t="array" aca="1" ref="Q174" ca="1">SUM(OFFSET($AA$43,0,($M174*3)+$N174,53,1)*Q$43:Q$95)</f>
        <v>0</v>
      </c>
      <c r="R174" s="6">
        <f t="array" aca="1" ref="R174" ca="1">SUM(OFFSET($AA$43,0,($M174*3)+$N174,53,1)*R$43:R$95)</f>
        <v>0</v>
      </c>
      <c r="S174" s="6">
        <f t="array" aca="1" ref="S174" ca="1">SUM(OFFSET($AA$43,0,($M174*3)+$N174,53,1)*S$43:S$95)</f>
        <v>0</v>
      </c>
      <c r="T174" s="6">
        <f t="array" aca="1" ref="T174" ca="1">SUM(OFFSET($AA$43,0,($M174*3)+$N174,53,1)*T$43:T$95)</f>
        <v>0</v>
      </c>
      <c r="U174" s="6">
        <f t="array" aca="1" ref="U174" ca="1">SUM(OFFSET($AA$43,0,($M174*3)+$N174,53,1)*U$43:U$95)</f>
        <v>0</v>
      </c>
      <c r="V174" s="6">
        <f t="array" aca="1" ref="V174" ca="1">SUM(OFFSET($AA$43,0,($M174*3)+$N174,53,1)*V$43:V$95)</f>
        <v>0</v>
      </c>
      <c r="W174" s="6">
        <f t="array" aca="1" ref="W174" ca="1">SUM(OFFSET($AA$43,0,($M174*3)+$N174,53,1)*W$43:W$95)</f>
        <v>0</v>
      </c>
      <c r="X174" s="6">
        <f t="array" aca="1" ref="X174" ca="1">SUM(OFFSET($AA$43,0,($M174*3)+$N174,53,1)*X$43:X$95)</f>
        <v>0</v>
      </c>
      <c r="Y174" s="6">
        <f t="array" aca="1" ref="Y174" ca="1">SUM(OFFSET($AA$43,0,($M174*3)+$N174,53,1)*Y$43:Y$95)</f>
        <v>0</v>
      </c>
      <c r="Z174" s="6">
        <f t="array" aca="1" ref="Z174" ca="1">SUM(OFFSET($AA$43,0,($M174*3)+$N174,53,1)*Z$43:Z$95)</f>
        <v>0</v>
      </c>
      <c r="AA174" s="6">
        <f t="shared" ca="1" si="97"/>
        <v>0</v>
      </c>
      <c r="AB174" s="6">
        <f t="shared" ca="1" si="89"/>
        <v>0</v>
      </c>
      <c r="AC174" s="8"/>
      <c r="AD174" s="8"/>
      <c r="AE174" t="str">
        <f t="shared" si="92"/>
        <v>Admission</v>
      </c>
      <c r="AF174">
        <f t="shared" ca="1" si="101"/>
        <v>0</v>
      </c>
      <c r="AG174">
        <f t="shared" ca="1" si="101"/>
        <v>0</v>
      </c>
      <c r="AH174">
        <f t="shared" ca="1" si="101"/>
        <v>0</v>
      </c>
      <c r="AI174">
        <f t="shared" ca="1" si="101"/>
        <v>0</v>
      </c>
      <c r="AJ174">
        <f t="shared" ca="1" si="101"/>
        <v>0</v>
      </c>
      <c r="AK174">
        <f t="shared" ca="1" si="101"/>
        <v>0</v>
      </c>
      <c r="AL174">
        <f t="shared" ca="1" si="101"/>
        <v>0</v>
      </c>
      <c r="AM174">
        <f t="shared" ca="1" si="101"/>
        <v>0</v>
      </c>
      <c r="AN174">
        <f t="shared" ca="1" si="101"/>
        <v>0</v>
      </c>
      <c r="AO174">
        <f t="shared" ca="1" si="101"/>
        <v>0</v>
      </c>
      <c r="AP174">
        <f t="shared" ca="1" si="101"/>
        <v>0</v>
      </c>
      <c r="AQ174">
        <f t="shared" ca="1" si="101"/>
        <v>0</v>
      </c>
    </row>
    <row r="175" spans="1:43" x14ac:dyDescent="0.25">
      <c r="A175">
        <f>1</f>
        <v>1</v>
      </c>
      <c r="B175" s="85">
        <f t="shared" si="106"/>
        <v>43963</v>
      </c>
      <c r="C175" s="85">
        <f t="shared" si="102"/>
        <v>43962</v>
      </c>
      <c r="D175">
        <f t="shared" ca="1" si="103"/>
        <v>1</v>
      </c>
      <c r="E175" s="85">
        <f t="shared" si="104"/>
        <v>43952</v>
      </c>
      <c r="F175">
        <f t="shared" si="105"/>
        <v>20</v>
      </c>
      <c r="L175" t="str">
        <f t="shared" ca="1" si="88"/>
        <v/>
      </c>
      <c r="M175">
        <v>17</v>
      </c>
      <c r="N175">
        <v>2</v>
      </c>
      <c r="O175" s="6">
        <f t="array" aca="1" ref="O175" ca="1">SUM(OFFSET($AA$43,0,($M175*3)+$N175,53,1)*O$43:O$95)</f>
        <v>0</v>
      </c>
      <c r="P175" s="6">
        <f t="array" aca="1" ref="P175" ca="1">SUM(OFFSET($AA$43,0,($M175*3)+$N175,53,1)*P$43:P$95)</f>
        <v>0</v>
      </c>
      <c r="Q175" s="6">
        <f t="array" aca="1" ref="Q175" ca="1">SUM(OFFSET($AA$43,0,($M175*3)+$N175,53,1)*Q$43:Q$95)</f>
        <v>0</v>
      </c>
      <c r="R175" s="6">
        <f t="array" aca="1" ref="R175" ca="1">SUM(OFFSET($AA$43,0,($M175*3)+$N175,53,1)*R$43:R$95)</f>
        <v>0</v>
      </c>
      <c r="S175" s="6">
        <f t="array" aca="1" ref="S175" ca="1">SUM(OFFSET($AA$43,0,($M175*3)+$N175,53,1)*S$43:S$95)</f>
        <v>0</v>
      </c>
      <c r="T175" s="6">
        <f t="array" aca="1" ref="T175" ca="1">SUM(OFFSET($AA$43,0,($M175*3)+$N175,53,1)*T$43:T$95)</f>
        <v>0</v>
      </c>
      <c r="U175" s="6">
        <f t="array" aca="1" ref="U175" ca="1">SUM(OFFSET($AA$43,0,($M175*3)+$N175,53,1)*U$43:U$95)</f>
        <v>0</v>
      </c>
      <c r="V175" s="6">
        <f t="array" aca="1" ref="V175" ca="1">SUM(OFFSET($AA$43,0,($M175*3)+$N175,53,1)*V$43:V$95)</f>
        <v>0</v>
      </c>
      <c r="W175" s="6">
        <f t="array" aca="1" ref="W175" ca="1">SUM(OFFSET($AA$43,0,($M175*3)+$N175,53,1)*W$43:W$95)</f>
        <v>0</v>
      </c>
      <c r="X175" s="6">
        <f t="array" aca="1" ref="X175" ca="1">SUM(OFFSET($AA$43,0,($M175*3)+$N175,53,1)*X$43:X$95)</f>
        <v>0</v>
      </c>
      <c r="Y175" s="6">
        <f t="array" aca="1" ref="Y175" ca="1">SUM(OFFSET($AA$43,0,($M175*3)+$N175,53,1)*Y$43:Y$95)</f>
        <v>0</v>
      </c>
      <c r="Z175" s="6">
        <f t="array" aca="1" ref="Z175" ca="1">SUM(OFFSET($AA$43,0,($M175*3)+$N175,53,1)*Z$43:Z$95)</f>
        <v>0</v>
      </c>
      <c r="AA175" s="6">
        <f t="shared" ca="1" si="97"/>
        <v>0</v>
      </c>
      <c r="AB175" s="6">
        <f t="shared" ca="1" si="89"/>
        <v>0</v>
      </c>
      <c r="AC175" s="8"/>
      <c r="AD175" s="8">
        <v>10</v>
      </c>
      <c r="AE175" t="str">
        <f t="shared" si="92"/>
        <v>New</v>
      </c>
      <c r="AF175">
        <f t="shared" ref="AF175:AQ179" ca="1" si="107">SUMIFS(O$150:O$152,$L$150:$L$152, $AE175)</f>
        <v>0</v>
      </c>
      <c r="AG175">
        <f t="shared" ca="1" si="107"/>
        <v>0</v>
      </c>
      <c r="AH175">
        <f t="shared" ca="1" si="107"/>
        <v>0</v>
      </c>
      <c r="AI175">
        <f t="shared" ca="1" si="107"/>
        <v>0</v>
      </c>
      <c r="AJ175">
        <f t="shared" ca="1" si="107"/>
        <v>0</v>
      </c>
      <c r="AK175">
        <f t="shared" ca="1" si="107"/>
        <v>0</v>
      </c>
      <c r="AL175">
        <f t="shared" ca="1" si="107"/>
        <v>0</v>
      </c>
      <c r="AM175">
        <f t="shared" ca="1" si="107"/>
        <v>0</v>
      </c>
      <c r="AN175">
        <f t="shared" ca="1" si="107"/>
        <v>0</v>
      </c>
      <c r="AO175">
        <f t="shared" ca="1" si="107"/>
        <v>0</v>
      </c>
      <c r="AP175">
        <f t="shared" ca="1" si="107"/>
        <v>0</v>
      </c>
      <c r="AQ175">
        <f t="shared" ca="1" si="107"/>
        <v>0</v>
      </c>
    </row>
    <row r="176" spans="1:43" x14ac:dyDescent="0.25">
      <c r="A176">
        <f>1</f>
        <v>1</v>
      </c>
      <c r="B176" s="85">
        <f t="shared" si="106"/>
        <v>43964</v>
      </c>
      <c r="C176" s="85">
        <f t="shared" si="102"/>
        <v>43962</v>
      </c>
      <c r="D176">
        <f t="shared" ca="1" si="103"/>
        <v>1</v>
      </c>
      <c r="E176" s="85">
        <f t="shared" si="104"/>
        <v>43952</v>
      </c>
      <c r="F176">
        <f t="shared" si="105"/>
        <v>20</v>
      </c>
      <c r="L176" t="str">
        <f t="shared" ca="1" si="88"/>
        <v/>
      </c>
      <c r="M176">
        <v>17</v>
      </c>
      <c r="N176">
        <v>3</v>
      </c>
      <c r="O176" s="6">
        <f t="array" aca="1" ref="O176" ca="1">SUM(OFFSET($AA$43,0,($M176*3)+$N176,53,1)*O$43:O$95)</f>
        <v>0</v>
      </c>
      <c r="P176" s="6">
        <f t="array" aca="1" ref="P176" ca="1">SUM(OFFSET($AA$43,0,($M176*3)+$N176,53,1)*P$43:P$95)</f>
        <v>0</v>
      </c>
      <c r="Q176" s="6">
        <f t="array" aca="1" ref="Q176" ca="1">SUM(OFFSET($AA$43,0,($M176*3)+$N176,53,1)*Q$43:Q$95)</f>
        <v>0</v>
      </c>
      <c r="R176" s="6">
        <f t="array" aca="1" ref="R176" ca="1">SUM(OFFSET($AA$43,0,($M176*3)+$N176,53,1)*R$43:R$95)</f>
        <v>0</v>
      </c>
      <c r="S176" s="6">
        <f t="array" aca="1" ref="S176" ca="1">SUM(OFFSET($AA$43,0,($M176*3)+$N176,53,1)*S$43:S$95)</f>
        <v>0</v>
      </c>
      <c r="T176" s="6">
        <f t="array" aca="1" ref="T176" ca="1">SUM(OFFSET($AA$43,0,($M176*3)+$N176,53,1)*T$43:T$95)</f>
        <v>0</v>
      </c>
      <c r="U176" s="6">
        <f t="array" aca="1" ref="U176" ca="1">SUM(OFFSET($AA$43,0,($M176*3)+$N176,53,1)*U$43:U$95)</f>
        <v>0</v>
      </c>
      <c r="V176" s="6">
        <f t="array" aca="1" ref="V176" ca="1">SUM(OFFSET($AA$43,0,($M176*3)+$N176,53,1)*V$43:V$95)</f>
        <v>0</v>
      </c>
      <c r="W176" s="6">
        <f t="array" aca="1" ref="W176" ca="1">SUM(OFFSET($AA$43,0,($M176*3)+$N176,53,1)*W$43:W$95)</f>
        <v>0</v>
      </c>
      <c r="X176" s="6">
        <f t="array" aca="1" ref="X176" ca="1">SUM(OFFSET($AA$43,0,($M176*3)+$N176,53,1)*X$43:X$95)</f>
        <v>0</v>
      </c>
      <c r="Y176" s="6">
        <f t="array" aca="1" ref="Y176" ca="1">SUM(OFFSET($AA$43,0,($M176*3)+$N176,53,1)*Y$43:Y$95)</f>
        <v>0</v>
      </c>
      <c r="Z176" s="6">
        <f t="array" aca="1" ref="Z176" ca="1">SUM(OFFSET($AA$43,0,($M176*3)+$N176,53,1)*Z$43:Z$95)</f>
        <v>0</v>
      </c>
      <c r="AA176" s="6">
        <f t="shared" ca="1" si="97"/>
        <v>0</v>
      </c>
      <c r="AB176" s="6">
        <f t="shared" ca="1" si="89"/>
        <v>0</v>
      </c>
      <c r="AC176" s="8"/>
      <c r="AD176" s="8" t="s">
        <v>1227</v>
      </c>
      <c r="AE176" t="str">
        <f t="shared" si="92"/>
        <v>Diagnostic (N)</v>
      </c>
      <c r="AF176">
        <f t="shared" ca="1" si="107"/>
        <v>0</v>
      </c>
      <c r="AG176">
        <f t="shared" ca="1" si="107"/>
        <v>0</v>
      </c>
      <c r="AH176">
        <f t="shared" ca="1" si="107"/>
        <v>0</v>
      </c>
      <c r="AI176">
        <f t="shared" ca="1" si="107"/>
        <v>0</v>
      </c>
      <c r="AJ176">
        <f t="shared" ca="1" si="107"/>
        <v>0</v>
      </c>
      <c r="AK176">
        <f t="shared" ca="1" si="107"/>
        <v>0</v>
      </c>
      <c r="AL176">
        <f t="shared" ca="1" si="107"/>
        <v>0</v>
      </c>
      <c r="AM176">
        <f t="shared" ca="1" si="107"/>
        <v>0</v>
      </c>
      <c r="AN176">
        <f t="shared" ca="1" si="107"/>
        <v>0</v>
      </c>
      <c r="AO176">
        <f t="shared" ca="1" si="107"/>
        <v>0</v>
      </c>
      <c r="AP176">
        <f t="shared" ca="1" si="107"/>
        <v>0</v>
      </c>
      <c r="AQ176">
        <f t="shared" ca="1" si="107"/>
        <v>0</v>
      </c>
    </row>
    <row r="177" spans="1:43" x14ac:dyDescent="0.25">
      <c r="A177">
        <f>1</f>
        <v>1</v>
      </c>
      <c r="B177" s="85">
        <f t="shared" si="106"/>
        <v>43965</v>
      </c>
      <c r="C177" s="85">
        <f t="shared" si="102"/>
        <v>43962</v>
      </c>
      <c r="D177">
        <f t="shared" ca="1" si="103"/>
        <v>1</v>
      </c>
      <c r="E177" s="85">
        <f t="shared" si="104"/>
        <v>43952</v>
      </c>
      <c r="F177">
        <f t="shared" si="105"/>
        <v>20</v>
      </c>
      <c r="L177" t="str">
        <f t="shared" ca="1" si="88"/>
        <v/>
      </c>
      <c r="M177">
        <v>18</v>
      </c>
      <c r="N177">
        <v>1</v>
      </c>
      <c r="O177" s="6">
        <f t="array" aca="1" ref="O177" ca="1">SUM(OFFSET($AA$43,0,($M177*3)+$N177,53,1)*O$43:O$95)</f>
        <v>0</v>
      </c>
      <c r="P177" s="6">
        <f t="array" aca="1" ref="P177" ca="1">SUM(OFFSET($AA$43,0,($M177*3)+$N177,53,1)*P$43:P$95)</f>
        <v>0</v>
      </c>
      <c r="Q177" s="6">
        <f t="array" aca="1" ref="Q177" ca="1">SUM(OFFSET($AA$43,0,($M177*3)+$N177,53,1)*Q$43:Q$95)</f>
        <v>0</v>
      </c>
      <c r="R177" s="6">
        <f t="array" aca="1" ref="R177" ca="1">SUM(OFFSET($AA$43,0,($M177*3)+$N177,53,1)*R$43:R$95)</f>
        <v>0</v>
      </c>
      <c r="S177" s="6">
        <f t="array" aca="1" ref="S177" ca="1">SUM(OFFSET($AA$43,0,($M177*3)+$N177,53,1)*S$43:S$95)</f>
        <v>0</v>
      </c>
      <c r="T177" s="6">
        <f t="array" aca="1" ref="T177" ca="1">SUM(OFFSET($AA$43,0,($M177*3)+$N177,53,1)*T$43:T$95)</f>
        <v>0</v>
      </c>
      <c r="U177" s="6">
        <f t="array" aca="1" ref="U177" ca="1">SUM(OFFSET($AA$43,0,($M177*3)+$N177,53,1)*U$43:U$95)</f>
        <v>0</v>
      </c>
      <c r="V177" s="6">
        <f t="array" aca="1" ref="V177" ca="1">SUM(OFFSET($AA$43,0,($M177*3)+$N177,53,1)*V$43:V$95)</f>
        <v>0</v>
      </c>
      <c r="W177" s="6">
        <f t="array" aca="1" ref="W177" ca="1">SUM(OFFSET($AA$43,0,($M177*3)+$N177,53,1)*W$43:W$95)</f>
        <v>0</v>
      </c>
      <c r="X177" s="6">
        <f t="array" aca="1" ref="X177" ca="1">SUM(OFFSET($AA$43,0,($M177*3)+$N177,53,1)*X$43:X$95)</f>
        <v>0</v>
      </c>
      <c r="Y177" s="6">
        <f t="array" aca="1" ref="Y177" ca="1">SUM(OFFSET($AA$43,0,($M177*3)+$N177,53,1)*Y$43:Y$95)</f>
        <v>0</v>
      </c>
      <c r="Z177" s="6">
        <f t="array" aca="1" ref="Z177" ca="1">SUM(OFFSET($AA$43,0,($M177*3)+$N177,53,1)*Z$43:Z$95)</f>
        <v>0</v>
      </c>
      <c r="AA177" s="6">
        <f t="shared" ca="1" si="97"/>
        <v>0</v>
      </c>
      <c r="AB177" s="6">
        <f t="shared" ca="1" si="89"/>
        <v>0</v>
      </c>
      <c r="AC177" s="8"/>
      <c r="AD177" s="8" t="s">
        <v>1227</v>
      </c>
      <c r="AE177" t="str">
        <f t="shared" si="92"/>
        <v>Follow Up</v>
      </c>
      <c r="AF177">
        <f t="shared" ca="1" si="107"/>
        <v>0</v>
      </c>
      <c r="AG177">
        <f t="shared" ca="1" si="107"/>
        <v>0</v>
      </c>
      <c r="AH177">
        <f t="shared" ca="1" si="107"/>
        <v>0</v>
      </c>
      <c r="AI177">
        <f t="shared" ca="1" si="107"/>
        <v>0</v>
      </c>
      <c r="AJ177">
        <f t="shared" ca="1" si="107"/>
        <v>0</v>
      </c>
      <c r="AK177">
        <f t="shared" ca="1" si="107"/>
        <v>0</v>
      </c>
      <c r="AL177">
        <f t="shared" ca="1" si="107"/>
        <v>0</v>
      </c>
      <c r="AM177">
        <f t="shared" ca="1" si="107"/>
        <v>0</v>
      </c>
      <c r="AN177">
        <f t="shared" ca="1" si="107"/>
        <v>0</v>
      </c>
      <c r="AO177">
        <f t="shared" ca="1" si="107"/>
        <v>0</v>
      </c>
      <c r="AP177">
        <f t="shared" ca="1" si="107"/>
        <v>0</v>
      </c>
      <c r="AQ177">
        <f t="shared" ca="1" si="107"/>
        <v>0</v>
      </c>
    </row>
    <row r="178" spans="1:43" x14ac:dyDescent="0.25">
      <c r="A178">
        <f>1</f>
        <v>1</v>
      </c>
      <c r="B178" s="85">
        <f t="shared" si="106"/>
        <v>43966</v>
      </c>
      <c r="C178" s="85">
        <f t="shared" si="102"/>
        <v>43962</v>
      </c>
      <c r="D178">
        <f t="shared" ca="1" si="103"/>
        <v>1</v>
      </c>
      <c r="E178" s="85">
        <f t="shared" si="104"/>
        <v>43952</v>
      </c>
      <c r="F178">
        <f t="shared" si="105"/>
        <v>20</v>
      </c>
      <c r="L178" t="str">
        <f t="shared" ca="1" si="88"/>
        <v/>
      </c>
      <c r="M178">
        <v>18</v>
      </c>
      <c r="N178">
        <v>2</v>
      </c>
      <c r="O178" s="6">
        <f t="array" aca="1" ref="O178" ca="1">SUM(OFFSET($AA$43,0,($M178*3)+$N178,53,1)*O$43:O$95)</f>
        <v>0</v>
      </c>
      <c r="P178" s="6">
        <f t="array" aca="1" ref="P178" ca="1">SUM(OFFSET($AA$43,0,($M178*3)+$N178,53,1)*P$43:P$95)</f>
        <v>0</v>
      </c>
      <c r="Q178" s="6">
        <f t="array" aca="1" ref="Q178" ca="1">SUM(OFFSET($AA$43,0,($M178*3)+$N178,53,1)*Q$43:Q$95)</f>
        <v>0</v>
      </c>
      <c r="R178" s="6">
        <f t="array" aca="1" ref="R178" ca="1">SUM(OFFSET($AA$43,0,($M178*3)+$N178,53,1)*R$43:R$95)</f>
        <v>0</v>
      </c>
      <c r="S178" s="6">
        <f t="array" aca="1" ref="S178" ca="1">SUM(OFFSET($AA$43,0,($M178*3)+$N178,53,1)*S$43:S$95)</f>
        <v>0</v>
      </c>
      <c r="T178" s="6">
        <f t="array" aca="1" ref="T178" ca="1">SUM(OFFSET($AA$43,0,($M178*3)+$N178,53,1)*T$43:T$95)</f>
        <v>0</v>
      </c>
      <c r="U178" s="6">
        <f t="array" aca="1" ref="U178" ca="1">SUM(OFFSET($AA$43,0,($M178*3)+$N178,53,1)*U$43:U$95)</f>
        <v>0</v>
      </c>
      <c r="V178" s="6">
        <f t="array" aca="1" ref="V178" ca="1">SUM(OFFSET($AA$43,0,($M178*3)+$N178,53,1)*V$43:V$95)</f>
        <v>0</v>
      </c>
      <c r="W178" s="6">
        <f t="array" aca="1" ref="W178" ca="1">SUM(OFFSET($AA$43,0,($M178*3)+$N178,53,1)*W$43:W$95)</f>
        <v>0</v>
      </c>
      <c r="X178" s="6">
        <f t="array" aca="1" ref="X178" ca="1">SUM(OFFSET($AA$43,0,($M178*3)+$N178,53,1)*X$43:X$95)</f>
        <v>0</v>
      </c>
      <c r="Y178" s="6">
        <f t="array" aca="1" ref="Y178" ca="1">SUM(OFFSET($AA$43,0,($M178*3)+$N178,53,1)*Y$43:Y$95)</f>
        <v>0</v>
      </c>
      <c r="Z178" s="6">
        <f t="array" aca="1" ref="Z178" ca="1">SUM(OFFSET($AA$43,0,($M178*3)+$N178,53,1)*Z$43:Z$95)</f>
        <v>0</v>
      </c>
      <c r="AA178" s="6">
        <f t="shared" ca="1" si="97"/>
        <v>0</v>
      </c>
      <c r="AB178" s="6">
        <f t="shared" ca="1" si="89"/>
        <v>0</v>
      </c>
      <c r="AC178" s="8"/>
      <c r="AD178" s="8" t="s">
        <v>1227</v>
      </c>
      <c r="AE178" t="str">
        <f t="shared" si="92"/>
        <v>Diagnostic (FU)</v>
      </c>
      <c r="AF178">
        <f t="shared" ca="1" si="107"/>
        <v>0</v>
      </c>
      <c r="AG178">
        <f t="shared" ca="1" si="107"/>
        <v>0</v>
      </c>
      <c r="AH178">
        <f t="shared" ca="1" si="107"/>
        <v>0</v>
      </c>
      <c r="AI178">
        <f t="shared" ca="1" si="107"/>
        <v>0</v>
      </c>
      <c r="AJ178">
        <f t="shared" ca="1" si="107"/>
        <v>0</v>
      </c>
      <c r="AK178">
        <f t="shared" ca="1" si="107"/>
        <v>0</v>
      </c>
      <c r="AL178">
        <f t="shared" ca="1" si="107"/>
        <v>0</v>
      </c>
      <c r="AM178">
        <f t="shared" ca="1" si="107"/>
        <v>0</v>
      </c>
      <c r="AN178">
        <f t="shared" ca="1" si="107"/>
        <v>0</v>
      </c>
      <c r="AO178">
        <f t="shared" ca="1" si="107"/>
        <v>0</v>
      </c>
      <c r="AP178">
        <f t="shared" ca="1" si="107"/>
        <v>0</v>
      </c>
      <c r="AQ178">
        <f t="shared" ca="1" si="107"/>
        <v>0</v>
      </c>
    </row>
    <row r="179" spans="1:43" x14ac:dyDescent="0.25">
      <c r="A179">
        <f>1</f>
        <v>1</v>
      </c>
      <c r="B179" s="85">
        <f t="shared" si="106"/>
        <v>43967</v>
      </c>
      <c r="C179" s="85">
        <f t="shared" si="102"/>
        <v>43962</v>
      </c>
      <c r="D179">
        <f t="shared" ca="1" si="103"/>
        <v>0</v>
      </c>
      <c r="E179" s="85">
        <f t="shared" si="104"/>
        <v>43952</v>
      </c>
      <c r="F179">
        <f t="shared" si="105"/>
        <v>20</v>
      </c>
      <c r="L179" t="str">
        <f t="shared" ca="1" si="88"/>
        <v/>
      </c>
      <c r="M179">
        <v>18</v>
      </c>
      <c r="N179">
        <v>3</v>
      </c>
      <c r="O179" s="6">
        <f t="array" aca="1" ref="O179" ca="1">SUM(OFFSET($AA$43,0,($M179*3)+$N179,53,1)*O$43:O$95)</f>
        <v>0</v>
      </c>
      <c r="P179" s="6">
        <f t="array" aca="1" ref="P179" ca="1">SUM(OFFSET($AA$43,0,($M179*3)+$N179,53,1)*P$43:P$95)</f>
        <v>0</v>
      </c>
      <c r="Q179" s="6">
        <f t="array" aca="1" ref="Q179" ca="1">SUM(OFFSET($AA$43,0,($M179*3)+$N179,53,1)*Q$43:Q$95)</f>
        <v>0</v>
      </c>
      <c r="R179" s="6">
        <f t="array" aca="1" ref="R179" ca="1">SUM(OFFSET($AA$43,0,($M179*3)+$N179,53,1)*R$43:R$95)</f>
        <v>0</v>
      </c>
      <c r="S179" s="6">
        <f t="array" aca="1" ref="S179" ca="1">SUM(OFFSET($AA$43,0,($M179*3)+$N179,53,1)*S$43:S$95)</f>
        <v>0</v>
      </c>
      <c r="T179" s="6">
        <f t="array" aca="1" ref="T179" ca="1">SUM(OFFSET($AA$43,0,($M179*3)+$N179,53,1)*T$43:T$95)</f>
        <v>0</v>
      </c>
      <c r="U179" s="6">
        <f t="array" aca="1" ref="U179" ca="1">SUM(OFFSET($AA$43,0,($M179*3)+$N179,53,1)*U$43:U$95)</f>
        <v>0</v>
      </c>
      <c r="V179" s="6">
        <f t="array" aca="1" ref="V179" ca="1">SUM(OFFSET($AA$43,0,($M179*3)+$N179,53,1)*V$43:V$95)</f>
        <v>0</v>
      </c>
      <c r="W179" s="6">
        <f t="array" aca="1" ref="W179" ca="1">SUM(OFFSET($AA$43,0,($M179*3)+$N179,53,1)*W$43:W$95)</f>
        <v>0</v>
      </c>
      <c r="X179" s="6">
        <f t="array" aca="1" ref="X179" ca="1">SUM(OFFSET($AA$43,0,($M179*3)+$N179,53,1)*X$43:X$95)</f>
        <v>0</v>
      </c>
      <c r="Y179" s="6">
        <f t="array" aca="1" ref="Y179" ca="1">SUM(OFFSET($AA$43,0,($M179*3)+$N179,53,1)*Y$43:Y$95)</f>
        <v>0</v>
      </c>
      <c r="Z179" s="6">
        <f t="array" aca="1" ref="Z179" ca="1">SUM(OFFSET($AA$43,0,($M179*3)+$N179,53,1)*Z$43:Z$95)</f>
        <v>0</v>
      </c>
      <c r="AA179" s="6">
        <f t="shared" ca="1" si="97"/>
        <v>0</v>
      </c>
      <c r="AB179" s="6">
        <f t="shared" ca="1" si="89"/>
        <v>0</v>
      </c>
      <c r="AC179" s="8"/>
      <c r="AD179" s="8" t="s">
        <v>1227</v>
      </c>
      <c r="AE179" t="str">
        <f t="shared" si="92"/>
        <v>Admission</v>
      </c>
      <c r="AF179">
        <f t="shared" ca="1" si="107"/>
        <v>0</v>
      </c>
      <c r="AG179">
        <f t="shared" ca="1" si="107"/>
        <v>0</v>
      </c>
      <c r="AH179">
        <f t="shared" ca="1" si="107"/>
        <v>0</v>
      </c>
      <c r="AI179">
        <f t="shared" ca="1" si="107"/>
        <v>0</v>
      </c>
      <c r="AJ179">
        <f t="shared" ca="1" si="107"/>
        <v>0</v>
      </c>
      <c r="AK179">
        <f t="shared" ca="1" si="107"/>
        <v>0</v>
      </c>
      <c r="AL179">
        <f t="shared" ca="1" si="107"/>
        <v>0</v>
      </c>
      <c r="AM179">
        <f t="shared" ca="1" si="107"/>
        <v>0</v>
      </c>
      <c r="AN179">
        <f t="shared" ca="1" si="107"/>
        <v>0</v>
      </c>
      <c r="AO179">
        <f t="shared" ca="1" si="107"/>
        <v>0</v>
      </c>
      <c r="AP179">
        <f t="shared" ca="1" si="107"/>
        <v>0</v>
      </c>
      <c r="AQ179">
        <f t="shared" ca="1" si="107"/>
        <v>0</v>
      </c>
    </row>
    <row r="180" spans="1:43" x14ac:dyDescent="0.25">
      <c r="A180">
        <f>1</f>
        <v>1</v>
      </c>
      <c r="B180" s="85">
        <f t="shared" si="106"/>
        <v>43968</v>
      </c>
      <c r="C180" s="85">
        <f t="shared" si="102"/>
        <v>43962</v>
      </c>
      <c r="D180">
        <f t="shared" ca="1" si="103"/>
        <v>0</v>
      </c>
      <c r="E180" s="85">
        <f t="shared" si="104"/>
        <v>43952</v>
      </c>
      <c r="F180">
        <f t="shared" si="105"/>
        <v>20</v>
      </c>
      <c r="L180" t="str">
        <f t="shared" ca="1" si="88"/>
        <v/>
      </c>
      <c r="M180">
        <v>19</v>
      </c>
      <c r="N180">
        <v>1</v>
      </c>
      <c r="O180" s="6">
        <f t="array" aca="1" ref="O180" ca="1">SUM(OFFSET($AA$43,0,($M180*3)+$N180,53,1)*O$43:O$95)</f>
        <v>0</v>
      </c>
      <c r="P180" s="6">
        <f t="array" aca="1" ref="P180" ca="1">SUM(OFFSET($AA$43,0,($M180*3)+$N180,53,1)*P$43:P$95)</f>
        <v>0</v>
      </c>
      <c r="Q180" s="6">
        <f t="array" aca="1" ref="Q180" ca="1">SUM(OFFSET($AA$43,0,($M180*3)+$N180,53,1)*Q$43:Q$95)</f>
        <v>0</v>
      </c>
      <c r="R180" s="6">
        <f t="array" aca="1" ref="R180" ca="1">SUM(OFFSET($AA$43,0,($M180*3)+$N180,53,1)*R$43:R$95)</f>
        <v>0</v>
      </c>
      <c r="S180" s="6">
        <f t="array" aca="1" ref="S180" ca="1">SUM(OFFSET($AA$43,0,($M180*3)+$N180,53,1)*S$43:S$95)</f>
        <v>0</v>
      </c>
      <c r="T180" s="6">
        <f t="array" aca="1" ref="T180" ca="1">SUM(OFFSET($AA$43,0,($M180*3)+$N180,53,1)*T$43:T$95)</f>
        <v>0</v>
      </c>
      <c r="U180" s="6">
        <f t="array" aca="1" ref="U180" ca="1">SUM(OFFSET($AA$43,0,($M180*3)+$N180,53,1)*U$43:U$95)</f>
        <v>0</v>
      </c>
      <c r="V180" s="6">
        <f t="array" aca="1" ref="V180" ca="1">SUM(OFFSET($AA$43,0,($M180*3)+$N180,53,1)*V$43:V$95)</f>
        <v>0</v>
      </c>
      <c r="W180" s="6">
        <f t="array" aca="1" ref="W180" ca="1">SUM(OFFSET($AA$43,0,($M180*3)+$N180,53,1)*W$43:W$95)</f>
        <v>0</v>
      </c>
      <c r="X180" s="6">
        <f t="array" aca="1" ref="X180" ca="1">SUM(OFFSET($AA$43,0,($M180*3)+$N180,53,1)*X$43:X$95)</f>
        <v>0</v>
      </c>
      <c r="Y180" s="6">
        <f t="array" aca="1" ref="Y180" ca="1">SUM(OFFSET($AA$43,0,($M180*3)+$N180,53,1)*Y$43:Y$95)</f>
        <v>0</v>
      </c>
      <c r="Z180" s="6">
        <f t="array" aca="1" ref="Z180" ca="1">SUM(OFFSET($AA$43,0,($M180*3)+$N180,53,1)*Z$43:Z$95)</f>
        <v>0</v>
      </c>
      <c r="AA180" s="6">
        <f t="shared" ca="1" si="97"/>
        <v>0</v>
      </c>
      <c r="AB180" s="6">
        <f t="shared" ca="1" si="89"/>
        <v>0</v>
      </c>
      <c r="AC180" s="8"/>
      <c r="AD180" s="8">
        <v>11</v>
      </c>
      <c r="AE180" t="str">
        <f t="shared" si="92"/>
        <v>New</v>
      </c>
      <c r="AF180">
        <f t="shared" ref="AF180:AQ184" ca="1" si="108">SUMIFS(O$153:O$155,$L$153:$L$155, $AE180)</f>
        <v>0</v>
      </c>
      <c r="AG180">
        <f t="shared" ca="1" si="108"/>
        <v>0</v>
      </c>
      <c r="AH180">
        <f t="shared" ca="1" si="108"/>
        <v>0</v>
      </c>
      <c r="AI180">
        <f t="shared" ca="1" si="108"/>
        <v>0</v>
      </c>
      <c r="AJ180">
        <f t="shared" ca="1" si="108"/>
        <v>0</v>
      </c>
      <c r="AK180">
        <f t="shared" ca="1" si="108"/>
        <v>0</v>
      </c>
      <c r="AL180">
        <f t="shared" ca="1" si="108"/>
        <v>0</v>
      </c>
      <c r="AM180">
        <f t="shared" ca="1" si="108"/>
        <v>0</v>
      </c>
      <c r="AN180">
        <f t="shared" ca="1" si="108"/>
        <v>0</v>
      </c>
      <c r="AO180">
        <f t="shared" ca="1" si="108"/>
        <v>0</v>
      </c>
      <c r="AP180">
        <f t="shared" ca="1" si="108"/>
        <v>0</v>
      </c>
      <c r="AQ180">
        <f t="shared" ca="1" si="108"/>
        <v>0</v>
      </c>
    </row>
    <row r="181" spans="1:43" x14ac:dyDescent="0.25">
      <c r="A181">
        <f>1</f>
        <v>1</v>
      </c>
      <c r="B181" s="85">
        <f t="shared" si="106"/>
        <v>43969</v>
      </c>
      <c r="C181" s="85">
        <f t="shared" si="102"/>
        <v>43969</v>
      </c>
      <c r="D181">
        <f t="shared" ca="1" si="103"/>
        <v>1</v>
      </c>
      <c r="E181" s="85">
        <f t="shared" si="104"/>
        <v>43952</v>
      </c>
      <c r="F181">
        <f t="shared" si="105"/>
        <v>21</v>
      </c>
      <c r="L181" t="str">
        <f t="shared" ca="1" si="88"/>
        <v/>
      </c>
      <c r="M181">
        <v>19</v>
      </c>
      <c r="N181">
        <v>2</v>
      </c>
      <c r="O181" s="6">
        <f t="array" aca="1" ref="O181" ca="1">SUM(OFFSET($AA$43,0,($M181*3)+$N181,53,1)*O$43:O$95)</f>
        <v>0</v>
      </c>
      <c r="P181" s="6">
        <f t="array" aca="1" ref="P181" ca="1">SUM(OFFSET($AA$43,0,($M181*3)+$N181,53,1)*P$43:P$95)</f>
        <v>0</v>
      </c>
      <c r="Q181" s="6">
        <f t="array" aca="1" ref="Q181" ca="1">SUM(OFFSET($AA$43,0,($M181*3)+$N181,53,1)*Q$43:Q$95)</f>
        <v>0</v>
      </c>
      <c r="R181" s="6">
        <f t="array" aca="1" ref="R181" ca="1">SUM(OFFSET($AA$43,0,($M181*3)+$N181,53,1)*R$43:R$95)</f>
        <v>0</v>
      </c>
      <c r="S181" s="6">
        <f t="array" aca="1" ref="S181" ca="1">SUM(OFFSET($AA$43,0,($M181*3)+$N181,53,1)*S$43:S$95)</f>
        <v>0</v>
      </c>
      <c r="T181" s="6">
        <f t="array" aca="1" ref="T181" ca="1">SUM(OFFSET($AA$43,0,($M181*3)+$N181,53,1)*T$43:T$95)</f>
        <v>0</v>
      </c>
      <c r="U181" s="6">
        <f t="array" aca="1" ref="U181" ca="1">SUM(OFFSET($AA$43,0,($M181*3)+$N181,53,1)*U$43:U$95)</f>
        <v>0</v>
      </c>
      <c r="V181" s="6">
        <f t="array" aca="1" ref="V181" ca="1">SUM(OFFSET($AA$43,0,($M181*3)+$N181,53,1)*V$43:V$95)</f>
        <v>0</v>
      </c>
      <c r="W181" s="6">
        <f t="array" aca="1" ref="W181" ca="1">SUM(OFFSET($AA$43,0,($M181*3)+$N181,53,1)*W$43:W$95)</f>
        <v>0</v>
      </c>
      <c r="X181" s="6">
        <f t="array" aca="1" ref="X181" ca="1">SUM(OFFSET($AA$43,0,($M181*3)+$N181,53,1)*X$43:X$95)</f>
        <v>0</v>
      </c>
      <c r="Y181" s="6">
        <f t="array" aca="1" ref="Y181" ca="1">SUM(OFFSET($AA$43,0,($M181*3)+$N181,53,1)*Y$43:Y$95)</f>
        <v>0</v>
      </c>
      <c r="Z181" s="6">
        <f t="array" aca="1" ref="Z181" ca="1">SUM(OFFSET($AA$43,0,($M181*3)+$N181,53,1)*Z$43:Z$95)</f>
        <v>0</v>
      </c>
      <c r="AA181" s="6">
        <f t="shared" ca="1" si="97"/>
        <v>0</v>
      </c>
      <c r="AB181" s="6">
        <f t="shared" ca="1" si="89"/>
        <v>0</v>
      </c>
      <c r="AC181" s="8"/>
      <c r="AD181" s="8" t="s">
        <v>1227</v>
      </c>
      <c r="AE181" t="str">
        <f t="shared" si="92"/>
        <v>Diagnostic (N)</v>
      </c>
      <c r="AF181">
        <f t="shared" ca="1" si="108"/>
        <v>0</v>
      </c>
      <c r="AG181">
        <f t="shared" ca="1" si="108"/>
        <v>0</v>
      </c>
      <c r="AH181">
        <f t="shared" ca="1" si="108"/>
        <v>0</v>
      </c>
      <c r="AI181">
        <f t="shared" ca="1" si="108"/>
        <v>0</v>
      </c>
      <c r="AJ181">
        <f t="shared" ca="1" si="108"/>
        <v>0</v>
      </c>
      <c r="AK181">
        <f t="shared" ca="1" si="108"/>
        <v>0</v>
      </c>
      <c r="AL181">
        <f t="shared" ca="1" si="108"/>
        <v>0</v>
      </c>
      <c r="AM181">
        <f t="shared" ca="1" si="108"/>
        <v>0</v>
      </c>
      <c r="AN181">
        <f t="shared" ca="1" si="108"/>
        <v>0</v>
      </c>
      <c r="AO181">
        <f t="shared" ca="1" si="108"/>
        <v>0</v>
      </c>
      <c r="AP181">
        <f t="shared" ca="1" si="108"/>
        <v>0</v>
      </c>
      <c r="AQ181">
        <f t="shared" ca="1" si="108"/>
        <v>0</v>
      </c>
    </row>
    <row r="182" spans="1:43" x14ac:dyDescent="0.25">
      <c r="A182">
        <f>1</f>
        <v>1</v>
      </c>
      <c r="B182" s="85">
        <f t="shared" si="106"/>
        <v>43970</v>
      </c>
      <c r="C182" s="85">
        <f t="shared" si="102"/>
        <v>43969</v>
      </c>
      <c r="D182">
        <f t="shared" ca="1" si="103"/>
        <v>1</v>
      </c>
      <c r="E182" s="85">
        <f t="shared" si="104"/>
        <v>43952</v>
      </c>
      <c r="F182">
        <f t="shared" si="105"/>
        <v>21</v>
      </c>
      <c r="L182" t="str">
        <f t="shared" ca="1" si="88"/>
        <v/>
      </c>
      <c r="M182">
        <v>19</v>
      </c>
      <c r="N182">
        <v>3</v>
      </c>
      <c r="O182" s="6">
        <f t="array" aca="1" ref="O182" ca="1">SUM(OFFSET($AA$43,0,($M182*3)+$N182,53,1)*O$43:O$95)</f>
        <v>0</v>
      </c>
      <c r="P182" s="6">
        <f t="array" aca="1" ref="P182" ca="1">SUM(OFFSET($AA$43,0,($M182*3)+$N182,53,1)*P$43:P$95)</f>
        <v>0</v>
      </c>
      <c r="Q182" s="6">
        <f t="array" aca="1" ref="Q182" ca="1">SUM(OFFSET($AA$43,0,($M182*3)+$N182,53,1)*Q$43:Q$95)</f>
        <v>0</v>
      </c>
      <c r="R182" s="6">
        <f t="array" aca="1" ref="R182" ca="1">SUM(OFFSET($AA$43,0,($M182*3)+$N182,53,1)*R$43:R$95)</f>
        <v>0</v>
      </c>
      <c r="S182" s="6">
        <f t="array" aca="1" ref="S182" ca="1">SUM(OFFSET($AA$43,0,($M182*3)+$N182,53,1)*S$43:S$95)</f>
        <v>0</v>
      </c>
      <c r="T182" s="6">
        <f t="array" aca="1" ref="T182" ca="1">SUM(OFFSET($AA$43,0,($M182*3)+$N182,53,1)*T$43:T$95)</f>
        <v>0</v>
      </c>
      <c r="U182" s="6">
        <f t="array" aca="1" ref="U182" ca="1">SUM(OFFSET($AA$43,0,($M182*3)+$N182,53,1)*U$43:U$95)</f>
        <v>0</v>
      </c>
      <c r="V182" s="6">
        <f t="array" aca="1" ref="V182" ca="1">SUM(OFFSET($AA$43,0,($M182*3)+$N182,53,1)*V$43:V$95)</f>
        <v>0</v>
      </c>
      <c r="W182" s="6">
        <f t="array" aca="1" ref="W182" ca="1">SUM(OFFSET($AA$43,0,($M182*3)+$N182,53,1)*W$43:W$95)</f>
        <v>0</v>
      </c>
      <c r="X182" s="6">
        <f t="array" aca="1" ref="X182" ca="1">SUM(OFFSET($AA$43,0,($M182*3)+$N182,53,1)*X$43:X$95)</f>
        <v>0</v>
      </c>
      <c r="Y182" s="6">
        <f t="array" aca="1" ref="Y182" ca="1">SUM(OFFSET($AA$43,0,($M182*3)+$N182,53,1)*Y$43:Y$95)</f>
        <v>0</v>
      </c>
      <c r="Z182" s="6">
        <f t="array" aca="1" ref="Z182" ca="1">SUM(OFFSET($AA$43,0,($M182*3)+$N182,53,1)*Z$43:Z$95)</f>
        <v>0</v>
      </c>
      <c r="AA182" s="6">
        <f t="shared" ca="1" si="97"/>
        <v>0</v>
      </c>
      <c r="AB182" s="6">
        <f t="shared" ca="1" si="89"/>
        <v>0</v>
      </c>
      <c r="AC182" s="8"/>
      <c r="AD182" s="8" t="s">
        <v>1227</v>
      </c>
      <c r="AE182" t="str">
        <f t="shared" si="92"/>
        <v>Follow Up</v>
      </c>
      <c r="AF182">
        <f t="shared" ca="1" si="108"/>
        <v>0</v>
      </c>
      <c r="AG182">
        <f t="shared" ca="1" si="108"/>
        <v>0</v>
      </c>
      <c r="AH182">
        <f t="shared" ca="1" si="108"/>
        <v>0</v>
      </c>
      <c r="AI182">
        <f t="shared" ca="1" si="108"/>
        <v>0</v>
      </c>
      <c r="AJ182">
        <f t="shared" ca="1" si="108"/>
        <v>0</v>
      </c>
      <c r="AK182">
        <f t="shared" ca="1" si="108"/>
        <v>0</v>
      </c>
      <c r="AL182">
        <f t="shared" ca="1" si="108"/>
        <v>0</v>
      </c>
      <c r="AM182">
        <f t="shared" ca="1" si="108"/>
        <v>0</v>
      </c>
      <c r="AN182">
        <f t="shared" ca="1" si="108"/>
        <v>0</v>
      </c>
      <c r="AO182">
        <f t="shared" ca="1" si="108"/>
        <v>0</v>
      </c>
      <c r="AP182">
        <f t="shared" ca="1" si="108"/>
        <v>0</v>
      </c>
      <c r="AQ182">
        <f t="shared" ca="1" si="108"/>
        <v>0</v>
      </c>
    </row>
    <row r="183" spans="1:43" x14ac:dyDescent="0.25">
      <c r="A183">
        <f>1</f>
        <v>1</v>
      </c>
      <c r="B183" s="85">
        <f t="shared" si="106"/>
        <v>43971</v>
      </c>
      <c r="C183" s="85">
        <f t="shared" si="102"/>
        <v>43969</v>
      </c>
      <c r="D183">
        <f t="shared" ca="1" si="103"/>
        <v>1</v>
      </c>
      <c r="E183" s="85">
        <f t="shared" si="104"/>
        <v>43952</v>
      </c>
      <c r="F183">
        <f t="shared" si="105"/>
        <v>21</v>
      </c>
      <c r="O183" s="6"/>
      <c r="P183" s="6"/>
      <c r="Q183" s="6"/>
      <c r="R183" s="6"/>
      <c r="S183" s="6"/>
      <c r="T183" s="6"/>
      <c r="U183" s="6"/>
      <c r="V183" s="6"/>
      <c r="W183" s="6"/>
      <c r="X183" s="6"/>
      <c r="Y183" s="6"/>
      <c r="Z183" s="6"/>
      <c r="AA183" s="6"/>
      <c r="AB183" s="6"/>
      <c r="AC183" s="8"/>
      <c r="AD183" s="8" t="s">
        <v>1227</v>
      </c>
      <c r="AE183" t="str">
        <f t="shared" si="92"/>
        <v>Diagnostic (FU)</v>
      </c>
      <c r="AF183">
        <f t="shared" ca="1" si="108"/>
        <v>0</v>
      </c>
      <c r="AG183">
        <f t="shared" ca="1" si="108"/>
        <v>0</v>
      </c>
      <c r="AH183">
        <f t="shared" ca="1" si="108"/>
        <v>0</v>
      </c>
      <c r="AI183">
        <f t="shared" ca="1" si="108"/>
        <v>0</v>
      </c>
      <c r="AJ183">
        <f t="shared" ca="1" si="108"/>
        <v>0</v>
      </c>
      <c r="AK183">
        <f t="shared" ca="1" si="108"/>
        <v>0</v>
      </c>
      <c r="AL183">
        <f t="shared" ca="1" si="108"/>
        <v>0</v>
      </c>
      <c r="AM183">
        <f t="shared" ca="1" si="108"/>
        <v>0</v>
      </c>
      <c r="AN183">
        <f t="shared" ca="1" si="108"/>
        <v>0</v>
      </c>
      <c r="AO183">
        <f t="shared" ca="1" si="108"/>
        <v>0</v>
      </c>
      <c r="AP183">
        <f t="shared" ca="1" si="108"/>
        <v>0</v>
      </c>
      <c r="AQ183">
        <f t="shared" ca="1" si="108"/>
        <v>0</v>
      </c>
    </row>
    <row r="184" spans="1:43" x14ac:dyDescent="0.25">
      <c r="A184">
        <f>1</f>
        <v>1</v>
      </c>
      <c r="B184" s="85">
        <f t="shared" si="106"/>
        <v>43972</v>
      </c>
      <c r="C184" s="85">
        <f t="shared" si="102"/>
        <v>43969</v>
      </c>
      <c r="D184">
        <f t="shared" ca="1" si="103"/>
        <v>1</v>
      </c>
      <c r="E184" s="85">
        <f t="shared" si="104"/>
        <v>43952</v>
      </c>
      <c r="F184">
        <f t="shared" si="105"/>
        <v>21</v>
      </c>
      <c r="L184" t="s">
        <v>951</v>
      </c>
      <c r="M184">
        <v>0</v>
      </c>
      <c r="N184">
        <v>1</v>
      </c>
      <c r="O184" s="6">
        <f t="array" aca="1" ref="O184" ca="1">SUM(OFFSET($CO$43,0,($M184*3)+$N184,53,1)*O$43:O$95)</f>
        <v>109.64705027256208</v>
      </c>
      <c r="P184" s="6">
        <f t="array" aca="1" ref="P184" ca="1">SUM(OFFSET($CO$43,0,($M184*3)+$N184,53,1)*P$43:P$95)</f>
        <v>99.679136611420077</v>
      </c>
      <c r="Q184" s="6">
        <f t="array" aca="1" ref="Q184" ca="1">SUM(OFFSET($CO$43,0,($M184*3)+$N184,53,1)*Q$43:Q$95)</f>
        <v>109.64705027256208</v>
      </c>
      <c r="R184" s="6">
        <f t="array" aca="1" ref="R184" ca="1">SUM(OFFSET($CO$43,0,($M184*3)+$N184,53,1)*R$43:R$95)</f>
        <v>99.679136611420077</v>
      </c>
      <c r="S184" s="6">
        <f t="array" aca="1" ref="S184" ca="1">SUM(OFFSET($CO$43,0,($M184*3)+$N184,53,1)*S$43:S$95)</f>
        <v>98.528992727442144</v>
      </c>
      <c r="T184" s="6">
        <f t="array" aca="1" ref="T184" ca="1">SUM(OFFSET($CO$43,0,($M184*3)+$N184,53,1)*T$43:T$95)</f>
        <v>107.11673372781064</v>
      </c>
      <c r="U184" s="6">
        <f t="array" aca="1" ref="U184" ca="1">SUM(OFFSET($CO$43,0,($M184*3)+$N184,53,1)*U$43:U$95)</f>
        <v>111.98567616998383</v>
      </c>
      <c r="V184" s="6">
        <f t="array" aca="1" ref="V184" ca="1">SUM(OFFSET($CO$43,0,($M184*3)+$N184,53,1)*V$43:V$95)</f>
        <v>97.378848843464212</v>
      </c>
      <c r="W184" s="6">
        <f t="array" aca="1" ref="W184" ca="1">SUM(OFFSET($CO$43,0,($M184*3)+$N184,53,1)*W$43:W$95)</f>
        <v>111.98567616998385</v>
      </c>
      <c r="X184" s="6">
        <f t="array" aca="1" ref="X184" ca="1">SUM(OFFSET($CO$43,0,($M184*3)+$N184,53,1)*X$43:X$95)</f>
        <v>107.11673372781063</v>
      </c>
      <c r="Y184" s="6">
        <f t="array" aca="1" ref="Y184" ca="1">SUM(OFFSET($CO$43,0,($M184*3)+$N184,53,1)*Y$43:Y$95)</f>
        <v>102.24779128563742</v>
      </c>
      <c r="Z184" s="6">
        <f t="array" aca="1" ref="Z184" ca="1">SUM(OFFSET($CO$43,0,($M184*3)+$N184,53,1)*Z$43:Z$95)</f>
        <v>116.85461861215704</v>
      </c>
      <c r="AA184" s="6">
        <f t="shared" ref="AA184:AA215" ca="1" si="109">SUM(O184:Z184)</f>
        <v>1271.8674450322542</v>
      </c>
      <c r="AB184" s="6">
        <f t="shared" ca="1" si="89"/>
        <v>105.98895375268785</v>
      </c>
      <c r="AC184" s="8"/>
      <c r="AD184" s="8" t="s">
        <v>1227</v>
      </c>
      <c r="AE184" t="str">
        <f t="shared" si="92"/>
        <v>Admission</v>
      </c>
      <c r="AF184">
        <f t="shared" ca="1" si="108"/>
        <v>0</v>
      </c>
      <c r="AG184">
        <f t="shared" ca="1" si="108"/>
        <v>0</v>
      </c>
      <c r="AH184">
        <f t="shared" ca="1" si="108"/>
        <v>0</v>
      </c>
      <c r="AI184">
        <f t="shared" ca="1" si="108"/>
        <v>0</v>
      </c>
      <c r="AJ184">
        <f t="shared" ca="1" si="108"/>
        <v>0</v>
      </c>
      <c r="AK184">
        <f t="shared" ca="1" si="108"/>
        <v>0</v>
      </c>
      <c r="AL184">
        <f t="shared" ca="1" si="108"/>
        <v>0</v>
      </c>
      <c r="AM184">
        <f t="shared" ca="1" si="108"/>
        <v>0</v>
      </c>
      <c r="AN184">
        <f t="shared" ca="1" si="108"/>
        <v>0</v>
      </c>
      <c r="AO184">
        <f t="shared" ca="1" si="108"/>
        <v>0</v>
      </c>
      <c r="AP184">
        <f t="shared" ca="1" si="108"/>
        <v>0</v>
      </c>
      <c r="AQ184">
        <f t="shared" ca="1" si="108"/>
        <v>0</v>
      </c>
    </row>
    <row r="185" spans="1:43" x14ac:dyDescent="0.25">
      <c r="A185">
        <f>1</f>
        <v>1</v>
      </c>
      <c r="B185" s="85">
        <f t="shared" si="106"/>
        <v>43973</v>
      </c>
      <c r="C185" s="85">
        <f t="shared" si="102"/>
        <v>43969</v>
      </c>
      <c r="D185">
        <f t="shared" ca="1" si="103"/>
        <v>1</v>
      </c>
      <c r="E185" s="85">
        <f t="shared" si="104"/>
        <v>43952</v>
      </c>
      <c r="F185">
        <f t="shared" si="105"/>
        <v>21</v>
      </c>
      <c r="M185">
        <v>0</v>
      </c>
      <c r="N185">
        <v>2</v>
      </c>
      <c r="O185" s="6">
        <f t="array" aca="1" ref="O185" ca="1">SUM(OFFSET($CO$43,0,($M185*3)+$N185,53,1)*O$43:O$95)</f>
        <v>0</v>
      </c>
      <c r="P185" s="6">
        <f t="array" aca="1" ref="P185" ca="1">SUM(OFFSET($CO$43,0,($M185*3)+$N185,53,1)*P$43:P$95)</f>
        <v>0</v>
      </c>
      <c r="Q185" s="6">
        <f t="array" aca="1" ref="Q185" ca="1">SUM(OFFSET($CO$43,0,($M185*3)+$N185,53,1)*Q$43:Q$95)</f>
        <v>0</v>
      </c>
      <c r="R185" s="6">
        <f t="array" aca="1" ref="R185" ca="1">SUM(OFFSET($CO$43,0,($M185*3)+$N185,53,1)*R$43:R$95)</f>
        <v>0</v>
      </c>
      <c r="S185" s="6">
        <f t="array" aca="1" ref="S185" ca="1">SUM(OFFSET($CO$43,0,($M185*3)+$N185,53,1)*S$43:S$95)</f>
        <v>0</v>
      </c>
      <c r="T185" s="6">
        <f t="array" aca="1" ref="T185" ca="1">SUM(OFFSET($CO$43,0,($M185*3)+$N185,53,1)*T$43:T$95)</f>
        <v>0</v>
      </c>
      <c r="U185" s="6">
        <f t="array" aca="1" ref="U185" ca="1">SUM(OFFSET($CO$43,0,($M185*3)+$N185,53,1)*U$43:U$95)</f>
        <v>0</v>
      </c>
      <c r="V185" s="6">
        <f t="array" aca="1" ref="V185" ca="1">SUM(OFFSET($CO$43,0,($M185*3)+$N185,53,1)*V$43:V$95)</f>
        <v>0</v>
      </c>
      <c r="W185" s="6">
        <f t="array" aca="1" ref="W185" ca="1">SUM(OFFSET($CO$43,0,($M185*3)+$N185,53,1)*W$43:W$95)</f>
        <v>0</v>
      </c>
      <c r="X185" s="6">
        <f t="array" aca="1" ref="X185" ca="1">SUM(OFFSET($CO$43,0,($M185*3)+$N185,53,1)*X$43:X$95)</f>
        <v>0</v>
      </c>
      <c r="Y185" s="6">
        <f t="array" aca="1" ref="Y185" ca="1">SUM(OFFSET($CO$43,0,($M185*3)+$N185,53,1)*Y$43:Y$95)</f>
        <v>0</v>
      </c>
      <c r="Z185" s="6">
        <f t="array" aca="1" ref="Z185" ca="1">SUM(OFFSET($CO$43,0,($M185*3)+$N185,53,1)*Z$43:Z$95)</f>
        <v>0</v>
      </c>
      <c r="AA185" s="6">
        <f t="shared" ca="1" si="109"/>
        <v>0</v>
      </c>
      <c r="AB185" s="6">
        <f t="shared" ca="1" si="89"/>
        <v>0</v>
      </c>
      <c r="AC185" s="8"/>
      <c r="AD185" s="8">
        <v>12</v>
      </c>
      <c r="AE185" t="str">
        <f t="shared" si="92"/>
        <v>New</v>
      </c>
      <c r="AF185">
        <f t="shared" ref="AF185:AQ189" ca="1" si="110">SUMIFS(O$156:O$158,$L$156:$L$158, $AE185)</f>
        <v>0</v>
      </c>
      <c r="AG185">
        <f t="shared" ca="1" si="110"/>
        <v>0</v>
      </c>
      <c r="AH185">
        <f t="shared" ca="1" si="110"/>
        <v>0</v>
      </c>
      <c r="AI185">
        <f t="shared" ca="1" si="110"/>
        <v>0</v>
      </c>
      <c r="AJ185">
        <f t="shared" ca="1" si="110"/>
        <v>0</v>
      </c>
      <c r="AK185">
        <f t="shared" ca="1" si="110"/>
        <v>0</v>
      </c>
      <c r="AL185">
        <f t="shared" ca="1" si="110"/>
        <v>0</v>
      </c>
      <c r="AM185">
        <f t="shared" ca="1" si="110"/>
        <v>0</v>
      </c>
      <c r="AN185">
        <f t="shared" ca="1" si="110"/>
        <v>0</v>
      </c>
      <c r="AO185">
        <f t="shared" ca="1" si="110"/>
        <v>0</v>
      </c>
      <c r="AP185">
        <f t="shared" ca="1" si="110"/>
        <v>0</v>
      </c>
      <c r="AQ185">
        <f t="shared" ca="1" si="110"/>
        <v>0</v>
      </c>
    </row>
    <row r="186" spans="1:43" x14ac:dyDescent="0.25">
      <c r="A186">
        <f>1</f>
        <v>1</v>
      </c>
      <c r="B186" s="85">
        <f t="shared" si="106"/>
        <v>43974</v>
      </c>
      <c r="C186" s="85">
        <f t="shared" si="102"/>
        <v>43969</v>
      </c>
      <c r="D186">
        <f t="shared" ca="1" si="103"/>
        <v>0</v>
      </c>
      <c r="E186" s="85">
        <f t="shared" si="104"/>
        <v>43952</v>
      </c>
      <c r="F186">
        <f t="shared" si="105"/>
        <v>21</v>
      </c>
      <c r="M186">
        <v>0</v>
      </c>
      <c r="N186">
        <v>3</v>
      </c>
      <c r="O186" s="6">
        <f t="array" aca="1" ref="O186" ca="1">SUM(OFFSET($CO$43,0,($M186*3)+$N186,53,1)*O$43:O$95)</f>
        <v>0</v>
      </c>
      <c r="P186" s="6">
        <f t="array" aca="1" ref="P186" ca="1">SUM(OFFSET($CO$43,0,($M186*3)+$N186,53,1)*P$43:P$95)</f>
        <v>0</v>
      </c>
      <c r="Q186" s="6">
        <f t="array" aca="1" ref="Q186" ca="1">SUM(OFFSET($CO$43,0,($M186*3)+$N186,53,1)*Q$43:Q$95)</f>
        <v>0</v>
      </c>
      <c r="R186" s="6">
        <f t="array" aca="1" ref="R186" ca="1">SUM(OFFSET($CO$43,0,($M186*3)+$N186,53,1)*R$43:R$95)</f>
        <v>0</v>
      </c>
      <c r="S186" s="6">
        <f t="array" aca="1" ref="S186" ca="1">SUM(OFFSET($CO$43,0,($M186*3)+$N186,53,1)*S$43:S$95)</f>
        <v>0</v>
      </c>
      <c r="T186" s="6">
        <f t="array" aca="1" ref="T186" ca="1">SUM(OFFSET($CO$43,0,($M186*3)+$N186,53,1)*T$43:T$95)</f>
        <v>0</v>
      </c>
      <c r="U186" s="6">
        <f t="array" aca="1" ref="U186" ca="1">SUM(OFFSET($CO$43,0,($M186*3)+$N186,53,1)*U$43:U$95)</f>
        <v>0</v>
      </c>
      <c r="V186" s="6">
        <f t="array" aca="1" ref="V186" ca="1">SUM(OFFSET($CO$43,0,($M186*3)+$N186,53,1)*V$43:V$95)</f>
        <v>0</v>
      </c>
      <c r="W186" s="6">
        <f t="array" aca="1" ref="W186" ca="1">SUM(OFFSET($CO$43,0,($M186*3)+$N186,53,1)*W$43:W$95)</f>
        <v>0</v>
      </c>
      <c r="X186" s="6">
        <f t="array" aca="1" ref="X186" ca="1">SUM(OFFSET($CO$43,0,($M186*3)+$N186,53,1)*X$43:X$95)</f>
        <v>0</v>
      </c>
      <c r="Y186" s="6">
        <f t="array" aca="1" ref="Y186" ca="1">SUM(OFFSET($CO$43,0,($M186*3)+$N186,53,1)*Y$43:Y$95)</f>
        <v>0</v>
      </c>
      <c r="Z186" s="6">
        <f t="array" aca="1" ref="Z186" ca="1">SUM(OFFSET($CO$43,0,($M186*3)+$N186,53,1)*Z$43:Z$95)</f>
        <v>0</v>
      </c>
      <c r="AA186" s="6">
        <f t="shared" ca="1" si="109"/>
        <v>0</v>
      </c>
      <c r="AB186" s="6">
        <f t="shared" ca="1" si="89"/>
        <v>0</v>
      </c>
      <c r="AC186" s="8"/>
      <c r="AD186" s="8" t="s">
        <v>1227</v>
      </c>
      <c r="AE186" t="str">
        <f t="shared" si="92"/>
        <v>Diagnostic (N)</v>
      </c>
      <c r="AF186">
        <f t="shared" ca="1" si="110"/>
        <v>0</v>
      </c>
      <c r="AG186">
        <f t="shared" ca="1" si="110"/>
        <v>0</v>
      </c>
      <c r="AH186">
        <f t="shared" ca="1" si="110"/>
        <v>0</v>
      </c>
      <c r="AI186">
        <f t="shared" ca="1" si="110"/>
        <v>0</v>
      </c>
      <c r="AJ186">
        <f t="shared" ca="1" si="110"/>
        <v>0</v>
      </c>
      <c r="AK186">
        <f t="shared" ca="1" si="110"/>
        <v>0</v>
      </c>
      <c r="AL186">
        <f t="shared" ca="1" si="110"/>
        <v>0</v>
      </c>
      <c r="AM186">
        <f t="shared" ca="1" si="110"/>
        <v>0</v>
      </c>
      <c r="AN186">
        <f t="shared" ca="1" si="110"/>
        <v>0</v>
      </c>
      <c r="AO186">
        <f t="shared" ca="1" si="110"/>
        <v>0</v>
      </c>
      <c r="AP186">
        <f t="shared" ca="1" si="110"/>
        <v>0</v>
      </c>
      <c r="AQ186">
        <f t="shared" ca="1" si="110"/>
        <v>0</v>
      </c>
    </row>
    <row r="187" spans="1:43" x14ac:dyDescent="0.25">
      <c r="A187">
        <f>1</f>
        <v>1</v>
      </c>
      <c r="B187" s="85">
        <f t="shared" si="106"/>
        <v>43975</v>
      </c>
      <c r="C187" s="85">
        <f t="shared" si="102"/>
        <v>43969</v>
      </c>
      <c r="D187">
        <f t="shared" ca="1" si="103"/>
        <v>0</v>
      </c>
      <c r="E187" s="85">
        <f t="shared" si="104"/>
        <v>43952</v>
      </c>
      <c r="F187">
        <f t="shared" si="105"/>
        <v>21</v>
      </c>
      <c r="M187">
        <v>1</v>
      </c>
      <c r="N187">
        <v>1</v>
      </c>
      <c r="O187" s="6">
        <f t="array" aca="1" ref="O187" ca="1">SUM(OFFSET($CO$43,0,($M187*3)+$N187,53,1)*O$43:O$95)</f>
        <v>0</v>
      </c>
      <c r="P187" s="6">
        <f t="array" aca="1" ref="P187" ca="1">SUM(OFFSET($CO$43,0,($M187*3)+$N187,53,1)*P$43:P$95)</f>
        <v>0</v>
      </c>
      <c r="Q187" s="6">
        <f t="array" aca="1" ref="Q187" ca="1">SUM(OFFSET($CO$43,0,($M187*3)+$N187,53,1)*Q$43:Q$95)</f>
        <v>0</v>
      </c>
      <c r="R187" s="6">
        <f t="array" aca="1" ref="R187" ca="1">SUM(OFFSET($CO$43,0,($M187*3)+$N187,53,1)*R$43:R$95)</f>
        <v>0</v>
      </c>
      <c r="S187" s="6">
        <f t="array" aca="1" ref="S187" ca="1">SUM(OFFSET($CO$43,0,($M187*3)+$N187,53,1)*S$43:S$95)</f>
        <v>0</v>
      </c>
      <c r="T187" s="6">
        <f t="array" aca="1" ref="T187" ca="1">SUM(OFFSET($CO$43,0,($M187*3)+$N187,53,1)*T$43:T$95)</f>
        <v>0</v>
      </c>
      <c r="U187" s="6">
        <f t="array" aca="1" ref="U187" ca="1">SUM(OFFSET($CO$43,0,($M187*3)+$N187,53,1)*U$43:U$95)</f>
        <v>0</v>
      </c>
      <c r="V187" s="6">
        <f t="array" aca="1" ref="V187" ca="1">SUM(OFFSET($CO$43,0,($M187*3)+$N187,53,1)*V$43:V$95)</f>
        <v>0</v>
      </c>
      <c r="W187" s="6">
        <f t="array" aca="1" ref="W187" ca="1">SUM(OFFSET($CO$43,0,($M187*3)+$N187,53,1)*W$43:W$95)</f>
        <v>0</v>
      </c>
      <c r="X187" s="6">
        <f t="array" aca="1" ref="X187" ca="1">SUM(OFFSET($CO$43,0,($M187*3)+$N187,53,1)*X$43:X$95)</f>
        <v>0</v>
      </c>
      <c r="Y187" s="6">
        <f t="array" aca="1" ref="Y187" ca="1">SUM(OFFSET($CO$43,0,($M187*3)+$N187,53,1)*Y$43:Y$95)</f>
        <v>0</v>
      </c>
      <c r="Z187" s="6">
        <f t="array" aca="1" ref="Z187" ca="1">SUM(OFFSET($CO$43,0,($M187*3)+$N187,53,1)*Z$43:Z$95)</f>
        <v>0</v>
      </c>
      <c r="AA187" s="6">
        <f t="shared" ca="1" si="109"/>
        <v>0</v>
      </c>
      <c r="AB187" s="6">
        <f t="shared" ca="1" si="89"/>
        <v>0</v>
      </c>
      <c r="AC187" s="8"/>
      <c r="AD187" s="8" t="s">
        <v>1227</v>
      </c>
      <c r="AE187" t="str">
        <f t="shared" si="92"/>
        <v>Follow Up</v>
      </c>
      <c r="AF187">
        <f t="shared" ca="1" si="110"/>
        <v>0</v>
      </c>
      <c r="AG187">
        <f t="shared" ca="1" si="110"/>
        <v>0</v>
      </c>
      <c r="AH187">
        <f t="shared" ca="1" si="110"/>
        <v>0</v>
      </c>
      <c r="AI187">
        <f t="shared" ca="1" si="110"/>
        <v>0</v>
      </c>
      <c r="AJ187">
        <f t="shared" ca="1" si="110"/>
        <v>0</v>
      </c>
      <c r="AK187">
        <f t="shared" ca="1" si="110"/>
        <v>0</v>
      </c>
      <c r="AL187">
        <f t="shared" ca="1" si="110"/>
        <v>0</v>
      </c>
      <c r="AM187">
        <f t="shared" ca="1" si="110"/>
        <v>0</v>
      </c>
      <c r="AN187">
        <f t="shared" ca="1" si="110"/>
        <v>0</v>
      </c>
      <c r="AO187">
        <f t="shared" ca="1" si="110"/>
        <v>0</v>
      </c>
      <c r="AP187">
        <f t="shared" ca="1" si="110"/>
        <v>0</v>
      </c>
      <c r="AQ187">
        <f t="shared" ca="1" si="110"/>
        <v>0</v>
      </c>
    </row>
    <row r="188" spans="1:43" x14ac:dyDescent="0.25">
      <c r="A188">
        <f>1</f>
        <v>1</v>
      </c>
      <c r="B188" s="85">
        <f t="shared" si="106"/>
        <v>43976</v>
      </c>
      <c r="C188" s="85">
        <f t="shared" si="102"/>
        <v>43976</v>
      </c>
      <c r="D188">
        <f t="shared" ca="1" si="103"/>
        <v>0</v>
      </c>
      <c r="E188" s="85">
        <f t="shared" si="104"/>
        <v>43952</v>
      </c>
      <c r="F188">
        <f t="shared" si="105"/>
        <v>22</v>
      </c>
      <c r="M188">
        <v>1</v>
      </c>
      <c r="N188">
        <v>2</v>
      </c>
      <c r="O188" s="6">
        <f t="array" aca="1" ref="O188" ca="1">SUM(OFFSET($CO$43,0,($M188*3)+$N188,53,1)*O$43:O$95)</f>
        <v>0</v>
      </c>
      <c r="P188" s="6">
        <f t="array" aca="1" ref="P188" ca="1">SUM(OFFSET($CO$43,0,($M188*3)+$N188,53,1)*P$43:P$95)</f>
        <v>0</v>
      </c>
      <c r="Q188" s="6">
        <f t="array" aca="1" ref="Q188" ca="1">SUM(OFFSET($CO$43,0,($M188*3)+$N188,53,1)*Q$43:Q$95)</f>
        <v>0</v>
      </c>
      <c r="R188" s="6">
        <f t="array" aca="1" ref="R188" ca="1">SUM(OFFSET($CO$43,0,($M188*3)+$N188,53,1)*R$43:R$95)</f>
        <v>0</v>
      </c>
      <c r="S188" s="6">
        <f t="array" aca="1" ref="S188" ca="1">SUM(OFFSET($CO$43,0,($M188*3)+$N188,53,1)*S$43:S$95)</f>
        <v>0</v>
      </c>
      <c r="T188" s="6">
        <f t="array" aca="1" ref="T188" ca="1">SUM(OFFSET($CO$43,0,($M188*3)+$N188,53,1)*T$43:T$95)</f>
        <v>0</v>
      </c>
      <c r="U188" s="6">
        <f t="array" aca="1" ref="U188" ca="1">SUM(OFFSET($CO$43,0,($M188*3)+$N188,53,1)*U$43:U$95)</f>
        <v>0</v>
      </c>
      <c r="V188" s="6">
        <f t="array" aca="1" ref="V188" ca="1">SUM(OFFSET($CO$43,0,($M188*3)+$N188,53,1)*V$43:V$95)</f>
        <v>0</v>
      </c>
      <c r="W188" s="6">
        <f t="array" aca="1" ref="W188" ca="1">SUM(OFFSET($CO$43,0,($M188*3)+$N188,53,1)*W$43:W$95)</f>
        <v>0</v>
      </c>
      <c r="X188" s="6">
        <f t="array" aca="1" ref="X188" ca="1">SUM(OFFSET($CO$43,0,($M188*3)+$N188,53,1)*X$43:X$95)</f>
        <v>0</v>
      </c>
      <c r="Y188" s="6">
        <f t="array" aca="1" ref="Y188" ca="1">SUM(OFFSET($CO$43,0,($M188*3)+$N188,53,1)*Y$43:Y$95)</f>
        <v>0</v>
      </c>
      <c r="Z188" s="6">
        <f t="array" aca="1" ref="Z188" ca="1">SUM(OFFSET($CO$43,0,($M188*3)+$N188,53,1)*Z$43:Z$95)</f>
        <v>0</v>
      </c>
      <c r="AA188" s="6">
        <f t="shared" ca="1" si="109"/>
        <v>0</v>
      </c>
      <c r="AB188" s="6">
        <f t="shared" ref="AB188:AB251" ca="1" si="111">AVERAGE(O188:Z188)</f>
        <v>0</v>
      </c>
      <c r="AC188" s="8"/>
      <c r="AD188" s="8" t="s">
        <v>1227</v>
      </c>
      <c r="AE188" t="str">
        <f t="shared" si="92"/>
        <v>Diagnostic (FU)</v>
      </c>
      <c r="AF188">
        <f t="shared" ca="1" si="110"/>
        <v>0</v>
      </c>
      <c r="AG188">
        <f t="shared" ca="1" si="110"/>
        <v>0</v>
      </c>
      <c r="AH188">
        <f t="shared" ca="1" si="110"/>
        <v>0</v>
      </c>
      <c r="AI188">
        <f t="shared" ca="1" si="110"/>
        <v>0</v>
      </c>
      <c r="AJ188">
        <f t="shared" ca="1" si="110"/>
        <v>0</v>
      </c>
      <c r="AK188">
        <f t="shared" ca="1" si="110"/>
        <v>0</v>
      </c>
      <c r="AL188">
        <f t="shared" ca="1" si="110"/>
        <v>0</v>
      </c>
      <c r="AM188">
        <f t="shared" ca="1" si="110"/>
        <v>0</v>
      </c>
      <c r="AN188">
        <f t="shared" ca="1" si="110"/>
        <v>0</v>
      </c>
      <c r="AO188">
        <f t="shared" ca="1" si="110"/>
        <v>0</v>
      </c>
      <c r="AP188">
        <f t="shared" ca="1" si="110"/>
        <v>0</v>
      </c>
      <c r="AQ188">
        <f t="shared" ca="1" si="110"/>
        <v>0</v>
      </c>
    </row>
    <row r="189" spans="1:43" x14ac:dyDescent="0.25">
      <c r="A189">
        <f>1</f>
        <v>1</v>
      </c>
      <c r="B189" s="85">
        <f t="shared" si="106"/>
        <v>43977</v>
      </c>
      <c r="C189" s="85">
        <f t="shared" si="102"/>
        <v>43976</v>
      </c>
      <c r="D189">
        <f t="shared" ca="1" si="103"/>
        <v>1</v>
      </c>
      <c r="E189" s="85">
        <f t="shared" si="104"/>
        <v>43952</v>
      </c>
      <c r="F189">
        <f t="shared" si="105"/>
        <v>22</v>
      </c>
      <c r="M189">
        <v>1</v>
      </c>
      <c r="N189">
        <v>3</v>
      </c>
      <c r="O189" s="6">
        <f t="array" aca="1" ref="O189" ca="1">SUM(OFFSET($CO$43,0,($M189*3)+$N189,53,1)*O$43:O$95)</f>
        <v>0</v>
      </c>
      <c r="P189" s="6">
        <f t="array" aca="1" ref="P189" ca="1">SUM(OFFSET($CO$43,0,($M189*3)+$N189,53,1)*P$43:P$95)</f>
        <v>0</v>
      </c>
      <c r="Q189" s="6">
        <f t="array" aca="1" ref="Q189" ca="1">SUM(OFFSET($CO$43,0,($M189*3)+$N189,53,1)*Q$43:Q$95)</f>
        <v>0</v>
      </c>
      <c r="R189" s="6">
        <f t="array" aca="1" ref="R189" ca="1">SUM(OFFSET($CO$43,0,($M189*3)+$N189,53,1)*R$43:R$95)</f>
        <v>0</v>
      </c>
      <c r="S189" s="6">
        <f t="array" aca="1" ref="S189" ca="1">SUM(OFFSET($CO$43,0,($M189*3)+$N189,53,1)*S$43:S$95)</f>
        <v>0</v>
      </c>
      <c r="T189" s="6">
        <f t="array" aca="1" ref="T189" ca="1">SUM(OFFSET($CO$43,0,($M189*3)+$N189,53,1)*T$43:T$95)</f>
        <v>0</v>
      </c>
      <c r="U189" s="6">
        <f t="array" aca="1" ref="U189" ca="1">SUM(OFFSET($CO$43,0,($M189*3)+$N189,53,1)*U$43:U$95)</f>
        <v>0</v>
      </c>
      <c r="V189" s="6">
        <f t="array" aca="1" ref="V189" ca="1">SUM(OFFSET($CO$43,0,($M189*3)+$N189,53,1)*V$43:V$95)</f>
        <v>0</v>
      </c>
      <c r="W189" s="6">
        <f t="array" aca="1" ref="W189" ca="1">SUM(OFFSET($CO$43,0,($M189*3)+$N189,53,1)*W$43:W$95)</f>
        <v>0</v>
      </c>
      <c r="X189" s="6">
        <f t="array" aca="1" ref="X189" ca="1">SUM(OFFSET($CO$43,0,($M189*3)+$N189,53,1)*X$43:X$95)</f>
        <v>0</v>
      </c>
      <c r="Y189" s="6">
        <f t="array" aca="1" ref="Y189" ca="1">SUM(OFFSET($CO$43,0,($M189*3)+$N189,53,1)*Y$43:Y$95)</f>
        <v>0</v>
      </c>
      <c r="Z189" s="6">
        <f t="array" aca="1" ref="Z189" ca="1">SUM(OFFSET($CO$43,0,($M189*3)+$N189,53,1)*Z$43:Z$95)</f>
        <v>0</v>
      </c>
      <c r="AA189" s="6">
        <f t="shared" ca="1" si="109"/>
        <v>0</v>
      </c>
      <c r="AB189" s="6">
        <f t="shared" ca="1" si="111"/>
        <v>0</v>
      </c>
      <c r="AC189" s="8"/>
      <c r="AD189" s="8" t="s">
        <v>1227</v>
      </c>
      <c r="AE189" t="str">
        <f t="shared" si="92"/>
        <v>Admission</v>
      </c>
      <c r="AF189">
        <f t="shared" ca="1" si="110"/>
        <v>0</v>
      </c>
      <c r="AG189">
        <f t="shared" ca="1" si="110"/>
        <v>0</v>
      </c>
      <c r="AH189">
        <f t="shared" ca="1" si="110"/>
        <v>0</v>
      </c>
      <c r="AI189">
        <f t="shared" ca="1" si="110"/>
        <v>0</v>
      </c>
      <c r="AJ189">
        <f t="shared" ca="1" si="110"/>
        <v>0</v>
      </c>
      <c r="AK189">
        <f t="shared" ca="1" si="110"/>
        <v>0</v>
      </c>
      <c r="AL189">
        <f t="shared" ca="1" si="110"/>
        <v>0</v>
      </c>
      <c r="AM189">
        <f t="shared" ca="1" si="110"/>
        <v>0</v>
      </c>
      <c r="AN189">
        <f t="shared" ca="1" si="110"/>
        <v>0</v>
      </c>
      <c r="AO189">
        <f t="shared" ca="1" si="110"/>
        <v>0</v>
      </c>
      <c r="AP189">
        <f t="shared" ca="1" si="110"/>
        <v>0</v>
      </c>
      <c r="AQ189">
        <f t="shared" ca="1" si="110"/>
        <v>0</v>
      </c>
    </row>
    <row r="190" spans="1:43" x14ac:dyDescent="0.25">
      <c r="A190">
        <f>1</f>
        <v>1</v>
      </c>
      <c r="B190" s="85">
        <f t="shared" si="106"/>
        <v>43978</v>
      </c>
      <c r="C190" s="85">
        <f t="shared" si="102"/>
        <v>43976</v>
      </c>
      <c r="D190">
        <f t="shared" ca="1" si="103"/>
        <v>1</v>
      </c>
      <c r="E190" s="85">
        <f t="shared" si="104"/>
        <v>43952</v>
      </c>
      <c r="F190">
        <f t="shared" si="105"/>
        <v>22</v>
      </c>
      <c r="M190">
        <v>2</v>
      </c>
      <c r="N190">
        <v>1</v>
      </c>
      <c r="O190" s="6">
        <f t="array" aca="1" ref="O190" ca="1">SUM(OFFSET($CO$43,0,($M190*3)+$N190,53,1)*O$43:O$95)</f>
        <v>0</v>
      </c>
      <c r="P190" s="6">
        <f t="array" aca="1" ref="P190" ca="1">SUM(OFFSET($CO$43,0,($M190*3)+$N190,53,1)*P$43:P$95)</f>
        <v>0</v>
      </c>
      <c r="Q190" s="6">
        <f t="array" aca="1" ref="Q190" ca="1">SUM(OFFSET($CO$43,0,($M190*3)+$N190,53,1)*Q$43:Q$95)</f>
        <v>0</v>
      </c>
      <c r="R190" s="6">
        <f t="array" aca="1" ref="R190" ca="1">SUM(OFFSET($CO$43,0,($M190*3)+$N190,53,1)*R$43:R$95)</f>
        <v>0</v>
      </c>
      <c r="S190" s="6">
        <f t="array" aca="1" ref="S190" ca="1">SUM(OFFSET($CO$43,0,($M190*3)+$N190,53,1)*S$43:S$95)</f>
        <v>0</v>
      </c>
      <c r="T190" s="6">
        <f t="array" aca="1" ref="T190" ca="1">SUM(OFFSET($CO$43,0,($M190*3)+$N190,53,1)*T$43:T$95)</f>
        <v>0</v>
      </c>
      <c r="U190" s="6">
        <f t="array" aca="1" ref="U190" ca="1">SUM(OFFSET($CO$43,0,($M190*3)+$N190,53,1)*U$43:U$95)</f>
        <v>0</v>
      </c>
      <c r="V190" s="6">
        <f t="array" aca="1" ref="V190" ca="1">SUM(OFFSET($CO$43,0,($M190*3)+$N190,53,1)*V$43:V$95)</f>
        <v>0</v>
      </c>
      <c r="W190" s="6">
        <f t="array" aca="1" ref="W190" ca="1">SUM(OFFSET($CO$43,0,($M190*3)+$N190,53,1)*W$43:W$95)</f>
        <v>0</v>
      </c>
      <c r="X190" s="6">
        <f t="array" aca="1" ref="X190" ca="1">SUM(OFFSET($CO$43,0,($M190*3)+$N190,53,1)*X$43:X$95)</f>
        <v>0</v>
      </c>
      <c r="Y190" s="6">
        <f t="array" aca="1" ref="Y190" ca="1">SUM(OFFSET($CO$43,0,($M190*3)+$N190,53,1)*Y$43:Y$95)</f>
        <v>0</v>
      </c>
      <c r="Z190" s="6">
        <f t="array" aca="1" ref="Z190" ca="1">SUM(OFFSET($CO$43,0,($M190*3)+$N190,53,1)*Z$43:Z$95)</f>
        <v>0</v>
      </c>
      <c r="AA190" s="6">
        <f t="shared" ca="1" si="109"/>
        <v>0</v>
      </c>
      <c r="AB190" s="6">
        <f t="shared" ca="1" si="111"/>
        <v>0</v>
      </c>
      <c r="AC190" s="8"/>
      <c r="AD190" s="8">
        <v>13</v>
      </c>
      <c r="AE190" t="str">
        <f t="shared" si="92"/>
        <v>New</v>
      </c>
      <c r="AF190">
        <f t="shared" ref="AF190:AQ194" ca="1" si="112">SUMIFS(O$159:O$161,$L$159:$L$161, $AE190)</f>
        <v>0</v>
      </c>
      <c r="AG190">
        <f t="shared" ca="1" si="112"/>
        <v>0</v>
      </c>
      <c r="AH190">
        <f t="shared" ca="1" si="112"/>
        <v>0</v>
      </c>
      <c r="AI190">
        <f t="shared" ca="1" si="112"/>
        <v>0</v>
      </c>
      <c r="AJ190">
        <f t="shared" ca="1" si="112"/>
        <v>0</v>
      </c>
      <c r="AK190">
        <f t="shared" ca="1" si="112"/>
        <v>0</v>
      </c>
      <c r="AL190">
        <f t="shared" ca="1" si="112"/>
        <v>0</v>
      </c>
      <c r="AM190">
        <f t="shared" ca="1" si="112"/>
        <v>0</v>
      </c>
      <c r="AN190">
        <f t="shared" ca="1" si="112"/>
        <v>0</v>
      </c>
      <c r="AO190">
        <f t="shared" ca="1" si="112"/>
        <v>0</v>
      </c>
      <c r="AP190">
        <f t="shared" ca="1" si="112"/>
        <v>0</v>
      </c>
      <c r="AQ190">
        <f t="shared" ca="1" si="112"/>
        <v>0</v>
      </c>
    </row>
    <row r="191" spans="1:43" x14ac:dyDescent="0.25">
      <c r="A191">
        <f>1</f>
        <v>1</v>
      </c>
      <c r="B191" s="85">
        <f t="shared" si="106"/>
        <v>43979</v>
      </c>
      <c r="C191" s="85">
        <f t="shared" si="102"/>
        <v>43976</v>
      </c>
      <c r="D191">
        <f t="shared" ca="1" si="103"/>
        <v>1</v>
      </c>
      <c r="E191" s="85">
        <f t="shared" si="104"/>
        <v>43952</v>
      </c>
      <c r="F191">
        <f t="shared" si="105"/>
        <v>22</v>
      </c>
      <c r="M191">
        <v>2</v>
      </c>
      <c r="N191">
        <v>2</v>
      </c>
      <c r="O191" s="6">
        <f t="array" aca="1" ref="O191" ca="1">SUM(OFFSET($CO$43,0,($M191*3)+$N191,53,1)*O$43:O$95)</f>
        <v>0</v>
      </c>
      <c r="P191" s="6">
        <f t="array" aca="1" ref="P191" ca="1">SUM(OFFSET($CO$43,0,($M191*3)+$N191,53,1)*P$43:P$95)</f>
        <v>0</v>
      </c>
      <c r="Q191" s="6">
        <f t="array" aca="1" ref="Q191" ca="1">SUM(OFFSET($CO$43,0,($M191*3)+$N191,53,1)*Q$43:Q$95)</f>
        <v>0</v>
      </c>
      <c r="R191" s="6">
        <f t="array" aca="1" ref="R191" ca="1">SUM(OFFSET($CO$43,0,($M191*3)+$N191,53,1)*R$43:R$95)</f>
        <v>0</v>
      </c>
      <c r="S191" s="6">
        <f t="array" aca="1" ref="S191" ca="1">SUM(OFFSET($CO$43,0,($M191*3)+$N191,53,1)*S$43:S$95)</f>
        <v>0</v>
      </c>
      <c r="T191" s="6">
        <f t="array" aca="1" ref="T191" ca="1">SUM(OFFSET($CO$43,0,($M191*3)+$N191,53,1)*T$43:T$95)</f>
        <v>0</v>
      </c>
      <c r="U191" s="6">
        <f t="array" aca="1" ref="U191" ca="1">SUM(OFFSET($CO$43,0,($M191*3)+$N191,53,1)*U$43:U$95)</f>
        <v>0</v>
      </c>
      <c r="V191" s="6">
        <f t="array" aca="1" ref="V191" ca="1">SUM(OFFSET($CO$43,0,($M191*3)+$N191,53,1)*V$43:V$95)</f>
        <v>0</v>
      </c>
      <c r="W191" s="6">
        <f t="array" aca="1" ref="W191" ca="1">SUM(OFFSET($CO$43,0,($M191*3)+$N191,53,1)*W$43:W$95)</f>
        <v>0</v>
      </c>
      <c r="X191" s="6">
        <f t="array" aca="1" ref="X191" ca="1">SUM(OFFSET($CO$43,0,($M191*3)+$N191,53,1)*X$43:X$95)</f>
        <v>0</v>
      </c>
      <c r="Y191" s="6">
        <f t="array" aca="1" ref="Y191" ca="1">SUM(OFFSET($CO$43,0,($M191*3)+$N191,53,1)*Y$43:Y$95)</f>
        <v>0</v>
      </c>
      <c r="Z191" s="6">
        <f t="array" aca="1" ref="Z191" ca="1">SUM(OFFSET($CO$43,0,($M191*3)+$N191,53,1)*Z$43:Z$95)</f>
        <v>0</v>
      </c>
      <c r="AA191" s="6">
        <f t="shared" ca="1" si="109"/>
        <v>0</v>
      </c>
      <c r="AB191" s="6">
        <f t="shared" ca="1" si="111"/>
        <v>0</v>
      </c>
      <c r="AC191" s="8"/>
      <c r="AD191" s="8" t="s">
        <v>1227</v>
      </c>
      <c r="AE191" t="str">
        <f t="shared" si="92"/>
        <v>Diagnostic (N)</v>
      </c>
      <c r="AF191">
        <f t="shared" ca="1" si="112"/>
        <v>0</v>
      </c>
      <c r="AG191">
        <f t="shared" ca="1" si="112"/>
        <v>0</v>
      </c>
      <c r="AH191">
        <f t="shared" ca="1" si="112"/>
        <v>0</v>
      </c>
      <c r="AI191">
        <f t="shared" ca="1" si="112"/>
        <v>0</v>
      </c>
      <c r="AJ191">
        <f t="shared" ca="1" si="112"/>
        <v>0</v>
      </c>
      <c r="AK191">
        <f t="shared" ca="1" si="112"/>
        <v>0</v>
      </c>
      <c r="AL191">
        <f t="shared" ca="1" si="112"/>
        <v>0</v>
      </c>
      <c r="AM191">
        <f t="shared" ca="1" si="112"/>
        <v>0</v>
      </c>
      <c r="AN191">
        <f t="shared" ca="1" si="112"/>
        <v>0</v>
      </c>
      <c r="AO191">
        <f t="shared" ca="1" si="112"/>
        <v>0</v>
      </c>
      <c r="AP191">
        <f t="shared" ca="1" si="112"/>
        <v>0</v>
      </c>
      <c r="AQ191">
        <f t="shared" ca="1" si="112"/>
        <v>0</v>
      </c>
    </row>
    <row r="192" spans="1:43" x14ac:dyDescent="0.25">
      <c r="A192">
        <f>1</f>
        <v>1</v>
      </c>
      <c r="B192" s="85">
        <f t="shared" si="106"/>
        <v>43980</v>
      </c>
      <c r="C192" s="85">
        <f t="shared" si="102"/>
        <v>43976</v>
      </c>
      <c r="D192">
        <f t="shared" ca="1" si="103"/>
        <v>1</v>
      </c>
      <c r="E192" s="85">
        <f t="shared" si="104"/>
        <v>43952</v>
      </c>
      <c r="F192">
        <f t="shared" si="105"/>
        <v>22</v>
      </c>
      <c r="M192">
        <v>2</v>
      </c>
      <c r="N192">
        <v>3</v>
      </c>
      <c r="O192" s="6">
        <f t="array" aca="1" ref="O192" ca="1">SUM(OFFSET($CO$43,0,($M192*3)+$N192,53,1)*O$43:O$95)</f>
        <v>0</v>
      </c>
      <c r="P192" s="6">
        <f t="array" aca="1" ref="P192" ca="1">SUM(OFFSET($CO$43,0,($M192*3)+$N192,53,1)*P$43:P$95)</f>
        <v>0</v>
      </c>
      <c r="Q192" s="6">
        <f t="array" aca="1" ref="Q192" ca="1">SUM(OFFSET($CO$43,0,($M192*3)+$N192,53,1)*Q$43:Q$95)</f>
        <v>0</v>
      </c>
      <c r="R192" s="6">
        <f t="array" aca="1" ref="R192" ca="1">SUM(OFFSET($CO$43,0,($M192*3)+$N192,53,1)*R$43:R$95)</f>
        <v>0</v>
      </c>
      <c r="S192" s="6">
        <f t="array" aca="1" ref="S192" ca="1">SUM(OFFSET($CO$43,0,($M192*3)+$N192,53,1)*S$43:S$95)</f>
        <v>0</v>
      </c>
      <c r="T192" s="6">
        <f t="array" aca="1" ref="T192" ca="1">SUM(OFFSET($CO$43,0,($M192*3)+$N192,53,1)*T$43:T$95)</f>
        <v>0</v>
      </c>
      <c r="U192" s="6">
        <f t="array" aca="1" ref="U192" ca="1">SUM(OFFSET($CO$43,0,($M192*3)+$N192,53,1)*U$43:U$95)</f>
        <v>0</v>
      </c>
      <c r="V192" s="6">
        <f t="array" aca="1" ref="V192" ca="1">SUM(OFFSET($CO$43,0,($M192*3)+$N192,53,1)*V$43:V$95)</f>
        <v>0</v>
      </c>
      <c r="W192" s="6">
        <f t="array" aca="1" ref="W192" ca="1">SUM(OFFSET($CO$43,0,($M192*3)+$N192,53,1)*W$43:W$95)</f>
        <v>0</v>
      </c>
      <c r="X192" s="6">
        <f t="array" aca="1" ref="X192" ca="1">SUM(OFFSET($CO$43,0,($M192*3)+$N192,53,1)*X$43:X$95)</f>
        <v>0</v>
      </c>
      <c r="Y192" s="6">
        <f t="array" aca="1" ref="Y192" ca="1">SUM(OFFSET($CO$43,0,($M192*3)+$N192,53,1)*Y$43:Y$95)</f>
        <v>0</v>
      </c>
      <c r="Z192" s="6">
        <f t="array" aca="1" ref="Z192" ca="1">SUM(OFFSET($CO$43,0,($M192*3)+$N192,53,1)*Z$43:Z$95)</f>
        <v>0</v>
      </c>
      <c r="AA192" s="6">
        <f t="shared" ca="1" si="109"/>
        <v>0</v>
      </c>
      <c r="AB192" s="6">
        <f t="shared" ca="1" si="111"/>
        <v>0</v>
      </c>
      <c r="AC192" s="8"/>
      <c r="AD192" s="8" t="s">
        <v>1227</v>
      </c>
      <c r="AE192" t="str">
        <f t="shared" si="92"/>
        <v>Follow Up</v>
      </c>
      <c r="AF192">
        <f t="shared" ca="1" si="112"/>
        <v>0</v>
      </c>
      <c r="AG192">
        <f t="shared" ca="1" si="112"/>
        <v>0</v>
      </c>
      <c r="AH192">
        <f t="shared" ca="1" si="112"/>
        <v>0</v>
      </c>
      <c r="AI192">
        <f t="shared" ca="1" si="112"/>
        <v>0</v>
      </c>
      <c r="AJ192">
        <f t="shared" ca="1" si="112"/>
        <v>0</v>
      </c>
      <c r="AK192">
        <f t="shared" ca="1" si="112"/>
        <v>0</v>
      </c>
      <c r="AL192">
        <f t="shared" ca="1" si="112"/>
        <v>0</v>
      </c>
      <c r="AM192">
        <f t="shared" ca="1" si="112"/>
        <v>0</v>
      </c>
      <c r="AN192">
        <f t="shared" ca="1" si="112"/>
        <v>0</v>
      </c>
      <c r="AO192">
        <f t="shared" ca="1" si="112"/>
        <v>0</v>
      </c>
      <c r="AP192">
        <f t="shared" ca="1" si="112"/>
        <v>0</v>
      </c>
      <c r="AQ192">
        <f t="shared" ca="1" si="112"/>
        <v>0</v>
      </c>
    </row>
    <row r="193" spans="1:43" x14ac:dyDescent="0.25">
      <c r="A193">
        <f>1</f>
        <v>1</v>
      </c>
      <c r="B193" s="85">
        <f t="shared" si="106"/>
        <v>43981</v>
      </c>
      <c r="C193" s="85">
        <f t="shared" si="102"/>
        <v>43976</v>
      </c>
      <c r="D193">
        <f t="shared" ca="1" si="103"/>
        <v>0</v>
      </c>
      <c r="E193" s="85">
        <f t="shared" si="104"/>
        <v>43952</v>
      </c>
      <c r="F193">
        <f t="shared" si="105"/>
        <v>22</v>
      </c>
      <c r="M193">
        <v>3</v>
      </c>
      <c r="N193">
        <v>1</v>
      </c>
      <c r="O193" s="6">
        <f t="array" aca="1" ref="O193" ca="1">SUM(OFFSET($CO$43,0,($M193*3)+$N193,53,1)*O$43:O$95)</f>
        <v>0</v>
      </c>
      <c r="P193" s="6">
        <f t="array" aca="1" ref="P193" ca="1">SUM(OFFSET($CO$43,0,($M193*3)+$N193,53,1)*P$43:P$95)</f>
        <v>0</v>
      </c>
      <c r="Q193" s="6">
        <f t="array" aca="1" ref="Q193" ca="1">SUM(OFFSET($CO$43,0,($M193*3)+$N193,53,1)*Q$43:Q$95)</f>
        <v>0</v>
      </c>
      <c r="R193" s="6">
        <f t="array" aca="1" ref="R193" ca="1">SUM(OFFSET($CO$43,0,($M193*3)+$N193,53,1)*R$43:R$95)</f>
        <v>0</v>
      </c>
      <c r="S193" s="6">
        <f t="array" aca="1" ref="S193" ca="1">SUM(OFFSET($CO$43,0,($M193*3)+$N193,53,1)*S$43:S$95)</f>
        <v>0</v>
      </c>
      <c r="T193" s="6">
        <f t="array" aca="1" ref="T193" ca="1">SUM(OFFSET($CO$43,0,($M193*3)+$N193,53,1)*T$43:T$95)</f>
        <v>0</v>
      </c>
      <c r="U193" s="6">
        <f t="array" aca="1" ref="U193" ca="1">SUM(OFFSET($CO$43,0,($M193*3)+$N193,53,1)*U$43:U$95)</f>
        <v>0</v>
      </c>
      <c r="V193" s="6">
        <f t="array" aca="1" ref="V193" ca="1">SUM(OFFSET($CO$43,0,($M193*3)+$N193,53,1)*V$43:V$95)</f>
        <v>0</v>
      </c>
      <c r="W193" s="6">
        <f t="array" aca="1" ref="W193" ca="1">SUM(OFFSET($CO$43,0,($M193*3)+$N193,53,1)*W$43:W$95)</f>
        <v>0</v>
      </c>
      <c r="X193" s="6">
        <f t="array" aca="1" ref="X193" ca="1">SUM(OFFSET($CO$43,0,($M193*3)+$N193,53,1)*X$43:X$95)</f>
        <v>0</v>
      </c>
      <c r="Y193" s="6">
        <f t="array" aca="1" ref="Y193" ca="1">SUM(OFFSET($CO$43,0,($M193*3)+$N193,53,1)*Y$43:Y$95)</f>
        <v>0</v>
      </c>
      <c r="Z193" s="6">
        <f t="array" aca="1" ref="Z193" ca="1">SUM(OFFSET($CO$43,0,($M193*3)+$N193,53,1)*Z$43:Z$95)</f>
        <v>0</v>
      </c>
      <c r="AA193" s="6">
        <f t="shared" ca="1" si="109"/>
        <v>0</v>
      </c>
      <c r="AB193" s="6">
        <f t="shared" ca="1" si="111"/>
        <v>0</v>
      </c>
      <c r="AC193" s="8"/>
      <c r="AD193" s="8" t="s">
        <v>1227</v>
      </c>
      <c r="AE193" t="str">
        <f t="shared" si="92"/>
        <v>Diagnostic (FU)</v>
      </c>
      <c r="AF193">
        <f t="shared" ca="1" si="112"/>
        <v>0</v>
      </c>
      <c r="AG193">
        <f t="shared" ca="1" si="112"/>
        <v>0</v>
      </c>
      <c r="AH193">
        <f t="shared" ca="1" si="112"/>
        <v>0</v>
      </c>
      <c r="AI193">
        <f t="shared" ca="1" si="112"/>
        <v>0</v>
      </c>
      <c r="AJ193">
        <f t="shared" ca="1" si="112"/>
        <v>0</v>
      </c>
      <c r="AK193">
        <f t="shared" ca="1" si="112"/>
        <v>0</v>
      </c>
      <c r="AL193">
        <f t="shared" ca="1" si="112"/>
        <v>0</v>
      </c>
      <c r="AM193">
        <f t="shared" ca="1" si="112"/>
        <v>0</v>
      </c>
      <c r="AN193">
        <f t="shared" ca="1" si="112"/>
        <v>0</v>
      </c>
      <c r="AO193">
        <f t="shared" ca="1" si="112"/>
        <v>0</v>
      </c>
      <c r="AP193">
        <f t="shared" ca="1" si="112"/>
        <v>0</v>
      </c>
      <c r="AQ193">
        <f t="shared" ca="1" si="112"/>
        <v>0</v>
      </c>
    </row>
    <row r="194" spans="1:43" x14ac:dyDescent="0.25">
      <c r="A194">
        <f>1</f>
        <v>1</v>
      </c>
      <c r="B194" s="85">
        <f t="shared" si="106"/>
        <v>43982</v>
      </c>
      <c r="C194" s="85">
        <f t="shared" si="102"/>
        <v>43976</v>
      </c>
      <c r="D194">
        <f t="shared" ca="1" si="103"/>
        <v>0</v>
      </c>
      <c r="E194" s="85">
        <f t="shared" si="104"/>
        <v>43952</v>
      </c>
      <c r="F194">
        <f t="shared" si="105"/>
        <v>22</v>
      </c>
      <c r="M194">
        <v>3</v>
      </c>
      <c r="N194">
        <v>2</v>
      </c>
      <c r="O194" s="6">
        <f t="array" aca="1" ref="O194" ca="1">SUM(OFFSET($CO$43,0,($M194*3)+$N194,53,1)*O$43:O$95)</f>
        <v>0</v>
      </c>
      <c r="P194" s="6">
        <f t="array" aca="1" ref="P194" ca="1">SUM(OFFSET($CO$43,0,($M194*3)+$N194,53,1)*P$43:P$95)</f>
        <v>0</v>
      </c>
      <c r="Q194" s="6">
        <f t="array" aca="1" ref="Q194" ca="1">SUM(OFFSET($CO$43,0,($M194*3)+$N194,53,1)*Q$43:Q$95)</f>
        <v>0</v>
      </c>
      <c r="R194" s="6">
        <f t="array" aca="1" ref="R194" ca="1">SUM(OFFSET($CO$43,0,($M194*3)+$N194,53,1)*R$43:R$95)</f>
        <v>0</v>
      </c>
      <c r="S194" s="6">
        <f t="array" aca="1" ref="S194" ca="1">SUM(OFFSET($CO$43,0,($M194*3)+$N194,53,1)*S$43:S$95)</f>
        <v>0</v>
      </c>
      <c r="T194" s="6">
        <f t="array" aca="1" ref="T194" ca="1">SUM(OFFSET($CO$43,0,($M194*3)+$N194,53,1)*T$43:T$95)</f>
        <v>0</v>
      </c>
      <c r="U194" s="6">
        <f t="array" aca="1" ref="U194" ca="1">SUM(OFFSET($CO$43,0,($M194*3)+$N194,53,1)*U$43:U$95)</f>
        <v>0</v>
      </c>
      <c r="V194" s="6">
        <f t="array" aca="1" ref="V194" ca="1">SUM(OFFSET($CO$43,0,($M194*3)+$N194,53,1)*V$43:V$95)</f>
        <v>0</v>
      </c>
      <c r="W194" s="6">
        <f t="array" aca="1" ref="W194" ca="1">SUM(OFFSET($CO$43,0,($M194*3)+$N194,53,1)*W$43:W$95)</f>
        <v>0</v>
      </c>
      <c r="X194" s="6">
        <f t="array" aca="1" ref="X194" ca="1">SUM(OFFSET($CO$43,0,($M194*3)+$N194,53,1)*X$43:X$95)</f>
        <v>0</v>
      </c>
      <c r="Y194" s="6">
        <f t="array" aca="1" ref="Y194" ca="1">SUM(OFFSET($CO$43,0,($M194*3)+$N194,53,1)*Y$43:Y$95)</f>
        <v>0</v>
      </c>
      <c r="Z194" s="6">
        <f t="array" aca="1" ref="Z194" ca="1">SUM(OFFSET($CO$43,0,($M194*3)+$N194,53,1)*Z$43:Z$95)</f>
        <v>0</v>
      </c>
      <c r="AA194" s="6">
        <f t="shared" ca="1" si="109"/>
        <v>0</v>
      </c>
      <c r="AB194" s="6">
        <f t="shared" ca="1" si="111"/>
        <v>0</v>
      </c>
      <c r="AC194" s="8"/>
      <c r="AD194" s="8" t="s">
        <v>1227</v>
      </c>
      <c r="AE194" t="str">
        <f t="shared" si="92"/>
        <v>Admission</v>
      </c>
      <c r="AF194">
        <f t="shared" ca="1" si="112"/>
        <v>0</v>
      </c>
      <c r="AG194">
        <f t="shared" ca="1" si="112"/>
        <v>0</v>
      </c>
      <c r="AH194">
        <f t="shared" ca="1" si="112"/>
        <v>0</v>
      </c>
      <c r="AI194">
        <f t="shared" ca="1" si="112"/>
        <v>0</v>
      </c>
      <c r="AJ194">
        <f t="shared" ca="1" si="112"/>
        <v>0</v>
      </c>
      <c r="AK194">
        <f t="shared" ca="1" si="112"/>
        <v>0</v>
      </c>
      <c r="AL194">
        <f t="shared" ca="1" si="112"/>
        <v>0</v>
      </c>
      <c r="AM194">
        <f t="shared" ca="1" si="112"/>
        <v>0</v>
      </c>
      <c r="AN194">
        <f t="shared" ca="1" si="112"/>
        <v>0</v>
      </c>
      <c r="AO194">
        <f t="shared" ca="1" si="112"/>
        <v>0</v>
      </c>
      <c r="AP194">
        <f t="shared" ca="1" si="112"/>
        <v>0</v>
      </c>
      <c r="AQ194">
        <f t="shared" ca="1" si="112"/>
        <v>0</v>
      </c>
    </row>
    <row r="195" spans="1:43" x14ac:dyDescent="0.25">
      <c r="A195">
        <f>1</f>
        <v>1</v>
      </c>
      <c r="B195" s="85">
        <f t="shared" si="106"/>
        <v>43983</v>
      </c>
      <c r="C195" s="85">
        <f t="shared" si="102"/>
        <v>43983</v>
      </c>
      <c r="D195">
        <f t="shared" ca="1" si="103"/>
        <v>1</v>
      </c>
      <c r="E195" s="85">
        <f t="shared" si="104"/>
        <v>43983</v>
      </c>
      <c r="F195">
        <f t="shared" si="105"/>
        <v>23</v>
      </c>
      <c r="M195">
        <v>3</v>
      </c>
      <c r="N195">
        <v>3</v>
      </c>
      <c r="O195" s="6">
        <f t="array" aca="1" ref="O195" ca="1">SUM(OFFSET($CO$43,0,($M195*3)+$N195,53,1)*O$43:O$95)</f>
        <v>0</v>
      </c>
      <c r="P195" s="6">
        <f t="array" aca="1" ref="P195" ca="1">SUM(OFFSET($CO$43,0,($M195*3)+$N195,53,1)*P$43:P$95)</f>
        <v>0</v>
      </c>
      <c r="Q195" s="6">
        <f t="array" aca="1" ref="Q195" ca="1">SUM(OFFSET($CO$43,0,($M195*3)+$N195,53,1)*Q$43:Q$95)</f>
        <v>0</v>
      </c>
      <c r="R195" s="6">
        <f t="array" aca="1" ref="R195" ca="1">SUM(OFFSET($CO$43,0,($M195*3)+$N195,53,1)*R$43:R$95)</f>
        <v>0</v>
      </c>
      <c r="S195" s="6">
        <f t="array" aca="1" ref="S195" ca="1">SUM(OFFSET($CO$43,0,($M195*3)+$N195,53,1)*S$43:S$95)</f>
        <v>0</v>
      </c>
      <c r="T195" s="6">
        <f t="array" aca="1" ref="T195" ca="1">SUM(OFFSET($CO$43,0,($M195*3)+$N195,53,1)*T$43:T$95)</f>
        <v>0</v>
      </c>
      <c r="U195" s="6">
        <f t="array" aca="1" ref="U195" ca="1">SUM(OFFSET($CO$43,0,($M195*3)+$N195,53,1)*U$43:U$95)</f>
        <v>0</v>
      </c>
      <c r="V195" s="6">
        <f t="array" aca="1" ref="V195" ca="1">SUM(OFFSET($CO$43,0,($M195*3)+$N195,53,1)*V$43:V$95)</f>
        <v>0</v>
      </c>
      <c r="W195" s="6">
        <f t="array" aca="1" ref="W195" ca="1">SUM(OFFSET($CO$43,0,($M195*3)+$N195,53,1)*W$43:W$95)</f>
        <v>0</v>
      </c>
      <c r="X195" s="6">
        <f t="array" aca="1" ref="X195" ca="1">SUM(OFFSET($CO$43,0,($M195*3)+$N195,53,1)*X$43:X$95)</f>
        <v>0</v>
      </c>
      <c r="Y195" s="6">
        <f t="array" aca="1" ref="Y195" ca="1">SUM(OFFSET($CO$43,0,($M195*3)+$N195,53,1)*Y$43:Y$95)</f>
        <v>0</v>
      </c>
      <c r="Z195" s="6">
        <f t="array" aca="1" ref="Z195" ca="1">SUM(OFFSET($CO$43,0,($M195*3)+$N195,53,1)*Z$43:Z$95)</f>
        <v>0</v>
      </c>
      <c r="AA195" s="6">
        <f t="shared" ca="1" si="109"/>
        <v>0</v>
      </c>
      <c r="AB195" s="6">
        <f t="shared" ca="1" si="111"/>
        <v>0</v>
      </c>
      <c r="AC195" s="8"/>
      <c r="AD195" s="8">
        <v>14</v>
      </c>
      <c r="AE195" t="str">
        <f t="shared" ref="AE195:AE229" si="113">AE190</f>
        <v>New</v>
      </c>
      <c r="AF195">
        <f t="shared" ref="AF195:AQ199" ca="1" si="114">SUMIFS(O$162:O$164,$L$162:$L$164, $AE195)</f>
        <v>0</v>
      </c>
      <c r="AG195">
        <f t="shared" ca="1" si="114"/>
        <v>0</v>
      </c>
      <c r="AH195">
        <f t="shared" ca="1" si="114"/>
        <v>0</v>
      </c>
      <c r="AI195">
        <f t="shared" ca="1" si="114"/>
        <v>0</v>
      </c>
      <c r="AJ195">
        <f t="shared" ca="1" si="114"/>
        <v>0</v>
      </c>
      <c r="AK195">
        <f t="shared" ca="1" si="114"/>
        <v>0</v>
      </c>
      <c r="AL195">
        <f t="shared" ca="1" si="114"/>
        <v>0</v>
      </c>
      <c r="AM195">
        <f t="shared" ca="1" si="114"/>
        <v>0</v>
      </c>
      <c r="AN195">
        <f t="shared" ca="1" si="114"/>
        <v>0</v>
      </c>
      <c r="AO195">
        <f t="shared" ca="1" si="114"/>
        <v>0</v>
      </c>
      <c r="AP195">
        <f t="shared" ca="1" si="114"/>
        <v>0</v>
      </c>
      <c r="AQ195">
        <f t="shared" ca="1" si="114"/>
        <v>0</v>
      </c>
    </row>
    <row r="196" spans="1:43" x14ac:dyDescent="0.25">
      <c r="A196">
        <f>1</f>
        <v>1</v>
      </c>
      <c r="B196" s="85">
        <f t="shared" si="106"/>
        <v>43984</v>
      </c>
      <c r="C196" s="85">
        <f t="shared" si="102"/>
        <v>43983</v>
      </c>
      <c r="D196">
        <f t="shared" ca="1" si="103"/>
        <v>1</v>
      </c>
      <c r="E196" s="85">
        <f t="shared" si="104"/>
        <v>43983</v>
      </c>
      <c r="F196">
        <f t="shared" si="105"/>
        <v>23</v>
      </c>
      <c r="M196">
        <v>4</v>
      </c>
      <c r="N196">
        <v>1</v>
      </c>
      <c r="O196" s="6">
        <f t="array" aca="1" ref="O196" ca="1">SUM(OFFSET($CO$43,0,($M196*3)+$N196,53,1)*O$43:O$95)</f>
        <v>0</v>
      </c>
      <c r="P196" s="6">
        <f t="array" aca="1" ref="P196" ca="1">SUM(OFFSET($CO$43,0,($M196*3)+$N196,53,1)*P$43:P$95)</f>
        <v>0</v>
      </c>
      <c r="Q196" s="6">
        <f t="array" aca="1" ref="Q196" ca="1">SUM(OFFSET($CO$43,0,($M196*3)+$N196,53,1)*Q$43:Q$95)</f>
        <v>0</v>
      </c>
      <c r="R196" s="6">
        <f t="array" aca="1" ref="R196" ca="1">SUM(OFFSET($CO$43,0,($M196*3)+$N196,53,1)*R$43:R$95)</f>
        <v>0</v>
      </c>
      <c r="S196" s="6">
        <f t="array" aca="1" ref="S196" ca="1">SUM(OFFSET($CO$43,0,($M196*3)+$N196,53,1)*S$43:S$95)</f>
        <v>0</v>
      </c>
      <c r="T196" s="6">
        <f t="array" aca="1" ref="T196" ca="1">SUM(OFFSET($CO$43,0,($M196*3)+$N196,53,1)*T$43:T$95)</f>
        <v>0</v>
      </c>
      <c r="U196" s="6">
        <f t="array" aca="1" ref="U196" ca="1">SUM(OFFSET($CO$43,0,($M196*3)+$N196,53,1)*U$43:U$95)</f>
        <v>0</v>
      </c>
      <c r="V196" s="6">
        <f t="array" aca="1" ref="V196" ca="1">SUM(OFFSET($CO$43,0,($M196*3)+$N196,53,1)*V$43:V$95)</f>
        <v>0</v>
      </c>
      <c r="W196" s="6">
        <f t="array" aca="1" ref="W196" ca="1">SUM(OFFSET($CO$43,0,($M196*3)+$N196,53,1)*W$43:W$95)</f>
        <v>0</v>
      </c>
      <c r="X196" s="6">
        <f t="array" aca="1" ref="X196" ca="1">SUM(OFFSET($CO$43,0,($M196*3)+$N196,53,1)*X$43:X$95)</f>
        <v>0</v>
      </c>
      <c r="Y196" s="6">
        <f t="array" aca="1" ref="Y196" ca="1">SUM(OFFSET($CO$43,0,($M196*3)+$N196,53,1)*Y$43:Y$95)</f>
        <v>0</v>
      </c>
      <c r="Z196" s="6">
        <f t="array" aca="1" ref="Z196" ca="1">SUM(OFFSET($CO$43,0,($M196*3)+$N196,53,1)*Z$43:Z$95)</f>
        <v>0</v>
      </c>
      <c r="AA196" s="6">
        <f t="shared" ca="1" si="109"/>
        <v>0</v>
      </c>
      <c r="AB196" s="6">
        <f t="shared" ca="1" si="111"/>
        <v>0</v>
      </c>
      <c r="AC196" s="8"/>
      <c r="AD196" s="8" t="s">
        <v>1227</v>
      </c>
      <c r="AE196" t="str">
        <f t="shared" si="113"/>
        <v>Diagnostic (N)</v>
      </c>
      <c r="AF196">
        <f t="shared" ca="1" si="114"/>
        <v>0</v>
      </c>
      <c r="AG196">
        <f t="shared" ca="1" si="114"/>
        <v>0</v>
      </c>
      <c r="AH196">
        <f t="shared" ca="1" si="114"/>
        <v>0</v>
      </c>
      <c r="AI196">
        <f t="shared" ca="1" si="114"/>
        <v>0</v>
      </c>
      <c r="AJ196">
        <f t="shared" ca="1" si="114"/>
        <v>0</v>
      </c>
      <c r="AK196">
        <f t="shared" ca="1" si="114"/>
        <v>0</v>
      </c>
      <c r="AL196">
        <f t="shared" ca="1" si="114"/>
        <v>0</v>
      </c>
      <c r="AM196">
        <f t="shared" ca="1" si="114"/>
        <v>0</v>
      </c>
      <c r="AN196">
        <f t="shared" ca="1" si="114"/>
        <v>0</v>
      </c>
      <c r="AO196">
        <f t="shared" ca="1" si="114"/>
        <v>0</v>
      </c>
      <c r="AP196">
        <f t="shared" ca="1" si="114"/>
        <v>0</v>
      </c>
      <c r="AQ196">
        <f t="shared" ca="1" si="114"/>
        <v>0</v>
      </c>
    </row>
    <row r="197" spans="1:43" x14ac:dyDescent="0.25">
      <c r="A197">
        <f>1</f>
        <v>1</v>
      </c>
      <c r="B197" s="85">
        <f t="shared" si="106"/>
        <v>43985</v>
      </c>
      <c r="C197" s="85">
        <f t="shared" si="102"/>
        <v>43983</v>
      </c>
      <c r="D197">
        <f t="shared" ca="1" si="103"/>
        <v>1</v>
      </c>
      <c r="E197" s="85">
        <f t="shared" si="104"/>
        <v>43983</v>
      </c>
      <c r="F197">
        <f t="shared" si="105"/>
        <v>23</v>
      </c>
      <c r="M197">
        <v>4</v>
      </c>
      <c r="N197">
        <v>2</v>
      </c>
      <c r="O197" s="6">
        <f t="array" aca="1" ref="O197" ca="1">SUM(OFFSET($CO$43,0,($M197*3)+$N197,53,1)*O$43:O$95)</f>
        <v>0</v>
      </c>
      <c r="P197" s="6">
        <f t="array" aca="1" ref="P197" ca="1">SUM(OFFSET($CO$43,0,($M197*3)+$N197,53,1)*P$43:P$95)</f>
        <v>0</v>
      </c>
      <c r="Q197" s="6">
        <f t="array" aca="1" ref="Q197" ca="1">SUM(OFFSET($CO$43,0,($M197*3)+$N197,53,1)*Q$43:Q$95)</f>
        <v>0</v>
      </c>
      <c r="R197" s="6">
        <f t="array" aca="1" ref="R197" ca="1">SUM(OFFSET($CO$43,0,($M197*3)+$N197,53,1)*R$43:R$95)</f>
        <v>0</v>
      </c>
      <c r="S197" s="6">
        <f t="array" aca="1" ref="S197" ca="1">SUM(OFFSET($CO$43,0,($M197*3)+$N197,53,1)*S$43:S$95)</f>
        <v>0</v>
      </c>
      <c r="T197" s="6">
        <f t="array" aca="1" ref="T197" ca="1">SUM(OFFSET($CO$43,0,($M197*3)+$N197,53,1)*T$43:T$95)</f>
        <v>0</v>
      </c>
      <c r="U197" s="6">
        <f t="array" aca="1" ref="U197" ca="1">SUM(OFFSET($CO$43,0,($M197*3)+$N197,53,1)*U$43:U$95)</f>
        <v>0</v>
      </c>
      <c r="V197" s="6">
        <f t="array" aca="1" ref="V197" ca="1">SUM(OFFSET($CO$43,0,($M197*3)+$N197,53,1)*V$43:V$95)</f>
        <v>0</v>
      </c>
      <c r="W197" s="6">
        <f t="array" aca="1" ref="W197" ca="1">SUM(OFFSET($CO$43,0,($M197*3)+$N197,53,1)*W$43:W$95)</f>
        <v>0</v>
      </c>
      <c r="X197" s="6">
        <f t="array" aca="1" ref="X197" ca="1">SUM(OFFSET($CO$43,0,($M197*3)+$N197,53,1)*X$43:X$95)</f>
        <v>0</v>
      </c>
      <c r="Y197" s="6">
        <f t="array" aca="1" ref="Y197" ca="1">SUM(OFFSET($CO$43,0,($M197*3)+$N197,53,1)*Y$43:Y$95)</f>
        <v>0</v>
      </c>
      <c r="Z197" s="6">
        <f t="array" aca="1" ref="Z197" ca="1">SUM(OFFSET($CO$43,0,($M197*3)+$N197,53,1)*Z$43:Z$95)</f>
        <v>0</v>
      </c>
      <c r="AA197" s="6">
        <f t="shared" ca="1" si="109"/>
        <v>0</v>
      </c>
      <c r="AB197" s="6">
        <f t="shared" ca="1" si="111"/>
        <v>0</v>
      </c>
      <c r="AC197" s="8"/>
      <c r="AD197" s="8" t="s">
        <v>1227</v>
      </c>
      <c r="AE197" t="str">
        <f t="shared" si="113"/>
        <v>Follow Up</v>
      </c>
      <c r="AF197">
        <f t="shared" ca="1" si="114"/>
        <v>0</v>
      </c>
      <c r="AG197">
        <f t="shared" ca="1" si="114"/>
        <v>0</v>
      </c>
      <c r="AH197">
        <f t="shared" ca="1" si="114"/>
        <v>0</v>
      </c>
      <c r="AI197">
        <f t="shared" ca="1" si="114"/>
        <v>0</v>
      </c>
      <c r="AJ197">
        <f t="shared" ca="1" si="114"/>
        <v>0</v>
      </c>
      <c r="AK197">
        <f t="shared" ca="1" si="114"/>
        <v>0</v>
      </c>
      <c r="AL197">
        <f t="shared" ca="1" si="114"/>
        <v>0</v>
      </c>
      <c r="AM197">
        <f t="shared" ca="1" si="114"/>
        <v>0</v>
      </c>
      <c r="AN197">
        <f t="shared" ca="1" si="114"/>
        <v>0</v>
      </c>
      <c r="AO197">
        <f t="shared" ca="1" si="114"/>
        <v>0</v>
      </c>
      <c r="AP197">
        <f t="shared" ca="1" si="114"/>
        <v>0</v>
      </c>
      <c r="AQ197">
        <f t="shared" ca="1" si="114"/>
        <v>0</v>
      </c>
    </row>
    <row r="198" spans="1:43" x14ac:dyDescent="0.25">
      <c r="A198">
        <f>1</f>
        <v>1</v>
      </c>
      <c r="B198" s="85">
        <f t="shared" si="106"/>
        <v>43986</v>
      </c>
      <c r="C198" s="85">
        <f t="shared" si="102"/>
        <v>43983</v>
      </c>
      <c r="D198">
        <f t="shared" ca="1" si="103"/>
        <v>1</v>
      </c>
      <c r="E198" s="85">
        <f t="shared" si="104"/>
        <v>43983</v>
      </c>
      <c r="F198">
        <f t="shared" si="105"/>
        <v>23</v>
      </c>
      <c r="M198">
        <v>4</v>
      </c>
      <c r="N198">
        <v>3</v>
      </c>
      <c r="O198" s="6">
        <f t="array" aca="1" ref="O198" ca="1">SUM(OFFSET($CO$43,0,($M198*3)+$N198,53,1)*O$43:O$95)</f>
        <v>0</v>
      </c>
      <c r="P198" s="6">
        <f t="array" aca="1" ref="P198" ca="1">SUM(OFFSET($CO$43,0,($M198*3)+$N198,53,1)*P$43:P$95)</f>
        <v>0</v>
      </c>
      <c r="Q198" s="6">
        <f t="array" aca="1" ref="Q198" ca="1">SUM(OFFSET($CO$43,0,($M198*3)+$N198,53,1)*Q$43:Q$95)</f>
        <v>0</v>
      </c>
      <c r="R198" s="6">
        <f t="array" aca="1" ref="R198" ca="1">SUM(OFFSET($CO$43,0,($M198*3)+$N198,53,1)*R$43:R$95)</f>
        <v>0</v>
      </c>
      <c r="S198" s="6">
        <f t="array" aca="1" ref="S198" ca="1">SUM(OFFSET($CO$43,0,($M198*3)+$N198,53,1)*S$43:S$95)</f>
        <v>0</v>
      </c>
      <c r="T198" s="6">
        <f t="array" aca="1" ref="T198" ca="1">SUM(OFFSET($CO$43,0,($M198*3)+$N198,53,1)*T$43:T$95)</f>
        <v>0</v>
      </c>
      <c r="U198" s="6">
        <f t="array" aca="1" ref="U198" ca="1">SUM(OFFSET($CO$43,0,($M198*3)+$N198,53,1)*U$43:U$95)</f>
        <v>0</v>
      </c>
      <c r="V198" s="6">
        <f t="array" aca="1" ref="V198" ca="1">SUM(OFFSET($CO$43,0,($M198*3)+$N198,53,1)*V$43:V$95)</f>
        <v>0</v>
      </c>
      <c r="W198" s="6">
        <f t="array" aca="1" ref="W198" ca="1">SUM(OFFSET($CO$43,0,($M198*3)+$N198,53,1)*W$43:W$95)</f>
        <v>0</v>
      </c>
      <c r="X198" s="6">
        <f t="array" aca="1" ref="X198" ca="1">SUM(OFFSET($CO$43,0,($M198*3)+$N198,53,1)*X$43:X$95)</f>
        <v>0</v>
      </c>
      <c r="Y198" s="6">
        <f t="array" aca="1" ref="Y198" ca="1">SUM(OFFSET($CO$43,0,($M198*3)+$N198,53,1)*Y$43:Y$95)</f>
        <v>0</v>
      </c>
      <c r="Z198" s="6">
        <f t="array" aca="1" ref="Z198" ca="1">SUM(OFFSET($CO$43,0,($M198*3)+$N198,53,1)*Z$43:Z$95)</f>
        <v>0</v>
      </c>
      <c r="AA198" s="6">
        <f t="shared" ca="1" si="109"/>
        <v>0</v>
      </c>
      <c r="AB198" s="6">
        <f t="shared" ca="1" si="111"/>
        <v>0</v>
      </c>
      <c r="AC198" s="8"/>
      <c r="AD198" s="8" t="s">
        <v>1227</v>
      </c>
      <c r="AE198" t="str">
        <f t="shared" si="113"/>
        <v>Diagnostic (FU)</v>
      </c>
      <c r="AF198">
        <f t="shared" ca="1" si="114"/>
        <v>0</v>
      </c>
      <c r="AG198">
        <f t="shared" ca="1" si="114"/>
        <v>0</v>
      </c>
      <c r="AH198">
        <f t="shared" ca="1" si="114"/>
        <v>0</v>
      </c>
      <c r="AI198">
        <f t="shared" ca="1" si="114"/>
        <v>0</v>
      </c>
      <c r="AJ198">
        <f t="shared" ca="1" si="114"/>
        <v>0</v>
      </c>
      <c r="AK198">
        <f t="shared" ca="1" si="114"/>
        <v>0</v>
      </c>
      <c r="AL198">
        <f t="shared" ca="1" si="114"/>
        <v>0</v>
      </c>
      <c r="AM198">
        <f t="shared" ca="1" si="114"/>
        <v>0</v>
      </c>
      <c r="AN198">
        <f t="shared" ca="1" si="114"/>
        <v>0</v>
      </c>
      <c r="AO198">
        <f t="shared" ca="1" si="114"/>
        <v>0</v>
      </c>
      <c r="AP198">
        <f t="shared" ca="1" si="114"/>
        <v>0</v>
      </c>
      <c r="AQ198">
        <f t="shared" ca="1" si="114"/>
        <v>0</v>
      </c>
    </row>
    <row r="199" spans="1:43" x14ac:dyDescent="0.25">
      <c r="A199">
        <f>1</f>
        <v>1</v>
      </c>
      <c r="B199" s="85">
        <f t="shared" si="106"/>
        <v>43987</v>
      </c>
      <c r="C199" s="85">
        <f t="shared" si="102"/>
        <v>43983</v>
      </c>
      <c r="D199">
        <f t="shared" ca="1" si="103"/>
        <v>1</v>
      </c>
      <c r="E199" s="85">
        <f t="shared" si="104"/>
        <v>43983</v>
      </c>
      <c r="F199">
        <f t="shared" si="105"/>
        <v>23</v>
      </c>
      <c r="M199">
        <v>5</v>
      </c>
      <c r="N199">
        <v>1</v>
      </c>
      <c r="O199" s="6">
        <f t="array" aca="1" ref="O199" ca="1">SUM(OFFSET($CO$43,0,($M199*3)+$N199,53,1)*O$43:O$95)</f>
        <v>0</v>
      </c>
      <c r="P199" s="6">
        <f t="array" aca="1" ref="P199" ca="1">SUM(OFFSET($CO$43,0,($M199*3)+$N199,53,1)*P$43:P$95)</f>
        <v>0</v>
      </c>
      <c r="Q199" s="6">
        <f t="array" aca="1" ref="Q199" ca="1">SUM(OFFSET($CO$43,0,($M199*3)+$N199,53,1)*Q$43:Q$95)</f>
        <v>0</v>
      </c>
      <c r="R199" s="6">
        <f t="array" aca="1" ref="R199" ca="1">SUM(OFFSET($CO$43,0,($M199*3)+$N199,53,1)*R$43:R$95)</f>
        <v>0</v>
      </c>
      <c r="S199" s="6">
        <f t="array" aca="1" ref="S199" ca="1">SUM(OFFSET($CO$43,0,($M199*3)+$N199,53,1)*S$43:S$95)</f>
        <v>0</v>
      </c>
      <c r="T199" s="6">
        <f t="array" aca="1" ref="T199" ca="1">SUM(OFFSET($CO$43,0,($M199*3)+$N199,53,1)*T$43:T$95)</f>
        <v>0</v>
      </c>
      <c r="U199" s="6">
        <f t="array" aca="1" ref="U199" ca="1">SUM(OFFSET($CO$43,0,($M199*3)+$N199,53,1)*U$43:U$95)</f>
        <v>0</v>
      </c>
      <c r="V199" s="6">
        <f t="array" aca="1" ref="V199" ca="1">SUM(OFFSET($CO$43,0,($M199*3)+$N199,53,1)*V$43:V$95)</f>
        <v>0</v>
      </c>
      <c r="W199" s="6">
        <f t="array" aca="1" ref="W199" ca="1">SUM(OFFSET($CO$43,0,($M199*3)+$N199,53,1)*W$43:W$95)</f>
        <v>0</v>
      </c>
      <c r="X199" s="6">
        <f t="array" aca="1" ref="X199" ca="1">SUM(OFFSET($CO$43,0,($M199*3)+$N199,53,1)*X$43:X$95)</f>
        <v>0</v>
      </c>
      <c r="Y199" s="6">
        <f t="array" aca="1" ref="Y199" ca="1">SUM(OFFSET($CO$43,0,($M199*3)+$N199,53,1)*Y$43:Y$95)</f>
        <v>0</v>
      </c>
      <c r="Z199" s="6">
        <f t="array" aca="1" ref="Z199" ca="1">SUM(OFFSET($CO$43,0,($M199*3)+$N199,53,1)*Z$43:Z$95)</f>
        <v>0</v>
      </c>
      <c r="AA199" s="6">
        <f t="shared" ca="1" si="109"/>
        <v>0</v>
      </c>
      <c r="AB199" s="6">
        <f t="shared" ca="1" si="111"/>
        <v>0</v>
      </c>
      <c r="AC199" s="8"/>
      <c r="AD199" s="8" t="s">
        <v>1227</v>
      </c>
      <c r="AE199" t="str">
        <f t="shared" si="113"/>
        <v>Admission</v>
      </c>
      <c r="AF199">
        <f t="shared" ca="1" si="114"/>
        <v>0</v>
      </c>
      <c r="AG199">
        <f t="shared" ca="1" si="114"/>
        <v>0</v>
      </c>
      <c r="AH199">
        <f t="shared" ca="1" si="114"/>
        <v>0</v>
      </c>
      <c r="AI199">
        <f t="shared" ca="1" si="114"/>
        <v>0</v>
      </c>
      <c r="AJ199">
        <f t="shared" ca="1" si="114"/>
        <v>0</v>
      </c>
      <c r="AK199">
        <f t="shared" ca="1" si="114"/>
        <v>0</v>
      </c>
      <c r="AL199">
        <f t="shared" ca="1" si="114"/>
        <v>0</v>
      </c>
      <c r="AM199">
        <f t="shared" ca="1" si="114"/>
        <v>0</v>
      </c>
      <c r="AN199">
        <f t="shared" ca="1" si="114"/>
        <v>0</v>
      </c>
      <c r="AO199">
        <f t="shared" ca="1" si="114"/>
        <v>0</v>
      </c>
      <c r="AP199">
        <f t="shared" ca="1" si="114"/>
        <v>0</v>
      </c>
      <c r="AQ199">
        <f t="shared" ca="1" si="114"/>
        <v>0</v>
      </c>
    </row>
    <row r="200" spans="1:43" x14ac:dyDescent="0.25">
      <c r="A200">
        <f>1</f>
        <v>1</v>
      </c>
      <c r="B200" s="85">
        <f t="shared" si="106"/>
        <v>43988</v>
      </c>
      <c r="C200" s="85">
        <f t="shared" si="102"/>
        <v>43983</v>
      </c>
      <c r="D200">
        <f t="shared" ca="1" si="103"/>
        <v>0</v>
      </c>
      <c r="E200" s="85">
        <f t="shared" si="104"/>
        <v>43983</v>
      </c>
      <c r="F200">
        <f t="shared" si="105"/>
        <v>23</v>
      </c>
      <c r="M200">
        <v>5</v>
      </c>
      <c r="N200">
        <v>2</v>
      </c>
      <c r="O200" s="6">
        <f t="array" aca="1" ref="O200" ca="1">SUM(OFFSET($CO$43,0,($M200*3)+$N200,53,1)*O$43:O$95)</f>
        <v>0</v>
      </c>
      <c r="P200" s="6">
        <f t="array" aca="1" ref="P200" ca="1">SUM(OFFSET($CO$43,0,($M200*3)+$N200,53,1)*P$43:P$95)</f>
        <v>0</v>
      </c>
      <c r="Q200" s="6">
        <f t="array" aca="1" ref="Q200" ca="1">SUM(OFFSET($CO$43,0,($M200*3)+$N200,53,1)*Q$43:Q$95)</f>
        <v>0</v>
      </c>
      <c r="R200" s="6">
        <f t="array" aca="1" ref="R200" ca="1">SUM(OFFSET($CO$43,0,($M200*3)+$N200,53,1)*R$43:R$95)</f>
        <v>0</v>
      </c>
      <c r="S200" s="6">
        <f t="array" aca="1" ref="S200" ca="1">SUM(OFFSET($CO$43,0,($M200*3)+$N200,53,1)*S$43:S$95)</f>
        <v>0</v>
      </c>
      <c r="T200" s="6">
        <f t="array" aca="1" ref="T200" ca="1">SUM(OFFSET($CO$43,0,($M200*3)+$N200,53,1)*T$43:T$95)</f>
        <v>0</v>
      </c>
      <c r="U200" s="6">
        <f t="array" aca="1" ref="U200" ca="1">SUM(OFFSET($CO$43,0,($M200*3)+$N200,53,1)*U$43:U$95)</f>
        <v>0</v>
      </c>
      <c r="V200" s="6">
        <f t="array" aca="1" ref="V200" ca="1">SUM(OFFSET($CO$43,0,($M200*3)+$N200,53,1)*V$43:V$95)</f>
        <v>0</v>
      </c>
      <c r="W200" s="6">
        <f t="array" aca="1" ref="W200" ca="1">SUM(OFFSET($CO$43,0,($M200*3)+$N200,53,1)*W$43:W$95)</f>
        <v>0</v>
      </c>
      <c r="X200" s="6">
        <f t="array" aca="1" ref="X200" ca="1">SUM(OFFSET($CO$43,0,($M200*3)+$N200,53,1)*X$43:X$95)</f>
        <v>0</v>
      </c>
      <c r="Y200" s="6">
        <f t="array" aca="1" ref="Y200" ca="1">SUM(OFFSET($CO$43,0,($M200*3)+$N200,53,1)*Y$43:Y$95)</f>
        <v>0</v>
      </c>
      <c r="Z200" s="6">
        <f t="array" aca="1" ref="Z200" ca="1">SUM(OFFSET($CO$43,0,($M200*3)+$N200,53,1)*Z$43:Z$95)</f>
        <v>0</v>
      </c>
      <c r="AA200" s="6">
        <f t="shared" ca="1" si="109"/>
        <v>0</v>
      </c>
      <c r="AB200" s="6">
        <f t="shared" ca="1" si="111"/>
        <v>0</v>
      </c>
      <c r="AC200" s="8"/>
      <c r="AD200" s="8">
        <v>15</v>
      </c>
      <c r="AE200" t="str">
        <f t="shared" si="113"/>
        <v>New</v>
      </c>
      <c r="AF200">
        <f t="shared" ref="AF200:AQ204" ca="1" si="115">SUMIFS(O$165:O$167,$L$165:$L$167, $AE200)</f>
        <v>0</v>
      </c>
      <c r="AG200">
        <f t="shared" ca="1" si="115"/>
        <v>0</v>
      </c>
      <c r="AH200">
        <f t="shared" ca="1" si="115"/>
        <v>0</v>
      </c>
      <c r="AI200">
        <f t="shared" ca="1" si="115"/>
        <v>0</v>
      </c>
      <c r="AJ200">
        <f t="shared" ca="1" si="115"/>
        <v>0</v>
      </c>
      <c r="AK200">
        <f t="shared" ca="1" si="115"/>
        <v>0</v>
      </c>
      <c r="AL200">
        <f t="shared" ca="1" si="115"/>
        <v>0</v>
      </c>
      <c r="AM200">
        <f t="shared" ca="1" si="115"/>
        <v>0</v>
      </c>
      <c r="AN200">
        <f t="shared" ca="1" si="115"/>
        <v>0</v>
      </c>
      <c r="AO200">
        <f t="shared" ca="1" si="115"/>
        <v>0</v>
      </c>
      <c r="AP200">
        <f t="shared" ca="1" si="115"/>
        <v>0</v>
      </c>
      <c r="AQ200">
        <f t="shared" ca="1" si="115"/>
        <v>0</v>
      </c>
    </row>
    <row r="201" spans="1:43" x14ac:dyDescent="0.25">
      <c r="A201">
        <f>1</f>
        <v>1</v>
      </c>
      <c r="B201" s="85">
        <f t="shared" si="106"/>
        <v>43989</v>
      </c>
      <c r="C201" s="85">
        <f t="shared" si="102"/>
        <v>43983</v>
      </c>
      <c r="D201">
        <f t="shared" ca="1" si="103"/>
        <v>0</v>
      </c>
      <c r="E201" s="85">
        <f t="shared" si="104"/>
        <v>43983</v>
      </c>
      <c r="F201">
        <f t="shared" si="105"/>
        <v>23</v>
      </c>
      <c r="M201">
        <v>5</v>
      </c>
      <c r="N201">
        <v>3</v>
      </c>
      <c r="O201" s="6">
        <f t="array" aca="1" ref="O201" ca="1">SUM(OFFSET($CO$43,0,($M201*3)+$N201,53,1)*O$43:O$95)</f>
        <v>0</v>
      </c>
      <c r="P201" s="6">
        <f t="array" aca="1" ref="P201" ca="1">SUM(OFFSET($CO$43,0,($M201*3)+$N201,53,1)*P$43:P$95)</f>
        <v>0</v>
      </c>
      <c r="Q201" s="6">
        <f t="array" aca="1" ref="Q201" ca="1">SUM(OFFSET($CO$43,0,($M201*3)+$N201,53,1)*Q$43:Q$95)</f>
        <v>0</v>
      </c>
      <c r="R201" s="6">
        <f t="array" aca="1" ref="R201" ca="1">SUM(OFFSET($CO$43,0,($M201*3)+$N201,53,1)*R$43:R$95)</f>
        <v>0</v>
      </c>
      <c r="S201" s="6">
        <f t="array" aca="1" ref="S201" ca="1">SUM(OFFSET($CO$43,0,($M201*3)+$N201,53,1)*S$43:S$95)</f>
        <v>0</v>
      </c>
      <c r="T201" s="6">
        <f t="array" aca="1" ref="T201" ca="1">SUM(OFFSET($CO$43,0,($M201*3)+$N201,53,1)*T$43:T$95)</f>
        <v>0</v>
      </c>
      <c r="U201" s="6">
        <f t="array" aca="1" ref="U201" ca="1">SUM(OFFSET($CO$43,0,($M201*3)+$N201,53,1)*U$43:U$95)</f>
        <v>0</v>
      </c>
      <c r="V201" s="6">
        <f t="array" aca="1" ref="V201" ca="1">SUM(OFFSET($CO$43,0,($M201*3)+$N201,53,1)*V$43:V$95)</f>
        <v>0</v>
      </c>
      <c r="W201" s="6">
        <f t="array" aca="1" ref="W201" ca="1">SUM(OFFSET($CO$43,0,($M201*3)+$N201,53,1)*W$43:W$95)</f>
        <v>0</v>
      </c>
      <c r="X201" s="6">
        <f t="array" aca="1" ref="X201" ca="1">SUM(OFFSET($CO$43,0,($M201*3)+$N201,53,1)*X$43:X$95)</f>
        <v>0</v>
      </c>
      <c r="Y201" s="6">
        <f t="array" aca="1" ref="Y201" ca="1">SUM(OFFSET($CO$43,0,($M201*3)+$N201,53,1)*Y$43:Y$95)</f>
        <v>0</v>
      </c>
      <c r="Z201" s="6">
        <f t="array" aca="1" ref="Z201" ca="1">SUM(OFFSET($CO$43,0,($M201*3)+$N201,53,1)*Z$43:Z$95)</f>
        <v>0</v>
      </c>
      <c r="AA201" s="6">
        <f t="shared" ca="1" si="109"/>
        <v>0</v>
      </c>
      <c r="AB201" s="6">
        <f t="shared" ca="1" si="111"/>
        <v>0</v>
      </c>
      <c r="AC201" s="8"/>
      <c r="AD201" s="8" t="s">
        <v>1227</v>
      </c>
      <c r="AE201" t="str">
        <f t="shared" si="113"/>
        <v>Diagnostic (N)</v>
      </c>
      <c r="AF201">
        <f t="shared" ca="1" si="115"/>
        <v>0</v>
      </c>
      <c r="AG201">
        <f t="shared" ca="1" si="115"/>
        <v>0</v>
      </c>
      <c r="AH201">
        <f t="shared" ca="1" si="115"/>
        <v>0</v>
      </c>
      <c r="AI201">
        <f t="shared" ca="1" si="115"/>
        <v>0</v>
      </c>
      <c r="AJ201">
        <f t="shared" ca="1" si="115"/>
        <v>0</v>
      </c>
      <c r="AK201">
        <f t="shared" ca="1" si="115"/>
        <v>0</v>
      </c>
      <c r="AL201">
        <f t="shared" ca="1" si="115"/>
        <v>0</v>
      </c>
      <c r="AM201">
        <f t="shared" ca="1" si="115"/>
        <v>0</v>
      </c>
      <c r="AN201">
        <f t="shared" ca="1" si="115"/>
        <v>0</v>
      </c>
      <c r="AO201">
        <f t="shared" ca="1" si="115"/>
        <v>0</v>
      </c>
      <c r="AP201">
        <f t="shared" ca="1" si="115"/>
        <v>0</v>
      </c>
      <c r="AQ201">
        <f t="shared" ca="1" si="115"/>
        <v>0</v>
      </c>
    </row>
    <row r="202" spans="1:43" x14ac:dyDescent="0.25">
      <c r="A202">
        <f>1</f>
        <v>1</v>
      </c>
      <c r="B202" s="85">
        <f t="shared" si="106"/>
        <v>43990</v>
      </c>
      <c r="C202" s="85">
        <f t="shared" si="102"/>
        <v>43990</v>
      </c>
      <c r="D202">
        <f t="shared" ca="1" si="103"/>
        <v>1</v>
      </c>
      <c r="E202" s="85">
        <f t="shared" si="104"/>
        <v>43983</v>
      </c>
      <c r="F202">
        <f t="shared" si="105"/>
        <v>24</v>
      </c>
      <c r="M202">
        <v>6</v>
      </c>
      <c r="N202">
        <v>1</v>
      </c>
      <c r="O202" s="6">
        <f t="array" aca="1" ref="O202" ca="1">SUM(OFFSET($CO$43,0,($M202*3)+$N202,53,1)*O$43:O$95)</f>
        <v>0</v>
      </c>
      <c r="P202" s="6">
        <f t="array" aca="1" ref="P202" ca="1">SUM(OFFSET($CO$43,0,($M202*3)+$N202,53,1)*P$43:P$95)</f>
        <v>0</v>
      </c>
      <c r="Q202" s="6">
        <f t="array" aca="1" ref="Q202" ca="1">SUM(OFFSET($CO$43,0,($M202*3)+$N202,53,1)*Q$43:Q$95)</f>
        <v>0</v>
      </c>
      <c r="R202" s="6">
        <f t="array" aca="1" ref="R202" ca="1">SUM(OFFSET($CO$43,0,($M202*3)+$N202,53,1)*R$43:R$95)</f>
        <v>0</v>
      </c>
      <c r="S202" s="6">
        <f t="array" aca="1" ref="S202" ca="1">SUM(OFFSET($CO$43,0,($M202*3)+$N202,53,1)*S$43:S$95)</f>
        <v>0</v>
      </c>
      <c r="T202" s="6">
        <f t="array" aca="1" ref="T202" ca="1">SUM(OFFSET($CO$43,0,($M202*3)+$N202,53,1)*T$43:T$95)</f>
        <v>0</v>
      </c>
      <c r="U202" s="6">
        <f t="array" aca="1" ref="U202" ca="1">SUM(OFFSET($CO$43,0,($M202*3)+$N202,53,1)*U$43:U$95)</f>
        <v>0</v>
      </c>
      <c r="V202" s="6">
        <f t="array" aca="1" ref="V202" ca="1">SUM(OFFSET($CO$43,0,($M202*3)+$N202,53,1)*V$43:V$95)</f>
        <v>0</v>
      </c>
      <c r="W202" s="6">
        <f t="array" aca="1" ref="W202" ca="1">SUM(OFFSET($CO$43,0,($M202*3)+$N202,53,1)*W$43:W$95)</f>
        <v>0</v>
      </c>
      <c r="X202" s="6">
        <f t="array" aca="1" ref="X202" ca="1">SUM(OFFSET($CO$43,0,($M202*3)+$N202,53,1)*X$43:X$95)</f>
        <v>0</v>
      </c>
      <c r="Y202" s="6">
        <f t="array" aca="1" ref="Y202" ca="1">SUM(OFFSET($CO$43,0,($M202*3)+$N202,53,1)*Y$43:Y$95)</f>
        <v>0</v>
      </c>
      <c r="Z202" s="6">
        <f t="array" aca="1" ref="Z202" ca="1">SUM(OFFSET($CO$43,0,($M202*3)+$N202,53,1)*Z$43:Z$95)</f>
        <v>0</v>
      </c>
      <c r="AA202" s="6">
        <f t="shared" ca="1" si="109"/>
        <v>0</v>
      </c>
      <c r="AB202" s="6">
        <f t="shared" ca="1" si="111"/>
        <v>0</v>
      </c>
      <c r="AC202" s="8"/>
      <c r="AD202" s="8" t="s">
        <v>1227</v>
      </c>
      <c r="AE202" t="str">
        <f t="shared" si="113"/>
        <v>Follow Up</v>
      </c>
      <c r="AF202">
        <f t="shared" ca="1" si="115"/>
        <v>0</v>
      </c>
      <c r="AG202">
        <f t="shared" ca="1" si="115"/>
        <v>0</v>
      </c>
      <c r="AH202">
        <f t="shared" ca="1" si="115"/>
        <v>0</v>
      </c>
      <c r="AI202">
        <f t="shared" ca="1" si="115"/>
        <v>0</v>
      </c>
      <c r="AJ202">
        <f t="shared" ca="1" si="115"/>
        <v>0</v>
      </c>
      <c r="AK202">
        <f t="shared" ca="1" si="115"/>
        <v>0</v>
      </c>
      <c r="AL202">
        <f t="shared" ca="1" si="115"/>
        <v>0</v>
      </c>
      <c r="AM202">
        <f t="shared" ca="1" si="115"/>
        <v>0</v>
      </c>
      <c r="AN202">
        <f t="shared" ca="1" si="115"/>
        <v>0</v>
      </c>
      <c r="AO202">
        <f t="shared" ca="1" si="115"/>
        <v>0</v>
      </c>
      <c r="AP202">
        <f t="shared" ca="1" si="115"/>
        <v>0</v>
      </c>
      <c r="AQ202">
        <f t="shared" ca="1" si="115"/>
        <v>0</v>
      </c>
    </row>
    <row r="203" spans="1:43" x14ac:dyDescent="0.25">
      <c r="A203">
        <f>1</f>
        <v>1</v>
      </c>
      <c r="B203" s="85">
        <f t="shared" si="106"/>
        <v>43991</v>
      </c>
      <c r="C203" s="85">
        <f t="shared" si="102"/>
        <v>43990</v>
      </c>
      <c r="D203">
        <f t="shared" ca="1" si="103"/>
        <v>1</v>
      </c>
      <c r="E203" s="85">
        <f t="shared" si="104"/>
        <v>43983</v>
      </c>
      <c r="F203">
        <f t="shared" si="105"/>
        <v>24</v>
      </c>
      <c r="M203">
        <v>6</v>
      </c>
      <c r="N203">
        <v>2</v>
      </c>
      <c r="O203" s="6">
        <f t="array" aca="1" ref="O203" ca="1">SUM(OFFSET($CO$43,0,($M203*3)+$N203,53,1)*O$43:O$95)</f>
        <v>0</v>
      </c>
      <c r="P203" s="6">
        <f t="array" aca="1" ref="P203" ca="1">SUM(OFFSET($CO$43,0,($M203*3)+$N203,53,1)*P$43:P$95)</f>
        <v>0</v>
      </c>
      <c r="Q203" s="6">
        <f t="array" aca="1" ref="Q203" ca="1">SUM(OFFSET($CO$43,0,($M203*3)+$N203,53,1)*Q$43:Q$95)</f>
        <v>0</v>
      </c>
      <c r="R203" s="6">
        <f t="array" aca="1" ref="R203" ca="1">SUM(OFFSET($CO$43,0,($M203*3)+$N203,53,1)*R$43:R$95)</f>
        <v>0</v>
      </c>
      <c r="S203" s="6">
        <f t="array" aca="1" ref="S203" ca="1">SUM(OFFSET($CO$43,0,($M203*3)+$N203,53,1)*S$43:S$95)</f>
        <v>0</v>
      </c>
      <c r="T203" s="6">
        <f t="array" aca="1" ref="T203" ca="1">SUM(OFFSET($CO$43,0,($M203*3)+$N203,53,1)*T$43:T$95)</f>
        <v>0</v>
      </c>
      <c r="U203" s="6">
        <f t="array" aca="1" ref="U203" ca="1">SUM(OFFSET($CO$43,0,($M203*3)+$N203,53,1)*U$43:U$95)</f>
        <v>0</v>
      </c>
      <c r="V203" s="6">
        <f t="array" aca="1" ref="V203" ca="1">SUM(OFFSET($CO$43,0,($M203*3)+$N203,53,1)*V$43:V$95)</f>
        <v>0</v>
      </c>
      <c r="W203" s="6">
        <f t="array" aca="1" ref="W203" ca="1">SUM(OFFSET($CO$43,0,($M203*3)+$N203,53,1)*W$43:W$95)</f>
        <v>0</v>
      </c>
      <c r="X203" s="6">
        <f t="array" aca="1" ref="X203" ca="1">SUM(OFFSET($CO$43,0,($M203*3)+$N203,53,1)*X$43:X$95)</f>
        <v>0</v>
      </c>
      <c r="Y203" s="6">
        <f t="array" aca="1" ref="Y203" ca="1">SUM(OFFSET($CO$43,0,($M203*3)+$N203,53,1)*Y$43:Y$95)</f>
        <v>0</v>
      </c>
      <c r="Z203" s="6">
        <f t="array" aca="1" ref="Z203" ca="1">SUM(OFFSET($CO$43,0,($M203*3)+$N203,53,1)*Z$43:Z$95)</f>
        <v>0</v>
      </c>
      <c r="AA203" s="6">
        <f t="shared" ca="1" si="109"/>
        <v>0</v>
      </c>
      <c r="AB203" s="6">
        <f t="shared" ca="1" si="111"/>
        <v>0</v>
      </c>
      <c r="AC203" s="8"/>
      <c r="AD203" s="8" t="s">
        <v>1227</v>
      </c>
      <c r="AE203" t="str">
        <f t="shared" si="113"/>
        <v>Diagnostic (FU)</v>
      </c>
      <c r="AF203">
        <f t="shared" ca="1" si="115"/>
        <v>0</v>
      </c>
      <c r="AG203">
        <f t="shared" ca="1" si="115"/>
        <v>0</v>
      </c>
      <c r="AH203">
        <f t="shared" ca="1" si="115"/>
        <v>0</v>
      </c>
      <c r="AI203">
        <f t="shared" ca="1" si="115"/>
        <v>0</v>
      </c>
      <c r="AJ203">
        <f t="shared" ca="1" si="115"/>
        <v>0</v>
      </c>
      <c r="AK203">
        <f t="shared" ca="1" si="115"/>
        <v>0</v>
      </c>
      <c r="AL203">
        <f t="shared" ca="1" si="115"/>
        <v>0</v>
      </c>
      <c r="AM203">
        <f t="shared" ca="1" si="115"/>
        <v>0</v>
      </c>
      <c r="AN203">
        <f t="shared" ca="1" si="115"/>
        <v>0</v>
      </c>
      <c r="AO203">
        <f t="shared" ca="1" si="115"/>
        <v>0</v>
      </c>
      <c r="AP203">
        <f t="shared" ca="1" si="115"/>
        <v>0</v>
      </c>
      <c r="AQ203">
        <f t="shared" ca="1" si="115"/>
        <v>0</v>
      </c>
    </row>
    <row r="204" spans="1:43" x14ac:dyDescent="0.25">
      <c r="A204">
        <f>1</f>
        <v>1</v>
      </c>
      <c r="B204" s="85">
        <f t="shared" si="106"/>
        <v>43992</v>
      </c>
      <c r="C204" s="85">
        <f t="shared" si="102"/>
        <v>43990</v>
      </c>
      <c r="D204">
        <f t="shared" ca="1" si="103"/>
        <v>1</v>
      </c>
      <c r="E204" s="85">
        <f t="shared" si="104"/>
        <v>43983</v>
      </c>
      <c r="F204">
        <f t="shared" si="105"/>
        <v>24</v>
      </c>
      <c r="M204">
        <v>6</v>
      </c>
      <c r="N204">
        <v>3</v>
      </c>
      <c r="O204" s="6">
        <f t="array" aca="1" ref="O204" ca="1">SUM(OFFSET($CO$43,0,($M204*3)+$N204,53,1)*O$43:O$95)</f>
        <v>0</v>
      </c>
      <c r="P204" s="6">
        <f t="array" aca="1" ref="P204" ca="1">SUM(OFFSET($CO$43,0,($M204*3)+$N204,53,1)*P$43:P$95)</f>
        <v>0</v>
      </c>
      <c r="Q204" s="6">
        <f t="array" aca="1" ref="Q204" ca="1">SUM(OFFSET($CO$43,0,($M204*3)+$N204,53,1)*Q$43:Q$95)</f>
        <v>0</v>
      </c>
      <c r="R204" s="6">
        <f t="array" aca="1" ref="R204" ca="1">SUM(OFFSET($CO$43,0,($M204*3)+$N204,53,1)*R$43:R$95)</f>
        <v>0</v>
      </c>
      <c r="S204" s="6">
        <f t="array" aca="1" ref="S204" ca="1">SUM(OFFSET($CO$43,0,($M204*3)+$N204,53,1)*S$43:S$95)</f>
        <v>0</v>
      </c>
      <c r="T204" s="6">
        <f t="array" aca="1" ref="T204" ca="1">SUM(OFFSET($CO$43,0,($M204*3)+$N204,53,1)*T$43:T$95)</f>
        <v>0</v>
      </c>
      <c r="U204" s="6">
        <f t="array" aca="1" ref="U204" ca="1">SUM(OFFSET($CO$43,0,($M204*3)+$N204,53,1)*U$43:U$95)</f>
        <v>0</v>
      </c>
      <c r="V204" s="6">
        <f t="array" aca="1" ref="V204" ca="1">SUM(OFFSET($CO$43,0,($M204*3)+$N204,53,1)*V$43:V$95)</f>
        <v>0</v>
      </c>
      <c r="W204" s="6">
        <f t="array" aca="1" ref="W204" ca="1">SUM(OFFSET($CO$43,0,($M204*3)+$N204,53,1)*W$43:W$95)</f>
        <v>0</v>
      </c>
      <c r="X204" s="6">
        <f t="array" aca="1" ref="X204" ca="1">SUM(OFFSET($CO$43,0,($M204*3)+$N204,53,1)*X$43:X$95)</f>
        <v>0</v>
      </c>
      <c r="Y204" s="6">
        <f t="array" aca="1" ref="Y204" ca="1">SUM(OFFSET($CO$43,0,($M204*3)+$N204,53,1)*Y$43:Y$95)</f>
        <v>0</v>
      </c>
      <c r="Z204" s="6">
        <f t="array" aca="1" ref="Z204" ca="1">SUM(OFFSET($CO$43,0,($M204*3)+$N204,53,1)*Z$43:Z$95)</f>
        <v>0</v>
      </c>
      <c r="AA204" s="6">
        <f t="shared" ca="1" si="109"/>
        <v>0</v>
      </c>
      <c r="AB204" s="6">
        <f t="shared" ca="1" si="111"/>
        <v>0</v>
      </c>
      <c r="AC204" s="8"/>
      <c r="AD204" s="8" t="s">
        <v>1227</v>
      </c>
      <c r="AE204" t="str">
        <f t="shared" si="113"/>
        <v>Admission</v>
      </c>
      <c r="AF204">
        <f t="shared" ca="1" si="115"/>
        <v>0</v>
      </c>
      <c r="AG204">
        <f t="shared" ca="1" si="115"/>
        <v>0</v>
      </c>
      <c r="AH204">
        <f t="shared" ca="1" si="115"/>
        <v>0</v>
      </c>
      <c r="AI204">
        <f t="shared" ca="1" si="115"/>
        <v>0</v>
      </c>
      <c r="AJ204">
        <f t="shared" ca="1" si="115"/>
        <v>0</v>
      </c>
      <c r="AK204">
        <f t="shared" ca="1" si="115"/>
        <v>0</v>
      </c>
      <c r="AL204">
        <f t="shared" ca="1" si="115"/>
        <v>0</v>
      </c>
      <c r="AM204">
        <f t="shared" ca="1" si="115"/>
        <v>0</v>
      </c>
      <c r="AN204">
        <f t="shared" ca="1" si="115"/>
        <v>0</v>
      </c>
      <c r="AO204">
        <f t="shared" ca="1" si="115"/>
        <v>0</v>
      </c>
      <c r="AP204">
        <f t="shared" ca="1" si="115"/>
        <v>0</v>
      </c>
      <c r="AQ204">
        <f t="shared" ca="1" si="115"/>
        <v>0</v>
      </c>
    </row>
    <row r="205" spans="1:43" x14ac:dyDescent="0.25">
      <c r="A205">
        <f>1</f>
        <v>1</v>
      </c>
      <c r="B205" s="85">
        <f t="shared" si="106"/>
        <v>43993</v>
      </c>
      <c r="C205" s="85">
        <f t="shared" si="102"/>
        <v>43990</v>
      </c>
      <c r="D205">
        <f t="shared" ca="1" si="103"/>
        <v>1</v>
      </c>
      <c r="E205" s="85">
        <f t="shared" si="104"/>
        <v>43983</v>
      </c>
      <c r="F205">
        <f t="shared" si="105"/>
        <v>24</v>
      </c>
      <c r="M205">
        <v>7</v>
      </c>
      <c r="N205">
        <v>1</v>
      </c>
      <c r="O205" s="6">
        <f t="array" aca="1" ref="O205" ca="1">SUM(OFFSET($CO$43,0,($M205*3)+$N205,53,1)*O$43:O$95)</f>
        <v>0</v>
      </c>
      <c r="P205" s="6">
        <f t="array" aca="1" ref="P205" ca="1">SUM(OFFSET($CO$43,0,($M205*3)+$N205,53,1)*P$43:P$95)</f>
        <v>0</v>
      </c>
      <c r="Q205" s="6">
        <f t="array" aca="1" ref="Q205" ca="1">SUM(OFFSET($CO$43,0,($M205*3)+$N205,53,1)*Q$43:Q$95)</f>
        <v>0</v>
      </c>
      <c r="R205" s="6">
        <f t="array" aca="1" ref="R205" ca="1">SUM(OFFSET($CO$43,0,($M205*3)+$N205,53,1)*R$43:R$95)</f>
        <v>0</v>
      </c>
      <c r="S205" s="6">
        <f t="array" aca="1" ref="S205" ca="1">SUM(OFFSET($CO$43,0,($M205*3)+$N205,53,1)*S$43:S$95)</f>
        <v>0</v>
      </c>
      <c r="T205" s="6">
        <f t="array" aca="1" ref="T205" ca="1">SUM(OFFSET($CO$43,0,($M205*3)+$N205,53,1)*T$43:T$95)</f>
        <v>0</v>
      </c>
      <c r="U205" s="6">
        <f t="array" aca="1" ref="U205" ca="1">SUM(OFFSET($CO$43,0,($M205*3)+$N205,53,1)*U$43:U$95)</f>
        <v>0</v>
      </c>
      <c r="V205" s="6">
        <f t="array" aca="1" ref="V205" ca="1">SUM(OFFSET($CO$43,0,($M205*3)+$N205,53,1)*V$43:V$95)</f>
        <v>0</v>
      </c>
      <c r="W205" s="6">
        <f t="array" aca="1" ref="W205" ca="1">SUM(OFFSET($CO$43,0,($M205*3)+$N205,53,1)*W$43:W$95)</f>
        <v>0</v>
      </c>
      <c r="X205" s="6">
        <f t="array" aca="1" ref="X205" ca="1">SUM(OFFSET($CO$43,0,($M205*3)+$N205,53,1)*X$43:X$95)</f>
        <v>0</v>
      </c>
      <c r="Y205" s="6">
        <f t="array" aca="1" ref="Y205" ca="1">SUM(OFFSET($CO$43,0,($M205*3)+$N205,53,1)*Y$43:Y$95)</f>
        <v>0</v>
      </c>
      <c r="Z205" s="6">
        <f t="array" aca="1" ref="Z205" ca="1">SUM(OFFSET($CO$43,0,($M205*3)+$N205,53,1)*Z$43:Z$95)</f>
        <v>0</v>
      </c>
      <c r="AA205" s="6">
        <f t="shared" ca="1" si="109"/>
        <v>0</v>
      </c>
      <c r="AB205" s="6">
        <f t="shared" ca="1" si="111"/>
        <v>0</v>
      </c>
      <c r="AC205" s="8"/>
      <c r="AD205" s="8">
        <v>16</v>
      </c>
      <c r="AE205" t="str">
        <f t="shared" si="113"/>
        <v>New</v>
      </c>
      <c r="AF205">
        <f t="shared" ref="AF205:AQ209" ca="1" si="116">SUMIFS(O$168:O$170,$L$168:$L$170, $AE205)</f>
        <v>0</v>
      </c>
      <c r="AG205">
        <f t="shared" ca="1" si="116"/>
        <v>0</v>
      </c>
      <c r="AH205">
        <f t="shared" ca="1" si="116"/>
        <v>0</v>
      </c>
      <c r="AI205">
        <f t="shared" ca="1" si="116"/>
        <v>0</v>
      </c>
      <c r="AJ205">
        <f t="shared" ca="1" si="116"/>
        <v>0</v>
      </c>
      <c r="AK205">
        <f t="shared" ca="1" si="116"/>
        <v>0</v>
      </c>
      <c r="AL205">
        <f t="shared" ca="1" si="116"/>
        <v>0</v>
      </c>
      <c r="AM205">
        <f t="shared" ca="1" si="116"/>
        <v>0</v>
      </c>
      <c r="AN205">
        <f t="shared" ca="1" si="116"/>
        <v>0</v>
      </c>
      <c r="AO205">
        <f t="shared" ca="1" si="116"/>
        <v>0</v>
      </c>
      <c r="AP205">
        <f t="shared" ca="1" si="116"/>
        <v>0</v>
      </c>
      <c r="AQ205">
        <f t="shared" ca="1" si="116"/>
        <v>0</v>
      </c>
    </row>
    <row r="206" spans="1:43" x14ac:dyDescent="0.25">
      <c r="A206">
        <f>1</f>
        <v>1</v>
      </c>
      <c r="B206" s="85">
        <f t="shared" si="106"/>
        <v>43994</v>
      </c>
      <c r="C206" s="85">
        <f t="shared" si="102"/>
        <v>43990</v>
      </c>
      <c r="D206">
        <f t="shared" ca="1" si="103"/>
        <v>1</v>
      </c>
      <c r="E206" s="85">
        <f t="shared" si="104"/>
        <v>43983</v>
      </c>
      <c r="F206">
        <f t="shared" si="105"/>
        <v>24</v>
      </c>
      <c r="M206">
        <v>7</v>
      </c>
      <c r="N206">
        <v>2</v>
      </c>
      <c r="O206" s="6">
        <f t="array" aca="1" ref="O206" ca="1">SUM(OFFSET($CO$43,0,($M206*3)+$N206,53,1)*O$43:O$95)</f>
        <v>0</v>
      </c>
      <c r="P206" s="6">
        <f t="array" aca="1" ref="P206" ca="1">SUM(OFFSET($CO$43,0,($M206*3)+$N206,53,1)*P$43:P$95)</f>
        <v>0</v>
      </c>
      <c r="Q206" s="6">
        <f t="array" aca="1" ref="Q206" ca="1">SUM(OFFSET($CO$43,0,($M206*3)+$N206,53,1)*Q$43:Q$95)</f>
        <v>0</v>
      </c>
      <c r="R206" s="6">
        <f t="array" aca="1" ref="R206" ca="1">SUM(OFFSET($CO$43,0,($M206*3)+$N206,53,1)*R$43:R$95)</f>
        <v>0</v>
      </c>
      <c r="S206" s="6">
        <f t="array" aca="1" ref="S206" ca="1">SUM(OFFSET($CO$43,0,($M206*3)+$N206,53,1)*S$43:S$95)</f>
        <v>0</v>
      </c>
      <c r="T206" s="6">
        <f t="array" aca="1" ref="T206" ca="1">SUM(OFFSET($CO$43,0,($M206*3)+$N206,53,1)*T$43:T$95)</f>
        <v>0</v>
      </c>
      <c r="U206" s="6">
        <f t="array" aca="1" ref="U206" ca="1">SUM(OFFSET($CO$43,0,($M206*3)+$N206,53,1)*U$43:U$95)</f>
        <v>0</v>
      </c>
      <c r="V206" s="6">
        <f t="array" aca="1" ref="V206" ca="1">SUM(OFFSET($CO$43,0,($M206*3)+$N206,53,1)*V$43:V$95)</f>
        <v>0</v>
      </c>
      <c r="W206" s="6">
        <f t="array" aca="1" ref="W206" ca="1">SUM(OFFSET($CO$43,0,($M206*3)+$N206,53,1)*W$43:W$95)</f>
        <v>0</v>
      </c>
      <c r="X206" s="6">
        <f t="array" aca="1" ref="X206" ca="1">SUM(OFFSET($CO$43,0,($M206*3)+$N206,53,1)*X$43:X$95)</f>
        <v>0</v>
      </c>
      <c r="Y206" s="6">
        <f t="array" aca="1" ref="Y206" ca="1">SUM(OFFSET($CO$43,0,($M206*3)+$N206,53,1)*Y$43:Y$95)</f>
        <v>0</v>
      </c>
      <c r="Z206" s="6">
        <f t="array" aca="1" ref="Z206" ca="1">SUM(OFFSET($CO$43,0,($M206*3)+$N206,53,1)*Z$43:Z$95)</f>
        <v>0</v>
      </c>
      <c r="AA206" s="6">
        <f t="shared" ca="1" si="109"/>
        <v>0</v>
      </c>
      <c r="AB206" s="6">
        <f t="shared" ca="1" si="111"/>
        <v>0</v>
      </c>
      <c r="AC206" s="8"/>
      <c r="AD206" s="8" t="s">
        <v>1227</v>
      </c>
      <c r="AE206" t="str">
        <f t="shared" si="113"/>
        <v>Diagnostic (N)</v>
      </c>
      <c r="AF206">
        <f t="shared" ca="1" si="116"/>
        <v>0</v>
      </c>
      <c r="AG206">
        <f t="shared" ca="1" si="116"/>
        <v>0</v>
      </c>
      <c r="AH206">
        <f t="shared" ca="1" si="116"/>
        <v>0</v>
      </c>
      <c r="AI206">
        <f t="shared" ca="1" si="116"/>
        <v>0</v>
      </c>
      <c r="AJ206">
        <f t="shared" ca="1" si="116"/>
        <v>0</v>
      </c>
      <c r="AK206">
        <f t="shared" ca="1" si="116"/>
        <v>0</v>
      </c>
      <c r="AL206">
        <f t="shared" ca="1" si="116"/>
        <v>0</v>
      </c>
      <c r="AM206">
        <f t="shared" ca="1" si="116"/>
        <v>0</v>
      </c>
      <c r="AN206">
        <f t="shared" ca="1" si="116"/>
        <v>0</v>
      </c>
      <c r="AO206">
        <f t="shared" ca="1" si="116"/>
        <v>0</v>
      </c>
      <c r="AP206">
        <f t="shared" ca="1" si="116"/>
        <v>0</v>
      </c>
      <c r="AQ206">
        <f t="shared" ca="1" si="116"/>
        <v>0</v>
      </c>
    </row>
    <row r="207" spans="1:43" x14ac:dyDescent="0.25">
      <c r="A207">
        <f>1</f>
        <v>1</v>
      </c>
      <c r="B207" s="85">
        <f t="shared" si="106"/>
        <v>43995</v>
      </c>
      <c r="C207" s="85">
        <f t="shared" si="102"/>
        <v>43990</v>
      </c>
      <c r="D207">
        <f t="shared" ca="1" si="103"/>
        <v>0</v>
      </c>
      <c r="E207" s="85">
        <f t="shared" si="104"/>
        <v>43983</v>
      </c>
      <c r="F207">
        <f t="shared" si="105"/>
        <v>24</v>
      </c>
      <c r="M207">
        <v>7</v>
      </c>
      <c r="N207">
        <v>3</v>
      </c>
      <c r="O207" s="6">
        <f t="array" aca="1" ref="O207" ca="1">SUM(OFFSET($CO$43,0,($M207*3)+$N207,53,1)*O$43:O$95)</f>
        <v>0</v>
      </c>
      <c r="P207" s="6">
        <f t="array" aca="1" ref="P207" ca="1">SUM(OFFSET($CO$43,0,($M207*3)+$N207,53,1)*P$43:P$95)</f>
        <v>0</v>
      </c>
      <c r="Q207" s="6">
        <f t="array" aca="1" ref="Q207" ca="1">SUM(OFFSET($CO$43,0,($M207*3)+$N207,53,1)*Q$43:Q$95)</f>
        <v>0</v>
      </c>
      <c r="R207" s="6">
        <f t="array" aca="1" ref="R207" ca="1">SUM(OFFSET($CO$43,0,($M207*3)+$N207,53,1)*R$43:R$95)</f>
        <v>0</v>
      </c>
      <c r="S207" s="6">
        <f t="array" aca="1" ref="S207" ca="1">SUM(OFFSET($CO$43,0,($M207*3)+$N207,53,1)*S$43:S$95)</f>
        <v>0</v>
      </c>
      <c r="T207" s="6">
        <f t="array" aca="1" ref="T207" ca="1">SUM(OFFSET($CO$43,0,($M207*3)+$N207,53,1)*T$43:T$95)</f>
        <v>0</v>
      </c>
      <c r="U207" s="6">
        <f t="array" aca="1" ref="U207" ca="1">SUM(OFFSET($CO$43,0,($M207*3)+$N207,53,1)*U$43:U$95)</f>
        <v>0</v>
      </c>
      <c r="V207" s="6">
        <f t="array" aca="1" ref="V207" ca="1">SUM(OFFSET($CO$43,0,($M207*3)+$N207,53,1)*V$43:V$95)</f>
        <v>0</v>
      </c>
      <c r="W207" s="6">
        <f t="array" aca="1" ref="W207" ca="1">SUM(OFFSET($CO$43,0,($M207*3)+$N207,53,1)*W$43:W$95)</f>
        <v>0</v>
      </c>
      <c r="X207" s="6">
        <f t="array" aca="1" ref="X207" ca="1">SUM(OFFSET($CO$43,0,($M207*3)+$N207,53,1)*X$43:X$95)</f>
        <v>0</v>
      </c>
      <c r="Y207" s="6">
        <f t="array" aca="1" ref="Y207" ca="1">SUM(OFFSET($CO$43,0,($M207*3)+$N207,53,1)*Y$43:Y$95)</f>
        <v>0</v>
      </c>
      <c r="Z207" s="6">
        <f t="array" aca="1" ref="Z207" ca="1">SUM(OFFSET($CO$43,0,($M207*3)+$N207,53,1)*Z$43:Z$95)</f>
        <v>0</v>
      </c>
      <c r="AA207" s="6">
        <f t="shared" ca="1" si="109"/>
        <v>0</v>
      </c>
      <c r="AB207" s="6">
        <f t="shared" ca="1" si="111"/>
        <v>0</v>
      </c>
      <c r="AC207" s="8"/>
      <c r="AD207" s="8" t="s">
        <v>1227</v>
      </c>
      <c r="AE207" t="str">
        <f t="shared" si="113"/>
        <v>Follow Up</v>
      </c>
      <c r="AF207">
        <f t="shared" ca="1" si="116"/>
        <v>0</v>
      </c>
      <c r="AG207">
        <f t="shared" ca="1" si="116"/>
        <v>0</v>
      </c>
      <c r="AH207">
        <f t="shared" ca="1" si="116"/>
        <v>0</v>
      </c>
      <c r="AI207">
        <f t="shared" ca="1" si="116"/>
        <v>0</v>
      </c>
      <c r="AJ207">
        <f t="shared" ca="1" si="116"/>
        <v>0</v>
      </c>
      <c r="AK207">
        <f t="shared" ca="1" si="116"/>
        <v>0</v>
      </c>
      <c r="AL207">
        <f t="shared" ca="1" si="116"/>
        <v>0</v>
      </c>
      <c r="AM207">
        <f t="shared" ca="1" si="116"/>
        <v>0</v>
      </c>
      <c r="AN207">
        <f t="shared" ca="1" si="116"/>
        <v>0</v>
      </c>
      <c r="AO207">
        <f t="shared" ca="1" si="116"/>
        <v>0</v>
      </c>
      <c r="AP207">
        <f t="shared" ca="1" si="116"/>
        <v>0</v>
      </c>
      <c r="AQ207">
        <f t="shared" ca="1" si="116"/>
        <v>0</v>
      </c>
    </row>
    <row r="208" spans="1:43" x14ac:dyDescent="0.25">
      <c r="A208">
        <f>1</f>
        <v>1</v>
      </c>
      <c r="B208" s="85">
        <f t="shared" si="106"/>
        <v>43996</v>
      </c>
      <c r="C208" s="85">
        <f t="shared" si="102"/>
        <v>43990</v>
      </c>
      <c r="D208">
        <f t="shared" ca="1" si="103"/>
        <v>0</v>
      </c>
      <c r="E208" s="85">
        <f t="shared" si="104"/>
        <v>43983</v>
      </c>
      <c r="F208">
        <f t="shared" si="105"/>
        <v>24</v>
      </c>
      <c r="M208">
        <v>8</v>
      </c>
      <c r="N208">
        <v>1</v>
      </c>
      <c r="O208" s="6">
        <f t="array" aca="1" ref="O208" ca="1">SUM(OFFSET($CO$43,0,($M208*3)+$N208,53,1)*O$43:O$95)</f>
        <v>0</v>
      </c>
      <c r="P208" s="6">
        <f t="array" aca="1" ref="P208" ca="1">SUM(OFFSET($CO$43,0,($M208*3)+$N208,53,1)*P$43:P$95)</f>
        <v>0</v>
      </c>
      <c r="Q208" s="6">
        <f t="array" aca="1" ref="Q208" ca="1">SUM(OFFSET($CO$43,0,($M208*3)+$N208,53,1)*Q$43:Q$95)</f>
        <v>0</v>
      </c>
      <c r="R208" s="6">
        <f t="array" aca="1" ref="R208" ca="1">SUM(OFFSET($CO$43,0,($M208*3)+$N208,53,1)*R$43:R$95)</f>
        <v>0</v>
      </c>
      <c r="S208" s="6">
        <f t="array" aca="1" ref="S208" ca="1">SUM(OFFSET($CO$43,0,($M208*3)+$N208,53,1)*S$43:S$95)</f>
        <v>0</v>
      </c>
      <c r="T208" s="6">
        <f t="array" aca="1" ref="T208" ca="1">SUM(OFFSET($CO$43,0,($M208*3)+$N208,53,1)*T$43:T$95)</f>
        <v>0</v>
      </c>
      <c r="U208" s="6">
        <f t="array" aca="1" ref="U208" ca="1">SUM(OFFSET($CO$43,0,($M208*3)+$N208,53,1)*U$43:U$95)</f>
        <v>0</v>
      </c>
      <c r="V208" s="6">
        <f t="array" aca="1" ref="V208" ca="1">SUM(OFFSET($CO$43,0,($M208*3)+$N208,53,1)*V$43:V$95)</f>
        <v>0</v>
      </c>
      <c r="W208" s="6">
        <f t="array" aca="1" ref="W208" ca="1">SUM(OFFSET($CO$43,0,($M208*3)+$N208,53,1)*W$43:W$95)</f>
        <v>0</v>
      </c>
      <c r="X208" s="6">
        <f t="array" aca="1" ref="X208" ca="1">SUM(OFFSET($CO$43,0,($M208*3)+$N208,53,1)*X$43:X$95)</f>
        <v>0</v>
      </c>
      <c r="Y208" s="6">
        <f t="array" aca="1" ref="Y208" ca="1">SUM(OFFSET($CO$43,0,($M208*3)+$N208,53,1)*Y$43:Y$95)</f>
        <v>0</v>
      </c>
      <c r="Z208" s="6">
        <f t="array" aca="1" ref="Z208" ca="1">SUM(OFFSET($CO$43,0,($M208*3)+$N208,53,1)*Z$43:Z$95)</f>
        <v>0</v>
      </c>
      <c r="AA208" s="6">
        <f t="shared" ca="1" si="109"/>
        <v>0</v>
      </c>
      <c r="AB208" s="6">
        <f t="shared" ca="1" si="111"/>
        <v>0</v>
      </c>
      <c r="AC208" s="8"/>
      <c r="AD208" s="8" t="s">
        <v>1227</v>
      </c>
      <c r="AE208" t="str">
        <f t="shared" si="113"/>
        <v>Diagnostic (FU)</v>
      </c>
      <c r="AF208">
        <f t="shared" ca="1" si="116"/>
        <v>0</v>
      </c>
      <c r="AG208">
        <f t="shared" ca="1" si="116"/>
        <v>0</v>
      </c>
      <c r="AH208">
        <f t="shared" ca="1" si="116"/>
        <v>0</v>
      </c>
      <c r="AI208">
        <f t="shared" ca="1" si="116"/>
        <v>0</v>
      </c>
      <c r="AJ208">
        <f t="shared" ca="1" si="116"/>
        <v>0</v>
      </c>
      <c r="AK208">
        <f t="shared" ca="1" si="116"/>
        <v>0</v>
      </c>
      <c r="AL208">
        <f t="shared" ca="1" si="116"/>
        <v>0</v>
      </c>
      <c r="AM208">
        <f t="shared" ca="1" si="116"/>
        <v>0</v>
      </c>
      <c r="AN208">
        <f t="shared" ca="1" si="116"/>
        <v>0</v>
      </c>
      <c r="AO208">
        <f t="shared" ca="1" si="116"/>
        <v>0</v>
      </c>
      <c r="AP208">
        <f t="shared" ca="1" si="116"/>
        <v>0</v>
      </c>
      <c r="AQ208">
        <f t="shared" ca="1" si="116"/>
        <v>0</v>
      </c>
    </row>
    <row r="209" spans="1:43" x14ac:dyDescent="0.25">
      <c r="A209">
        <f>1</f>
        <v>1</v>
      </c>
      <c r="B209" s="85">
        <f t="shared" si="106"/>
        <v>43997</v>
      </c>
      <c r="C209" s="85">
        <f t="shared" si="102"/>
        <v>43997</v>
      </c>
      <c r="D209">
        <f t="shared" ca="1" si="103"/>
        <v>1</v>
      </c>
      <c r="E209" s="85">
        <f t="shared" si="104"/>
        <v>43983</v>
      </c>
      <c r="F209">
        <f t="shared" si="105"/>
        <v>25</v>
      </c>
      <c r="M209">
        <v>8</v>
      </c>
      <c r="N209">
        <v>2</v>
      </c>
      <c r="O209" s="6">
        <f t="array" aca="1" ref="O209" ca="1">SUM(OFFSET($CO$43,0,($M209*3)+$N209,53,1)*O$43:O$95)</f>
        <v>0</v>
      </c>
      <c r="P209" s="6">
        <f t="array" aca="1" ref="P209" ca="1">SUM(OFFSET($CO$43,0,($M209*3)+$N209,53,1)*P$43:P$95)</f>
        <v>0</v>
      </c>
      <c r="Q209" s="6">
        <f t="array" aca="1" ref="Q209" ca="1">SUM(OFFSET($CO$43,0,($M209*3)+$N209,53,1)*Q$43:Q$95)</f>
        <v>0</v>
      </c>
      <c r="R209" s="6">
        <f t="array" aca="1" ref="R209" ca="1">SUM(OFFSET($CO$43,0,($M209*3)+$N209,53,1)*R$43:R$95)</f>
        <v>0</v>
      </c>
      <c r="S209" s="6">
        <f t="array" aca="1" ref="S209" ca="1">SUM(OFFSET($CO$43,0,($M209*3)+$N209,53,1)*S$43:S$95)</f>
        <v>0</v>
      </c>
      <c r="T209" s="6">
        <f t="array" aca="1" ref="T209" ca="1">SUM(OFFSET($CO$43,0,($M209*3)+$N209,53,1)*T$43:T$95)</f>
        <v>0</v>
      </c>
      <c r="U209" s="6">
        <f t="array" aca="1" ref="U209" ca="1">SUM(OFFSET($CO$43,0,($M209*3)+$N209,53,1)*U$43:U$95)</f>
        <v>0</v>
      </c>
      <c r="V209" s="6">
        <f t="array" aca="1" ref="V209" ca="1">SUM(OFFSET($CO$43,0,($M209*3)+$N209,53,1)*V$43:V$95)</f>
        <v>0</v>
      </c>
      <c r="W209" s="6">
        <f t="array" aca="1" ref="W209" ca="1">SUM(OFFSET($CO$43,0,($M209*3)+$N209,53,1)*W$43:W$95)</f>
        <v>0</v>
      </c>
      <c r="X209" s="6">
        <f t="array" aca="1" ref="X209" ca="1">SUM(OFFSET($CO$43,0,($M209*3)+$N209,53,1)*X$43:X$95)</f>
        <v>0</v>
      </c>
      <c r="Y209" s="6">
        <f t="array" aca="1" ref="Y209" ca="1">SUM(OFFSET($CO$43,0,($M209*3)+$N209,53,1)*Y$43:Y$95)</f>
        <v>0</v>
      </c>
      <c r="Z209" s="6">
        <f t="array" aca="1" ref="Z209" ca="1">SUM(OFFSET($CO$43,0,($M209*3)+$N209,53,1)*Z$43:Z$95)</f>
        <v>0</v>
      </c>
      <c r="AA209" s="6">
        <f t="shared" ca="1" si="109"/>
        <v>0</v>
      </c>
      <c r="AB209" s="6">
        <f t="shared" ca="1" si="111"/>
        <v>0</v>
      </c>
      <c r="AC209" s="8"/>
      <c r="AD209" s="8" t="s">
        <v>1227</v>
      </c>
      <c r="AE209" t="str">
        <f t="shared" si="113"/>
        <v>Admission</v>
      </c>
      <c r="AF209">
        <f t="shared" ca="1" si="116"/>
        <v>0</v>
      </c>
      <c r="AG209">
        <f t="shared" ca="1" si="116"/>
        <v>0</v>
      </c>
      <c r="AH209">
        <f t="shared" ca="1" si="116"/>
        <v>0</v>
      </c>
      <c r="AI209">
        <f t="shared" ca="1" si="116"/>
        <v>0</v>
      </c>
      <c r="AJ209">
        <f t="shared" ca="1" si="116"/>
        <v>0</v>
      </c>
      <c r="AK209">
        <f t="shared" ca="1" si="116"/>
        <v>0</v>
      </c>
      <c r="AL209">
        <f t="shared" ca="1" si="116"/>
        <v>0</v>
      </c>
      <c r="AM209">
        <f t="shared" ca="1" si="116"/>
        <v>0</v>
      </c>
      <c r="AN209">
        <f t="shared" ca="1" si="116"/>
        <v>0</v>
      </c>
      <c r="AO209">
        <f t="shared" ca="1" si="116"/>
        <v>0</v>
      </c>
      <c r="AP209">
        <f t="shared" ca="1" si="116"/>
        <v>0</v>
      </c>
      <c r="AQ209">
        <f t="shared" ca="1" si="116"/>
        <v>0</v>
      </c>
    </row>
    <row r="210" spans="1:43" x14ac:dyDescent="0.25">
      <c r="A210">
        <f>1</f>
        <v>1</v>
      </c>
      <c r="B210" s="85">
        <f t="shared" si="106"/>
        <v>43998</v>
      </c>
      <c r="C210" s="85">
        <f t="shared" si="102"/>
        <v>43997</v>
      </c>
      <c r="D210">
        <f t="shared" ca="1" si="103"/>
        <v>1</v>
      </c>
      <c r="E210" s="85">
        <f t="shared" si="104"/>
        <v>43983</v>
      </c>
      <c r="F210">
        <f t="shared" si="105"/>
        <v>25</v>
      </c>
      <c r="M210">
        <v>8</v>
      </c>
      <c r="N210">
        <v>3</v>
      </c>
      <c r="O210" s="6">
        <f t="array" aca="1" ref="O210" ca="1">SUM(OFFSET($CO$43,0,($M210*3)+$N210,53,1)*O$43:O$95)</f>
        <v>0</v>
      </c>
      <c r="P210" s="6">
        <f t="array" aca="1" ref="P210" ca="1">SUM(OFFSET($CO$43,0,($M210*3)+$N210,53,1)*P$43:P$95)</f>
        <v>0</v>
      </c>
      <c r="Q210" s="6">
        <f t="array" aca="1" ref="Q210" ca="1">SUM(OFFSET($CO$43,0,($M210*3)+$N210,53,1)*Q$43:Q$95)</f>
        <v>0</v>
      </c>
      <c r="R210" s="6">
        <f t="array" aca="1" ref="R210" ca="1">SUM(OFFSET($CO$43,0,($M210*3)+$N210,53,1)*R$43:R$95)</f>
        <v>0</v>
      </c>
      <c r="S210" s="6">
        <f t="array" aca="1" ref="S210" ca="1">SUM(OFFSET($CO$43,0,($M210*3)+$N210,53,1)*S$43:S$95)</f>
        <v>0</v>
      </c>
      <c r="T210" s="6">
        <f t="array" aca="1" ref="T210" ca="1">SUM(OFFSET($CO$43,0,($M210*3)+$N210,53,1)*T$43:T$95)</f>
        <v>0</v>
      </c>
      <c r="U210" s="6">
        <f t="array" aca="1" ref="U210" ca="1">SUM(OFFSET($CO$43,0,($M210*3)+$N210,53,1)*U$43:U$95)</f>
        <v>0</v>
      </c>
      <c r="V210" s="6">
        <f t="array" aca="1" ref="V210" ca="1">SUM(OFFSET($CO$43,0,($M210*3)+$N210,53,1)*V$43:V$95)</f>
        <v>0</v>
      </c>
      <c r="W210" s="6">
        <f t="array" aca="1" ref="W210" ca="1">SUM(OFFSET($CO$43,0,($M210*3)+$N210,53,1)*W$43:W$95)</f>
        <v>0</v>
      </c>
      <c r="X210" s="6">
        <f t="array" aca="1" ref="X210" ca="1">SUM(OFFSET($CO$43,0,($M210*3)+$N210,53,1)*X$43:X$95)</f>
        <v>0</v>
      </c>
      <c r="Y210" s="6">
        <f t="array" aca="1" ref="Y210" ca="1">SUM(OFFSET($CO$43,0,($M210*3)+$N210,53,1)*Y$43:Y$95)</f>
        <v>0</v>
      </c>
      <c r="Z210" s="6">
        <f t="array" aca="1" ref="Z210" ca="1">SUM(OFFSET($CO$43,0,($M210*3)+$N210,53,1)*Z$43:Z$95)</f>
        <v>0</v>
      </c>
      <c r="AA210" s="6">
        <f t="shared" ca="1" si="109"/>
        <v>0</v>
      </c>
      <c r="AB210" s="6">
        <f t="shared" ca="1" si="111"/>
        <v>0</v>
      </c>
      <c r="AC210" s="8"/>
      <c r="AD210" s="8">
        <v>17</v>
      </c>
      <c r="AE210" t="str">
        <f t="shared" si="113"/>
        <v>New</v>
      </c>
      <c r="AF210">
        <f t="shared" ref="AF210:AQ214" ca="1" si="117">SUMIFS(O$171:O$173,$L$171:$L$173, $AE210)</f>
        <v>0</v>
      </c>
      <c r="AG210">
        <f t="shared" ca="1" si="117"/>
        <v>0</v>
      </c>
      <c r="AH210">
        <f t="shared" ca="1" si="117"/>
        <v>0</v>
      </c>
      <c r="AI210">
        <f t="shared" ca="1" si="117"/>
        <v>0</v>
      </c>
      <c r="AJ210">
        <f t="shared" ca="1" si="117"/>
        <v>0</v>
      </c>
      <c r="AK210">
        <f t="shared" ca="1" si="117"/>
        <v>0</v>
      </c>
      <c r="AL210">
        <f t="shared" ca="1" si="117"/>
        <v>0</v>
      </c>
      <c r="AM210">
        <f t="shared" ca="1" si="117"/>
        <v>0</v>
      </c>
      <c r="AN210">
        <f t="shared" ca="1" si="117"/>
        <v>0</v>
      </c>
      <c r="AO210">
        <f t="shared" ca="1" si="117"/>
        <v>0</v>
      </c>
      <c r="AP210">
        <f t="shared" ca="1" si="117"/>
        <v>0</v>
      </c>
      <c r="AQ210">
        <f t="shared" ca="1" si="117"/>
        <v>0</v>
      </c>
    </row>
    <row r="211" spans="1:43" x14ac:dyDescent="0.25">
      <c r="A211">
        <f>1</f>
        <v>1</v>
      </c>
      <c r="B211" s="85">
        <f t="shared" si="106"/>
        <v>43999</v>
      </c>
      <c r="C211" s="85">
        <f t="shared" si="102"/>
        <v>43997</v>
      </c>
      <c r="D211">
        <f t="shared" ca="1" si="103"/>
        <v>1</v>
      </c>
      <c r="E211" s="85">
        <f t="shared" si="104"/>
        <v>43983</v>
      </c>
      <c r="F211">
        <f t="shared" si="105"/>
        <v>25</v>
      </c>
      <c r="M211">
        <v>9</v>
      </c>
      <c r="N211">
        <v>1</v>
      </c>
      <c r="O211" s="6">
        <f t="array" aca="1" ref="O211" ca="1">SUM(OFFSET($CO$43,0,($M211*3)+$N211,53,1)*O$43:O$95)</f>
        <v>0</v>
      </c>
      <c r="P211" s="6">
        <f t="array" aca="1" ref="P211" ca="1">SUM(OFFSET($CO$43,0,($M211*3)+$N211,53,1)*P$43:P$95)</f>
        <v>0</v>
      </c>
      <c r="Q211" s="6">
        <f t="array" aca="1" ref="Q211" ca="1">SUM(OFFSET($CO$43,0,($M211*3)+$N211,53,1)*Q$43:Q$95)</f>
        <v>0</v>
      </c>
      <c r="R211" s="6">
        <f t="array" aca="1" ref="R211" ca="1">SUM(OFFSET($CO$43,0,($M211*3)+$N211,53,1)*R$43:R$95)</f>
        <v>0</v>
      </c>
      <c r="S211" s="6">
        <f t="array" aca="1" ref="S211" ca="1">SUM(OFFSET($CO$43,0,($M211*3)+$N211,53,1)*S$43:S$95)</f>
        <v>0</v>
      </c>
      <c r="T211" s="6">
        <f t="array" aca="1" ref="T211" ca="1">SUM(OFFSET($CO$43,0,($M211*3)+$N211,53,1)*T$43:T$95)</f>
        <v>0</v>
      </c>
      <c r="U211" s="6">
        <f t="array" aca="1" ref="U211" ca="1">SUM(OFFSET($CO$43,0,($M211*3)+$N211,53,1)*U$43:U$95)</f>
        <v>0</v>
      </c>
      <c r="V211" s="6">
        <f t="array" aca="1" ref="V211" ca="1">SUM(OFFSET($CO$43,0,($M211*3)+$N211,53,1)*V$43:V$95)</f>
        <v>0</v>
      </c>
      <c r="W211" s="6">
        <f t="array" aca="1" ref="W211" ca="1">SUM(OFFSET($CO$43,0,($M211*3)+$N211,53,1)*W$43:W$95)</f>
        <v>0</v>
      </c>
      <c r="X211" s="6">
        <f t="array" aca="1" ref="X211" ca="1">SUM(OFFSET($CO$43,0,($M211*3)+$N211,53,1)*X$43:X$95)</f>
        <v>0</v>
      </c>
      <c r="Y211" s="6">
        <f t="array" aca="1" ref="Y211" ca="1">SUM(OFFSET($CO$43,0,($M211*3)+$N211,53,1)*Y$43:Y$95)</f>
        <v>0</v>
      </c>
      <c r="Z211" s="6">
        <f t="array" aca="1" ref="Z211" ca="1">SUM(OFFSET($CO$43,0,($M211*3)+$N211,53,1)*Z$43:Z$95)</f>
        <v>0</v>
      </c>
      <c r="AA211" s="6">
        <f t="shared" ca="1" si="109"/>
        <v>0</v>
      </c>
      <c r="AB211" s="6">
        <f t="shared" ca="1" si="111"/>
        <v>0</v>
      </c>
      <c r="AC211" s="8"/>
      <c r="AD211" s="8" t="s">
        <v>1227</v>
      </c>
      <c r="AE211" t="str">
        <f t="shared" si="113"/>
        <v>Diagnostic (N)</v>
      </c>
      <c r="AF211">
        <f t="shared" ca="1" si="117"/>
        <v>0</v>
      </c>
      <c r="AG211">
        <f t="shared" ca="1" si="117"/>
        <v>0</v>
      </c>
      <c r="AH211">
        <f t="shared" ca="1" si="117"/>
        <v>0</v>
      </c>
      <c r="AI211">
        <f t="shared" ca="1" si="117"/>
        <v>0</v>
      </c>
      <c r="AJ211">
        <f t="shared" ca="1" si="117"/>
        <v>0</v>
      </c>
      <c r="AK211">
        <f t="shared" ca="1" si="117"/>
        <v>0</v>
      </c>
      <c r="AL211">
        <f t="shared" ca="1" si="117"/>
        <v>0</v>
      </c>
      <c r="AM211">
        <f t="shared" ca="1" si="117"/>
        <v>0</v>
      </c>
      <c r="AN211">
        <f t="shared" ca="1" si="117"/>
        <v>0</v>
      </c>
      <c r="AO211">
        <f t="shared" ca="1" si="117"/>
        <v>0</v>
      </c>
      <c r="AP211">
        <f t="shared" ca="1" si="117"/>
        <v>0</v>
      </c>
      <c r="AQ211">
        <f t="shared" ca="1" si="117"/>
        <v>0</v>
      </c>
    </row>
    <row r="212" spans="1:43" x14ac:dyDescent="0.25">
      <c r="A212">
        <f>1</f>
        <v>1</v>
      </c>
      <c r="B212" s="85">
        <f t="shared" si="106"/>
        <v>44000</v>
      </c>
      <c r="C212" s="85">
        <f t="shared" si="102"/>
        <v>43997</v>
      </c>
      <c r="D212">
        <f t="shared" ca="1" si="103"/>
        <v>1</v>
      </c>
      <c r="E212" s="85">
        <f t="shared" si="104"/>
        <v>43983</v>
      </c>
      <c r="F212">
        <f t="shared" si="105"/>
        <v>25</v>
      </c>
      <c r="M212">
        <v>9</v>
      </c>
      <c r="N212">
        <v>2</v>
      </c>
      <c r="O212" s="6">
        <f t="array" aca="1" ref="O212" ca="1">SUM(OFFSET($CO$43,0,($M212*3)+$N212,53,1)*O$43:O$95)</f>
        <v>0</v>
      </c>
      <c r="P212" s="6">
        <f t="array" aca="1" ref="P212" ca="1">SUM(OFFSET($CO$43,0,($M212*3)+$N212,53,1)*P$43:P$95)</f>
        <v>0</v>
      </c>
      <c r="Q212" s="6">
        <f t="array" aca="1" ref="Q212" ca="1">SUM(OFFSET($CO$43,0,($M212*3)+$N212,53,1)*Q$43:Q$95)</f>
        <v>0</v>
      </c>
      <c r="R212" s="6">
        <f t="array" aca="1" ref="R212" ca="1">SUM(OFFSET($CO$43,0,($M212*3)+$N212,53,1)*R$43:R$95)</f>
        <v>0</v>
      </c>
      <c r="S212" s="6">
        <f t="array" aca="1" ref="S212" ca="1">SUM(OFFSET($CO$43,0,($M212*3)+$N212,53,1)*S$43:S$95)</f>
        <v>0</v>
      </c>
      <c r="T212" s="6">
        <f t="array" aca="1" ref="T212" ca="1">SUM(OFFSET($CO$43,0,($M212*3)+$N212,53,1)*T$43:T$95)</f>
        <v>0</v>
      </c>
      <c r="U212" s="6">
        <f t="array" aca="1" ref="U212" ca="1">SUM(OFFSET($CO$43,0,($M212*3)+$N212,53,1)*U$43:U$95)</f>
        <v>0</v>
      </c>
      <c r="V212" s="6">
        <f t="array" aca="1" ref="V212" ca="1">SUM(OFFSET($CO$43,0,($M212*3)+$N212,53,1)*V$43:V$95)</f>
        <v>0</v>
      </c>
      <c r="W212" s="6">
        <f t="array" aca="1" ref="W212" ca="1">SUM(OFFSET($CO$43,0,($M212*3)+$N212,53,1)*W$43:W$95)</f>
        <v>0</v>
      </c>
      <c r="X212" s="6">
        <f t="array" aca="1" ref="X212" ca="1">SUM(OFFSET($CO$43,0,($M212*3)+$N212,53,1)*X$43:X$95)</f>
        <v>0</v>
      </c>
      <c r="Y212" s="6">
        <f t="array" aca="1" ref="Y212" ca="1">SUM(OFFSET($CO$43,0,($M212*3)+$N212,53,1)*Y$43:Y$95)</f>
        <v>0</v>
      </c>
      <c r="Z212" s="6">
        <f t="array" aca="1" ref="Z212" ca="1">SUM(OFFSET($CO$43,0,($M212*3)+$N212,53,1)*Z$43:Z$95)</f>
        <v>0</v>
      </c>
      <c r="AA212" s="6">
        <f t="shared" ca="1" si="109"/>
        <v>0</v>
      </c>
      <c r="AB212" s="6">
        <f t="shared" ca="1" si="111"/>
        <v>0</v>
      </c>
      <c r="AC212" s="8"/>
      <c r="AD212" s="8" t="s">
        <v>1227</v>
      </c>
      <c r="AE212" t="str">
        <f t="shared" si="113"/>
        <v>Follow Up</v>
      </c>
      <c r="AF212">
        <f t="shared" ca="1" si="117"/>
        <v>0</v>
      </c>
      <c r="AG212">
        <f t="shared" ca="1" si="117"/>
        <v>0</v>
      </c>
      <c r="AH212">
        <f t="shared" ca="1" si="117"/>
        <v>0</v>
      </c>
      <c r="AI212">
        <f t="shared" ca="1" si="117"/>
        <v>0</v>
      </c>
      <c r="AJ212">
        <f t="shared" ca="1" si="117"/>
        <v>0</v>
      </c>
      <c r="AK212">
        <f t="shared" ca="1" si="117"/>
        <v>0</v>
      </c>
      <c r="AL212">
        <f t="shared" ca="1" si="117"/>
        <v>0</v>
      </c>
      <c r="AM212">
        <f t="shared" ca="1" si="117"/>
        <v>0</v>
      </c>
      <c r="AN212">
        <f t="shared" ca="1" si="117"/>
        <v>0</v>
      </c>
      <c r="AO212">
        <f t="shared" ca="1" si="117"/>
        <v>0</v>
      </c>
      <c r="AP212">
        <f t="shared" ca="1" si="117"/>
        <v>0</v>
      </c>
      <c r="AQ212">
        <f t="shared" ca="1" si="117"/>
        <v>0</v>
      </c>
    </row>
    <row r="213" spans="1:43" x14ac:dyDescent="0.25">
      <c r="A213">
        <f>1</f>
        <v>1</v>
      </c>
      <c r="B213" s="85">
        <f t="shared" si="106"/>
        <v>44001</v>
      </c>
      <c r="C213" s="85">
        <f t="shared" si="102"/>
        <v>43997</v>
      </c>
      <c r="D213">
        <f t="shared" ca="1" si="103"/>
        <v>1</v>
      </c>
      <c r="E213" s="85">
        <f t="shared" si="104"/>
        <v>43983</v>
      </c>
      <c r="F213">
        <f t="shared" si="105"/>
        <v>25</v>
      </c>
      <c r="M213">
        <v>9</v>
      </c>
      <c r="N213">
        <v>3</v>
      </c>
      <c r="O213" s="6">
        <f t="array" aca="1" ref="O213" ca="1">SUM(OFFSET($CO$43,0,($M213*3)+$N213,53,1)*O$43:O$95)</f>
        <v>0</v>
      </c>
      <c r="P213" s="6">
        <f t="array" aca="1" ref="P213" ca="1">SUM(OFFSET($CO$43,0,($M213*3)+$N213,53,1)*P$43:P$95)</f>
        <v>0</v>
      </c>
      <c r="Q213" s="6">
        <f t="array" aca="1" ref="Q213" ca="1">SUM(OFFSET($CO$43,0,($M213*3)+$N213,53,1)*Q$43:Q$95)</f>
        <v>0</v>
      </c>
      <c r="R213" s="6">
        <f t="array" aca="1" ref="R213" ca="1">SUM(OFFSET($CO$43,0,($M213*3)+$N213,53,1)*R$43:R$95)</f>
        <v>0</v>
      </c>
      <c r="S213" s="6">
        <f t="array" aca="1" ref="S213" ca="1">SUM(OFFSET($CO$43,0,($M213*3)+$N213,53,1)*S$43:S$95)</f>
        <v>0</v>
      </c>
      <c r="T213" s="6">
        <f t="array" aca="1" ref="T213" ca="1">SUM(OFFSET($CO$43,0,($M213*3)+$N213,53,1)*T$43:T$95)</f>
        <v>0</v>
      </c>
      <c r="U213" s="6">
        <f t="array" aca="1" ref="U213" ca="1">SUM(OFFSET($CO$43,0,($M213*3)+$N213,53,1)*U$43:U$95)</f>
        <v>0</v>
      </c>
      <c r="V213" s="6">
        <f t="array" aca="1" ref="V213" ca="1">SUM(OFFSET($CO$43,0,($M213*3)+$N213,53,1)*V$43:V$95)</f>
        <v>0</v>
      </c>
      <c r="W213" s="6">
        <f t="array" aca="1" ref="W213" ca="1">SUM(OFFSET($CO$43,0,($M213*3)+$N213,53,1)*W$43:W$95)</f>
        <v>0</v>
      </c>
      <c r="X213" s="6">
        <f t="array" aca="1" ref="X213" ca="1">SUM(OFFSET($CO$43,0,($M213*3)+$N213,53,1)*X$43:X$95)</f>
        <v>0</v>
      </c>
      <c r="Y213" s="6">
        <f t="array" aca="1" ref="Y213" ca="1">SUM(OFFSET($CO$43,0,($M213*3)+$N213,53,1)*Y$43:Y$95)</f>
        <v>0</v>
      </c>
      <c r="Z213" s="6">
        <f t="array" aca="1" ref="Z213" ca="1">SUM(OFFSET($CO$43,0,($M213*3)+$N213,53,1)*Z$43:Z$95)</f>
        <v>0</v>
      </c>
      <c r="AA213" s="6">
        <f t="shared" ca="1" si="109"/>
        <v>0</v>
      </c>
      <c r="AB213" s="6">
        <f t="shared" ca="1" si="111"/>
        <v>0</v>
      </c>
      <c r="AC213" s="8"/>
      <c r="AD213" s="8" t="s">
        <v>1227</v>
      </c>
      <c r="AE213" t="str">
        <f t="shared" si="113"/>
        <v>Diagnostic (FU)</v>
      </c>
      <c r="AF213">
        <f t="shared" ca="1" si="117"/>
        <v>0</v>
      </c>
      <c r="AG213">
        <f t="shared" ca="1" si="117"/>
        <v>0</v>
      </c>
      <c r="AH213">
        <f t="shared" ca="1" si="117"/>
        <v>0</v>
      </c>
      <c r="AI213">
        <f t="shared" ca="1" si="117"/>
        <v>0</v>
      </c>
      <c r="AJ213">
        <f t="shared" ca="1" si="117"/>
        <v>0</v>
      </c>
      <c r="AK213">
        <f t="shared" ca="1" si="117"/>
        <v>0</v>
      </c>
      <c r="AL213">
        <f t="shared" ca="1" si="117"/>
        <v>0</v>
      </c>
      <c r="AM213">
        <f t="shared" ca="1" si="117"/>
        <v>0</v>
      </c>
      <c r="AN213">
        <f t="shared" ca="1" si="117"/>
        <v>0</v>
      </c>
      <c r="AO213">
        <f t="shared" ca="1" si="117"/>
        <v>0</v>
      </c>
      <c r="AP213">
        <f t="shared" ca="1" si="117"/>
        <v>0</v>
      </c>
      <c r="AQ213">
        <f t="shared" ca="1" si="117"/>
        <v>0</v>
      </c>
    </row>
    <row r="214" spans="1:43" x14ac:dyDescent="0.25">
      <c r="A214">
        <f>1</f>
        <v>1</v>
      </c>
      <c r="B214" s="85">
        <f t="shared" si="106"/>
        <v>44002</v>
      </c>
      <c r="C214" s="85">
        <f t="shared" si="102"/>
        <v>43997</v>
      </c>
      <c r="D214">
        <f t="shared" ca="1" si="103"/>
        <v>0</v>
      </c>
      <c r="E214" s="85">
        <f t="shared" si="104"/>
        <v>43983</v>
      </c>
      <c r="F214">
        <f t="shared" si="105"/>
        <v>25</v>
      </c>
      <c r="M214">
        <v>10</v>
      </c>
      <c r="N214">
        <v>1</v>
      </c>
      <c r="O214" s="6">
        <f t="array" aca="1" ref="O214" ca="1">SUM(OFFSET($CO$43,0,($M214*3)+$N214,53,1)*O$43:O$95)</f>
        <v>0</v>
      </c>
      <c r="P214" s="6">
        <f t="array" aca="1" ref="P214" ca="1">SUM(OFFSET($CO$43,0,($M214*3)+$N214,53,1)*P$43:P$95)</f>
        <v>0</v>
      </c>
      <c r="Q214" s="6">
        <f t="array" aca="1" ref="Q214" ca="1">SUM(OFFSET($CO$43,0,($M214*3)+$N214,53,1)*Q$43:Q$95)</f>
        <v>0</v>
      </c>
      <c r="R214" s="6">
        <f t="array" aca="1" ref="R214" ca="1">SUM(OFFSET($CO$43,0,($M214*3)+$N214,53,1)*R$43:R$95)</f>
        <v>0</v>
      </c>
      <c r="S214" s="6">
        <f t="array" aca="1" ref="S214" ca="1">SUM(OFFSET($CO$43,0,($M214*3)+$N214,53,1)*S$43:S$95)</f>
        <v>0</v>
      </c>
      <c r="T214" s="6">
        <f t="array" aca="1" ref="T214" ca="1">SUM(OFFSET($CO$43,0,($M214*3)+$N214,53,1)*T$43:T$95)</f>
        <v>0</v>
      </c>
      <c r="U214" s="6">
        <f t="array" aca="1" ref="U214" ca="1">SUM(OFFSET($CO$43,0,($M214*3)+$N214,53,1)*U$43:U$95)</f>
        <v>0</v>
      </c>
      <c r="V214" s="6">
        <f t="array" aca="1" ref="V214" ca="1">SUM(OFFSET($CO$43,0,($M214*3)+$N214,53,1)*V$43:V$95)</f>
        <v>0</v>
      </c>
      <c r="W214" s="6">
        <f t="array" aca="1" ref="W214" ca="1">SUM(OFFSET($CO$43,0,($M214*3)+$N214,53,1)*W$43:W$95)</f>
        <v>0</v>
      </c>
      <c r="X214" s="6">
        <f t="array" aca="1" ref="X214" ca="1">SUM(OFFSET($CO$43,0,($M214*3)+$N214,53,1)*X$43:X$95)</f>
        <v>0</v>
      </c>
      <c r="Y214" s="6">
        <f t="array" aca="1" ref="Y214" ca="1">SUM(OFFSET($CO$43,0,($M214*3)+$N214,53,1)*Y$43:Y$95)</f>
        <v>0</v>
      </c>
      <c r="Z214" s="6">
        <f t="array" aca="1" ref="Z214" ca="1">SUM(OFFSET($CO$43,0,($M214*3)+$N214,53,1)*Z$43:Z$95)</f>
        <v>0</v>
      </c>
      <c r="AA214" s="6">
        <f t="shared" ca="1" si="109"/>
        <v>0</v>
      </c>
      <c r="AB214" s="6">
        <f t="shared" ca="1" si="111"/>
        <v>0</v>
      </c>
      <c r="AC214" s="8"/>
      <c r="AD214" s="8" t="s">
        <v>1227</v>
      </c>
      <c r="AE214" t="str">
        <f t="shared" si="113"/>
        <v>Admission</v>
      </c>
      <c r="AF214">
        <f t="shared" ca="1" si="117"/>
        <v>0</v>
      </c>
      <c r="AG214">
        <f t="shared" ca="1" si="117"/>
        <v>0</v>
      </c>
      <c r="AH214">
        <f t="shared" ca="1" si="117"/>
        <v>0</v>
      </c>
      <c r="AI214">
        <f t="shared" ca="1" si="117"/>
        <v>0</v>
      </c>
      <c r="AJ214">
        <f t="shared" ca="1" si="117"/>
        <v>0</v>
      </c>
      <c r="AK214">
        <f t="shared" ca="1" si="117"/>
        <v>0</v>
      </c>
      <c r="AL214">
        <f t="shared" ca="1" si="117"/>
        <v>0</v>
      </c>
      <c r="AM214">
        <f t="shared" ca="1" si="117"/>
        <v>0</v>
      </c>
      <c r="AN214">
        <f t="shared" ca="1" si="117"/>
        <v>0</v>
      </c>
      <c r="AO214">
        <f t="shared" ca="1" si="117"/>
        <v>0</v>
      </c>
      <c r="AP214">
        <f t="shared" ca="1" si="117"/>
        <v>0</v>
      </c>
      <c r="AQ214">
        <f t="shared" ca="1" si="117"/>
        <v>0</v>
      </c>
    </row>
    <row r="215" spans="1:43" x14ac:dyDescent="0.25">
      <c r="A215">
        <f>1</f>
        <v>1</v>
      </c>
      <c r="B215" s="85">
        <f t="shared" si="106"/>
        <v>44003</v>
      </c>
      <c r="C215" s="85">
        <f t="shared" si="102"/>
        <v>43997</v>
      </c>
      <c r="D215">
        <f t="shared" ca="1" si="103"/>
        <v>0</v>
      </c>
      <c r="E215" s="85">
        <f t="shared" si="104"/>
        <v>43983</v>
      </c>
      <c r="F215">
        <f t="shared" si="105"/>
        <v>25</v>
      </c>
      <c r="M215">
        <v>10</v>
      </c>
      <c r="N215">
        <v>2</v>
      </c>
      <c r="O215" s="6">
        <f t="array" aca="1" ref="O215" ca="1">SUM(OFFSET($CO$43,0,($M215*3)+$N215,53,1)*O$43:O$95)</f>
        <v>0</v>
      </c>
      <c r="P215" s="6">
        <f t="array" aca="1" ref="P215" ca="1">SUM(OFFSET($CO$43,0,($M215*3)+$N215,53,1)*P$43:P$95)</f>
        <v>0</v>
      </c>
      <c r="Q215" s="6">
        <f t="array" aca="1" ref="Q215" ca="1">SUM(OFFSET($CO$43,0,($M215*3)+$N215,53,1)*Q$43:Q$95)</f>
        <v>0</v>
      </c>
      <c r="R215" s="6">
        <f t="array" aca="1" ref="R215" ca="1">SUM(OFFSET($CO$43,0,($M215*3)+$N215,53,1)*R$43:R$95)</f>
        <v>0</v>
      </c>
      <c r="S215" s="6">
        <f t="array" aca="1" ref="S215" ca="1">SUM(OFFSET($CO$43,0,($M215*3)+$N215,53,1)*S$43:S$95)</f>
        <v>0</v>
      </c>
      <c r="T215" s="6">
        <f t="array" aca="1" ref="T215" ca="1">SUM(OFFSET($CO$43,0,($M215*3)+$N215,53,1)*T$43:T$95)</f>
        <v>0</v>
      </c>
      <c r="U215" s="6">
        <f t="array" aca="1" ref="U215" ca="1">SUM(OFFSET($CO$43,0,($M215*3)+$N215,53,1)*U$43:U$95)</f>
        <v>0</v>
      </c>
      <c r="V215" s="6">
        <f t="array" aca="1" ref="V215" ca="1">SUM(OFFSET($CO$43,0,($M215*3)+$N215,53,1)*V$43:V$95)</f>
        <v>0</v>
      </c>
      <c r="W215" s="6">
        <f t="array" aca="1" ref="W215" ca="1">SUM(OFFSET($CO$43,0,($M215*3)+$N215,53,1)*W$43:W$95)</f>
        <v>0</v>
      </c>
      <c r="X215" s="6">
        <f t="array" aca="1" ref="X215" ca="1">SUM(OFFSET($CO$43,0,($M215*3)+$N215,53,1)*X$43:X$95)</f>
        <v>0</v>
      </c>
      <c r="Y215" s="6">
        <f t="array" aca="1" ref="Y215" ca="1">SUM(OFFSET($CO$43,0,($M215*3)+$N215,53,1)*Y$43:Y$95)</f>
        <v>0</v>
      </c>
      <c r="Z215" s="6">
        <f t="array" aca="1" ref="Z215" ca="1">SUM(OFFSET($CO$43,0,($M215*3)+$N215,53,1)*Z$43:Z$95)</f>
        <v>0</v>
      </c>
      <c r="AA215" s="6">
        <f t="shared" ca="1" si="109"/>
        <v>0</v>
      </c>
      <c r="AB215" s="6">
        <f t="shared" ca="1" si="111"/>
        <v>0</v>
      </c>
      <c r="AC215" s="8"/>
      <c r="AD215" s="8">
        <v>18</v>
      </c>
      <c r="AE215" t="str">
        <f t="shared" si="113"/>
        <v>New</v>
      </c>
      <c r="AF215">
        <f t="shared" ref="AF215:AQ219" ca="1" si="118">SUMIFS(O$174:O$176,$L$174:$L$176, $AE215)</f>
        <v>0</v>
      </c>
      <c r="AG215">
        <f t="shared" ca="1" si="118"/>
        <v>0</v>
      </c>
      <c r="AH215">
        <f t="shared" ca="1" si="118"/>
        <v>0</v>
      </c>
      <c r="AI215">
        <f t="shared" ca="1" si="118"/>
        <v>0</v>
      </c>
      <c r="AJ215">
        <f t="shared" ca="1" si="118"/>
        <v>0</v>
      </c>
      <c r="AK215">
        <f t="shared" ca="1" si="118"/>
        <v>0</v>
      </c>
      <c r="AL215">
        <f t="shared" ca="1" si="118"/>
        <v>0</v>
      </c>
      <c r="AM215">
        <f t="shared" ca="1" si="118"/>
        <v>0</v>
      </c>
      <c r="AN215">
        <f t="shared" ca="1" si="118"/>
        <v>0</v>
      </c>
      <c r="AO215">
        <f t="shared" ca="1" si="118"/>
        <v>0</v>
      </c>
      <c r="AP215">
        <f t="shared" ca="1" si="118"/>
        <v>0</v>
      </c>
      <c r="AQ215">
        <f t="shared" ca="1" si="118"/>
        <v>0</v>
      </c>
    </row>
    <row r="216" spans="1:43" x14ac:dyDescent="0.25">
      <c r="A216">
        <f>1</f>
        <v>1</v>
      </c>
      <c r="B216" s="85">
        <f t="shared" si="106"/>
        <v>44004</v>
      </c>
      <c r="C216" s="85">
        <f t="shared" si="102"/>
        <v>44004</v>
      </c>
      <c r="D216">
        <f t="shared" ca="1" si="103"/>
        <v>1</v>
      </c>
      <c r="E216" s="85">
        <f t="shared" si="104"/>
        <v>43983</v>
      </c>
      <c r="F216">
        <f t="shared" si="105"/>
        <v>26</v>
      </c>
      <c r="M216">
        <v>10</v>
      </c>
      <c r="N216">
        <v>3</v>
      </c>
      <c r="O216" s="6">
        <f t="array" aca="1" ref="O216" ca="1">SUM(OFFSET($CO$43,0,($M216*3)+$N216,53,1)*O$43:O$95)</f>
        <v>0</v>
      </c>
      <c r="P216" s="6">
        <f t="array" aca="1" ref="P216" ca="1">SUM(OFFSET($CO$43,0,($M216*3)+$N216,53,1)*P$43:P$95)</f>
        <v>0</v>
      </c>
      <c r="Q216" s="6">
        <f t="array" aca="1" ref="Q216" ca="1">SUM(OFFSET($CO$43,0,($M216*3)+$N216,53,1)*Q$43:Q$95)</f>
        <v>0</v>
      </c>
      <c r="R216" s="6">
        <f t="array" aca="1" ref="R216" ca="1">SUM(OFFSET($CO$43,0,($M216*3)+$N216,53,1)*R$43:R$95)</f>
        <v>0</v>
      </c>
      <c r="S216" s="6">
        <f t="array" aca="1" ref="S216" ca="1">SUM(OFFSET($CO$43,0,($M216*3)+$N216,53,1)*S$43:S$95)</f>
        <v>0</v>
      </c>
      <c r="T216" s="6">
        <f t="array" aca="1" ref="T216" ca="1">SUM(OFFSET($CO$43,0,($M216*3)+$N216,53,1)*T$43:T$95)</f>
        <v>0</v>
      </c>
      <c r="U216" s="6">
        <f t="array" aca="1" ref="U216" ca="1">SUM(OFFSET($CO$43,0,($M216*3)+$N216,53,1)*U$43:U$95)</f>
        <v>0</v>
      </c>
      <c r="V216" s="6">
        <f t="array" aca="1" ref="V216" ca="1">SUM(OFFSET($CO$43,0,($M216*3)+$N216,53,1)*V$43:V$95)</f>
        <v>0</v>
      </c>
      <c r="W216" s="6">
        <f t="array" aca="1" ref="W216" ca="1">SUM(OFFSET($CO$43,0,($M216*3)+$N216,53,1)*W$43:W$95)</f>
        <v>0</v>
      </c>
      <c r="X216" s="6">
        <f t="array" aca="1" ref="X216" ca="1">SUM(OFFSET($CO$43,0,($M216*3)+$N216,53,1)*X$43:X$95)</f>
        <v>0</v>
      </c>
      <c r="Y216" s="6">
        <f t="array" aca="1" ref="Y216" ca="1">SUM(OFFSET($CO$43,0,($M216*3)+$N216,53,1)*Y$43:Y$95)</f>
        <v>0</v>
      </c>
      <c r="Z216" s="6">
        <f t="array" aca="1" ref="Z216" ca="1">SUM(OFFSET($CO$43,0,($M216*3)+$N216,53,1)*Z$43:Z$95)</f>
        <v>0</v>
      </c>
      <c r="AA216" s="6">
        <f t="shared" ref="AA216:AA243" ca="1" si="119">SUM(O216:Z216)</f>
        <v>0</v>
      </c>
      <c r="AB216" s="6">
        <f t="shared" ca="1" si="111"/>
        <v>0</v>
      </c>
      <c r="AC216" s="8"/>
      <c r="AD216" s="8" t="s">
        <v>1227</v>
      </c>
      <c r="AE216" t="str">
        <f t="shared" si="113"/>
        <v>Diagnostic (N)</v>
      </c>
      <c r="AF216">
        <f t="shared" ca="1" si="118"/>
        <v>0</v>
      </c>
      <c r="AG216">
        <f t="shared" ca="1" si="118"/>
        <v>0</v>
      </c>
      <c r="AH216">
        <f t="shared" ca="1" si="118"/>
        <v>0</v>
      </c>
      <c r="AI216">
        <f t="shared" ca="1" si="118"/>
        <v>0</v>
      </c>
      <c r="AJ216">
        <f t="shared" ca="1" si="118"/>
        <v>0</v>
      </c>
      <c r="AK216">
        <f t="shared" ca="1" si="118"/>
        <v>0</v>
      </c>
      <c r="AL216">
        <f t="shared" ca="1" si="118"/>
        <v>0</v>
      </c>
      <c r="AM216">
        <f t="shared" ca="1" si="118"/>
        <v>0</v>
      </c>
      <c r="AN216">
        <f t="shared" ca="1" si="118"/>
        <v>0</v>
      </c>
      <c r="AO216">
        <f t="shared" ca="1" si="118"/>
        <v>0</v>
      </c>
      <c r="AP216">
        <f t="shared" ca="1" si="118"/>
        <v>0</v>
      </c>
      <c r="AQ216">
        <f t="shared" ca="1" si="118"/>
        <v>0</v>
      </c>
    </row>
    <row r="217" spans="1:43" x14ac:dyDescent="0.25">
      <c r="A217">
        <f>1</f>
        <v>1</v>
      </c>
      <c r="B217" s="85">
        <f t="shared" si="106"/>
        <v>44005</v>
      </c>
      <c r="C217" s="85">
        <f t="shared" si="102"/>
        <v>44004</v>
      </c>
      <c r="D217">
        <f t="shared" ca="1" si="103"/>
        <v>1</v>
      </c>
      <c r="E217" s="85">
        <f t="shared" si="104"/>
        <v>43983</v>
      </c>
      <c r="F217">
        <f t="shared" si="105"/>
        <v>26</v>
      </c>
      <c r="M217">
        <v>11</v>
      </c>
      <c r="N217">
        <v>1</v>
      </c>
      <c r="O217" s="6">
        <f t="array" aca="1" ref="O217" ca="1">SUM(OFFSET($CO$43,0,($M217*3)+$N217,53,1)*O$43:O$95)</f>
        <v>0</v>
      </c>
      <c r="P217" s="6">
        <f t="array" aca="1" ref="P217" ca="1">SUM(OFFSET($CO$43,0,($M217*3)+$N217,53,1)*P$43:P$95)</f>
        <v>0</v>
      </c>
      <c r="Q217" s="6">
        <f t="array" aca="1" ref="Q217" ca="1">SUM(OFFSET($CO$43,0,($M217*3)+$N217,53,1)*Q$43:Q$95)</f>
        <v>0</v>
      </c>
      <c r="R217" s="6">
        <f t="array" aca="1" ref="R217" ca="1">SUM(OFFSET($CO$43,0,($M217*3)+$N217,53,1)*R$43:R$95)</f>
        <v>0</v>
      </c>
      <c r="S217" s="6">
        <f t="array" aca="1" ref="S217" ca="1">SUM(OFFSET($CO$43,0,($M217*3)+$N217,53,1)*S$43:S$95)</f>
        <v>0</v>
      </c>
      <c r="T217" s="6">
        <f t="array" aca="1" ref="T217" ca="1">SUM(OFFSET($CO$43,0,($M217*3)+$N217,53,1)*T$43:T$95)</f>
        <v>0</v>
      </c>
      <c r="U217" s="6">
        <f t="array" aca="1" ref="U217" ca="1">SUM(OFFSET($CO$43,0,($M217*3)+$N217,53,1)*U$43:U$95)</f>
        <v>0</v>
      </c>
      <c r="V217" s="6">
        <f t="array" aca="1" ref="V217" ca="1">SUM(OFFSET($CO$43,0,($M217*3)+$N217,53,1)*V$43:V$95)</f>
        <v>0</v>
      </c>
      <c r="W217" s="6">
        <f t="array" aca="1" ref="W217" ca="1">SUM(OFFSET($CO$43,0,($M217*3)+$N217,53,1)*W$43:W$95)</f>
        <v>0</v>
      </c>
      <c r="X217" s="6">
        <f t="array" aca="1" ref="X217" ca="1">SUM(OFFSET($CO$43,0,($M217*3)+$N217,53,1)*X$43:X$95)</f>
        <v>0</v>
      </c>
      <c r="Y217" s="6">
        <f t="array" aca="1" ref="Y217" ca="1">SUM(OFFSET($CO$43,0,($M217*3)+$N217,53,1)*Y$43:Y$95)</f>
        <v>0</v>
      </c>
      <c r="Z217" s="6">
        <f t="array" aca="1" ref="Z217" ca="1">SUM(OFFSET($CO$43,0,($M217*3)+$N217,53,1)*Z$43:Z$95)</f>
        <v>0</v>
      </c>
      <c r="AA217" s="6">
        <f t="shared" ca="1" si="119"/>
        <v>0</v>
      </c>
      <c r="AB217" s="6">
        <f t="shared" ca="1" si="111"/>
        <v>0</v>
      </c>
      <c r="AC217" s="8"/>
      <c r="AD217" s="8" t="s">
        <v>1227</v>
      </c>
      <c r="AE217" t="str">
        <f t="shared" si="113"/>
        <v>Follow Up</v>
      </c>
      <c r="AF217">
        <f t="shared" ca="1" si="118"/>
        <v>0</v>
      </c>
      <c r="AG217">
        <f t="shared" ca="1" si="118"/>
        <v>0</v>
      </c>
      <c r="AH217">
        <f t="shared" ca="1" si="118"/>
        <v>0</v>
      </c>
      <c r="AI217">
        <f t="shared" ca="1" si="118"/>
        <v>0</v>
      </c>
      <c r="AJ217">
        <f t="shared" ca="1" si="118"/>
        <v>0</v>
      </c>
      <c r="AK217">
        <f t="shared" ca="1" si="118"/>
        <v>0</v>
      </c>
      <c r="AL217">
        <f t="shared" ca="1" si="118"/>
        <v>0</v>
      </c>
      <c r="AM217">
        <f t="shared" ca="1" si="118"/>
        <v>0</v>
      </c>
      <c r="AN217">
        <f t="shared" ca="1" si="118"/>
        <v>0</v>
      </c>
      <c r="AO217">
        <f t="shared" ca="1" si="118"/>
        <v>0</v>
      </c>
      <c r="AP217">
        <f t="shared" ca="1" si="118"/>
        <v>0</v>
      </c>
      <c r="AQ217">
        <f t="shared" ca="1" si="118"/>
        <v>0</v>
      </c>
    </row>
    <row r="218" spans="1:43" x14ac:dyDescent="0.25">
      <c r="A218">
        <f>1</f>
        <v>1</v>
      </c>
      <c r="B218" s="85">
        <f t="shared" si="106"/>
        <v>44006</v>
      </c>
      <c r="C218" s="85">
        <f t="shared" si="102"/>
        <v>44004</v>
      </c>
      <c r="D218">
        <f t="shared" ca="1" si="103"/>
        <v>1</v>
      </c>
      <c r="E218" s="85">
        <f t="shared" si="104"/>
        <v>43983</v>
      </c>
      <c r="F218">
        <f t="shared" si="105"/>
        <v>26</v>
      </c>
      <c r="M218">
        <v>11</v>
      </c>
      <c r="N218">
        <v>2</v>
      </c>
      <c r="O218" s="6">
        <f t="array" aca="1" ref="O218" ca="1">SUM(OFFSET($CO$43,0,($M218*3)+$N218,53,1)*O$43:O$95)</f>
        <v>0</v>
      </c>
      <c r="P218" s="6">
        <f t="array" aca="1" ref="P218" ca="1">SUM(OFFSET($CO$43,0,($M218*3)+$N218,53,1)*P$43:P$95)</f>
        <v>0</v>
      </c>
      <c r="Q218" s="6">
        <f t="array" aca="1" ref="Q218" ca="1">SUM(OFFSET($CO$43,0,($M218*3)+$N218,53,1)*Q$43:Q$95)</f>
        <v>0</v>
      </c>
      <c r="R218" s="6">
        <f t="array" aca="1" ref="R218" ca="1">SUM(OFFSET($CO$43,0,($M218*3)+$N218,53,1)*R$43:R$95)</f>
        <v>0</v>
      </c>
      <c r="S218" s="6">
        <f t="array" aca="1" ref="S218" ca="1">SUM(OFFSET($CO$43,0,($M218*3)+$N218,53,1)*S$43:S$95)</f>
        <v>0</v>
      </c>
      <c r="T218" s="6">
        <f t="array" aca="1" ref="T218" ca="1">SUM(OFFSET($CO$43,0,($M218*3)+$N218,53,1)*T$43:T$95)</f>
        <v>0</v>
      </c>
      <c r="U218" s="6">
        <f t="array" aca="1" ref="U218" ca="1">SUM(OFFSET($CO$43,0,($M218*3)+$N218,53,1)*U$43:U$95)</f>
        <v>0</v>
      </c>
      <c r="V218" s="6">
        <f t="array" aca="1" ref="V218" ca="1">SUM(OFFSET($CO$43,0,($M218*3)+$N218,53,1)*V$43:V$95)</f>
        <v>0</v>
      </c>
      <c r="W218" s="6">
        <f t="array" aca="1" ref="W218" ca="1">SUM(OFFSET($CO$43,0,($M218*3)+$N218,53,1)*W$43:W$95)</f>
        <v>0</v>
      </c>
      <c r="X218" s="6">
        <f t="array" aca="1" ref="X218" ca="1">SUM(OFFSET($CO$43,0,($M218*3)+$N218,53,1)*X$43:X$95)</f>
        <v>0</v>
      </c>
      <c r="Y218" s="6">
        <f t="array" aca="1" ref="Y218" ca="1">SUM(OFFSET($CO$43,0,($M218*3)+$N218,53,1)*Y$43:Y$95)</f>
        <v>0</v>
      </c>
      <c r="Z218" s="6">
        <f t="array" aca="1" ref="Z218" ca="1">SUM(OFFSET($CO$43,0,($M218*3)+$N218,53,1)*Z$43:Z$95)</f>
        <v>0</v>
      </c>
      <c r="AA218" s="6">
        <f t="shared" ca="1" si="119"/>
        <v>0</v>
      </c>
      <c r="AB218" s="6">
        <f t="shared" ca="1" si="111"/>
        <v>0</v>
      </c>
      <c r="AC218" s="8"/>
      <c r="AD218" s="8" t="s">
        <v>1227</v>
      </c>
      <c r="AE218" t="str">
        <f t="shared" si="113"/>
        <v>Diagnostic (FU)</v>
      </c>
      <c r="AF218">
        <f t="shared" ca="1" si="118"/>
        <v>0</v>
      </c>
      <c r="AG218">
        <f t="shared" ca="1" si="118"/>
        <v>0</v>
      </c>
      <c r="AH218">
        <f t="shared" ca="1" si="118"/>
        <v>0</v>
      </c>
      <c r="AI218">
        <f t="shared" ca="1" si="118"/>
        <v>0</v>
      </c>
      <c r="AJ218">
        <f t="shared" ca="1" si="118"/>
        <v>0</v>
      </c>
      <c r="AK218">
        <f t="shared" ca="1" si="118"/>
        <v>0</v>
      </c>
      <c r="AL218">
        <f t="shared" ca="1" si="118"/>
        <v>0</v>
      </c>
      <c r="AM218">
        <f t="shared" ca="1" si="118"/>
        <v>0</v>
      </c>
      <c r="AN218">
        <f t="shared" ca="1" si="118"/>
        <v>0</v>
      </c>
      <c r="AO218">
        <f t="shared" ca="1" si="118"/>
        <v>0</v>
      </c>
      <c r="AP218">
        <f t="shared" ca="1" si="118"/>
        <v>0</v>
      </c>
      <c r="AQ218">
        <f t="shared" ca="1" si="118"/>
        <v>0</v>
      </c>
    </row>
    <row r="219" spans="1:43" x14ac:dyDescent="0.25">
      <c r="A219">
        <f>1</f>
        <v>1</v>
      </c>
      <c r="B219" s="85">
        <f t="shared" si="106"/>
        <v>44007</v>
      </c>
      <c r="C219" s="85">
        <f t="shared" si="102"/>
        <v>44004</v>
      </c>
      <c r="D219">
        <f t="shared" ca="1" si="103"/>
        <v>1</v>
      </c>
      <c r="E219" s="85">
        <f t="shared" si="104"/>
        <v>43983</v>
      </c>
      <c r="F219">
        <f t="shared" si="105"/>
        <v>26</v>
      </c>
      <c r="M219">
        <v>11</v>
      </c>
      <c r="N219">
        <v>3</v>
      </c>
      <c r="O219" s="6">
        <f t="array" aca="1" ref="O219" ca="1">SUM(OFFSET($CO$43,0,($M219*3)+$N219,53,1)*O$43:O$95)</f>
        <v>0</v>
      </c>
      <c r="P219" s="6">
        <f t="array" aca="1" ref="P219" ca="1">SUM(OFFSET($CO$43,0,($M219*3)+$N219,53,1)*P$43:P$95)</f>
        <v>0</v>
      </c>
      <c r="Q219" s="6">
        <f t="array" aca="1" ref="Q219" ca="1">SUM(OFFSET($CO$43,0,($M219*3)+$N219,53,1)*Q$43:Q$95)</f>
        <v>0</v>
      </c>
      <c r="R219" s="6">
        <f t="array" aca="1" ref="R219" ca="1">SUM(OFFSET($CO$43,0,($M219*3)+$N219,53,1)*R$43:R$95)</f>
        <v>0</v>
      </c>
      <c r="S219" s="6">
        <f t="array" aca="1" ref="S219" ca="1">SUM(OFFSET($CO$43,0,($M219*3)+$N219,53,1)*S$43:S$95)</f>
        <v>0</v>
      </c>
      <c r="T219" s="6">
        <f t="array" aca="1" ref="T219" ca="1">SUM(OFFSET($CO$43,0,($M219*3)+$N219,53,1)*T$43:T$95)</f>
        <v>0</v>
      </c>
      <c r="U219" s="6">
        <f t="array" aca="1" ref="U219" ca="1">SUM(OFFSET($CO$43,0,($M219*3)+$N219,53,1)*U$43:U$95)</f>
        <v>0</v>
      </c>
      <c r="V219" s="6">
        <f t="array" aca="1" ref="V219" ca="1">SUM(OFFSET($CO$43,0,($M219*3)+$N219,53,1)*V$43:V$95)</f>
        <v>0</v>
      </c>
      <c r="W219" s="6">
        <f t="array" aca="1" ref="W219" ca="1">SUM(OFFSET($CO$43,0,($M219*3)+$N219,53,1)*W$43:W$95)</f>
        <v>0</v>
      </c>
      <c r="X219" s="6">
        <f t="array" aca="1" ref="X219" ca="1">SUM(OFFSET($CO$43,0,($M219*3)+$N219,53,1)*X$43:X$95)</f>
        <v>0</v>
      </c>
      <c r="Y219" s="6">
        <f t="array" aca="1" ref="Y219" ca="1">SUM(OFFSET($CO$43,0,($M219*3)+$N219,53,1)*Y$43:Y$95)</f>
        <v>0</v>
      </c>
      <c r="Z219" s="6">
        <f t="array" aca="1" ref="Z219" ca="1">SUM(OFFSET($CO$43,0,($M219*3)+$N219,53,1)*Z$43:Z$95)</f>
        <v>0</v>
      </c>
      <c r="AA219" s="6">
        <f t="shared" ca="1" si="119"/>
        <v>0</v>
      </c>
      <c r="AB219" s="6">
        <f t="shared" ca="1" si="111"/>
        <v>0</v>
      </c>
      <c r="AC219" s="8"/>
      <c r="AD219" s="8" t="s">
        <v>1227</v>
      </c>
      <c r="AE219" t="str">
        <f t="shared" si="113"/>
        <v>Admission</v>
      </c>
      <c r="AF219">
        <f t="shared" ca="1" si="118"/>
        <v>0</v>
      </c>
      <c r="AG219">
        <f t="shared" ca="1" si="118"/>
        <v>0</v>
      </c>
      <c r="AH219">
        <f t="shared" ca="1" si="118"/>
        <v>0</v>
      </c>
      <c r="AI219">
        <f t="shared" ca="1" si="118"/>
        <v>0</v>
      </c>
      <c r="AJ219">
        <f t="shared" ca="1" si="118"/>
        <v>0</v>
      </c>
      <c r="AK219">
        <f t="shared" ca="1" si="118"/>
        <v>0</v>
      </c>
      <c r="AL219">
        <f t="shared" ca="1" si="118"/>
        <v>0</v>
      </c>
      <c r="AM219">
        <f t="shared" ca="1" si="118"/>
        <v>0</v>
      </c>
      <c r="AN219">
        <f t="shared" ca="1" si="118"/>
        <v>0</v>
      </c>
      <c r="AO219">
        <f t="shared" ca="1" si="118"/>
        <v>0</v>
      </c>
      <c r="AP219">
        <f t="shared" ca="1" si="118"/>
        <v>0</v>
      </c>
      <c r="AQ219">
        <f t="shared" ca="1" si="118"/>
        <v>0</v>
      </c>
    </row>
    <row r="220" spans="1:43" x14ac:dyDescent="0.25">
      <c r="A220">
        <f>1</f>
        <v>1</v>
      </c>
      <c r="B220" s="85">
        <f t="shared" si="106"/>
        <v>44008</v>
      </c>
      <c r="C220" s="85">
        <f t="shared" si="102"/>
        <v>44004</v>
      </c>
      <c r="D220">
        <f t="shared" ca="1" si="103"/>
        <v>1</v>
      </c>
      <c r="E220" s="85">
        <f t="shared" si="104"/>
        <v>43983</v>
      </c>
      <c r="F220">
        <f t="shared" si="105"/>
        <v>26</v>
      </c>
      <c r="M220">
        <v>12</v>
      </c>
      <c r="N220">
        <v>1</v>
      </c>
      <c r="O220" s="6">
        <f t="array" aca="1" ref="O220" ca="1">SUM(OFFSET($CO$43,0,($M220*3)+$N220,53,1)*O$43:O$95)</f>
        <v>0</v>
      </c>
      <c r="P220" s="6">
        <f t="array" aca="1" ref="P220" ca="1">SUM(OFFSET($CO$43,0,($M220*3)+$N220,53,1)*P$43:P$95)</f>
        <v>0</v>
      </c>
      <c r="Q220" s="6">
        <f t="array" aca="1" ref="Q220" ca="1">SUM(OFFSET($CO$43,0,($M220*3)+$N220,53,1)*Q$43:Q$95)</f>
        <v>0</v>
      </c>
      <c r="R220" s="6">
        <f t="array" aca="1" ref="R220" ca="1">SUM(OFFSET($CO$43,0,($M220*3)+$N220,53,1)*R$43:R$95)</f>
        <v>0</v>
      </c>
      <c r="S220" s="6">
        <f t="array" aca="1" ref="S220" ca="1">SUM(OFFSET($CO$43,0,($M220*3)+$N220,53,1)*S$43:S$95)</f>
        <v>0</v>
      </c>
      <c r="T220" s="6">
        <f t="array" aca="1" ref="T220" ca="1">SUM(OFFSET($CO$43,0,($M220*3)+$N220,53,1)*T$43:T$95)</f>
        <v>0</v>
      </c>
      <c r="U220" s="6">
        <f t="array" aca="1" ref="U220" ca="1">SUM(OFFSET($CO$43,0,($M220*3)+$N220,53,1)*U$43:U$95)</f>
        <v>0</v>
      </c>
      <c r="V220" s="6">
        <f t="array" aca="1" ref="V220" ca="1">SUM(OFFSET($CO$43,0,($M220*3)+$N220,53,1)*V$43:V$95)</f>
        <v>0</v>
      </c>
      <c r="W220" s="6">
        <f t="array" aca="1" ref="W220" ca="1">SUM(OFFSET($CO$43,0,($M220*3)+$N220,53,1)*W$43:W$95)</f>
        <v>0</v>
      </c>
      <c r="X220" s="6">
        <f t="array" aca="1" ref="X220" ca="1">SUM(OFFSET($CO$43,0,($M220*3)+$N220,53,1)*X$43:X$95)</f>
        <v>0</v>
      </c>
      <c r="Y220" s="6">
        <f t="array" aca="1" ref="Y220" ca="1">SUM(OFFSET($CO$43,0,($M220*3)+$N220,53,1)*Y$43:Y$95)</f>
        <v>0</v>
      </c>
      <c r="Z220" s="6">
        <f t="array" aca="1" ref="Z220" ca="1">SUM(OFFSET($CO$43,0,($M220*3)+$N220,53,1)*Z$43:Z$95)</f>
        <v>0</v>
      </c>
      <c r="AA220" s="6">
        <f t="shared" ca="1" si="119"/>
        <v>0</v>
      </c>
      <c r="AB220" s="6">
        <f t="shared" ca="1" si="111"/>
        <v>0</v>
      </c>
      <c r="AC220" s="8"/>
      <c r="AD220" s="8">
        <v>19</v>
      </c>
      <c r="AE220" t="str">
        <f t="shared" si="113"/>
        <v>New</v>
      </c>
      <c r="AF220">
        <f t="shared" ref="AF220:AQ224" ca="1" si="120">SUMIFS(O$177:O$179,$L$177:$L$179, $AE220)</f>
        <v>0</v>
      </c>
      <c r="AG220">
        <f t="shared" ca="1" si="120"/>
        <v>0</v>
      </c>
      <c r="AH220">
        <f t="shared" ca="1" si="120"/>
        <v>0</v>
      </c>
      <c r="AI220">
        <f t="shared" ca="1" si="120"/>
        <v>0</v>
      </c>
      <c r="AJ220">
        <f t="shared" ca="1" si="120"/>
        <v>0</v>
      </c>
      <c r="AK220">
        <f t="shared" ca="1" si="120"/>
        <v>0</v>
      </c>
      <c r="AL220">
        <f t="shared" ca="1" si="120"/>
        <v>0</v>
      </c>
      <c r="AM220">
        <f t="shared" ca="1" si="120"/>
        <v>0</v>
      </c>
      <c r="AN220">
        <f t="shared" ca="1" si="120"/>
        <v>0</v>
      </c>
      <c r="AO220">
        <f t="shared" ca="1" si="120"/>
        <v>0</v>
      </c>
      <c r="AP220">
        <f t="shared" ca="1" si="120"/>
        <v>0</v>
      </c>
      <c r="AQ220">
        <f t="shared" ca="1" si="120"/>
        <v>0</v>
      </c>
    </row>
    <row r="221" spans="1:43" x14ac:dyDescent="0.25">
      <c r="A221">
        <f>1</f>
        <v>1</v>
      </c>
      <c r="B221" s="85">
        <f t="shared" si="106"/>
        <v>44009</v>
      </c>
      <c r="C221" s="85">
        <f t="shared" si="102"/>
        <v>44004</v>
      </c>
      <c r="D221">
        <f t="shared" ca="1" si="103"/>
        <v>0</v>
      </c>
      <c r="E221" s="85">
        <f t="shared" si="104"/>
        <v>43983</v>
      </c>
      <c r="F221">
        <f t="shared" si="105"/>
        <v>26</v>
      </c>
      <c r="M221">
        <v>12</v>
      </c>
      <c r="N221">
        <v>2</v>
      </c>
      <c r="O221" s="6">
        <f t="array" aca="1" ref="O221" ca="1">SUM(OFFSET($CO$43,0,($M221*3)+$N221,53,1)*O$43:O$95)</f>
        <v>0</v>
      </c>
      <c r="P221" s="6">
        <f t="array" aca="1" ref="P221" ca="1">SUM(OFFSET($CO$43,0,($M221*3)+$N221,53,1)*P$43:P$95)</f>
        <v>0</v>
      </c>
      <c r="Q221" s="6">
        <f t="array" aca="1" ref="Q221" ca="1">SUM(OFFSET($CO$43,0,($M221*3)+$N221,53,1)*Q$43:Q$95)</f>
        <v>0</v>
      </c>
      <c r="R221" s="6">
        <f t="array" aca="1" ref="R221" ca="1">SUM(OFFSET($CO$43,0,($M221*3)+$N221,53,1)*R$43:R$95)</f>
        <v>0</v>
      </c>
      <c r="S221" s="6">
        <f t="array" aca="1" ref="S221" ca="1">SUM(OFFSET($CO$43,0,($M221*3)+$N221,53,1)*S$43:S$95)</f>
        <v>0</v>
      </c>
      <c r="T221" s="6">
        <f t="array" aca="1" ref="T221" ca="1">SUM(OFFSET($CO$43,0,($M221*3)+$N221,53,1)*T$43:T$95)</f>
        <v>0</v>
      </c>
      <c r="U221" s="6">
        <f t="array" aca="1" ref="U221" ca="1">SUM(OFFSET($CO$43,0,($M221*3)+$N221,53,1)*U$43:U$95)</f>
        <v>0</v>
      </c>
      <c r="V221" s="6">
        <f t="array" aca="1" ref="V221" ca="1">SUM(OFFSET($CO$43,0,($M221*3)+$N221,53,1)*V$43:V$95)</f>
        <v>0</v>
      </c>
      <c r="W221" s="6">
        <f t="array" aca="1" ref="W221" ca="1">SUM(OFFSET($CO$43,0,($M221*3)+$N221,53,1)*W$43:W$95)</f>
        <v>0</v>
      </c>
      <c r="X221" s="6">
        <f t="array" aca="1" ref="X221" ca="1">SUM(OFFSET($CO$43,0,($M221*3)+$N221,53,1)*X$43:X$95)</f>
        <v>0</v>
      </c>
      <c r="Y221" s="6">
        <f t="array" aca="1" ref="Y221" ca="1">SUM(OFFSET($CO$43,0,($M221*3)+$N221,53,1)*Y$43:Y$95)</f>
        <v>0</v>
      </c>
      <c r="Z221" s="6">
        <f t="array" aca="1" ref="Z221" ca="1">SUM(OFFSET($CO$43,0,($M221*3)+$N221,53,1)*Z$43:Z$95)</f>
        <v>0</v>
      </c>
      <c r="AA221" s="6">
        <f t="shared" ca="1" si="119"/>
        <v>0</v>
      </c>
      <c r="AB221" s="6">
        <f t="shared" ca="1" si="111"/>
        <v>0</v>
      </c>
      <c r="AC221" s="8"/>
      <c r="AD221" s="8" t="s">
        <v>1227</v>
      </c>
      <c r="AE221" t="str">
        <f t="shared" si="113"/>
        <v>Diagnostic (N)</v>
      </c>
      <c r="AF221">
        <f t="shared" ca="1" si="120"/>
        <v>0</v>
      </c>
      <c r="AG221">
        <f t="shared" ca="1" si="120"/>
        <v>0</v>
      </c>
      <c r="AH221">
        <f t="shared" ca="1" si="120"/>
        <v>0</v>
      </c>
      <c r="AI221">
        <f t="shared" ca="1" si="120"/>
        <v>0</v>
      </c>
      <c r="AJ221">
        <f t="shared" ca="1" si="120"/>
        <v>0</v>
      </c>
      <c r="AK221">
        <f t="shared" ca="1" si="120"/>
        <v>0</v>
      </c>
      <c r="AL221">
        <f t="shared" ca="1" si="120"/>
        <v>0</v>
      </c>
      <c r="AM221">
        <f t="shared" ca="1" si="120"/>
        <v>0</v>
      </c>
      <c r="AN221">
        <f t="shared" ca="1" si="120"/>
        <v>0</v>
      </c>
      <c r="AO221">
        <f t="shared" ca="1" si="120"/>
        <v>0</v>
      </c>
      <c r="AP221">
        <f t="shared" ca="1" si="120"/>
        <v>0</v>
      </c>
      <c r="AQ221">
        <f t="shared" ca="1" si="120"/>
        <v>0</v>
      </c>
    </row>
    <row r="222" spans="1:43" x14ac:dyDescent="0.25">
      <c r="A222">
        <f>1</f>
        <v>1</v>
      </c>
      <c r="B222" s="85">
        <f t="shared" si="106"/>
        <v>44010</v>
      </c>
      <c r="C222" s="85">
        <f t="shared" si="102"/>
        <v>44004</v>
      </c>
      <c r="D222">
        <f t="shared" ca="1" si="103"/>
        <v>0</v>
      </c>
      <c r="E222" s="85">
        <f t="shared" si="104"/>
        <v>43983</v>
      </c>
      <c r="F222">
        <f t="shared" si="105"/>
        <v>26</v>
      </c>
      <c r="M222">
        <v>12</v>
      </c>
      <c r="N222">
        <v>3</v>
      </c>
      <c r="O222" s="6">
        <f t="array" aca="1" ref="O222" ca="1">SUM(OFFSET($CO$43,0,($M222*3)+$N222,53,1)*O$43:O$95)</f>
        <v>0</v>
      </c>
      <c r="P222" s="6">
        <f t="array" aca="1" ref="P222" ca="1">SUM(OFFSET($CO$43,0,($M222*3)+$N222,53,1)*P$43:P$95)</f>
        <v>0</v>
      </c>
      <c r="Q222" s="6">
        <f t="array" aca="1" ref="Q222" ca="1">SUM(OFFSET($CO$43,0,($M222*3)+$N222,53,1)*Q$43:Q$95)</f>
        <v>0</v>
      </c>
      <c r="R222" s="6">
        <f t="array" aca="1" ref="R222" ca="1">SUM(OFFSET($CO$43,0,($M222*3)+$N222,53,1)*R$43:R$95)</f>
        <v>0</v>
      </c>
      <c r="S222" s="6">
        <f t="array" aca="1" ref="S222" ca="1">SUM(OFFSET($CO$43,0,($M222*3)+$N222,53,1)*S$43:S$95)</f>
        <v>0</v>
      </c>
      <c r="T222" s="6">
        <f t="array" aca="1" ref="T222" ca="1">SUM(OFFSET($CO$43,0,($M222*3)+$N222,53,1)*T$43:T$95)</f>
        <v>0</v>
      </c>
      <c r="U222" s="6">
        <f t="array" aca="1" ref="U222" ca="1">SUM(OFFSET($CO$43,0,($M222*3)+$N222,53,1)*U$43:U$95)</f>
        <v>0</v>
      </c>
      <c r="V222" s="6">
        <f t="array" aca="1" ref="V222" ca="1">SUM(OFFSET($CO$43,0,($M222*3)+$N222,53,1)*V$43:V$95)</f>
        <v>0</v>
      </c>
      <c r="W222" s="6">
        <f t="array" aca="1" ref="W222" ca="1">SUM(OFFSET($CO$43,0,($M222*3)+$N222,53,1)*W$43:W$95)</f>
        <v>0</v>
      </c>
      <c r="X222" s="6">
        <f t="array" aca="1" ref="X222" ca="1">SUM(OFFSET($CO$43,0,($M222*3)+$N222,53,1)*X$43:X$95)</f>
        <v>0</v>
      </c>
      <c r="Y222" s="6">
        <f t="array" aca="1" ref="Y222" ca="1">SUM(OFFSET($CO$43,0,($M222*3)+$N222,53,1)*Y$43:Y$95)</f>
        <v>0</v>
      </c>
      <c r="Z222" s="6">
        <f t="array" aca="1" ref="Z222" ca="1">SUM(OFFSET($CO$43,0,($M222*3)+$N222,53,1)*Z$43:Z$95)</f>
        <v>0</v>
      </c>
      <c r="AA222" s="6">
        <f t="shared" ca="1" si="119"/>
        <v>0</v>
      </c>
      <c r="AB222" s="6">
        <f t="shared" ca="1" si="111"/>
        <v>0</v>
      </c>
      <c r="AC222" s="8"/>
      <c r="AD222" s="8" t="s">
        <v>1227</v>
      </c>
      <c r="AE222" t="str">
        <f t="shared" si="113"/>
        <v>Follow Up</v>
      </c>
      <c r="AF222">
        <f t="shared" ca="1" si="120"/>
        <v>0</v>
      </c>
      <c r="AG222">
        <f t="shared" ca="1" si="120"/>
        <v>0</v>
      </c>
      <c r="AH222">
        <f t="shared" ca="1" si="120"/>
        <v>0</v>
      </c>
      <c r="AI222">
        <f t="shared" ca="1" si="120"/>
        <v>0</v>
      </c>
      <c r="AJ222">
        <f t="shared" ca="1" si="120"/>
        <v>0</v>
      </c>
      <c r="AK222">
        <f t="shared" ca="1" si="120"/>
        <v>0</v>
      </c>
      <c r="AL222">
        <f t="shared" ca="1" si="120"/>
        <v>0</v>
      </c>
      <c r="AM222">
        <f t="shared" ca="1" si="120"/>
        <v>0</v>
      </c>
      <c r="AN222">
        <f t="shared" ca="1" si="120"/>
        <v>0</v>
      </c>
      <c r="AO222">
        <f t="shared" ca="1" si="120"/>
        <v>0</v>
      </c>
      <c r="AP222">
        <f t="shared" ca="1" si="120"/>
        <v>0</v>
      </c>
      <c r="AQ222">
        <f t="shared" ca="1" si="120"/>
        <v>0</v>
      </c>
    </row>
    <row r="223" spans="1:43" x14ac:dyDescent="0.25">
      <c r="A223">
        <f>1</f>
        <v>1</v>
      </c>
      <c r="B223" s="85">
        <f t="shared" si="106"/>
        <v>44011</v>
      </c>
      <c r="C223" s="85">
        <f t="shared" si="102"/>
        <v>44011</v>
      </c>
      <c r="D223">
        <f t="shared" ca="1" si="103"/>
        <v>1</v>
      </c>
      <c r="E223" s="85">
        <f t="shared" si="104"/>
        <v>43983</v>
      </c>
      <c r="F223">
        <f t="shared" si="105"/>
        <v>27</v>
      </c>
      <c r="M223">
        <v>13</v>
      </c>
      <c r="N223">
        <v>1</v>
      </c>
      <c r="O223" s="6">
        <f t="array" aca="1" ref="O223" ca="1">SUM(OFFSET($CO$43,0,($M223*3)+$N223,53,1)*O$43:O$95)</f>
        <v>0</v>
      </c>
      <c r="P223" s="6">
        <f t="array" aca="1" ref="P223" ca="1">SUM(OFFSET($CO$43,0,($M223*3)+$N223,53,1)*P$43:P$95)</f>
        <v>0</v>
      </c>
      <c r="Q223" s="6">
        <f t="array" aca="1" ref="Q223" ca="1">SUM(OFFSET($CO$43,0,($M223*3)+$N223,53,1)*Q$43:Q$95)</f>
        <v>0</v>
      </c>
      <c r="R223" s="6">
        <f t="array" aca="1" ref="R223" ca="1">SUM(OFFSET($CO$43,0,($M223*3)+$N223,53,1)*R$43:R$95)</f>
        <v>0</v>
      </c>
      <c r="S223" s="6">
        <f t="array" aca="1" ref="S223" ca="1">SUM(OFFSET($CO$43,0,($M223*3)+$N223,53,1)*S$43:S$95)</f>
        <v>0</v>
      </c>
      <c r="T223" s="6">
        <f t="array" aca="1" ref="T223" ca="1">SUM(OFFSET($CO$43,0,($M223*3)+$N223,53,1)*T$43:T$95)</f>
        <v>0</v>
      </c>
      <c r="U223" s="6">
        <f t="array" aca="1" ref="U223" ca="1">SUM(OFFSET($CO$43,0,($M223*3)+$N223,53,1)*U$43:U$95)</f>
        <v>0</v>
      </c>
      <c r="V223" s="6">
        <f t="array" aca="1" ref="V223" ca="1">SUM(OFFSET($CO$43,0,($M223*3)+$N223,53,1)*V$43:V$95)</f>
        <v>0</v>
      </c>
      <c r="W223" s="6">
        <f t="array" aca="1" ref="W223" ca="1">SUM(OFFSET($CO$43,0,($M223*3)+$N223,53,1)*W$43:W$95)</f>
        <v>0</v>
      </c>
      <c r="X223" s="6">
        <f t="array" aca="1" ref="X223" ca="1">SUM(OFFSET($CO$43,0,($M223*3)+$N223,53,1)*X$43:X$95)</f>
        <v>0</v>
      </c>
      <c r="Y223" s="6">
        <f t="array" aca="1" ref="Y223" ca="1">SUM(OFFSET($CO$43,0,($M223*3)+$N223,53,1)*Y$43:Y$95)</f>
        <v>0</v>
      </c>
      <c r="Z223" s="6">
        <f t="array" aca="1" ref="Z223" ca="1">SUM(OFFSET($CO$43,0,($M223*3)+$N223,53,1)*Z$43:Z$95)</f>
        <v>0</v>
      </c>
      <c r="AA223" s="6">
        <f t="shared" ca="1" si="119"/>
        <v>0</v>
      </c>
      <c r="AB223" s="6">
        <f t="shared" ca="1" si="111"/>
        <v>0</v>
      </c>
      <c r="AC223" s="8"/>
      <c r="AD223" s="8" t="s">
        <v>1227</v>
      </c>
      <c r="AE223" t="str">
        <f t="shared" si="113"/>
        <v>Diagnostic (FU)</v>
      </c>
      <c r="AF223">
        <f t="shared" ca="1" si="120"/>
        <v>0</v>
      </c>
      <c r="AG223">
        <f t="shared" ca="1" si="120"/>
        <v>0</v>
      </c>
      <c r="AH223">
        <f t="shared" ca="1" si="120"/>
        <v>0</v>
      </c>
      <c r="AI223">
        <f t="shared" ca="1" si="120"/>
        <v>0</v>
      </c>
      <c r="AJ223">
        <f t="shared" ca="1" si="120"/>
        <v>0</v>
      </c>
      <c r="AK223">
        <f t="shared" ca="1" si="120"/>
        <v>0</v>
      </c>
      <c r="AL223">
        <f t="shared" ca="1" si="120"/>
        <v>0</v>
      </c>
      <c r="AM223">
        <f t="shared" ca="1" si="120"/>
        <v>0</v>
      </c>
      <c r="AN223">
        <f t="shared" ca="1" si="120"/>
        <v>0</v>
      </c>
      <c r="AO223">
        <f t="shared" ca="1" si="120"/>
        <v>0</v>
      </c>
      <c r="AP223">
        <f t="shared" ca="1" si="120"/>
        <v>0</v>
      </c>
      <c r="AQ223">
        <f t="shared" ca="1" si="120"/>
        <v>0</v>
      </c>
    </row>
    <row r="224" spans="1:43" x14ac:dyDescent="0.25">
      <c r="A224">
        <f>1</f>
        <v>1</v>
      </c>
      <c r="B224" s="85">
        <f t="shared" si="106"/>
        <v>44012</v>
      </c>
      <c r="C224" s="85">
        <f t="shared" si="102"/>
        <v>44011</v>
      </c>
      <c r="D224">
        <f t="shared" ca="1" si="103"/>
        <v>1</v>
      </c>
      <c r="E224" s="85">
        <f t="shared" si="104"/>
        <v>43983</v>
      </c>
      <c r="F224">
        <f t="shared" si="105"/>
        <v>27</v>
      </c>
      <c r="M224">
        <v>13</v>
      </c>
      <c r="N224">
        <v>2</v>
      </c>
      <c r="O224" s="6">
        <f t="array" aca="1" ref="O224" ca="1">SUM(OFFSET($CO$43,0,($M224*3)+$N224,53,1)*O$43:O$95)</f>
        <v>0</v>
      </c>
      <c r="P224" s="6">
        <f t="array" aca="1" ref="P224" ca="1">SUM(OFFSET($CO$43,0,($M224*3)+$N224,53,1)*P$43:P$95)</f>
        <v>0</v>
      </c>
      <c r="Q224" s="6">
        <f t="array" aca="1" ref="Q224" ca="1">SUM(OFFSET($CO$43,0,($M224*3)+$N224,53,1)*Q$43:Q$95)</f>
        <v>0</v>
      </c>
      <c r="R224" s="6">
        <f t="array" aca="1" ref="R224" ca="1">SUM(OFFSET($CO$43,0,($M224*3)+$N224,53,1)*R$43:R$95)</f>
        <v>0</v>
      </c>
      <c r="S224" s="6">
        <f t="array" aca="1" ref="S224" ca="1">SUM(OFFSET($CO$43,0,($M224*3)+$N224,53,1)*S$43:S$95)</f>
        <v>0</v>
      </c>
      <c r="T224" s="6">
        <f t="array" aca="1" ref="T224" ca="1">SUM(OFFSET($CO$43,0,($M224*3)+$N224,53,1)*T$43:T$95)</f>
        <v>0</v>
      </c>
      <c r="U224" s="6">
        <f t="array" aca="1" ref="U224" ca="1">SUM(OFFSET($CO$43,0,($M224*3)+$N224,53,1)*U$43:U$95)</f>
        <v>0</v>
      </c>
      <c r="V224" s="6">
        <f t="array" aca="1" ref="V224" ca="1">SUM(OFFSET($CO$43,0,($M224*3)+$N224,53,1)*V$43:V$95)</f>
        <v>0</v>
      </c>
      <c r="W224" s="6">
        <f t="array" aca="1" ref="W224" ca="1">SUM(OFFSET($CO$43,0,($M224*3)+$N224,53,1)*W$43:W$95)</f>
        <v>0</v>
      </c>
      <c r="X224" s="6">
        <f t="array" aca="1" ref="X224" ca="1">SUM(OFFSET($CO$43,0,($M224*3)+$N224,53,1)*X$43:X$95)</f>
        <v>0</v>
      </c>
      <c r="Y224" s="6">
        <f t="array" aca="1" ref="Y224" ca="1">SUM(OFFSET($CO$43,0,($M224*3)+$N224,53,1)*Y$43:Y$95)</f>
        <v>0</v>
      </c>
      <c r="Z224" s="6">
        <f t="array" aca="1" ref="Z224" ca="1">SUM(OFFSET($CO$43,0,($M224*3)+$N224,53,1)*Z$43:Z$95)</f>
        <v>0</v>
      </c>
      <c r="AA224" s="6">
        <f t="shared" ca="1" si="119"/>
        <v>0</v>
      </c>
      <c r="AB224" s="6">
        <f t="shared" ca="1" si="111"/>
        <v>0</v>
      </c>
      <c r="AC224" s="8"/>
      <c r="AD224" s="8" t="s">
        <v>1227</v>
      </c>
      <c r="AE224" t="str">
        <f t="shared" si="113"/>
        <v>Admission</v>
      </c>
      <c r="AF224">
        <f t="shared" ca="1" si="120"/>
        <v>0</v>
      </c>
      <c r="AG224">
        <f t="shared" ca="1" si="120"/>
        <v>0</v>
      </c>
      <c r="AH224">
        <f t="shared" ca="1" si="120"/>
        <v>0</v>
      </c>
      <c r="AI224">
        <f t="shared" ca="1" si="120"/>
        <v>0</v>
      </c>
      <c r="AJ224">
        <f t="shared" ca="1" si="120"/>
        <v>0</v>
      </c>
      <c r="AK224">
        <f t="shared" ca="1" si="120"/>
        <v>0</v>
      </c>
      <c r="AL224">
        <f t="shared" ca="1" si="120"/>
        <v>0</v>
      </c>
      <c r="AM224">
        <f t="shared" ca="1" si="120"/>
        <v>0</v>
      </c>
      <c r="AN224">
        <f t="shared" ca="1" si="120"/>
        <v>0</v>
      </c>
      <c r="AO224">
        <f t="shared" ca="1" si="120"/>
        <v>0</v>
      </c>
      <c r="AP224">
        <f t="shared" ca="1" si="120"/>
        <v>0</v>
      </c>
      <c r="AQ224">
        <f t="shared" ca="1" si="120"/>
        <v>0</v>
      </c>
    </row>
    <row r="225" spans="1:43" x14ac:dyDescent="0.25">
      <c r="A225">
        <f>1</f>
        <v>1</v>
      </c>
      <c r="B225" s="85">
        <f t="shared" si="106"/>
        <v>44013</v>
      </c>
      <c r="C225" s="85">
        <f t="shared" si="102"/>
        <v>44011</v>
      </c>
      <c r="D225">
        <f t="shared" ca="1" si="103"/>
        <v>1</v>
      </c>
      <c r="E225" s="85">
        <f t="shared" si="104"/>
        <v>44013</v>
      </c>
      <c r="F225">
        <f t="shared" si="105"/>
        <v>27</v>
      </c>
      <c r="M225">
        <v>13</v>
      </c>
      <c r="N225">
        <v>3</v>
      </c>
      <c r="O225" s="6">
        <f t="array" aca="1" ref="O225" ca="1">SUM(OFFSET($CO$43,0,($M225*3)+$N225,53,1)*O$43:O$95)</f>
        <v>0</v>
      </c>
      <c r="P225" s="6">
        <f t="array" aca="1" ref="P225" ca="1">SUM(OFFSET($CO$43,0,($M225*3)+$N225,53,1)*P$43:P$95)</f>
        <v>0</v>
      </c>
      <c r="Q225" s="6">
        <f t="array" aca="1" ref="Q225" ca="1">SUM(OFFSET($CO$43,0,($M225*3)+$N225,53,1)*Q$43:Q$95)</f>
        <v>0</v>
      </c>
      <c r="R225" s="6">
        <f t="array" aca="1" ref="R225" ca="1">SUM(OFFSET($CO$43,0,($M225*3)+$N225,53,1)*R$43:R$95)</f>
        <v>0</v>
      </c>
      <c r="S225" s="6">
        <f t="array" aca="1" ref="S225" ca="1">SUM(OFFSET($CO$43,0,($M225*3)+$N225,53,1)*S$43:S$95)</f>
        <v>0</v>
      </c>
      <c r="T225" s="6">
        <f t="array" aca="1" ref="T225" ca="1">SUM(OFFSET($CO$43,0,($M225*3)+$N225,53,1)*T$43:T$95)</f>
        <v>0</v>
      </c>
      <c r="U225" s="6">
        <f t="array" aca="1" ref="U225" ca="1">SUM(OFFSET($CO$43,0,($M225*3)+$N225,53,1)*U$43:U$95)</f>
        <v>0</v>
      </c>
      <c r="V225" s="6">
        <f t="array" aca="1" ref="V225" ca="1">SUM(OFFSET($CO$43,0,($M225*3)+$N225,53,1)*V$43:V$95)</f>
        <v>0</v>
      </c>
      <c r="W225" s="6">
        <f t="array" aca="1" ref="W225" ca="1">SUM(OFFSET($CO$43,0,($M225*3)+$N225,53,1)*W$43:W$95)</f>
        <v>0</v>
      </c>
      <c r="X225" s="6">
        <f t="array" aca="1" ref="X225" ca="1">SUM(OFFSET($CO$43,0,($M225*3)+$N225,53,1)*X$43:X$95)</f>
        <v>0</v>
      </c>
      <c r="Y225" s="6">
        <f t="array" aca="1" ref="Y225" ca="1">SUM(OFFSET($CO$43,0,($M225*3)+$N225,53,1)*Y$43:Y$95)</f>
        <v>0</v>
      </c>
      <c r="Z225" s="6">
        <f t="array" aca="1" ref="Z225" ca="1">SUM(OFFSET($CO$43,0,($M225*3)+$N225,53,1)*Z$43:Z$95)</f>
        <v>0</v>
      </c>
      <c r="AA225" s="6">
        <f t="shared" ca="1" si="119"/>
        <v>0</v>
      </c>
      <c r="AB225" s="6">
        <f t="shared" ca="1" si="111"/>
        <v>0</v>
      </c>
      <c r="AC225" s="8"/>
      <c r="AD225" s="8">
        <v>20</v>
      </c>
      <c r="AE225" t="str">
        <f t="shared" si="113"/>
        <v>New</v>
      </c>
      <c r="AF225">
        <f t="shared" ref="AF225:AQ229" ca="1" si="121">SUMIFS(O$180:O$182,$L$180:$L$182, $AE225)</f>
        <v>0</v>
      </c>
      <c r="AG225">
        <f t="shared" ca="1" si="121"/>
        <v>0</v>
      </c>
      <c r="AH225">
        <f t="shared" ca="1" si="121"/>
        <v>0</v>
      </c>
      <c r="AI225">
        <f t="shared" ca="1" si="121"/>
        <v>0</v>
      </c>
      <c r="AJ225">
        <f t="shared" ca="1" si="121"/>
        <v>0</v>
      </c>
      <c r="AK225">
        <f t="shared" ca="1" si="121"/>
        <v>0</v>
      </c>
      <c r="AL225">
        <f t="shared" ca="1" si="121"/>
        <v>0</v>
      </c>
      <c r="AM225">
        <f t="shared" ca="1" si="121"/>
        <v>0</v>
      </c>
      <c r="AN225">
        <f t="shared" ca="1" si="121"/>
        <v>0</v>
      </c>
      <c r="AO225">
        <f t="shared" ca="1" si="121"/>
        <v>0</v>
      </c>
      <c r="AP225">
        <f t="shared" ca="1" si="121"/>
        <v>0</v>
      </c>
      <c r="AQ225">
        <f t="shared" ca="1" si="121"/>
        <v>0</v>
      </c>
    </row>
    <row r="226" spans="1:43" x14ac:dyDescent="0.25">
      <c r="A226">
        <f>1</f>
        <v>1</v>
      </c>
      <c r="B226" s="85">
        <f t="shared" si="106"/>
        <v>44014</v>
      </c>
      <c r="C226" s="85">
        <f t="shared" si="102"/>
        <v>44011</v>
      </c>
      <c r="D226">
        <f t="shared" ca="1" si="103"/>
        <v>1</v>
      </c>
      <c r="E226" s="85">
        <f t="shared" si="104"/>
        <v>44013</v>
      </c>
      <c r="F226">
        <f t="shared" si="105"/>
        <v>27</v>
      </c>
      <c r="M226">
        <v>14</v>
      </c>
      <c r="N226">
        <v>1</v>
      </c>
      <c r="O226" s="6">
        <f t="array" aca="1" ref="O226" ca="1">SUM(OFFSET($CO$43,0,($M226*3)+$N226,53,1)*O$43:O$95)</f>
        <v>0</v>
      </c>
      <c r="P226" s="6">
        <f t="array" aca="1" ref="P226" ca="1">SUM(OFFSET($CO$43,0,($M226*3)+$N226,53,1)*P$43:P$95)</f>
        <v>0</v>
      </c>
      <c r="Q226" s="6">
        <f t="array" aca="1" ref="Q226" ca="1">SUM(OFFSET($CO$43,0,($M226*3)+$N226,53,1)*Q$43:Q$95)</f>
        <v>0</v>
      </c>
      <c r="R226" s="6">
        <f t="array" aca="1" ref="R226" ca="1">SUM(OFFSET($CO$43,0,($M226*3)+$N226,53,1)*R$43:R$95)</f>
        <v>0</v>
      </c>
      <c r="S226" s="6">
        <f t="array" aca="1" ref="S226" ca="1">SUM(OFFSET($CO$43,0,($M226*3)+$N226,53,1)*S$43:S$95)</f>
        <v>0</v>
      </c>
      <c r="T226" s="6">
        <f t="array" aca="1" ref="T226" ca="1">SUM(OFFSET($CO$43,0,($M226*3)+$N226,53,1)*T$43:T$95)</f>
        <v>0</v>
      </c>
      <c r="U226" s="6">
        <f t="array" aca="1" ref="U226" ca="1">SUM(OFFSET($CO$43,0,($M226*3)+$N226,53,1)*U$43:U$95)</f>
        <v>0</v>
      </c>
      <c r="V226" s="6">
        <f t="array" aca="1" ref="V226" ca="1">SUM(OFFSET($CO$43,0,($M226*3)+$N226,53,1)*V$43:V$95)</f>
        <v>0</v>
      </c>
      <c r="W226" s="6">
        <f t="array" aca="1" ref="W226" ca="1">SUM(OFFSET($CO$43,0,($M226*3)+$N226,53,1)*W$43:W$95)</f>
        <v>0</v>
      </c>
      <c r="X226" s="6">
        <f t="array" aca="1" ref="X226" ca="1">SUM(OFFSET($CO$43,0,($M226*3)+$N226,53,1)*X$43:X$95)</f>
        <v>0</v>
      </c>
      <c r="Y226" s="6">
        <f t="array" aca="1" ref="Y226" ca="1">SUM(OFFSET($CO$43,0,($M226*3)+$N226,53,1)*Y$43:Y$95)</f>
        <v>0</v>
      </c>
      <c r="Z226" s="6">
        <f t="array" aca="1" ref="Z226" ca="1">SUM(OFFSET($CO$43,0,($M226*3)+$N226,53,1)*Z$43:Z$95)</f>
        <v>0</v>
      </c>
      <c r="AA226" s="6">
        <f t="shared" ca="1" si="119"/>
        <v>0</v>
      </c>
      <c r="AB226" s="6">
        <f t="shared" ca="1" si="111"/>
        <v>0</v>
      </c>
      <c r="AC226" s="8"/>
      <c r="AD226" s="8" t="s">
        <v>1227</v>
      </c>
      <c r="AE226" t="str">
        <f t="shared" si="113"/>
        <v>Diagnostic (N)</v>
      </c>
      <c r="AF226">
        <f t="shared" ca="1" si="121"/>
        <v>0</v>
      </c>
      <c r="AG226">
        <f t="shared" ca="1" si="121"/>
        <v>0</v>
      </c>
      <c r="AH226">
        <f t="shared" ca="1" si="121"/>
        <v>0</v>
      </c>
      <c r="AI226">
        <f t="shared" ca="1" si="121"/>
        <v>0</v>
      </c>
      <c r="AJ226">
        <f t="shared" ca="1" si="121"/>
        <v>0</v>
      </c>
      <c r="AK226">
        <f t="shared" ca="1" si="121"/>
        <v>0</v>
      </c>
      <c r="AL226">
        <f t="shared" ca="1" si="121"/>
        <v>0</v>
      </c>
      <c r="AM226">
        <f t="shared" ca="1" si="121"/>
        <v>0</v>
      </c>
      <c r="AN226">
        <f t="shared" ca="1" si="121"/>
        <v>0</v>
      </c>
      <c r="AO226">
        <f t="shared" ca="1" si="121"/>
        <v>0</v>
      </c>
      <c r="AP226">
        <f t="shared" ca="1" si="121"/>
        <v>0</v>
      </c>
      <c r="AQ226">
        <f t="shared" ca="1" si="121"/>
        <v>0</v>
      </c>
    </row>
    <row r="227" spans="1:43" x14ac:dyDescent="0.25">
      <c r="A227">
        <f>1</f>
        <v>1</v>
      </c>
      <c r="B227" s="85">
        <f t="shared" si="106"/>
        <v>44015</v>
      </c>
      <c r="C227" s="85">
        <f t="shared" si="102"/>
        <v>44011</v>
      </c>
      <c r="D227">
        <f t="shared" ca="1" si="103"/>
        <v>1</v>
      </c>
      <c r="E227" s="85">
        <f t="shared" si="104"/>
        <v>44013</v>
      </c>
      <c r="F227">
        <f t="shared" si="105"/>
        <v>27</v>
      </c>
      <c r="M227">
        <v>14</v>
      </c>
      <c r="N227">
        <v>2</v>
      </c>
      <c r="O227" s="6">
        <f t="array" aca="1" ref="O227" ca="1">SUM(OFFSET($CO$43,0,($M227*3)+$N227,53,1)*O$43:O$95)</f>
        <v>0</v>
      </c>
      <c r="P227" s="6">
        <f t="array" aca="1" ref="P227" ca="1">SUM(OFFSET($CO$43,0,($M227*3)+$N227,53,1)*P$43:P$95)</f>
        <v>0</v>
      </c>
      <c r="Q227" s="6">
        <f t="array" aca="1" ref="Q227" ca="1">SUM(OFFSET($CO$43,0,($M227*3)+$N227,53,1)*Q$43:Q$95)</f>
        <v>0</v>
      </c>
      <c r="R227" s="6">
        <f t="array" aca="1" ref="R227" ca="1">SUM(OFFSET($CO$43,0,($M227*3)+$N227,53,1)*R$43:R$95)</f>
        <v>0</v>
      </c>
      <c r="S227" s="6">
        <f t="array" aca="1" ref="S227" ca="1">SUM(OFFSET($CO$43,0,($M227*3)+$N227,53,1)*S$43:S$95)</f>
        <v>0</v>
      </c>
      <c r="T227" s="6">
        <f t="array" aca="1" ref="T227" ca="1">SUM(OFFSET($CO$43,0,($M227*3)+$N227,53,1)*T$43:T$95)</f>
        <v>0</v>
      </c>
      <c r="U227" s="6">
        <f t="array" aca="1" ref="U227" ca="1">SUM(OFFSET($CO$43,0,($M227*3)+$N227,53,1)*U$43:U$95)</f>
        <v>0</v>
      </c>
      <c r="V227" s="6">
        <f t="array" aca="1" ref="V227" ca="1">SUM(OFFSET($CO$43,0,($M227*3)+$N227,53,1)*V$43:V$95)</f>
        <v>0</v>
      </c>
      <c r="W227" s="6">
        <f t="array" aca="1" ref="W227" ca="1">SUM(OFFSET($CO$43,0,($M227*3)+$N227,53,1)*W$43:W$95)</f>
        <v>0</v>
      </c>
      <c r="X227" s="6">
        <f t="array" aca="1" ref="X227" ca="1">SUM(OFFSET($CO$43,0,($M227*3)+$N227,53,1)*X$43:X$95)</f>
        <v>0</v>
      </c>
      <c r="Y227" s="6">
        <f t="array" aca="1" ref="Y227" ca="1">SUM(OFFSET($CO$43,0,($M227*3)+$N227,53,1)*Y$43:Y$95)</f>
        <v>0</v>
      </c>
      <c r="Z227" s="6">
        <f t="array" aca="1" ref="Z227" ca="1">SUM(OFFSET($CO$43,0,($M227*3)+$N227,53,1)*Z$43:Z$95)</f>
        <v>0</v>
      </c>
      <c r="AA227" s="6">
        <f t="shared" ca="1" si="119"/>
        <v>0</v>
      </c>
      <c r="AB227" s="6">
        <f t="shared" ca="1" si="111"/>
        <v>0</v>
      </c>
      <c r="AC227" s="8"/>
      <c r="AD227" s="8" t="s">
        <v>1227</v>
      </c>
      <c r="AE227" t="str">
        <f t="shared" si="113"/>
        <v>Follow Up</v>
      </c>
      <c r="AF227">
        <f t="shared" ca="1" si="121"/>
        <v>0</v>
      </c>
      <c r="AG227">
        <f t="shared" ca="1" si="121"/>
        <v>0</v>
      </c>
      <c r="AH227">
        <f t="shared" ca="1" si="121"/>
        <v>0</v>
      </c>
      <c r="AI227">
        <f t="shared" ca="1" si="121"/>
        <v>0</v>
      </c>
      <c r="AJ227">
        <f t="shared" ca="1" si="121"/>
        <v>0</v>
      </c>
      <c r="AK227">
        <f t="shared" ca="1" si="121"/>
        <v>0</v>
      </c>
      <c r="AL227">
        <f t="shared" ca="1" si="121"/>
        <v>0</v>
      </c>
      <c r="AM227">
        <f t="shared" ca="1" si="121"/>
        <v>0</v>
      </c>
      <c r="AN227">
        <f t="shared" ca="1" si="121"/>
        <v>0</v>
      </c>
      <c r="AO227">
        <f t="shared" ca="1" si="121"/>
        <v>0</v>
      </c>
      <c r="AP227">
        <f t="shared" ca="1" si="121"/>
        <v>0</v>
      </c>
      <c r="AQ227">
        <f t="shared" ca="1" si="121"/>
        <v>0</v>
      </c>
    </row>
    <row r="228" spans="1:43" x14ac:dyDescent="0.25">
      <c r="A228">
        <f>1</f>
        <v>1</v>
      </c>
      <c r="B228" s="85">
        <f t="shared" si="106"/>
        <v>44016</v>
      </c>
      <c r="C228" s="85">
        <f t="shared" si="102"/>
        <v>44011</v>
      </c>
      <c r="D228">
        <f t="shared" ca="1" si="103"/>
        <v>0</v>
      </c>
      <c r="E228" s="85">
        <f t="shared" si="104"/>
        <v>44013</v>
      </c>
      <c r="F228">
        <f t="shared" si="105"/>
        <v>27</v>
      </c>
      <c r="M228">
        <v>14</v>
      </c>
      <c r="N228">
        <v>3</v>
      </c>
      <c r="O228" s="6">
        <f t="array" aca="1" ref="O228" ca="1">SUM(OFFSET($CO$43,0,($M228*3)+$N228,53,1)*O$43:O$95)</f>
        <v>0</v>
      </c>
      <c r="P228" s="6">
        <f t="array" aca="1" ref="P228" ca="1">SUM(OFFSET($CO$43,0,($M228*3)+$N228,53,1)*P$43:P$95)</f>
        <v>0</v>
      </c>
      <c r="Q228" s="6">
        <f t="array" aca="1" ref="Q228" ca="1">SUM(OFFSET($CO$43,0,($M228*3)+$N228,53,1)*Q$43:Q$95)</f>
        <v>0</v>
      </c>
      <c r="R228" s="6">
        <f t="array" aca="1" ref="R228" ca="1">SUM(OFFSET($CO$43,0,($M228*3)+$N228,53,1)*R$43:R$95)</f>
        <v>0</v>
      </c>
      <c r="S228" s="6">
        <f t="array" aca="1" ref="S228" ca="1">SUM(OFFSET($CO$43,0,($M228*3)+$N228,53,1)*S$43:S$95)</f>
        <v>0</v>
      </c>
      <c r="T228" s="6">
        <f t="array" aca="1" ref="T228" ca="1">SUM(OFFSET($CO$43,0,($M228*3)+$N228,53,1)*T$43:T$95)</f>
        <v>0</v>
      </c>
      <c r="U228" s="6">
        <f t="array" aca="1" ref="U228" ca="1">SUM(OFFSET($CO$43,0,($M228*3)+$N228,53,1)*U$43:U$95)</f>
        <v>0</v>
      </c>
      <c r="V228" s="6">
        <f t="array" aca="1" ref="V228" ca="1">SUM(OFFSET($CO$43,0,($M228*3)+$N228,53,1)*V$43:V$95)</f>
        <v>0</v>
      </c>
      <c r="W228" s="6">
        <f t="array" aca="1" ref="W228" ca="1">SUM(OFFSET($CO$43,0,($M228*3)+$N228,53,1)*W$43:W$95)</f>
        <v>0</v>
      </c>
      <c r="X228" s="6">
        <f t="array" aca="1" ref="X228" ca="1">SUM(OFFSET($CO$43,0,($M228*3)+$N228,53,1)*X$43:X$95)</f>
        <v>0</v>
      </c>
      <c r="Y228" s="6">
        <f t="array" aca="1" ref="Y228" ca="1">SUM(OFFSET($CO$43,0,($M228*3)+$N228,53,1)*Y$43:Y$95)</f>
        <v>0</v>
      </c>
      <c r="Z228" s="6">
        <f t="array" aca="1" ref="Z228" ca="1">SUM(OFFSET($CO$43,0,($M228*3)+$N228,53,1)*Z$43:Z$95)</f>
        <v>0</v>
      </c>
      <c r="AA228" s="6">
        <f t="shared" ca="1" si="119"/>
        <v>0</v>
      </c>
      <c r="AB228" s="6">
        <f t="shared" ca="1" si="111"/>
        <v>0</v>
      </c>
      <c r="AC228" s="8"/>
      <c r="AD228" s="8" t="s">
        <v>1227</v>
      </c>
      <c r="AE228" t="str">
        <f t="shared" si="113"/>
        <v>Diagnostic (FU)</v>
      </c>
      <c r="AF228">
        <f t="shared" ca="1" si="121"/>
        <v>0</v>
      </c>
      <c r="AG228">
        <f t="shared" ca="1" si="121"/>
        <v>0</v>
      </c>
      <c r="AH228">
        <f t="shared" ca="1" si="121"/>
        <v>0</v>
      </c>
      <c r="AI228">
        <f t="shared" ca="1" si="121"/>
        <v>0</v>
      </c>
      <c r="AJ228">
        <f t="shared" ca="1" si="121"/>
        <v>0</v>
      </c>
      <c r="AK228">
        <f t="shared" ca="1" si="121"/>
        <v>0</v>
      </c>
      <c r="AL228">
        <f t="shared" ca="1" si="121"/>
        <v>0</v>
      </c>
      <c r="AM228">
        <f t="shared" ca="1" si="121"/>
        <v>0</v>
      </c>
      <c r="AN228">
        <f t="shared" ca="1" si="121"/>
        <v>0</v>
      </c>
      <c r="AO228">
        <f t="shared" ca="1" si="121"/>
        <v>0</v>
      </c>
      <c r="AP228">
        <f t="shared" ca="1" si="121"/>
        <v>0</v>
      </c>
      <c r="AQ228">
        <f t="shared" ca="1" si="121"/>
        <v>0</v>
      </c>
    </row>
    <row r="229" spans="1:43" x14ac:dyDescent="0.25">
      <c r="A229">
        <f>1</f>
        <v>1</v>
      </c>
      <c r="B229" s="85">
        <f t="shared" si="106"/>
        <v>44017</v>
      </c>
      <c r="C229" s="85">
        <f t="shared" si="102"/>
        <v>44011</v>
      </c>
      <c r="D229">
        <f t="shared" ca="1" si="103"/>
        <v>0</v>
      </c>
      <c r="E229" s="85">
        <f t="shared" si="104"/>
        <v>44013</v>
      </c>
      <c r="F229">
        <f t="shared" si="105"/>
        <v>27</v>
      </c>
      <c r="M229">
        <v>15</v>
      </c>
      <c r="N229">
        <v>1</v>
      </c>
      <c r="O229" s="6">
        <f t="array" aca="1" ref="O229" ca="1">SUM(OFFSET($CO$43,0,($M229*3)+$N229,53,1)*O$43:O$95)</f>
        <v>0</v>
      </c>
      <c r="P229" s="6">
        <f t="array" aca="1" ref="P229" ca="1">SUM(OFFSET($CO$43,0,($M229*3)+$N229,53,1)*P$43:P$95)</f>
        <v>0</v>
      </c>
      <c r="Q229" s="6">
        <f t="array" aca="1" ref="Q229" ca="1">SUM(OFFSET($CO$43,0,($M229*3)+$N229,53,1)*Q$43:Q$95)</f>
        <v>0</v>
      </c>
      <c r="R229" s="6">
        <f t="array" aca="1" ref="R229" ca="1">SUM(OFFSET($CO$43,0,($M229*3)+$N229,53,1)*R$43:R$95)</f>
        <v>0</v>
      </c>
      <c r="S229" s="6">
        <f t="array" aca="1" ref="S229" ca="1">SUM(OFFSET($CO$43,0,($M229*3)+$N229,53,1)*S$43:S$95)</f>
        <v>0</v>
      </c>
      <c r="T229" s="6">
        <f t="array" aca="1" ref="T229" ca="1">SUM(OFFSET($CO$43,0,($M229*3)+$N229,53,1)*T$43:T$95)</f>
        <v>0</v>
      </c>
      <c r="U229" s="6">
        <f t="array" aca="1" ref="U229" ca="1">SUM(OFFSET($CO$43,0,($M229*3)+$N229,53,1)*U$43:U$95)</f>
        <v>0</v>
      </c>
      <c r="V229" s="6">
        <f t="array" aca="1" ref="V229" ca="1">SUM(OFFSET($CO$43,0,($M229*3)+$N229,53,1)*V$43:V$95)</f>
        <v>0</v>
      </c>
      <c r="W229" s="6">
        <f t="array" aca="1" ref="W229" ca="1">SUM(OFFSET($CO$43,0,($M229*3)+$N229,53,1)*W$43:W$95)</f>
        <v>0</v>
      </c>
      <c r="X229" s="6">
        <f t="array" aca="1" ref="X229" ca="1">SUM(OFFSET($CO$43,0,($M229*3)+$N229,53,1)*X$43:X$95)</f>
        <v>0</v>
      </c>
      <c r="Y229" s="6">
        <f t="array" aca="1" ref="Y229" ca="1">SUM(OFFSET($CO$43,0,($M229*3)+$N229,53,1)*Y$43:Y$95)</f>
        <v>0</v>
      </c>
      <c r="Z229" s="6">
        <f t="array" aca="1" ref="Z229" ca="1">SUM(OFFSET($CO$43,0,($M229*3)+$N229,53,1)*Z$43:Z$95)</f>
        <v>0</v>
      </c>
      <c r="AA229" s="6">
        <f t="shared" ca="1" si="119"/>
        <v>0</v>
      </c>
      <c r="AB229" s="6">
        <f t="shared" ca="1" si="111"/>
        <v>0</v>
      </c>
      <c r="AC229" s="8"/>
      <c r="AD229" s="8" t="s">
        <v>1227</v>
      </c>
      <c r="AE229" t="str">
        <f t="shared" si="113"/>
        <v>Admission</v>
      </c>
      <c r="AF229">
        <f t="shared" ca="1" si="121"/>
        <v>0</v>
      </c>
      <c r="AG229">
        <f t="shared" ca="1" si="121"/>
        <v>0</v>
      </c>
      <c r="AH229">
        <f t="shared" ca="1" si="121"/>
        <v>0</v>
      </c>
      <c r="AI229">
        <f t="shared" ca="1" si="121"/>
        <v>0</v>
      </c>
      <c r="AJ229">
        <f t="shared" ca="1" si="121"/>
        <v>0</v>
      </c>
      <c r="AK229">
        <f t="shared" ca="1" si="121"/>
        <v>0</v>
      </c>
      <c r="AL229">
        <f t="shared" ca="1" si="121"/>
        <v>0</v>
      </c>
      <c r="AM229">
        <f t="shared" ca="1" si="121"/>
        <v>0</v>
      </c>
      <c r="AN229">
        <f t="shared" ca="1" si="121"/>
        <v>0</v>
      </c>
      <c r="AO229">
        <f t="shared" ca="1" si="121"/>
        <v>0</v>
      </c>
      <c r="AP229">
        <f t="shared" ca="1" si="121"/>
        <v>0</v>
      </c>
      <c r="AQ229">
        <f t="shared" ca="1" si="121"/>
        <v>0</v>
      </c>
    </row>
    <row r="230" spans="1:43" x14ac:dyDescent="0.25">
      <c r="A230">
        <f>1</f>
        <v>1</v>
      </c>
      <c r="B230" s="85">
        <f t="shared" si="106"/>
        <v>44018</v>
      </c>
      <c r="C230" s="85">
        <f t="shared" si="102"/>
        <v>44018</v>
      </c>
      <c r="D230">
        <f t="shared" ca="1" si="103"/>
        <v>1</v>
      </c>
      <c r="E230" s="85">
        <f t="shared" si="104"/>
        <v>44013</v>
      </c>
      <c r="F230">
        <f t="shared" si="105"/>
        <v>28</v>
      </c>
      <c r="M230">
        <v>15</v>
      </c>
      <c r="N230">
        <v>2</v>
      </c>
      <c r="O230" s="6">
        <f t="array" aca="1" ref="O230" ca="1">SUM(OFFSET($CO$43,0,($M230*3)+$N230,53,1)*O$43:O$95)</f>
        <v>0</v>
      </c>
      <c r="P230" s="6">
        <f t="array" aca="1" ref="P230" ca="1">SUM(OFFSET($CO$43,0,($M230*3)+$N230,53,1)*P$43:P$95)</f>
        <v>0</v>
      </c>
      <c r="Q230" s="6">
        <f t="array" aca="1" ref="Q230" ca="1">SUM(OFFSET($CO$43,0,($M230*3)+$N230,53,1)*Q$43:Q$95)</f>
        <v>0</v>
      </c>
      <c r="R230" s="6">
        <f t="array" aca="1" ref="R230" ca="1">SUM(OFFSET($CO$43,0,($M230*3)+$N230,53,1)*R$43:R$95)</f>
        <v>0</v>
      </c>
      <c r="S230" s="6">
        <f t="array" aca="1" ref="S230" ca="1">SUM(OFFSET($CO$43,0,($M230*3)+$N230,53,1)*S$43:S$95)</f>
        <v>0</v>
      </c>
      <c r="T230" s="6">
        <f t="array" aca="1" ref="T230" ca="1">SUM(OFFSET($CO$43,0,($M230*3)+$N230,53,1)*T$43:T$95)</f>
        <v>0</v>
      </c>
      <c r="U230" s="6">
        <f t="array" aca="1" ref="U230" ca="1">SUM(OFFSET($CO$43,0,($M230*3)+$N230,53,1)*U$43:U$95)</f>
        <v>0</v>
      </c>
      <c r="V230" s="6">
        <f t="array" aca="1" ref="V230" ca="1">SUM(OFFSET($CO$43,0,($M230*3)+$N230,53,1)*V$43:V$95)</f>
        <v>0</v>
      </c>
      <c r="W230" s="6">
        <f t="array" aca="1" ref="W230" ca="1">SUM(OFFSET($CO$43,0,($M230*3)+$N230,53,1)*W$43:W$95)</f>
        <v>0</v>
      </c>
      <c r="X230" s="6">
        <f t="array" aca="1" ref="X230" ca="1">SUM(OFFSET($CO$43,0,($M230*3)+$N230,53,1)*X$43:X$95)</f>
        <v>0</v>
      </c>
      <c r="Y230" s="6">
        <f t="array" aca="1" ref="Y230" ca="1">SUM(OFFSET($CO$43,0,($M230*3)+$N230,53,1)*Y$43:Y$95)</f>
        <v>0</v>
      </c>
      <c r="Z230" s="6">
        <f t="array" aca="1" ref="Z230" ca="1">SUM(OFFSET($CO$43,0,($M230*3)+$N230,53,1)*Z$43:Z$95)</f>
        <v>0</v>
      </c>
      <c r="AA230" s="6">
        <f t="shared" ca="1" si="119"/>
        <v>0</v>
      </c>
      <c r="AB230" s="6">
        <f t="shared" ca="1" si="111"/>
        <v>0</v>
      </c>
      <c r="AC230" s="6"/>
      <c r="AD230" s="6"/>
      <c r="AE230" s="6"/>
      <c r="AF230" s="6"/>
      <c r="AG230" s="6"/>
      <c r="AH230" s="6"/>
    </row>
    <row r="231" spans="1:43" x14ac:dyDescent="0.25">
      <c r="A231">
        <f>1</f>
        <v>1</v>
      </c>
      <c r="B231" s="85">
        <f t="shared" si="106"/>
        <v>44019</v>
      </c>
      <c r="C231" s="85">
        <f t="shared" si="102"/>
        <v>44018</v>
      </c>
      <c r="D231">
        <f t="shared" ca="1" si="103"/>
        <v>1</v>
      </c>
      <c r="E231" s="85">
        <f t="shared" si="104"/>
        <v>44013</v>
      </c>
      <c r="F231">
        <f t="shared" si="105"/>
        <v>28</v>
      </c>
      <c r="M231">
        <v>15</v>
      </c>
      <c r="N231">
        <v>3</v>
      </c>
      <c r="O231" s="6">
        <f t="array" aca="1" ref="O231" ca="1">SUM(OFFSET($CO$43,0,($M231*3)+$N231,53,1)*O$43:O$95)</f>
        <v>0</v>
      </c>
      <c r="P231" s="6">
        <f t="array" aca="1" ref="P231" ca="1">SUM(OFFSET($CO$43,0,($M231*3)+$N231,53,1)*P$43:P$95)</f>
        <v>0</v>
      </c>
      <c r="Q231" s="6">
        <f t="array" aca="1" ref="Q231" ca="1">SUM(OFFSET($CO$43,0,($M231*3)+$N231,53,1)*Q$43:Q$95)</f>
        <v>0</v>
      </c>
      <c r="R231" s="6">
        <f t="array" aca="1" ref="R231" ca="1">SUM(OFFSET($CO$43,0,($M231*3)+$N231,53,1)*R$43:R$95)</f>
        <v>0</v>
      </c>
      <c r="S231" s="6">
        <f t="array" aca="1" ref="S231" ca="1">SUM(OFFSET($CO$43,0,($M231*3)+$N231,53,1)*S$43:S$95)</f>
        <v>0</v>
      </c>
      <c r="T231" s="6">
        <f t="array" aca="1" ref="T231" ca="1">SUM(OFFSET($CO$43,0,($M231*3)+$N231,53,1)*T$43:T$95)</f>
        <v>0</v>
      </c>
      <c r="U231" s="6">
        <f t="array" aca="1" ref="U231" ca="1">SUM(OFFSET($CO$43,0,($M231*3)+$N231,53,1)*U$43:U$95)</f>
        <v>0</v>
      </c>
      <c r="V231" s="6">
        <f t="array" aca="1" ref="V231" ca="1">SUM(OFFSET($CO$43,0,($M231*3)+$N231,53,1)*V$43:V$95)</f>
        <v>0</v>
      </c>
      <c r="W231" s="6">
        <f t="array" aca="1" ref="W231" ca="1">SUM(OFFSET($CO$43,0,($M231*3)+$N231,53,1)*W$43:W$95)</f>
        <v>0</v>
      </c>
      <c r="X231" s="6">
        <f t="array" aca="1" ref="X231" ca="1">SUM(OFFSET($CO$43,0,($M231*3)+$N231,53,1)*X$43:X$95)</f>
        <v>0</v>
      </c>
      <c r="Y231" s="6">
        <f t="array" aca="1" ref="Y231" ca="1">SUM(OFFSET($CO$43,0,($M231*3)+$N231,53,1)*Y$43:Y$95)</f>
        <v>0</v>
      </c>
      <c r="Z231" s="6">
        <f t="array" aca="1" ref="Z231" ca="1">SUM(OFFSET($CO$43,0,($M231*3)+$N231,53,1)*Z$43:Z$95)</f>
        <v>0</v>
      </c>
      <c r="AA231" s="6">
        <f t="shared" ca="1" si="119"/>
        <v>0</v>
      </c>
      <c r="AB231" s="6">
        <f t="shared" ca="1" si="111"/>
        <v>0</v>
      </c>
      <c r="AC231" s="6"/>
      <c r="AD231" s="6"/>
      <c r="AE231" s="6"/>
      <c r="AF231" s="6"/>
      <c r="AG231" s="6"/>
      <c r="AH231" s="6"/>
    </row>
    <row r="232" spans="1:43" x14ac:dyDescent="0.25">
      <c r="A232">
        <f>1</f>
        <v>1</v>
      </c>
      <c r="B232" s="85">
        <f t="shared" si="106"/>
        <v>44020</v>
      </c>
      <c r="C232" s="85">
        <f t="shared" si="102"/>
        <v>44018</v>
      </c>
      <c r="D232">
        <f t="shared" ca="1" si="103"/>
        <v>1</v>
      </c>
      <c r="E232" s="85">
        <f t="shared" si="104"/>
        <v>44013</v>
      </c>
      <c r="F232">
        <f t="shared" si="105"/>
        <v>28</v>
      </c>
      <c r="M232">
        <v>16</v>
      </c>
      <c r="N232">
        <v>1</v>
      </c>
      <c r="O232" s="6">
        <f t="array" aca="1" ref="O232" ca="1">SUM(OFFSET($CO$43,0,($M232*3)+$N232,53,1)*O$43:O$95)</f>
        <v>0</v>
      </c>
      <c r="P232" s="6">
        <f t="array" aca="1" ref="P232" ca="1">SUM(OFFSET($CO$43,0,($M232*3)+$N232,53,1)*P$43:P$95)</f>
        <v>0</v>
      </c>
      <c r="Q232" s="6">
        <f t="array" aca="1" ref="Q232" ca="1">SUM(OFFSET($CO$43,0,($M232*3)+$N232,53,1)*Q$43:Q$95)</f>
        <v>0</v>
      </c>
      <c r="R232" s="6">
        <f t="array" aca="1" ref="R232" ca="1">SUM(OFFSET($CO$43,0,($M232*3)+$N232,53,1)*R$43:R$95)</f>
        <v>0</v>
      </c>
      <c r="S232" s="6">
        <f t="array" aca="1" ref="S232" ca="1">SUM(OFFSET($CO$43,0,($M232*3)+$N232,53,1)*S$43:S$95)</f>
        <v>0</v>
      </c>
      <c r="T232" s="6">
        <f t="array" aca="1" ref="T232" ca="1">SUM(OFFSET($CO$43,0,($M232*3)+$N232,53,1)*T$43:T$95)</f>
        <v>0</v>
      </c>
      <c r="U232" s="6">
        <f t="array" aca="1" ref="U232" ca="1">SUM(OFFSET($CO$43,0,($M232*3)+$N232,53,1)*U$43:U$95)</f>
        <v>0</v>
      </c>
      <c r="V232" s="6">
        <f t="array" aca="1" ref="V232" ca="1">SUM(OFFSET($CO$43,0,($M232*3)+$N232,53,1)*V$43:V$95)</f>
        <v>0</v>
      </c>
      <c r="W232" s="6">
        <f t="array" aca="1" ref="W232" ca="1">SUM(OFFSET($CO$43,0,($M232*3)+$N232,53,1)*W$43:W$95)</f>
        <v>0</v>
      </c>
      <c r="X232" s="6">
        <f t="array" aca="1" ref="X232" ca="1">SUM(OFFSET($CO$43,0,($M232*3)+$N232,53,1)*X$43:X$95)</f>
        <v>0</v>
      </c>
      <c r="Y232" s="6">
        <f t="array" aca="1" ref="Y232" ca="1">SUM(OFFSET($CO$43,0,($M232*3)+$N232,53,1)*Y$43:Y$95)</f>
        <v>0</v>
      </c>
      <c r="Z232" s="6">
        <f t="array" aca="1" ref="Z232" ca="1">SUM(OFFSET($CO$43,0,($M232*3)+$N232,53,1)*Z$43:Z$95)</f>
        <v>0</v>
      </c>
      <c r="AA232" s="6">
        <f t="shared" ca="1" si="119"/>
        <v>0</v>
      </c>
      <c r="AB232" s="6">
        <f t="shared" ca="1" si="111"/>
        <v>0</v>
      </c>
      <c r="AC232" s="6" t="s">
        <v>1392</v>
      </c>
      <c r="AD232" s="6"/>
      <c r="AE232" s="6"/>
      <c r="AF232" s="6"/>
      <c r="AG232" s="6"/>
      <c r="AH232" s="6"/>
    </row>
    <row r="233" spans="1:43" x14ac:dyDescent="0.25">
      <c r="A233">
        <f>1</f>
        <v>1</v>
      </c>
      <c r="B233" s="85">
        <f t="shared" si="106"/>
        <v>44021</v>
      </c>
      <c r="C233" s="85">
        <f t="shared" si="102"/>
        <v>44018</v>
      </c>
      <c r="D233">
        <f t="shared" ca="1" si="103"/>
        <v>1</v>
      </c>
      <c r="E233" s="85">
        <f t="shared" si="104"/>
        <v>44013</v>
      </c>
      <c r="F233">
        <f t="shared" si="105"/>
        <v>28</v>
      </c>
      <c r="M233">
        <v>16</v>
      </c>
      <c r="N233">
        <v>2</v>
      </c>
      <c r="O233" s="6">
        <f t="array" aca="1" ref="O233" ca="1">SUM(OFFSET($CO$43,0,($M233*3)+$N233,53,1)*O$43:O$95)</f>
        <v>0</v>
      </c>
      <c r="P233" s="6">
        <f t="array" aca="1" ref="P233" ca="1">SUM(OFFSET($CO$43,0,($M233*3)+$N233,53,1)*P$43:P$95)</f>
        <v>0</v>
      </c>
      <c r="Q233" s="6">
        <f t="array" aca="1" ref="Q233" ca="1">SUM(OFFSET($CO$43,0,($M233*3)+$N233,53,1)*Q$43:Q$95)</f>
        <v>0</v>
      </c>
      <c r="R233" s="6">
        <f t="array" aca="1" ref="R233" ca="1">SUM(OFFSET($CO$43,0,($M233*3)+$N233,53,1)*R$43:R$95)</f>
        <v>0</v>
      </c>
      <c r="S233" s="6">
        <f t="array" aca="1" ref="S233" ca="1">SUM(OFFSET($CO$43,0,($M233*3)+$N233,53,1)*S$43:S$95)</f>
        <v>0</v>
      </c>
      <c r="T233" s="6">
        <f t="array" aca="1" ref="T233" ca="1">SUM(OFFSET($CO$43,0,($M233*3)+$N233,53,1)*T$43:T$95)</f>
        <v>0</v>
      </c>
      <c r="U233" s="6">
        <f t="array" aca="1" ref="U233" ca="1">SUM(OFFSET($CO$43,0,($M233*3)+$N233,53,1)*U$43:U$95)</f>
        <v>0</v>
      </c>
      <c r="V233" s="6">
        <f t="array" aca="1" ref="V233" ca="1">SUM(OFFSET($CO$43,0,($M233*3)+$N233,53,1)*V$43:V$95)</f>
        <v>0</v>
      </c>
      <c r="W233" s="6">
        <f t="array" aca="1" ref="W233" ca="1">SUM(OFFSET($CO$43,0,($M233*3)+$N233,53,1)*W$43:W$95)</f>
        <v>0</v>
      </c>
      <c r="X233" s="6">
        <f t="array" aca="1" ref="X233" ca="1">SUM(OFFSET($CO$43,0,($M233*3)+$N233,53,1)*X$43:X$95)</f>
        <v>0</v>
      </c>
      <c r="Y233" s="6">
        <f t="array" aca="1" ref="Y233" ca="1">SUM(OFFSET($CO$43,0,($M233*3)+$N233,53,1)*Y$43:Y$95)</f>
        <v>0</v>
      </c>
      <c r="Z233" s="6">
        <f t="array" aca="1" ref="Z233" ca="1">SUM(OFFSET($CO$43,0,($M233*3)+$N233,53,1)*Z$43:Z$95)</f>
        <v>0</v>
      </c>
      <c r="AA233" s="6">
        <f t="shared" ca="1" si="119"/>
        <v>0</v>
      </c>
      <c r="AB233" s="6">
        <f t="shared" ca="1" si="111"/>
        <v>0</v>
      </c>
      <c r="AC233" s="6"/>
      <c r="AD233" t="s">
        <v>1316</v>
      </c>
      <c r="AE233" t="s">
        <v>815</v>
      </c>
      <c r="AF233" s="6">
        <f ca="1">SUMIFS(AF$238:AF$337,$AE$238:$AE$337,$AE233)</f>
        <v>0</v>
      </c>
      <c r="AG233" s="6">
        <f ca="1">SUMIFS(AG$238:AG$337,$AE$238:$AE$337,$AE233)</f>
        <v>0</v>
      </c>
      <c r="AH233" s="6">
        <f t="shared" ref="AG233:AQ237" ca="1" si="122">SUMIFS(AH$238:AH$337,$AE$238:$AE$337,$AE233)</f>
        <v>0</v>
      </c>
      <c r="AI233" s="6">
        <f t="shared" ca="1" si="122"/>
        <v>0</v>
      </c>
      <c r="AJ233" s="6">
        <f t="shared" ca="1" si="122"/>
        <v>0</v>
      </c>
      <c r="AK233" s="6">
        <f t="shared" ca="1" si="122"/>
        <v>0</v>
      </c>
      <c r="AL233" s="6">
        <f t="shared" ca="1" si="122"/>
        <v>0</v>
      </c>
      <c r="AM233" s="6">
        <f t="shared" ca="1" si="122"/>
        <v>0</v>
      </c>
      <c r="AN233" s="6">
        <f t="shared" ca="1" si="122"/>
        <v>0</v>
      </c>
      <c r="AO233" s="6">
        <f t="shared" ca="1" si="122"/>
        <v>0</v>
      </c>
      <c r="AP233" s="6">
        <f t="shared" ca="1" si="122"/>
        <v>0</v>
      </c>
      <c r="AQ233" s="6">
        <f t="shared" ca="1" si="122"/>
        <v>0</v>
      </c>
    </row>
    <row r="234" spans="1:43" x14ac:dyDescent="0.25">
      <c r="A234">
        <f>1</f>
        <v>1</v>
      </c>
      <c r="B234" s="85">
        <f t="shared" si="106"/>
        <v>44022</v>
      </c>
      <c r="C234" s="85">
        <f t="shared" si="102"/>
        <v>44018</v>
      </c>
      <c r="D234">
        <f t="shared" ca="1" si="103"/>
        <v>1</v>
      </c>
      <c r="E234" s="85">
        <f t="shared" si="104"/>
        <v>44013</v>
      </c>
      <c r="F234">
        <f t="shared" si="105"/>
        <v>28</v>
      </c>
      <c r="M234">
        <v>16</v>
      </c>
      <c r="N234">
        <v>3</v>
      </c>
      <c r="O234" s="6">
        <f t="array" aca="1" ref="O234" ca="1">SUM(OFFSET($CO$43,0,($M234*3)+$N234,53,1)*O$43:O$95)</f>
        <v>0</v>
      </c>
      <c r="P234" s="6">
        <f t="array" aca="1" ref="P234" ca="1">SUM(OFFSET($CO$43,0,($M234*3)+$N234,53,1)*P$43:P$95)</f>
        <v>0</v>
      </c>
      <c r="Q234" s="6">
        <f t="array" aca="1" ref="Q234" ca="1">SUM(OFFSET($CO$43,0,($M234*3)+$N234,53,1)*Q$43:Q$95)</f>
        <v>0</v>
      </c>
      <c r="R234" s="6">
        <f t="array" aca="1" ref="R234" ca="1">SUM(OFFSET($CO$43,0,($M234*3)+$N234,53,1)*R$43:R$95)</f>
        <v>0</v>
      </c>
      <c r="S234" s="6">
        <f t="array" aca="1" ref="S234" ca="1">SUM(OFFSET($CO$43,0,($M234*3)+$N234,53,1)*S$43:S$95)</f>
        <v>0</v>
      </c>
      <c r="T234" s="6">
        <f t="array" aca="1" ref="T234" ca="1">SUM(OFFSET($CO$43,0,($M234*3)+$N234,53,1)*T$43:T$95)</f>
        <v>0</v>
      </c>
      <c r="U234" s="6">
        <f t="array" aca="1" ref="U234" ca="1">SUM(OFFSET($CO$43,0,($M234*3)+$N234,53,1)*U$43:U$95)</f>
        <v>0</v>
      </c>
      <c r="V234" s="6">
        <f t="array" aca="1" ref="V234" ca="1">SUM(OFFSET($CO$43,0,($M234*3)+$N234,53,1)*V$43:V$95)</f>
        <v>0</v>
      </c>
      <c r="W234" s="6">
        <f t="array" aca="1" ref="W234" ca="1">SUM(OFFSET($CO$43,0,($M234*3)+$N234,53,1)*W$43:W$95)</f>
        <v>0</v>
      </c>
      <c r="X234" s="6">
        <f t="array" aca="1" ref="X234" ca="1">SUM(OFFSET($CO$43,0,($M234*3)+$N234,53,1)*X$43:X$95)</f>
        <v>0</v>
      </c>
      <c r="Y234" s="6">
        <f t="array" aca="1" ref="Y234" ca="1">SUM(OFFSET($CO$43,0,($M234*3)+$N234,53,1)*Y$43:Y$95)</f>
        <v>0</v>
      </c>
      <c r="Z234" s="6">
        <f t="array" aca="1" ref="Z234" ca="1">SUM(OFFSET($CO$43,0,($M234*3)+$N234,53,1)*Z$43:Z$95)</f>
        <v>0</v>
      </c>
      <c r="AA234" s="6">
        <f t="shared" ca="1" si="119"/>
        <v>0</v>
      </c>
      <c r="AB234" s="6">
        <f t="shared" ca="1" si="111"/>
        <v>0</v>
      </c>
      <c r="AC234" s="6"/>
      <c r="AE234" t="s">
        <v>841</v>
      </c>
      <c r="AF234" s="6">
        <f ca="1">SUMIFS(AF$238:AF$337,$AE$238:$AE$337,$AE234)</f>
        <v>0</v>
      </c>
      <c r="AG234" s="6">
        <f t="shared" ca="1" si="122"/>
        <v>0</v>
      </c>
      <c r="AH234" s="6">
        <f t="shared" ca="1" si="122"/>
        <v>0</v>
      </c>
      <c r="AI234" s="6">
        <f t="shared" ca="1" si="122"/>
        <v>0</v>
      </c>
      <c r="AJ234" s="6">
        <f t="shared" ca="1" si="122"/>
        <v>0</v>
      </c>
      <c r="AK234" s="6">
        <f t="shared" ca="1" si="122"/>
        <v>0</v>
      </c>
      <c r="AL234" s="6">
        <f t="shared" ca="1" si="122"/>
        <v>0</v>
      </c>
      <c r="AM234" s="6">
        <f t="shared" ca="1" si="122"/>
        <v>0</v>
      </c>
      <c r="AN234" s="6">
        <f t="shared" ca="1" si="122"/>
        <v>0</v>
      </c>
      <c r="AO234" s="6">
        <f t="shared" ca="1" si="122"/>
        <v>0</v>
      </c>
      <c r="AP234" s="6">
        <f t="shared" ca="1" si="122"/>
        <v>0</v>
      </c>
      <c r="AQ234" s="6">
        <f t="shared" ca="1" si="122"/>
        <v>0</v>
      </c>
    </row>
    <row r="235" spans="1:43" x14ac:dyDescent="0.25">
      <c r="A235">
        <f>1</f>
        <v>1</v>
      </c>
      <c r="B235" s="85">
        <f t="shared" si="106"/>
        <v>44023</v>
      </c>
      <c r="C235" s="85">
        <f t="shared" ref="C235:C298" si="123">B235-WEEKDAY(B235,3)</f>
        <v>44018</v>
      </c>
      <c r="D235">
        <f t="shared" ref="D235:D298" ca="1" si="124">IF(WEEKDAY(B235,3)&gt;=5,0,IF(ISNA(MATCH(B235,OFFSET($A$6,$C$40,1,1,13),0))=FALSE,0,1))</f>
        <v>0</v>
      </c>
      <c r="E235" s="85">
        <f t="shared" ref="E235:E298" si="125">DATE(YEAR(B235),MONTH(B235),1)</f>
        <v>44013</v>
      </c>
      <c r="F235">
        <f t="shared" si="105"/>
        <v>28</v>
      </c>
      <c r="M235">
        <v>17</v>
      </c>
      <c r="N235">
        <v>1</v>
      </c>
      <c r="O235" s="6">
        <f t="array" aca="1" ref="O235" ca="1">SUM(OFFSET($CO$43,0,($M235*3)+$N235,53,1)*O$43:O$95)</f>
        <v>0</v>
      </c>
      <c r="P235" s="6">
        <f t="array" aca="1" ref="P235" ca="1">SUM(OFFSET($CO$43,0,($M235*3)+$N235,53,1)*P$43:P$95)</f>
        <v>0</v>
      </c>
      <c r="Q235" s="6">
        <f t="array" aca="1" ref="Q235" ca="1">SUM(OFFSET($CO$43,0,($M235*3)+$N235,53,1)*Q$43:Q$95)</f>
        <v>0</v>
      </c>
      <c r="R235" s="6">
        <f t="array" aca="1" ref="R235" ca="1">SUM(OFFSET($CO$43,0,($M235*3)+$N235,53,1)*R$43:R$95)</f>
        <v>0</v>
      </c>
      <c r="S235" s="6">
        <f t="array" aca="1" ref="S235" ca="1">SUM(OFFSET($CO$43,0,($M235*3)+$N235,53,1)*S$43:S$95)</f>
        <v>0</v>
      </c>
      <c r="T235" s="6">
        <f t="array" aca="1" ref="T235" ca="1">SUM(OFFSET($CO$43,0,($M235*3)+$N235,53,1)*T$43:T$95)</f>
        <v>0</v>
      </c>
      <c r="U235" s="6">
        <f t="array" aca="1" ref="U235" ca="1">SUM(OFFSET($CO$43,0,($M235*3)+$N235,53,1)*U$43:U$95)</f>
        <v>0</v>
      </c>
      <c r="V235" s="6">
        <f t="array" aca="1" ref="V235" ca="1">SUM(OFFSET($CO$43,0,($M235*3)+$N235,53,1)*V$43:V$95)</f>
        <v>0</v>
      </c>
      <c r="W235" s="6">
        <f t="array" aca="1" ref="W235" ca="1">SUM(OFFSET($CO$43,0,($M235*3)+$N235,53,1)*W$43:W$95)</f>
        <v>0</v>
      </c>
      <c r="X235" s="6">
        <f t="array" aca="1" ref="X235" ca="1">SUM(OFFSET($CO$43,0,($M235*3)+$N235,53,1)*X$43:X$95)</f>
        <v>0</v>
      </c>
      <c r="Y235" s="6">
        <f t="array" aca="1" ref="Y235" ca="1">SUM(OFFSET($CO$43,0,($M235*3)+$N235,53,1)*Y$43:Y$95)</f>
        <v>0</v>
      </c>
      <c r="Z235" s="6">
        <f t="array" aca="1" ref="Z235" ca="1">SUM(OFFSET($CO$43,0,($M235*3)+$N235,53,1)*Z$43:Z$95)</f>
        <v>0</v>
      </c>
      <c r="AA235" s="6">
        <f t="shared" ca="1" si="119"/>
        <v>0</v>
      </c>
      <c r="AB235" s="6">
        <f t="shared" ca="1" si="111"/>
        <v>0</v>
      </c>
      <c r="AC235" s="6"/>
      <c r="AE235" t="s">
        <v>818</v>
      </c>
      <c r="AF235" s="6">
        <f ca="1">SUMIFS(AF$238:AF$337,$AE$238:$AE$337,$AE235)</f>
        <v>0</v>
      </c>
      <c r="AG235" s="6">
        <f t="shared" ca="1" si="122"/>
        <v>0</v>
      </c>
      <c r="AH235" s="6">
        <f t="shared" ca="1" si="122"/>
        <v>0</v>
      </c>
      <c r="AI235" s="6">
        <f t="shared" ca="1" si="122"/>
        <v>0</v>
      </c>
      <c r="AJ235" s="6">
        <f t="shared" ca="1" si="122"/>
        <v>0</v>
      </c>
      <c r="AK235" s="6">
        <f t="shared" ca="1" si="122"/>
        <v>0</v>
      </c>
      <c r="AL235" s="6">
        <f t="shared" ca="1" si="122"/>
        <v>0</v>
      </c>
      <c r="AM235" s="6">
        <f t="shared" ca="1" si="122"/>
        <v>0</v>
      </c>
      <c r="AN235" s="6">
        <f t="shared" ca="1" si="122"/>
        <v>0</v>
      </c>
      <c r="AO235" s="6">
        <f t="shared" ca="1" si="122"/>
        <v>0</v>
      </c>
      <c r="AP235" s="6">
        <f t="shared" ca="1" si="122"/>
        <v>0</v>
      </c>
      <c r="AQ235" s="6">
        <f t="shared" ca="1" si="122"/>
        <v>0</v>
      </c>
    </row>
    <row r="236" spans="1:43" x14ac:dyDescent="0.25">
      <c r="A236">
        <f>1</f>
        <v>1</v>
      </c>
      <c r="B236" s="85">
        <f t="shared" si="106"/>
        <v>44024</v>
      </c>
      <c r="C236" s="85">
        <f t="shared" si="123"/>
        <v>44018</v>
      </c>
      <c r="D236">
        <f t="shared" ca="1" si="124"/>
        <v>0</v>
      </c>
      <c r="E236" s="85">
        <f t="shared" si="125"/>
        <v>44013</v>
      </c>
      <c r="F236">
        <f t="shared" ref="F236:F299" si="126">WEEKNUM(B236,21)</f>
        <v>28</v>
      </c>
      <c r="M236">
        <v>17</v>
      </c>
      <c r="N236">
        <v>2</v>
      </c>
      <c r="O236" s="6">
        <f t="array" aca="1" ref="O236" ca="1">SUM(OFFSET($CO$43,0,($M236*3)+$N236,53,1)*O$43:O$95)</f>
        <v>0</v>
      </c>
      <c r="P236" s="6">
        <f t="array" aca="1" ref="P236" ca="1">SUM(OFFSET($CO$43,0,($M236*3)+$N236,53,1)*P$43:P$95)</f>
        <v>0</v>
      </c>
      <c r="Q236" s="6">
        <f t="array" aca="1" ref="Q236" ca="1">SUM(OFFSET($CO$43,0,($M236*3)+$N236,53,1)*Q$43:Q$95)</f>
        <v>0</v>
      </c>
      <c r="R236" s="6">
        <f t="array" aca="1" ref="R236" ca="1">SUM(OFFSET($CO$43,0,($M236*3)+$N236,53,1)*R$43:R$95)</f>
        <v>0</v>
      </c>
      <c r="S236" s="6">
        <f t="array" aca="1" ref="S236" ca="1">SUM(OFFSET($CO$43,0,($M236*3)+$N236,53,1)*S$43:S$95)</f>
        <v>0</v>
      </c>
      <c r="T236" s="6">
        <f t="array" aca="1" ref="T236" ca="1">SUM(OFFSET($CO$43,0,($M236*3)+$N236,53,1)*T$43:T$95)</f>
        <v>0</v>
      </c>
      <c r="U236" s="6">
        <f t="array" aca="1" ref="U236" ca="1">SUM(OFFSET($CO$43,0,($M236*3)+$N236,53,1)*U$43:U$95)</f>
        <v>0</v>
      </c>
      <c r="V236" s="6">
        <f t="array" aca="1" ref="V236" ca="1">SUM(OFFSET($CO$43,0,($M236*3)+$N236,53,1)*V$43:V$95)</f>
        <v>0</v>
      </c>
      <c r="W236" s="6">
        <f t="array" aca="1" ref="W236" ca="1">SUM(OFFSET($CO$43,0,($M236*3)+$N236,53,1)*W$43:W$95)</f>
        <v>0</v>
      </c>
      <c r="X236" s="6">
        <f t="array" aca="1" ref="X236" ca="1">SUM(OFFSET($CO$43,0,($M236*3)+$N236,53,1)*X$43:X$95)</f>
        <v>0</v>
      </c>
      <c r="Y236" s="6">
        <f t="array" aca="1" ref="Y236" ca="1">SUM(OFFSET($CO$43,0,($M236*3)+$N236,53,1)*Y$43:Y$95)</f>
        <v>0</v>
      </c>
      <c r="Z236" s="6">
        <f t="array" aca="1" ref="Z236" ca="1">SUM(OFFSET($CO$43,0,($M236*3)+$N236,53,1)*Z$43:Z$95)</f>
        <v>0</v>
      </c>
      <c r="AA236" s="6">
        <f t="shared" ca="1" si="119"/>
        <v>0</v>
      </c>
      <c r="AB236" s="6">
        <f t="shared" ca="1" si="111"/>
        <v>0</v>
      </c>
      <c r="AC236" s="6"/>
      <c r="AE236" t="s">
        <v>842</v>
      </c>
      <c r="AF236" s="6">
        <f ca="1">SUMIFS(AF$238:AF$337,$AE$238:$AE$337,$AE236)</f>
        <v>0</v>
      </c>
      <c r="AG236" s="6">
        <f t="shared" ca="1" si="122"/>
        <v>0</v>
      </c>
      <c r="AH236" s="6">
        <f t="shared" ca="1" si="122"/>
        <v>0</v>
      </c>
      <c r="AI236" s="6">
        <f t="shared" ca="1" si="122"/>
        <v>0</v>
      </c>
      <c r="AJ236" s="6">
        <f t="shared" ca="1" si="122"/>
        <v>0</v>
      </c>
      <c r="AK236" s="6">
        <f t="shared" ca="1" si="122"/>
        <v>0</v>
      </c>
      <c r="AL236" s="6">
        <f t="shared" ca="1" si="122"/>
        <v>0</v>
      </c>
      <c r="AM236" s="6">
        <f t="shared" ca="1" si="122"/>
        <v>0</v>
      </c>
      <c r="AN236" s="6">
        <f t="shared" ca="1" si="122"/>
        <v>0</v>
      </c>
      <c r="AO236" s="6">
        <f t="shared" ca="1" si="122"/>
        <v>0</v>
      </c>
      <c r="AP236" s="6">
        <f t="shared" ca="1" si="122"/>
        <v>0</v>
      </c>
      <c r="AQ236" s="6">
        <f t="shared" ca="1" si="122"/>
        <v>0</v>
      </c>
    </row>
    <row r="237" spans="1:43" x14ac:dyDescent="0.25">
      <c r="A237">
        <f>1</f>
        <v>1</v>
      </c>
      <c r="B237" s="85">
        <f t="shared" ref="B237:B300" si="127">B236+1</f>
        <v>44025</v>
      </c>
      <c r="C237" s="85">
        <f t="shared" si="123"/>
        <v>44025</v>
      </c>
      <c r="D237">
        <f t="shared" ca="1" si="124"/>
        <v>1</v>
      </c>
      <c r="E237" s="85">
        <f t="shared" si="125"/>
        <v>44013</v>
      </c>
      <c r="F237">
        <f t="shared" si="126"/>
        <v>29</v>
      </c>
      <c r="M237">
        <v>17</v>
      </c>
      <c r="N237">
        <v>3</v>
      </c>
      <c r="O237" s="6">
        <f t="array" aca="1" ref="O237" ca="1">SUM(OFFSET($CO$43,0,($M237*3)+$N237,53,1)*O$43:O$95)</f>
        <v>0</v>
      </c>
      <c r="P237" s="6">
        <f t="array" aca="1" ref="P237" ca="1">SUM(OFFSET($CO$43,0,($M237*3)+$N237,53,1)*P$43:P$95)</f>
        <v>0</v>
      </c>
      <c r="Q237" s="6">
        <f t="array" aca="1" ref="Q237" ca="1">SUM(OFFSET($CO$43,0,($M237*3)+$N237,53,1)*Q$43:Q$95)</f>
        <v>0</v>
      </c>
      <c r="R237" s="6">
        <f t="array" aca="1" ref="R237" ca="1">SUM(OFFSET($CO$43,0,($M237*3)+$N237,53,1)*R$43:R$95)</f>
        <v>0</v>
      </c>
      <c r="S237" s="6">
        <f t="array" aca="1" ref="S237" ca="1">SUM(OFFSET($CO$43,0,($M237*3)+$N237,53,1)*S$43:S$95)</f>
        <v>0</v>
      </c>
      <c r="T237" s="6">
        <f t="array" aca="1" ref="T237" ca="1">SUM(OFFSET($CO$43,0,($M237*3)+$N237,53,1)*T$43:T$95)</f>
        <v>0</v>
      </c>
      <c r="U237" s="6">
        <f t="array" aca="1" ref="U237" ca="1">SUM(OFFSET($CO$43,0,($M237*3)+$N237,53,1)*U$43:U$95)</f>
        <v>0</v>
      </c>
      <c r="V237" s="6">
        <f t="array" aca="1" ref="V237" ca="1">SUM(OFFSET($CO$43,0,($M237*3)+$N237,53,1)*V$43:V$95)</f>
        <v>0</v>
      </c>
      <c r="W237" s="6">
        <f t="array" aca="1" ref="W237" ca="1">SUM(OFFSET($CO$43,0,($M237*3)+$N237,53,1)*W$43:W$95)</f>
        <v>0</v>
      </c>
      <c r="X237" s="6">
        <f t="array" aca="1" ref="X237" ca="1">SUM(OFFSET($CO$43,0,($M237*3)+$N237,53,1)*X$43:X$95)</f>
        <v>0</v>
      </c>
      <c r="Y237" s="6">
        <f t="array" aca="1" ref="Y237" ca="1">SUM(OFFSET($CO$43,0,($M237*3)+$N237,53,1)*Y$43:Y$95)</f>
        <v>0</v>
      </c>
      <c r="Z237" s="6">
        <f t="array" aca="1" ref="Z237" ca="1">SUM(OFFSET($CO$43,0,($M237*3)+$N237,53,1)*Z$43:Z$95)</f>
        <v>0</v>
      </c>
      <c r="AA237" s="6">
        <f t="shared" ca="1" si="119"/>
        <v>0</v>
      </c>
      <c r="AB237" s="6">
        <f t="shared" ca="1" si="111"/>
        <v>0</v>
      </c>
      <c r="AC237" s="6"/>
      <c r="AE237" t="s">
        <v>839</v>
      </c>
      <c r="AF237" s="6">
        <f ca="1">SUMIFS(AF$238:AF$337,$AE$238:$AE$337,$AE237)</f>
        <v>0</v>
      </c>
      <c r="AG237" s="6">
        <f t="shared" ca="1" si="122"/>
        <v>0</v>
      </c>
      <c r="AH237" s="6">
        <f t="shared" ca="1" si="122"/>
        <v>0</v>
      </c>
      <c r="AI237" s="6">
        <f t="shared" ca="1" si="122"/>
        <v>0</v>
      </c>
      <c r="AJ237" s="6">
        <f t="shared" ca="1" si="122"/>
        <v>0</v>
      </c>
      <c r="AK237" s="6">
        <f t="shared" ca="1" si="122"/>
        <v>0</v>
      </c>
      <c r="AL237" s="6">
        <f t="shared" ca="1" si="122"/>
        <v>0</v>
      </c>
      <c r="AM237" s="6">
        <f t="shared" ca="1" si="122"/>
        <v>0</v>
      </c>
      <c r="AN237" s="6">
        <f t="shared" ca="1" si="122"/>
        <v>0</v>
      </c>
      <c r="AO237" s="6">
        <f t="shared" ca="1" si="122"/>
        <v>0</v>
      </c>
      <c r="AP237" s="6">
        <f t="shared" ca="1" si="122"/>
        <v>0</v>
      </c>
      <c r="AQ237" s="6">
        <f t="shared" ca="1" si="122"/>
        <v>0</v>
      </c>
    </row>
    <row r="238" spans="1:43" x14ac:dyDescent="0.25">
      <c r="A238">
        <f>1</f>
        <v>1</v>
      </c>
      <c r="B238" s="85">
        <f t="shared" si="127"/>
        <v>44026</v>
      </c>
      <c r="C238" s="85">
        <f t="shared" si="123"/>
        <v>44025</v>
      </c>
      <c r="D238">
        <f t="shared" ca="1" si="124"/>
        <v>1</v>
      </c>
      <c r="E238" s="85">
        <f t="shared" si="125"/>
        <v>44013</v>
      </c>
      <c r="F238">
        <f t="shared" si="126"/>
        <v>29</v>
      </c>
      <c r="M238">
        <v>18</v>
      </c>
      <c r="N238">
        <v>1</v>
      </c>
      <c r="O238" s="6">
        <f t="array" aca="1" ref="O238" ca="1">SUM(OFFSET($CO$43,0,($M238*3)+$N238,53,1)*O$43:O$95)</f>
        <v>0</v>
      </c>
      <c r="P238" s="6">
        <f t="array" aca="1" ref="P238" ca="1">SUM(OFFSET($CO$43,0,($M238*3)+$N238,53,1)*P$43:P$95)</f>
        <v>0</v>
      </c>
      <c r="Q238" s="6">
        <f t="array" aca="1" ref="Q238" ca="1">SUM(OFFSET($CO$43,0,($M238*3)+$N238,53,1)*Q$43:Q$95)</f>
        <v>0</v>
      </c>
      <c r="R238" s="6">
        <f t="array" aca="1" ref="R238" ca="1">SUM(OFFSET($CO$43,0,($M238*3)+$N238,53,1)*R$43:R$95)</f>
        <v>0</v>
      </c>
      <c r="S238" s="6">
        <f t="array" aca="1" ref="S238" ca="1">SUM(OFFSET($CO$43,0,($M238*3)+$N238,53,1)*S$43:S$95)</f>
        <v>0</v>
      </c>
      <c r="T238" s="6">
        <f t="array" aca="1" ref="T238" ca="1">SUM(OFFSET($CO$43,0,($M238*3)+$N238,53,1)*T$43:T$95)</f>
        <v>0</v>
      </c>
      <c r="U238" s="6">
        <f t="array" aca="1" ref="U238" ca="1">SUM(OFFSET($CO$43,0,($M238*3)+$N238,53,1)*U$43:U$95)</f>
        <v>0</v>
      </c>
      <c r="V238" s="6">
        <f t="array" aca="1" ref="V238" ca="1">SUM(OFFSET($CO$43,0,($M238*3)+$N238,53,1)*V$43:V$95)</f>
        <v>0</v>
      </c>
      <c r="W238" s="6">
        <f t="array" aca="1" ref="W238" ca="1">SUM(OFFSET($CO$43,0,($M238*3)+$N238,53,1)*W$43:W$95)</f>
        <v>0</v>
      </c>
      <c r="X238" s="6">
        <f t="array" aca="1" ref="X238" ca="1">SUM(OFFSET($CO$43,0,($M238*3)+$N238,53,1)*X$43:X$95)</f>
        <v>0</v>
      </c>
      <c r="Y238" s="6">
        <f t="array" aca="1" ref="Y238" ca="1">SUM(OFFSET($CO$43,0,($M238*3)+$N238,53,1)*Y$43:Y$95)</f>
        <v>0</v>
      </c>
      <c r="Z238" s="6">
        <f t="array" aca="1" ref="Z238" ca="1">SUM(OFFSET($CO$43,0,($M238*3)+$N238,53,1)*Z$43:Z$95)</f>
        <v>0</v>
      </c>
      <c r="AA238" s="6">
        <f t="shared" ca="1" si="119"/>
        <v>0</v>
      </c>
      <c r="AB238" s="6">
        <f t="shared" ca="1" si="111"/>
        <v>0</v>
      </c>
      <c r="AC238" s="6"/>
      <c r="AD238" s="8">
        <v>1</v>
      </c>
      <c r="AE238" t="str">
        <f>AE233</f>
        <v>New</v>
      </c>
      <c r="AF238" s="8">
        <f ca="1">SUMIFS(O$321:O$323,$L$321:$L$323,$AE238)+IF(OR(AND('Aggregate summary'!$L$3="Yes",'Aggregate summary'!$E$3="POD"),AND('Aggregate summary'!$U$3="Process",'Aggregate summary'!$T$76="WL Clearance + downstream effects")),SUMIFS(O$382:O$384,$L$382:$L$384,$AE238),0)</f>
        <v>0</v>
      </c>
      <c r="AG238" s="8">
        <f ca="1">SUMIFS(P$321:P$323,$L$321:$L$323,$AE238)+IF(OR(AND('Aggregate summary'!$L$3="Yes",'Aggregate summary'!$E$3="POD"),AND('Aggregate summary'!$U$3="Process",'Aggregate summary'!$T$76="Clearance + downstream effects")),SUMIFS(P$382:P$384,$L$382:$L$384,$AE238),0)</f>
        <v>0</v>
      </c>
      <c r="AH238" s="8">
        <f ca="1">SUMIFS(Q$321:Q$323,$L$321:$L$323,$AE238)+IF(OR(AND('Aggregate summary'!$L$3="Yes",'Aggregate summary'!$E$3="POD"),AND('Aggregate summary'!$U$3="Process",'Aggregate summary'!$T$76="Clearance + downstream effects")),SUMIFS(Q$382:Q$384,$L$382:$L$384,$AE238),0)</f>
        <v>0</v>
      </c>
      <c r="AI238" s="8">
        <f ca="1">SUMIFS(R$321:R$323,$L$321:$L$323,$AE238)+IF(OR(AND('Aggregate summary'!$L$3="Yes",'Aggregate summary'!$E$3="POD"),AND('Aggregate summary'!$U$3="Process",'Aggregate summary'!$T$76="Clearance + downstream effects")),SUMIFS(R$382:R$384,$L$382:$L$384,$AE238),0)</f>
        <v>0</v>
      </c>
      <c r="AJ238" s="8">
        <f ca="1">SUMIFS(S$321:S$323,$L$321:$L$323,$AE238)+IF(OR(AND('Aggregate summary'!$L$3="Yes",'Aggregate summary'!$E$3="POD"),AND('Aggregate summary'!$U$3="Process",'Aggregate summary'!$T$76="Clearance + downstream effects")),SUMIFS(S$382:S$384,$L$382:$L$384,$AE238),0)</f>
        <v>0</v>
      </c>
      <c r="AK238" s="8">
        <f ca="1">SUMIFS(T$321:T$323,$L$321:$L$323,$AE238)+IF(OR(AND('Aggregate summary'!$L$3="Yes",'Aggregate summary'!$E$3="POD"),AND('Aggregate summary'!$U$3="Process",'Aggregate summary'!$T$76="Clearance + downstream effects")),SUMIFS(T$382:T$384,$L$382:$L$384,$AE238),0)</f>
        <v>0</v>
      </c>
      <c r="AL238" s="8">
        <f ca="1">SUMIFS(U$321:U$323,$L$321:$L$323,$AE238)+IF(OR(AND('Aggregate summary'!$L$3="Yes",'Aggregate summary'!$E$3="POD"),AND('Aggregate summary'!$U$3="Process",'Aggregate summary'!$T$76="Clearance + downstream effects")),SUMIFS(U$382:U$384,$L$382:$L$384,$AE238),0)</f>
        <v>0</v>
      </c>
      <c r="AM238" s="8">
        <f ca="1">SUMIFS(V$321:V$323,$L$321:$L$323,$AE238)+IF(OR(AND('Aggregate summary'!$L$3="Yes",'Aggregate summary'!$E$3="POD"),AND('Aggregate summary'!$U$3="Process",'Aggregate summary'!$T$76="Clearance + downstream effects")),SUMIFS(V$382:V$384,$L$382:$L$384,$AE238),0)</f>
        <v>0</v>
      </c>
      <c r="AN238" s="8">
        <f ca="1">SUMIFS(W$321:W$323,$L$321:$L$323,$AE238)+IF(OR(AND('Aggregate summary'!$L$3="Yes",'Aggregate summary'!$E$3="POD"),AND('Aggregate summary'!$U$3="Process",'Aggregate summary'!$T$76="Clearance + downstream effects")),SUMIFS(W$382:W$384,$L$382:$L$384,$AE238),0)</f>
        <v>0</v>
      </c>
      <c r="AO238" s="8">
        <f ca="1">SUMIFS(X$321:X$323,$L$321:$L$323,$AE238)+IF(OR(AND('Aggregate summary'!$L$3="Yes",'Aggregate summary'!$E$3="POD"),AND('Aggregate summary'!$U$3="Process",'Aggregate summary'!$T$76="Clearance + downstream effects")),SUMIFS(X$382:X$384,$L$382:$L$384,$AE238),0)</f>
        <v>0</v>
      </c>
      <c r="AP238" s="8">
        <f ca="1">SUMIFS(Y$321:Y$323,$L$321:$L$323,$AE238)+IF(OR(AND('Aggregate summary'!$L$3="Yes",'Aggregate summary'!$E$3="POD"),AND('Aggregate summary'!$U$3="Process",'Aggregate summary'!$T$76="Clearance + downstream effects")),SUMIFS(Y$382:Y$384,$L$382:$L$384,$AE238),0)</f>
        <v>0</v>
      </c>
      <c r="AQ238" s="8">
        <f ca="1">SUMIFS(Z$321:Z$323,$L$321:$L$323,$AE238)+IF(OR(AND('Aggregate summary'!$L$3="Yes",'Aggregate summary'!$E$3="POD"),AND('Aggregate summary'!$U$3="Process",'Aggregate summary'!$T$76="Clearance + downstream effects")),SUMIFS(Z$382:Z$384,$L$382:$L$384,$AE238),0)</f>
        <v>0</v>
      </c>
    </row>
    <row r="239" spans="1:43" x14ac:dyDescent="0.25">
      <c r="A239">
        <f>1</f>
        <v>1</v>
      </c>
      <c r="B239" s="85">
        <f t="shared" si="127"/>
        <v>44027</v>
      </c>
      <c r="C239" s="85">
        <f t="shared" si="123"/>
        <v>44025</v>
      </c>
      <c r="D239">
        <f t="shared" ca="1" si="124"/>
        <v>1</v>
      </c>
      <c r="E239" s="85">
        <f t="shared" si="125"/>
        <v>44013</v>
      </c>
      <c r="F239">
        <f t="shared" si="126"/>
        <v>29</v>
      </c>
      <c r="M239">
        <v>18</v>
      </c>
      <c r="N239">
        <v>2</v>
      </c>
      <c r="O239" s="6">
        <f t="array" aca="1" ref="O239" ca="1">SUM(OFFSET($CO$43,0,($M239*3)+$N239,53,1)*O$43:O$95)</f>
        <v>0</v>
      </c>
      <c r="P239" s="6">
        <f t="array" aca="1" ref="P239" ca="1">SUM(OFFSET($CO$43,0,($M239*3)+$N239,53,1)*P$43:P$95)</f>
        <v>0</v>
      </c>
      <c r="Q239" s="6">
        <f t="array" aca="1" ref="Q239" ca="1">SUM(OFFSET($CO$43,0,($M239*3)+$N239,53,1)*Q$43:Q$95)</f>
        <v>0</v>
      </c>
      <c r="R239" s="6">
        <f t="array" aca="1" ref="R239" ca="1">SUM(OFFSET($CO$43,0,($M239*3)+$N239,53,1)*R$43:R$95)</f>
        <v>0</v>
      </c>
      <c r="S239" s="6">
        <f t="array" aca="1" ref="S239" ca="1">SUM(OFFSET($CO$43,0,($M239*3)+$N239,53,1)*S$43:S$95)</f>
        <v>0</v>
      </c>
      <c r="T239" s="6">
        <f t="array" aca="1" ref="T239" ca="1">SUM(OFFSET($CO$43,0,($M239*3)+$N239,53,1)*T$43:T$95)</f>
        <v>0</v>
      </c>
      <c r="U239" s="6">
        <f t="array" aca="1" ref="U239" ca="1">SUM(OFFSET($CO$43,0,($M239*3)+$N239,53,1)*U$43:U$95)</f>
        <v>0</v>
      </c>
      <c r="V239" s="6">
        <f t="array" aca="1" ref="V239" ca="1">SUM(OFFSET($CO$43,0,($M239*3)+$N239,53,1)*V$43:V$95)</f>
        <v>0</v>
      </c>
      <c r="W239" s="6">
        <f t="array" aca="1" ref="W239" ca="1">SUM(OFFSET($CO$43,0,($M239*3)+$N239,53,1)*W$43:W$95)</f>
        <v>0</v>
      </c>
      <c r="X239" s="6">
        <f t="array" aca="1" ref="X239" ca="1">SUM(OFFSET($CO$43,0,($M239*3)+$N239,53,1)*X$43:X$95)</f>
        <v>0</v>
      </c>
      <c r="Y239" s="6">
        <f t="array" aca="1" ref="Y239" ca="1">SUM(OFFSET($CO$43,0,($M239*3)+$N239,53,1)*Y$43:Y$95)</f>
        <v>0</v>
      </c>
      <c r="Z239" s="6">
        <f t="array" aca="1" ref="Z239" ca="1">SUM(OFFSET($CO$43,0,($M239*3)+$N239,53,1)*Z$43:Z$95)</f>
        <v>0</v>
      </c>
      <c r="AA239" s="6">
        <f t="shared" ca="1" si="119"/>
        <v>0</v>
      </c>
      <c r="AB239" s="6">
        <f t="shared" ca="1" si="111"/>
        <v>0</v>
      </c>
      <c r="AC239" s="6"/>
      <c r="AD239" s="8"/>
      <c r="AE239" t="str">
        <f t="shared" ref="AE239:AE302" si="128">AE234</f>
        <v>Diagnostic (N)</v>
      </c>
      <c r="AF239" s="8">
        <f ca="1">SUMIFS(O$321:O$323,$L$321:$L$323,$AE239)+IF(OR(AND('Aggregate summary'!$L$3="Yes",'Aggregate summary'!$E$3="POD"),AND('Aggregate summary'!$U$3="Process",'Aggregate summary'!$T$76="Clearance + downstream effects")),SUMIFS(O$382:O$384,$L$382:$L$384,$AE239),0)</f>
        <v>0</v>
      </c>
      <c r="AG239" s="8">
        <f ca="1">SUMIFS(P$321:P$323,$L$321:$L$323,$AE239)+IF(OR(AND('Aggregate summary'!$L$3="Yes",'Aggregate summary'!$E$3="POD"),AND('Aggregate summary'!$U$3="Process",'Aggregate summary'!$T$76="Clearance + downstream effects")),SUMIFS(P$382:P$384,$L$382:$L$384,$AE239),0)</f>
        <v>0</v>
      </c>
      <c r="AH239" s="8">
        <f ca="1">SUMIFS(Q$321:Q$323,$L$321:$L$323,$AE239)+IF(OR(AND('Aggregate summary'!$L$3="Yes",'Aggregate summary'!$E$3="POD"),AND('Aggregate summary'!$U$3="Process",'Aggregate summary'!$T$76="Clearance + downstream effects")),SUMIFS(Q$382:Q$384,$L$382:$L$384,$AE239),0)</f>
        <v>0</v>
      </c>
      <c r="AI239" s="8">
        <f ca="1">SUMIFS(R$321:R$323,$L$321:$L$323,$AE239)+IF(OR(AND('Aggregate summary'!$L$3="Yes",'Aggregate summary'!$E$3="POD"),AND('Aggregate summary'!$U$3="Process",'Aggregate summary'!$T$76="Clearance + downstream effects")),SUMIFS(R$382:R$384,$L$382:$L$384,$AE239),0)</f>
        <v>0</v>
      </c>
      <c r="AJ239" s="8">
        <f ca="1">SUMIFS(S$321:S$323,$L$321:$L$323,$AE239)+IF(OR(AND('Aggregate summary'!$L$3="Yes",'Aggregate summary'!$E$3="POD"),AND('Aggregate summary'!$U$3="Process",'Aggregate summary'!$T$76="Clearance + downstream effects")),SUMIFS(S$382:S$384,$L$382:$L$384,$AE239),0)</f>
        <v>0</v>
      </c>
      <c r="AK239" s="8">
        <f ca="1">SUMIFS(T$321:T$323,$L$321:$L$323,$AE239)+IF(OR(AND('Aggregate summary'!$L$3="Yes",'Aggregate summary'!$E$3="POD"),AND('Aggregate summary'!$U$3="Process",'Aggregate summary'!$T$76="Clearance + downstream effects")),SUMIFS(T$382:T$384,$L$382:$L$384,$AE239),0)</f>
        <v>0</v>
      </c>
      <c r="AL239" s="8">
        <f ca="1">SUMIFS(U$321:U$323,$L$321:$L$323,$AE239)+IF(OR(AND('Aggregate summary'!$L$3="Yes",'Aggregate summary'!$E$3="POD"),AND('Aggregate summary'!$U$3="Process",'Aggregate summary'!$T$76="Clearance + downstream effects")),SUMIFS(U$382:U$384,$L$382:$L$384,$AE239),0)</f>
        <v>0</v>
      </c>
      <c r="AM239" s="8">
        <f ca="1">SUMIFS(V$321:V$323,$L$321:$L$323,$AE239)+IF(OR(AND('Aggregate summary'!$L$3="Yes",'Aggregate summary'!$E$3="POD"),AND('Aggregate summary'!$U$3="Process",'Aggregate summary'!$T$76="Clearance + downstream effects")),SUMIFS(V$382:V$384,$L$382:$L$384,$AE239),0)</f>
        <v>0</v>
      </c>
      <c r="AN239" s="8">
        <f ca="1">SUMIFS(W$321:W$323,$L$321:$L$323,$AE239)+IF(OR(AND('Aggregate summary'!$L$3="Yes",'Aggregate summary'!$E$3="POD"),AND('Aggregate summary'!$U$3="Process",'Aggregate summary'!$T$76="Clearance + downstream effects")),SUMIFS(W$382:W$384,$L$382:$L$384,$AE239),0)</f>
        <v>0</v>
      </c>
      <c r="AO239" s="8">
        <f ca="1">SUMIFS(X$321:X$323,$L$321:$L$323,$AE239)+IF(OR(AND('Aggregate summary'!$L$3="Yes",'Aggregate summary'!$E$3="POD"),AND('Aggregate summary'!$U$3="Process",'Aggregate summary'!$T$76="Clearance + downstream effects")),SUMIFS(X$382:X$384,$L$382:$L$384,$AE239),0)</f>
        <v>0</v>
      </c>
      <c r="AP239" s="8">
        <f ca="1">SUMIFS(Y$321:Y$323,$L$321:$L$323,$AE239)+IF(OR(AND('Aggregate summary'!$L$3="Yes",'Aggregate summary'!$E$3="POD"),AND('Aggregate summary'!$U$3="Process",'Aggregate summary'!$T$76="Clearance + downstream effects")),SUMIFS(Y$382:Y$384,$L$382:$L$384,$AE239),0)</f>
        <v>0</v>
      </c>
      <c r="AQ239" s="8">
        <f ca="1">SUMIFS(Z$321:Z$323,$L$321:$L$323,$AE239)+IF(OR(AND('Aggregate summary'!$L$3="Yes",'Aggregate summary'!$E$3="POD"),AND('Aggregate summary'!$U$3="Process",'Aggregate summary'!$T$76="Clearance + downstream effects")),SUMIFS(Z$382:Z$384,$L$382:$L$384,$AE239),0)</f>
        <v>0</v>
      </c>
    </row>
    <row r="240" spans="1:43" x14ac:dyDescent="0.25">
      <c r="A240">
        <f>1</f>
        <v>1</v>
      </c>
      <c r="B240" s="85">
        <f t="shared" si="127"/>
        <v>44028</v>
      </c>
      <c r="C240" s="85">
        <f t="shared" si="123"/>
        <v>44025</v>
      </c>
      <c r="D240">
        <f t="shared" ca="1" si="124"/>
        <v>1</v>
      </c>
      <c r="E240" s="85">
        <f t="shared" si="125"/>
        <v>44013</v>
      </c>
      <c r="F240">
        <f t="shared" si="126"/>
        <v>29</v>
      </c>
      <c r="M240">
        <v>18</v>
      </c>
      <c r="N240">
        <v>3</v>
      </c>
      <c r="O240" s="6">
        <f t="array" aca="1" ref="O240" ca="1">SUM(OFFSET($CO$43,0,($M240*3)+$N240,53,1)*O$43:O$95)</f>
        <v>0</v>
      </c>
      <c r="P240" s="6">
        <f t="array" aca="1" ref="P240" ca="1">SUM(OFFSET($CO$43,0,($M240*3)+$N240,53,1)*P$43:P$95)</f>
        <v>0</v>
      </c>
      <c r="Q240" s="6">
        <f t="array" aca="1" ref="Q240" ca="1">SUM(OFFSET($CO$43,0,($M240*3)+$N240,53,1)*Q$43:Q$95)</f>
        <v>0</v>
      </c>
      <c r="R240" s="6">
        <f t="array" aca="1" ref="R240" ca="1">SUM(OFFSET($CO$43,0,($M240*3)+$N240,53,1)*R$43:R$95)</f>
        <v>0</v>
      </c>
      <c r="S240" s="6">
        <f t="array" aca="1" ref="S240" ca="1">SUM(OFFSET($CO$43,0,($M240*3)+$N240,53,1)*S$43:S$95)</f>
        <v>0</v>
      </c>
      <c r="T240" s="6">
        <f t="array" aca="1" ref="T240" ca="1">SUM(OFFSET($CO$43,0,($M240*3)+$N240,53,1)*T$43:T$95)</f>
        <v>0</v>
      </c>
      <c r="U240" s="6">
        <f t="array" aca="1" ref="U240" ca="1">SUM(OFFSET($CO$43,0,($M240*3)+$N240,53,1)*U$43:U$95)</f>
        <v>0</v>
      </c>
      <c r="V240" s="6">
        <f t="array" aca="1" ref="V240" ca="1">SUM(OFFSET($CO$43,0,($M240*3)+$N240,53,1)*V$43:V$95)</f>
        <v>0</v>
      </c>
      <c r="W240" s="6">
        <f t="array" aca="1" ref="W240" ca="1">SUM(OFFSET($CO$43,0,($M240*3)+$N240,53,1)*W$43:W$95)</f>
        <v>0</v>
      </c>
      <c r="X240" s="6">
        <f t="array" aca="1" ref="X240" ca="1">SUM(OFFSET($CO$43,0,($M240*3)+$N240,53,1)*X$43:X$95)</f>
        <v>0</v>
      </c>
      <c r="Y240" s="6">
        <f t="array" aca="1" ref="Y240" ca="1">SUM(OFFSET($CO$43,0,($M240*3)+$N240,53,1)*Y$43:Y$95)</f>
        <v>0</v>
      </c>
      <c r="Z240" s="6">
        <f t="array" aca="1" ref="Z240" ca="1">SUM(OFFSET($CO$43,0,($M240*3)+$N240,53,1)*Z$43:Z$95)</f>
        <v>0</v>
      </c>
      <c r="AA240" s="6">
        <f t="shared" ca="1" si="119"/>
        <v>0</v>
      </c>
      <c r="AB240" s="6">
        <f t="shared" ca="1" si="111"/>
        <v>0</v>
      </c>
      <c r="AC240" s="6"/>
      <c r="AD240" s="8"/>
      <c r="AE240" t="str">
        <f t="shared" si="128"/>
        <v>Follow Up</v>
      </c>
      <c r="AF240" s="8">
        <f ca="1">SUMIFS(O$321:O$323,$L$321:$L$323,$AE240)+IF(OR(AND('Aggregate summary'!$L$3="Yes",'Aggregate summary'!$E$3="POD"),AND('Aggregate summary'!$U$3="Process",'Aggregate summary'!$T$76="Clearance + downstream effects")),SUMIFS(O$382:O$384,$L$382:$L$384,$AE240),0)</f>
        <v>0</v>
      </c>
      <c r="AG240" s="8">
        <f ca="1">SUMIFS(P$321:P$323,$L$321:$L$323,$AE240)+IF(OR(AND('Aggregate summary'!$L$3="Yes",'Aggregate summary'!$E$3="POD"),AND('Aggregate summary'!$U$3="Process",'Aggregate summary'!$T$76="Clearance + downstream effects")),SUMIFS(P$382:P$384,$L$382:$L$384,$AE240),0)</f>
        <v>0</v>
      </c>
      <c r="AH240" s="8">
        <f ca="1">SUMIFS(Q$321:Q$323,$L$321:$L$323,$AE240)+IF(OR(AND('Aggregate summary'!$L$3="Yes",'Aggregate summary'!$E$3="POD"),AND('Aggregate summary'!$U$3="Process",'Aggregate summary'!$T$76="Clearance + downstream effects")),SUMIFS(Q$382:Q$384,$L$382:$L$384,$AE240),0)</f>
        <v>0</v>
      </c>
      <c r="AI240" s="8">
        <f ca="1">SUMIFS(R$321:R$323,$L$321:$L$323,$AE240)+IF(OR(AND('Aggregate summary'!$L$3="Yes",'Aggregate summary'!$E$3="POD"),AND('Aggregate summary'!$U$3="Process",'Aggregate summary'!$T$76="Clearance + downstream effects")),SUMIFS(R$382:R$384,$L$382:$L$384,$AE240),0)</f>
        <v>0</v>
      </c>
      <c r="AJ240" s="8">
        <f ca="1">SUMIFS(S$321:S$323,$L$321:$L$323,$AE240)+IF(OR(AND('Aggregate summary'!$L$3="Yes",'Aggregate summary'!$E$3="POD"),AND('Aggregate summary'!$U$3="Process",'Aggregate summary'!$T$76="Clearance + downstream effects")),SUMIFS(S$382:S$384,$L$382:$L$384,$AE240),0)</f>
        <v>0</v>
      </c>
      <c r="AK240" s="8">
        <f ca="1">SUMIFS(T$321:T$323,$L$321:$L$323,$AE240)+IF(OR(AND('Aggregate summary'!$L$3="Yes",'Aggregate summary'!$E$3="POD"),AND('Aggregate summary'!$U$3="Process",'Aggregate summary'!$T$76="Clearance + downstream effects")),SUMIFS(T$382:T$384,$L$382:$L$384,$AE240),0)</f>
        <v>0</v>
      </c>
      <c r="AL240" s="8">
        <f ca="1">SUMIFS(U$321:U$323,$L$321:$L$323,$AE240)+IF(OR(AND('Aggregate summary'!$L$3="Yes",'Aggregate summary'!$E$3="POD"),AND('Aggregate summary'!$U$3="Process",'Aggregate summary'!$T$76="Clearance + downstream effects")),SUMIFS(U$382:U$384,$L$382:$L$384,$AE240),0)</f>
        <v>0</v>
      </c>
      <c r="AM240" s="8">
        <f ca="1">SUMIFS(V$321:V$323,$L$321:$L$323,$AE240)+IF(OR(AND('Aggregate summary'!$L$3="Yes",'Aggregate summary'!$E$3="POD"),AND('Aggregate summary'!$U$3="Process",'Aggregate summary'!$T$76="Clearance + downstream effects")),SUMIFS(V$382:V$384,$L$382:$L$384,$AE240),0)</f>
        <v>0</v>
      </c>
      <c r="AN240" s="8">
        <f ca="1">SUMIFS(W$321:W$323,$L$321:$L$323,$AE240)+IF(OR(AND('Aggregate summary'!$L$3="Yes",'Aggregate summary'!$E$3="POD"),AND('Aggregate summary'!$U$3="Process",'Aggregate summary'!$T$76="Clearance + downstream effects")),SUMIFS(W$382:W$384,$L$382:$L$384,$AE240),0)</f>
        <v>0</v>
      </c>
      <c r="AO240" s="8">
        <f ca="1">SUMIFS(X$321:X$323,$L$321:$L$323,$AE240)+IF(OR(AND('Aggregate summary'!$L$3="Yes",'Aggregate summary'!$E$3="POD"),AND('Aggregate summary'!$U$3="Process",'Aggregate summary'!$T$76="Clearance + downstream effects")),SUMIFS(X$382:X$384,$L$382:$L$384,$AE240),0)</f>
        <v>0</v>
      </c>
      <c r="AP240" s="8">
        <f ca="1">SUMIFS(Y$321:Y$323,$L$321:$L$323,$AE240)+IF(OR(AND('Aggregate summary'!$L$3="Yes",'Aggregate summary'!$E$3="POD"),AND('Aggregate summary'!$U$3="Process",'Aggregate summary'!$T$76="Clearance + downstream effects")),SUMIFS(Y$382:Y$384,$L$382:$L$384,$AE240),0)</f>
        <v>0</v>
      </c>
      <c r="AQ240" s="8">
        <f ca="1">SUMIFS(Z$321:Z$323,$L$321:$L$323,$AE240)+IF(OR(AND('Aggregate summary'!$L$3="Yes",'Aggregate summary'!$E$3="POD"),AND('Aggregate summary'!$U$3="Process",'Aggregate summary'!$T$76="Clearance + downstream effects")),SUMIFS(Z$382:Z$384,$L$382:$L$384,$AE240),0)</f>
        <v>0</v>
      </c>
    </row>
    <row r="241" spans="1:43" x14ac:dyDescent="0.25">
      <c r="A241">
        <f>1</f>
        <v>1</v>
      </c>
      <c r="B241" s="85">
        <f t="shared" si="127"/>
        <v>44029</v>
      </c>
      <c r="C241" s="85">
        <f t="shared" si="123"/>
        <v>44025</v>
      </c>
      <c r="D241">
        <f t="shared" ca="1" si="124"/>
        <v>1</v>
      </c>
      <c r="E241" s="85">
        <f t="shared" si="125"/>
        <v>44013</v>
      </c>
      <c r="F241">
        <f t="shared" si="126"/>
        <v>29</v>
      </c>
      <c r="M241">
        <v>19</v>
      </c>
      <c r="N241">
        <v>1</v>
      </c>
      <c r="O241" s="6">
        <f t="array" aca="1" ref="O241" ca="1">SUM(OFFSET($CO$43,0,($M241*3)+$N241,53,1)*O$43:O$95)</f>
        <v>0</v>
      </c>
      <c r="P241" s="6">
        <f t="array" aca="1" ref="P241" ca="1">SUM(OFFSET($CO$43,0,($M241*3)+$N241,53,1)*P$43:P$95)</f>
        <v>0</v>
      </c>
      <c r="Q241" s="6">
        <f t="array" aca="1" ref="Q241" ca="1">SUM(OFFSET($CO$43,0,($M241*3)+$N241,53,1)*Q$43:Q$95)</f>
        <v>0</v>
      </c>
      <c r="R241" s="6">
        <f t="array" aca="1" ref="R241" ca="1">SUM(OFFSET($CO$43,0,($M241*3)+$N241,53,1)*R$43:R$95)</f>
        <v>0</v>
      </c>
      <c r="S241" s="6">
        <f t="array" aca="1" ref="S241" ca="1">SUM(OFFSET($CO$43,0,($M241*3)+$N241,53,1)*S$43:S$95)</f>
        <v>0</v>
      </c>
      <c r="T241" s="6">
        <f t="array" aca="1" ref="T241" ca="1">SUM(OFFSET($CO$43,0,($M241*3)+$N241,53,1)*T$43:T$95)</f>
        <v>0</v>
      </c>
      <c r="U241" s="6">
        <f t="array" aca="1" ref="U241" ca="1">SUM(OFFSET($CO$43,0,($M241*3)+$N241,53,1)*U$43:U$95)</f>
        <v>0</v>
      </c>
      <c r="V241" s="6">
        <f t="array" aca="1" ref="V241" ca="1">SUM(OFFSET($CO$43,0,($M241*3)+$N241,53,1)*V$43:V$95)</f>
        <v>0</v>
      </c>
      <c r="W241" s="6">
        <f t="array" aca="1" ref="W241" ca="1">SUM(OFFSET($CO$43,0,($M241*3)+$N241,53,1)*W$43:W$95)</f>
        <v>0</v>
      </c>
      <c r="X241" s="6">
        <f t="array" aca="1" ref="X241" ca="1">SUM(OFFSET($CO$43,0,($M241*3)+$N241,53,1)*X$43:X$95)</f>
        <v>0</v>
      </c>
      <c r="Y241" s="6">
        <f t="array" aca="1" ref="Y241" ca="1">SUM(OFFSET($CO$43,0,($M241*3)+$N241,53,1)*Y$43:Y$95)</f>
        <v>0</v>
      </c>
      <c r="Z241" s="6">
        <f t="array" aca="1" ref="Z241" ca="1">SUM(OFFSET($CO$43,0,($M241*3)+$N241,53,1)*Z$43:Z$95)</f>
        <v>0</v>
      </c>
      <c r="AA241" s="6">
        <f t="shared" ca="1" si="119"/>
        <v>0</v>
      </c>
      <c r="AB241" s="6">
        <f t="shared" ca="1" si="111"/>
        <v>0</v>
      </c>
      <c r="AC241" s="6"/>
      <c r="AD241" s="8"/>
      <c r="AE241" t="str">
        <f t="shared" si="128"/>
        <v>Diagnostic (FU)</v>
      </c>
      <c r="AF241" s="8">
        <f ca="1">SUMIFS(O$321:O$323,$L$321:$L$323,$AE241)+IF(OR(AND('Aggregate summary'!$L$3="Yes",'Aggregate summary'!$E$3="POD"),AND('Aggregate summary'!$U$3="Process",'Aggregate summary'!$T$76="Clearance + downstream effects")),SUMIFS(O$382:O$384,$L$382:$L$384,$AE241),0)</f>
        <v>0</v>
      </c>
      <c r="AG241" s="8">
        <f ca="1">SUMIFS(P$321:P$323,$L$321:$L$323,$AE241)+IF(OR(AND('Aggregate summary'!$L$3="Yes",'Aggregate summary'!$E$3="POD"),AND('Aggregate summary'!$U$3="Process",'Aggregate summary'!$T$76="Clearance + downstream effects")),SUMIFS(P$382:P$384,$L$382:$L$384,$AE241),0)</f>
        <v>0</v>
      </c>
      <c r="AH241" s="8">
        <f ca="1">SUMIFS(Q$321:Q$323,$L$321:$L$323,$AE241)+IF(OR(AND('Aggregate summary'!$L$3="Yes",'Aggregate summary'!$E$3="POD"),AND('Aggregate summary'!$U$3="Process",'Aggregate summary'!$T$76="Clearance + downstream effects")),SUMIFS(Q$382:Q$384,$L$382:$L$384,$AE241),0)</f>
        <v>0</v>
      </c>
      <c r="AI241" s="8">
        <f ca="1">SUMIFS(R$321:R$323,$L$321:$L$323,$AE241)+IF(OR(AND('Aggregate summary'!$L$3="Yes",'Aggregate summary'!$E$3="POD"),AND('Aggregate summary'!$U$3="Process",'Aggregate summary'!$T$76="Clearance + downstream effects")),SUMIFS(R$382:R$384,$L$382:$L$384,$AE241),0)</f>
        <v>0</v>
      </c>
      <c r="AJ241" s="8">
        <f ca="1">SUMIFS(S$321:S$323,$L$321:$L$323,$AE241)+IF(OR(AND('Aggregate summary'!$L$3="Yes",'Aggregate summary'!$E$3="POD"),AND('Aggregate summary'!$U$3="Process",'Aggregate summary'!$T$76="Clearance + downstream effects")),SUMIFS(S$382:S$384,$L$382:$L$384,$AE241),0)</f>
        <v>0</v>
      </c>
      <c r="AK241" s="8">
        <f ca="1">SUMIFS(T$321:T$323,$L$321:$L$323,$AE241)+IF(OR(AND('Aggregate summary'!$L$3="Yes",'Aggregate summary'!$E$3="POD"),AND('Aggregate summary'!$U$3="Process",'Aggregate summary'!$T$76="Clearance + downstream effects")),SUMIFS(T$382:T$384,$L$382:$L$384,$AE241),0)</f>
        <v>0</v>
      </c>
      <c r="AL241" s="8">
        <f ca="1">SUMIFS(U$321:U$323,$L$321:$L$323,$AE241)+IF(OR(AND('Aggregate summary'!$L$3="Yes",'Aggregate summary'!$E$3="POD"),AND('Aggregate summary'!$U$3="Process",'Aggregate summary'!$T$76="Clearance + downstream effects")),SUMIFS(U$382:U$384,$L$382:$L$384,$AE241),0)</f>
        <v>0</v>
      </c>
      <c r="AM241" s="8">
        <f ca="1">SUMIFS(V$321:V$323,$L$321:$L$323,$AE241)+IF(OR(AND('Aggregate summary'!$L$3="Yes",'Aggregate summary'!$E$3="POD"),AND('Aggregate summary'!$U$3="Process",'Aggregate summary'!$T$76="Clearance + downstream effects")),SUMIFS(V$382:V$384,$L$382:$L$384,$AE241),0)</f>
        <v>0</v>
      </c>
      <c r="AN241" s="8">
        <f ca="1">SUMIFS(W$321:W$323,$L$321:$L$323,$AE241)+IF(OR(AND('Aggregate summary'!$L$3="Yes",'Aggregate summary'!$E$3="POD"),AND('Aggregate summary'!$U$3="Process",'Aggregate summary'!$T$76="Clearance + downstream effects")),SUMIFS(W$382:W$384,$L$382:$L$384,$AE241),0)</f>
        <v>0</v>
      </c>
      <c r="AO241" s="8">
        <f ca="1">SUMIFS(X$321:X$323,$L$321:$L$323,$AE241)+IF(OR(AND('Aggregate summary'!$L$3="Yes",'Aggregate summary'!$E$3="POD"),AND('Aggregate summary'!$U$3="Process",'Aggregate summary'!$T$76="Clearance + downstream effects")),SUMIFS(X$382:X$384,$L$382:$L$384,$AE241),0)</f>
        <v>0</v>
      </c>
      <c r="AP241" s="8">
        <f ca="1">SUMIFS(Y$321:Y$323,$L$321:$L$323,$AE241)+IF(OR(AND('Aggregate summary'!$L$3="Yes",'Aggregate summary'!$E$3="POD"),AND('Aggregate summary'!$U$3="Process",'Aggregate summary'!$T$76="Clearance + downstream effects")),SUMIFS(Y$382:Y$384,$L$382:$L$384,$AE241),0)</f>
        <v>0</v>
      </c>
      <c r="AQ241" s="8">
        <f ca="1">SUMIFS(Z$321:Z$323,$L$321:$L$323,$AE241)+IF(OR(AND('Aggregate summary'!$L$3="Yes",'Aggregate summary'!$E$3="POD"),AND('Aggregate summary'!$U$3="Process",'Aggregate summary'!$T$76="Clearance + downstream effects")),SUMIFS(Z$382:Z$384,$L$382:$L$384,$AE241),0)</f>
        <v>0</v>
      </c>
    </row>
    <row r="242" spans="1:43" x14ac:dyDescent="0.25">
      <c r="A242">
        <f>1</f>
        <v>1</v>
      </c>
      <c r="B242" s="85">
        <f t="shared" si="127"/>
        <v>44030</v>
      </c>
      <c r="C242" s="85">
        <f t="shared" si="123"/>
        <v>44025</v>
      </c>
      <c r="D242">
        <f t="shared" ca="1" si="124"/>
        <v>0</v>
      </c>
      <c r="E242" s="85">
        <f t="shared" si="125"/>
        <v>44013</v>
      </c>
      <c r="F242">
        <f t="shared" si="126"/>
        <v>29</v>
      </c>
      <c r="M242">
        <v>19</v>
      </c>
      <c r="N242">
        <v>2</v>
      </c>
      <c r="O242" s="6">
        <f t="array" aca="1" ref="O242" ca="1">SUM(OFFSET($CO$43,0,($M242*3)+$N242,53,1)*O$43:O$95)</f>
        <v>0</v>
      </c>
      <c r="P242" s="6">
        <f t="array" aca="1" ref="P242" ca="1">SUM(OFFSET($CO$43,0,($M242*3)+$N242,53,1)*P$43:P$95)</f>
        <v>0</v>
      </c>
      <c r="Q242" s="6">
        <f t="array" aca="1" ref="Q242" ca="1">SUM(OFFSET($CO$43,0,($M242*3)+$N242,53,1)*Q$43:Q$95)</f>
        <v>0</v>
      </c>
      <c r="R242" s="6">
        <f t="array" aca="1" ref="R242" ca="1">SUM(OFFSET($CO$43,0,($M242*3)+$N242,53,1)*R$43:R$95)</f>
        <v>0</v>
      </c>
      <c r="S242" s="6">
        <f t="array" aca="1" ref="S242" ca="1">SUM(OFFSET($CO$43,0,($M242*3)+$N242,53,1)*S$43:S$95)</f>
        <v>0</v>
      </c>
      <c r="T242" s="6">
        <f t="array" aca="1" ref="T242" ca="1">SUM(OFFSET($CO$43,0,($M242*3)+$N242,53,1)*T$43:T$95)</f>
        <v>0</v>
      </c>
      <c r="U242" s="6">
        <f t="array" aca="1" ref="U242" ca="1">SUM(OFFSET($CO$43,0,($M242*3)+$N242,53,1)*U$43:U$95)</f>
        <v>0</v>
      </c>
      <c r="V242" s="6">
        <f t="array" aca="1" ref="V242" ca="1">SUM(OFFSET($CO$43,0,($M242*3)+$N242,53,1)*V$43:V$95)</f>
        <v>0</v>
      </c>
      <c r="W242" s="6">
        <f t="array" aca="1" ref="W242" ca="1">SUM(OFFSET($CO$43,0,($M242*3)+$N242,53,1)*W$43:W$95)</f>
        <v>0</v>
      </c>
      <c r="X242" s="6">
        <f t="array" aca="1" ref="X242" ca="1">SUM(OFFSET($CO$43,0,($M242*3)+$N242,53,1)*X$43:X$95)</f>
        <v>0</v>
      </c>
      <c r="Y242" s="6">
        <f t="array" aca="1" ref="Y242" ca="1">SUM(OFFSET($CO$43,0,($M242*3)+$N242,53,1)*Y$43:Y$95)</f>
        <v>0</v>
      </c>
      <c r="Z242" s="6">
        <f t="array" aca="1" ref="Z242" ca="1">SUM(OFFSET($CO$43,0,($M242*3)+$N242,53,1)*Z$43:Z$95)</f>
        <v>0</v>
      </c>
      <c r="AA242" s="6">
        <f t="shared" ca="1" si="119"/>
        <v>0</v>
      </c>
      <c r="AB242" s="6">
        <f t="shared" ca="1" si="111"/>
        <v>0</v>
      </c>
      <c r="AC242" s="6"/>
      <c r="AD242" s="8"/>
      <c r="AE242" t="str">
        <f t="shared" si="128"/>
        <v>Admission</v>
      </c>
      <c r="AF242" s="8">
        <f ca="1">SUMIFS(O$321:O$323,$L$321:$L$323,$AE242)+IF(OR(AND('Aggregate summary'!$L$3="Yes",'Aggregate summary'!$E$3="POD"),AND('Aggregate summary'!$U$3="Process",'Aggregate summary'!$T$76="Clearance + downstream effects")),SUMIFS(O$382:O$384,$L$382:$L$384,$AE242),0)</f>
        <v>0</v>
      </c>
      <c r="AG242" s="8">
        <f ca="1">SUMIFS(P$321:P$323,$L$321:$L$323,$AE242)+IF(OR(AND('Aggregate summary'!$L$3="Yes",'Aggregate summary'!$E$3="POD"),AND('Aggregate summary'!$U$3="Process",'Aggregate summary'!$T$76="Clearance + downstream effects")),SUMIFS(P$382:P$384,$L$382:$L$384,$AE242),0)</f>
        <v>0</v>
      </c>
      <c r="AH242" s="8">
        <f ca="1">SUMIFS(Q$321:Q$323,$L$321:$L$323,$AE242)+IF(OR(AND('Aggregate summary'!$L$3="Yes",'Aggregate summary'!$E$3="POD"),AND('Aggregate summary'!$U$3="Process",'Aggregate summary'!$T$76="Clearance + downstream effects")),SUMIFS(Q$382:Q$384,$L$382:$L$384,$AE242),0)</f>
        <v>0</v>
      </c>
      <c r="AI242" s="8">
        <f ca="1">SUMIFS(R$321:R$323,$L$321:$L$323,$AE242)+IF(OR(AND('Aggregate summary'!$L$3="Yes",'Aggregate summary'!$E$3="POD"),AND('Aggregate summary'!$U$3="Process",'Aggregate summary'!$T$76="Clearance + downstream effects")),SUMIFS(R$382:R$384,$L$382:$L$384,$AE242),0)</f>
        <v>0</v>
      </c>
      <c r="AJ242" s="8">
        <f ca="1">SUMIFS(S$321:S$323,$L$321:$L$323,$AE242)+IF(OR(AND('Aggregate summary'!$L$3="Yes",'Aggregate summary'!$E$3="POD"),AND('Aggregate summary'!$U$3="Process",'Aggregate summary'!$T$76="Clearance + downstream effects")),SUMIFS(S$382:S$384,$L$382:$L$384,$AE242),0)</f>
        <v>0</v>
      </c>
      <c r="AK242" s="8">
        <f ca="1">SUMIFS(T$321:T$323,$L$321:$L$323,$AE242)+IF(OR(AND('Aggregate summary'!$L$3="Yes",'Aggregate summary'!$E$3="POD"),AND('Aggregate summary'!$U$3="Process",'Aggregate summary'!$T$76="Clearance + downstream effects")),SUMIFS(T$382:T$384,$L$382:$L$384,$AE242),0)</f>
        <v>0</v>
      </c>
      <c r="AL242" s="8">
        <f ca="1">SUMIFS(U$321:U$323,$L$321:$L$323,$AE242)+IF(OR(AND('Aggregate summary'!$L$3="Yes",'Aggregate summary'!$E$3="POD"),AND('Aggregate summary'!$U$3="Process",'Aggregate summary'!$T$76="Clearance + downstream effects")),SUMIFS(U$382:U$384,$L$382:$L$384,$AE242),0)</f>
        <v>0</v>
      </c>
      <c r="AM242" s="8">
        <f ca="1">SUMIFS(V$321:V$323,$L$321:$L$323,$AE242)+IF(OR(AND('Aggregate summary'!$L$3="Yes",'Aggregate summary'!$E$3="POD"),AND('Aggregate summary'!$U$3="Process",'Aggregate summary'!$T$76="Clearance + downstream effects")),SUMIFS(V$382:V$384,$L$382:$L$384,$AE242),0)</f>
        <v>0</v>
      </c>
      <c r="AN242" s="8">
        <f ca="1">SUMIFS(W$321:W$323,$L$321:$L$323,$AE242)+IF(OR(AND('Aggregate summary'!$L$3="Yes",'Aggregate summary'!$E$3="POD"),AND('Aggregate summary'!$U$3="Process",'Aggregate summary'!$T$76="Clearance + downstream effects")),SUMIFS(W$382:W$384,$L$382:$L$384,$AE242),0)</f>
        <v>0</v>
      </c>
      <c r="AO242" s="8">
        <f ca="1">SUMIFS(X$321:X$323,$L$321:$L$323,$AE242)+IF(OR(AND('Aggregate summary'!$L$3="Yes",'Aggregate summary'!$E$3="POD"),AND('Aggregate summary'!$U$3="Process",'Aggregate summary'!$T$76="Clearance + downstream effects")),SUMIFS(X$382:X$384,$L$382:$L$384,$AE242),0)</f>
        <v>0</v>
      </c>
      <c r="AP242" s="8">
        <f ca="1">SUMIFS(Y$321:Y$323,$L$321:$L$323,$AE242)+IF(OR(AND('Aggregate summary'!$L$3="Yes",'Aggregate summary'!$E$3="POD"),AND('Aggregate summary'!$U$3="Process",'Aggregate summary'!$T$76="Clearance + downstream effects")),SUMIFS(Y$382:Y$384,$L$382:$L$384,$AE242),0)</f>
        <v>0</v>
      </c>
      <c r="AQ242" s="8">
        <f ca="1">SUMIFS(Z$321:Z$323,$L$321:$L$323,$AE242)+IF(OR(AND('Aggregate summary'!$L$3="Yes",'Aggregate summary'!$E$3="POD"),AND('Aggregate summary'!$U$3="Process",'Aggregate summary'!$T$76="Clearance + downstream effects")),SUMIFS(Z$382:Z$384,$L$382:$L$384,$AE242),0)</f>
        <v>0</v>
      </c>
    </row>
    <row r="243" spans="1:43" x14ac:dyDescent="0.25">
      <c r="A243">
        <f>1</f>
        <v>1</v>
      </c>
      <c r="B243" s="85">
        <f t="shared" si="127"/>
        <v>44031</v>
      </c>
      <c r="C243" s="85">
        <f t="shared" si="123"/>
        <v>44025</v>
      </c>
      <c r="D243">
        <f t="shared" ca="1" si="124"/>
        <v>0</v>
      </c>
      <c r="E243" s="85">
        <f t="shared" si="125"/>
        <v>44013</v>
      </c>
      <c r="F243">
        <f t="shared" si="126"/>
        <v>29</v>
      </c>
      <c r="M243">
        <v>19</v>
      </c>
      <c r="N243">
        <v>3</v>
      </c>
      <c r="O243" s="6">
        <f t="array" aca="1" ref="O243" ca="1">SUM(OFFSET($CO$43,0,($M243*3)+$N243,53,1)*O$43:O$95)</f>
        <v>0</v>
      </c>
      <c r="P243" s="6">
        <f t="array" aca="1" ref="P243" ca="1">SUM(OFFSET($CO$43,0,($M243*3)+$N243,53,1)*P$43:P$95)</f>
        <v>0</v>
      </c>
      <c r="Q243" s="6">
        <f t="array" aca="1" ref="Q243" ca="1">SUM(OFFSET($CO$43,0,($M243*3)+$N243,53,1)*Q$43:Q$95)</f>
        <v>0</v>
      </c>
      <c r="R243" s="6">
        <f t="array" aca="1" ref="R243" ca="1">SUM(OFFSET($CO$43,0,($M243*3)+$N243,53,1)*R$43:R$95)</f>
        <v>0</v>
      </c>
      <c r="S243" s="6">
        <f t="array" aca="1" ref="S243" ca="1">SUM(OFFSET($CO$43,0,($M243*3)+$N243,53,1)*S$43:S$95)</f>
        <v>0</v>
      </c>
      <c r="T243" s="6">
        <f t="array" aca="1" ref="T243" ca="1">SUM(OFFSET($CO$43,0,($M243*3)+$N243,53,1)*T$43:T$95)</f>
        <v>0</v>
      </c>
      <c r="U243" s="6">
        <f t="array" aca="1" ref="U243" ca="1">SUM(OFFSET($CO$43,0,($M243*3)+$N243,53,1)*U$43:U$95)</f>
        <v>0</v>
      </c>
      <c r="V243" s="6">
        <f t="array" aca="1" ref="V243" ca="1">SUM(OFFSET($CO$43,0,($M243*3)+$N243,53,1)*V$43:V$95)</f>
        <v>0</v>
      </c>
      <c r="W243" s="6">
        <f t="array" aca="1" ref="W243" ca="1">SUM(OFFSET($CO$43,0,($M243*3)+$N243,53,1)*W$43:W$95)</f>
        <v>0</v>
      </c>
      <c r="X243" s="6">
        <f t="array" aca="1" ref="X243" ca="1">SUM(OFFSET($CO$43,0,($M243*3)+$N243,53,1)*X$43:X$95)</f>
        <v>0</v>
      </c>
      <c r="Y243" s="6">
        <f t="array" aca="1" ref="Y243" ca="1">SUM(OFFSET($CO$43,0,($M243*3)+$N243,53,1)*Y$43:Y$95)</f>
        <v>0</v>
      </c>
      <c r="Z243" s="6">
        <f t="array" aca="1" ref="Z243" ca="1">SUM(OFFSET($CO$43,0,($M243*3)+$N243,53,1)*Z$43:Z$95)</f>
        <v>0</v>
      </c>
      <c r="AA243" s="6">
        <f t="shared" ca="1" si="119"/>
        <v>0</v>
      </c>
      <c r="AB243" s="6">
        <f t="shared" ca="1" si="111"/>
        <v>0</v>
      </c>
      <c r="AC243" s="6"/>
      <c r="AD243" s="8">
        <v>2</v>
      </c>
      <c r="AE243" t="str">
        <f t="shared" si="128"/>
        <v>New</v>
      </c>
      <c r="AF243" s="8">
        <f ca="1">SUMIFS(O$324:O$326,$L$324:$L$326,$AE238)+IF(OR(AND('Aggregate summary'!$L$3="Yes",'Aggregate summary'!$E$3="POD"),AND('Aggregate summary'!$U$3="Process",'Aggregate summary'!$T$76="Clearance + downstream effects")),SUMIFS(O$385:O$387,$L$385:$L$387,$AE238),0)</f>
        <v>0</v>
      </c>
      <c r="AG243" s="8">
        <f ca="1">SUMIFS(P$324:P$326,$L$324:$L$326,$AE238)+IF(OR(AND('Aggregate summary'!$L$3="Yes",'Aggregate summary'!$E$3="POD"),AND('Aggregate summary'!$U$3="Process",'Aggregate summary'!$T$76="Clearance + downstream effects")),SUMIFS(P$385:P$387,$L$385:$L$387,$AE238),0)</f>
        <v>0</v>
      </c>
      <c r="AH243" s="8">
        <f ca="1">SUMIFS(Q$324:Q$326,$L$324:$L$326,$AE238)+IF(OR(AND('Aggregate summary'!$L$3="Yes",'Aggregate summary'!$E$3="POD"),AND('Aggregate summary'!$U$3="Process",'Aggregate summary'!$T$76="Clearance + downstream effects")),SUMIFS(Q$385:Q$387,$L$385:$L$387,$AE238),0)</f>
        <v>0</v>
      </c>
      <c r="AI243" s="8">
        <f ca="1">SUMIFS(R$324:R$326,$L$324:$L$326,$AE238)+IF(OR(AND('Aggregate summary'!$L$3="Yes",'Aggregate summary'!$E$3="POD"),AND('Aggregate summary'!$U$3="Process",'Aggregate summary'!$T$76="Clearance + downstream effects")),SUMIFS(R$385:R$387,$L$385:$L$387,$AE238),0)</f>
        <v>0</v>
      </c>
      <c r="AJ243" s="8">
        <f ca="1">SUMIFS(S$324:S$326,$L$324:$L$326,$AE238)+IF(OR(AND('Aggregate summary'!$L$3="Yes",'Aggregate summary'!$E$3="POD"),AND('Aggregate summary'!$U$3="Process",'Aggregate summary'!$T$76="Clearance + downstream effects")),SUMIFS(S$385:S$387,$L$385:$L$387,$AE238),0)</f>
        <v>0</v>
      </c>
      <c r="AK243" s="8">
        <f ca="1">SUMIFS(T$324:T$326,$L$324:$L$326,$AE238)+IF(OR(AND('Aggregate summary'!$L$3="Yes",'Aggregate summary'!$E$3="POD"),AND('Aggregate summary'!$U$3="Process",'Aggregate summary'!$T$76="Clearance + downstream effects")),SUMIFS(T$385:T$387,$L$385:$L$387,$AE238),0)</f>
        <v>0</v>
      </c>
      <c r="AL243" s="8">
        <f ca="1">SUMIFS(U$324:U$326,$L$324:$L$326,$AE238)+IF(OR(AND('Aggregate summary'!$L$3="Yes",'Aggregate summary'!$E$3="POD"),AND('Aggregate summary'!$U$3="Process",'Aggregate summary'!$T$76="Clearance + downstream effects")),SUMIFS(U$385:U$387,$L$385:$L$387,$AE238),0)</f>
        <v>0</v>
      </c>
      <c r="AM243" s="8">
        <f ca="1">SUMIFS(V$324:V$326,$L$324:$L$326,$AE238)+IF(OR(AND('Aggregate summary'!$L$3="Yes",'Aggregate summary'!$E$3="POD"),AND('Aggregate summary'!$U$3="Process",'Aggregate summary'!$T$76="Clearance + downstream effects")),SUMIFS(V$385:V$387,$L$385:$L$387,$AE238),0)</f>
        <v>0</v>
      </c>
      <c r="AN243" s="8">
        <f ca="1">SUMIFS(W$324:W$326,$L$324:$L$326,$AE238)+IF(OR(AND('Aggregate summary'!$L$3="Yes",'Aggregate summary'!$E$3="POD"),AND('Aggregate summary'!$U$3="Process",'Aggregate summary'!$T$76="Clearance + downstream effects")),SUMIFS(W$385:W$387,$L$385:$L$387,$AE238),0)</f>
        <v>0</v>
      </c>
      <c r="AO243" s="8">
        <f ca="1">SUMIFS(X$324:X$326,$L$324:$L$326,$AE238)+IF(OR(AND('Aggregate summary'!$L$3="Yes",'Aggregate summary'!$E$3="POD"),AND('Aggregate summary'!$U$3="Process",'Aggregate summary'!$T$76="Clearance + downstream effects")),SUMIFS(X$385:X$387,$L$385:$L$387,$AE238),0)</f>
        <v>0</v>
      </c>
      <c r="AP243" s="8">
        <f ca="1">SUMIFS(Y$324:Y$326,$L$324:$L$326,$AE238)+IF(OR(AND('Aggregate summary'!$L$3="Yes",'Aggregate summary'!$E$3="POD"),AND('Aggregate summary'!$U$3="Process",'Aggregate summary'!$T$76="Clearance + downstream effects")),SUMIFS(Y$385:Y$387,$L$385:$L$387,$AE238),0)</f>
        <v>0</v>
      </c>
      <c r="AQ243" s="8">
        <f ca="1">SUMIFS(Z$324:Z$326,$L$324:$L$326,$AE238)+IF(OR(AND('Aggregate summary'!$L$3="Yes",'Aggregate summary'!$E$3="POD"),AND('Aggregate summary'!$U$3="Process",'Aggregate summary'!$T$76="Clearance + downstream effects")),SUMIFS(Z$385:Z$387,$L$385:$L$387,$AE238),0)</f>
        <v>0</v>
      </c>
    </row>
    <row r="244" spans="1:43" x14ac:dyDescent="0.25">
      <c r="A244">
        <f>1</f>
        <v>1</v>
      </c>
      <c r="B244" s="85">
        <f t="shared" si="127"/>
        <v>44032</v>
      </c>
      <c r="C244" s="85">
        <f t="shared" si="123"/>
        <v>44032</v>
      </c>
      <c r="D244">
        <f t="shared" ca="1" si="124"/>
        <v>1</v>
      </c>
      <c r="E244" s="85">
        <f t="shared" si="125"/>
        <v>44013</v>
      </c>
      <c r="F244">
        <f t="shared" si="126"/>
        <v>30</v>
      </c>
      <c r="L244" t="s">
        <v>1313</v>
      </c>
      <c r="O244" s="6"/>
      <c r="P244" s="6"/>
      <c r="Q244" s="6"/>
      <c r="R244" s="6"/>
      <c r="S244" s="6"/>
      <c r="T244" s="6"/>
      <c r="U244" s="6"/>
      <c r="V244" s="6"/>
      <c r="W244" s="6"/>
      <c r="X244" s="6"/>
      <c r="Y244" s="6"/>
      <c r="Z244" s="6"/>
      <c r="AA244" s="6"/>
      <c r="AB244" s="6"/>
      <c r="AC244" s="6"/>
      <c r="AD244" s="8"/>
      <c r="AE244" t="str">
        <f t="shared" si="128"/>
        <v>Diagnostic (N)</v>
      </c>
      <c r="AF244" s="8">
        <f ca="1">SUMIFS(O$324:O$326,$L$324:$L$326,$AE239)+IF(OR(AND('Aggregate summary'!$L$3="Yes",'Aggregate summary'!$E$3="POD"),AND('Aggregate summary'!$U$3="Process",'Aggregate summary'!$T$76="Clearance + downstream effects")),SUMIFS(O$385:O$387,$L$385:$L$387,$AE239),0)</f>
        <v>0</v>
      </c>
      <c r="AG244" s="8">
        <f ca="1">SUMIFS(P$324:P$326,$L$324:$L$326,$AE239)+IF(OR(AND('Aggregate summary'!$L$3="Yes",'Aggregate summary'!$E$3="POD"),AND('Aggregate summary'!$U$3="Process",'Aggregate summary'!$T$76="Clearance + downstream effects")),SUMIFS(P$385:P$387,$L$385:$L$387,$AE239),0)</f>
        <v>0</v>
      </c>
      <c r="AH244" s="8">
        <f ca="1">SUMIFS(Q$324:Q$326,$L$324:$L$326,$AE239)+IF(OR(AND('Aggregate summary'!$L$3="Yes",'Aggregate summary'!$E$3="POD"),AND('Aggregate summary'!$U$3="Process",'Aggregate summary'!$T$76="Clearance + downstream effects")),SUMIFS(Q$385:Q$387,$L$385:$L$387,$AE239),0)</f>
        <v>0</v>
      </c>
      <c r="AI244" s="8">
        <f ca="1">SUMIFS(R$324:R$326,$L$324:$L$326,$AE239)+IF(OR(AND('Aggregate summary'!$L$3="Yes",'Aggregate summary'!$E$3="POD"),AND('Aggregate summary'!$U$3="Process",'Aggregate summary'!$T$76="Clearance + downstream effects")),SUMIFS(R$385:R$387,$L$385:$L$387,$AE239),0)</f>
        <v>0</v>
      </c>
      <c r="AJ244" s="8">
        <f ca="1">SUMIFS(S$324:S$326,$L$324:$L$326,$AE239)+IF(OR(AND('Aggregate summary'!$L$3="Yes",'Aggregate summary'!$E$3="POD"),AND('Aggregate summary'!$U$3="Process",'Aggregate summary'!$T$76="Clearance + downstream effects")),SUMIFS(S$385:S$387,$L$385:$L$387,$AE239),0)</f>
        <v>0</v>
      </c>
      <c r="AK244" s="8">
        <f ca="1">SUMIFS(T$324:T$326,$L$324:$L$326,$AE239)+IF(OR(AND('Aggregate summary'!$L$3="Yes",'Aggregate summary'!$E$3="POD"),AND('Aggregate summary'!$U$3="Process",'Aggregate summary'!$T$76="Clearance + downstream effects")),SUMIFS(T$385:T$387,$L$385:$L$387,$AE239),0)</f>
        <v>0</v>
      </c>
      <c r="AL244" s="8">
        <f ca="1">SUMIFS(U$324:U$326,$L$324:$L$326,$AE239)+IF(OR(AND('Aggregate summary'!$L$3="Yes",'Aggregate summary'!$E$3="POD"),AND('Aggregate summary'!$U$3="Process",'Aggregate summary'!$T$76="Clearance + downstream effects")),SUMIFS(U$385:U$387,$L$385:$L$387,$AE239),0)</f>
        <v>0</v>
      </c>
      <c r="AM244" s="8">
        <f ca="1">SUMIFS(V$324:V$326,$L$324:$L$326,$AE239)+IF(OR(AND('Aggregate summary'!$L$3="Yes",'Aggregate summary'!$E$3="POD"),AND('Aggregate summary'!$U$3="Process",'Aggregate summary'!$T$76="Clearance + downstream effects")),SUMIFS(V$385:V$387,$L$385:$L$387,$AE239),0)</f>
        <v>0</v>
      </c>
      <c r="AN244" s="8">
        <f ca="1">SUMIFS(W$324:W$326,$L$324:$L$326,$AE239)+IF(OR(AND('Aggregate summary'!$L$3="Yes",'Aggregate summary'!$E$3="POD"),AND('Aggregate summary'!$U$3="Process",'Aggregate summary'!$T$76="Clearance + downstream effects")),SUMIFS(W$385:W$387,$L$385:$L$387,$AE239),0)</f>
        <v>0</v>
      </c>
      <c r="AO244" s="8">
        <f ca="1">SUMIFS(X$324:X$326,$L$324:$L$326,$AE239)+IF(OR(AND('Aggregate summary'!$L$3="Yes",'Aggregate summary'!$E$3="POD"),AND('Aggregate summary'!$U$3="Process",'Aggregate summary'!$T$76="Clearance + downstream effects")),SUMIFS(X$385:X$387,$L$385:$L$387,$AE239),0)</f>
        <v>0</v>
      </c>
      <c r="AP244" s="8">
        <f ca="1">SUMIFS(Y$324:Y$326,$L$324:$L$326,$AE239)+IF(OR(AND('Aggregate summary'!$L$3="Yes",'Aggregate summary'!$E$3="POD"),AND('Aggregate summary'!$U$3="Process",'Aggregate summary'!$T$76="Clearance + downstream effects")),SUMIFS(Y$385:Y$387,$L$385:$L$387,$AE239),0)</f>
        <v>0</v>
      </c>
      <c r="AQ244" s="8">
        <f ca="1">SUMIFS(Z$324:Z$326,$L$324:$L$326,$AE239)+IF(OR(AND('Aggregate summary'!$L$3="Yes",'Aggregate summary'!$E$3="POD"),AND('Aggregate summary'!$U$3="Process",'Aggregate summary'!$T$76="Clearance + downstream effects")),SUMIFS(Z$385:Z$387,$L$385:$L$387,$AE239),0)</f>
        <v>0</v>
      </c>
    </row>
    <row r="245" spans="1:43" x14ac:dyDescent="0.25">
      <c r="A245">
        <f>1</f>
        <v>1</v>
      </c>
      <c r="B245" s="85">
        <f t="shared" si="127"/>
        <v>44033</v>
      </c>
      <c r="C245" s="85">
        <f t="shared" si="123"/>
        <v>44032</v>
      </c>
      <c r="D245">
        <f t="shared" ca="1" si="124"/>
        <v>1</v>
      </c>
      <c r="E245" s="85">
        <f t="shared" si="125"/>
        <v>44013</v>
      </c>
      <c r="F245">
        <f t="shared" si="126"/>
        <v>30</v>
      </c>
      <c r="M245">
        <v>0</v>
      </c>
      <c r="N245">
        <v>1</v>
      </c>
      <c r="O245" s="6">
        <f t="array" aca="1" ref="O245" ca="1">SUM(OFFSET($HQ$43,0,($M245*3)+$N245,53,1)*O$43:O$95)</f>
        <v>94.282495457298609</v>
      </c>
      <c r="P245" s="6">
        <f t="array" aca="1" ref="P245" ca="1">SUM(OFFSET($HQ$43,0,($M245*3)+$N245,53,1)*P$43:P$95)</f>
        <v>85.711359506635091</v>
      </c>
      <c r="Q245" s="6">
        <f t="array" aca="1" ref="Q245" ca="1">SUM(OFFSET($HQ$43,0,($M245*3)+$N245,53,1)*Q$43:Q$95)</f>
        <v>94.282495457298594</v>
      </c>
      <c r="R245" s="6">
        <f t="array" aca="1" ref="R245" ca="1">SUM(OFFSET($HQ$43,0,($M245*3)+$N245,53,1)*R$43:R$95)</f>
        <v>85.711359506635105</v>
      </c>
      <c r="S245" s="6">
        <f t="array" aca="1" ref="S245" ca="1">SUM(OFFSET($HQ$43,0,($M245*3)+$N245,53,1)*S$43:S$95)</f>
        <v>84.722382281558524</v>
      </c>
      <c r="T245" s="6">
        <f t="array" aca="1" ref="T245" ca="1">SUM(OFFSET($HQ$43,0,($M245*3)+$N245,53,1)*T$43:T$95)</f>
        <v>92.106745562130172</v>
      </c>
      <c r="U245" s="6">
        <f t="array" aca="1" ref="U245" ca="1">SUM(OFFSET($HQ$43,0,($M245*3)+$N245,53,1)*U$43:U$95)</f>
        <v>96.293415814954258</v>
      </c>
      <c r="V245" s="6">
        <f t="array" aca="1" ref="V245" ca="1">SUM(OFFSET($HQ$43,0,($M245*3)+$N245,53,1)*V$43:V$95)</f>
        <v>83.733405056481971</v>
      </c>
      <c r="W245" s="6">
        <f t="array" aca="1" ref="W245" ca="1">SUM(OFFSET($HQ$43,0,($M245*3)+$N245,53,1)*W$43:W$95)</f>
        <v>96.293415814954272</v>
      </c>
      <c r="X245" s="6">
        <f t="array" aca="1" ref="X245" ca="1">SUM(OFFSET($HQ$43,0,($M245*3)+$N245,53,1)*X$43:X$95)</f>
        <v>92.106745562130158</v>
      </c>
      <c r="Y245" s="6">
        <f t="array" aca="1" ref="Y245" ca="1">SUM(OFFSET($HQ$43,0,($M245*3)+$N245,53,1)*Y$43:Y$95)</f>
        <v>87.920075309306071</v>
      </c>
      <c r="Z245" s="6">
        <f t="array" aca="1" ref="Z245" ca="1">SUM(OFFSET($HQ$43,0,($M245*3)+$N245,53,1)*Z$43:Z$95)</f>
        <v>100.48008606777836</v>
      </c>
      <c r="AA245" s="6">
        <f t="shared" ref="AA245:AA276" ca="1" si="129">SUM(O245:Z245)</f>
        <v>1093.6439813971613</v>
      </c>
      <c r="AB245" s="6">
        <f t="shared" ca="1" si="111"/>
        <v>91.136998449763439</v>
      </c>
      <c r="AC245" s="6"/>
      <c r="AD245" s="8"/>
      <c r="AE245" t="str">
        <f t="shared" si="128"/>
        <v>Follow Up</v>
      </c>
      <c r="AF245" s="8">
        <f ca="1">SUMIFS(O$324:O$326,$L$324:$L$326,$AE240)+IF(OR(AND('Aggregate summary'!$L$3="Yes",'Aggregate summary'!$E$3="POD"),AND('Aggregate summary'!$U$3="Process",'Aggregate summary'!$T$76="Clearance + downstream effects")),SUMIFS(O$385:O$387,$L$385:$L$387,$AE240),0)</f>
        <v>0</v>
      </c>
      <c r="AG245" s="8">
        <f ca="1">SUMIFS(P$324:P$326,$L$324:$L$326,$AE240)+IF(OR(AND('Aggregate summary'!$L$3="Yes",'Aggregate summary'!$E$3="POD"),AND('Aggregate summary'!$U$3="Process",'Aggregate summary'!$T$76="Clearance + downstream effects")),SUMIFS(P$385:P$387,$L$385:$L$387,$AE240),0)</f>
        <v>0</v>
      </c>
      <c r="AH245" s="8">
        <f ca="1">SUMIFS(Q$324:Q$326,$L$324:$L$326,$AE240)+IF(OR(AND('Aggregate summary'!$L$3="Yes",'Aggregate summary'!$E$3="POD"),AND('Aggregate summary'!$U$3="Process",'Aggregate summary'!$T$76="Clearance + downstream effects")),SUMIFS(Q$385:Q$387,$L$385:$L$387,$AE240),0)</f>
        <v>0</v>
      </c>
      <c r="AI245" s="8">
        <f ca="1">SUMIFS(R$324:R$326,$L$324:$L$326,$AE240)+IF(OR(AND('Aggregate summary'!$L$3="Yes",'Aggregate summary'!$E$3="POD"),AND('Aggregate summary'!$U$3="Process",'Aggregate summary'!$T$76="Clearance + downstream effects")),SUMIFS(R$385:R$387,$L$385:$L$387,$AE240),0)</f>
        <v>0</v>
      </c>
      <c r="AJ245" s="8">
        <f ca="1">SUMIFS(S$324:S$326,$L$324:$L$326,$AE240)+IF(OR(AND('Aggregate summary'!$L$3="Yes",'Aggregate summary'!$E$3="POD"),AND('Aggregate summary'!$U$3="Process",'Aggregate summary'!$T$76="Clearance + downstream effects")),SUMIFS(S$385:S$387,$L$385:$L$387,$AE240),0)</f>
        <v>0</v>
      </c>
      <c r="AK245" s="8">
        <f ca="1">SUMIFS(T$324:T$326,$L$324:$L$326,$AE240)+IF(OR(AND('Aggregate summary'!$L$3="Yes",'Aggregate summary'!$E$3="POD"),AND('Aggregate summary'!$U$3="Process",'Aggregate summary'!$T$76="Clearance + downstream effects")),SUMIFS(T$385:T$387,$L$385:$L$387,$AE240),0)</f>
        <v>0</v>
      </c>
      <c r="AL245" s="8">
        <f ca="1">SUMIFS(U$324:U$326,$L$324:$L$326,$AE240)+IF(OR(AND('Aggregate summary'!$L$3="Yes",'Aggregate summary'!$E$3="POD"),AND('Aggregate summary'!$U$3="Process",'Aggregate summary'!$T$76="Clearance + downstream effects")),SUMIFS(U$385:U$387,$L$385:$L$387,$AE240),0)</f>
        <v>0</v>
      </c>
      <c r="AM245" s="8">
        <f ca="1">SUMIFS(V$324:V$326,$L$324:$L$326,$AE240)+IF(OR(AND('Aggregate summary'!$L$3="Yes",'Aggregate summary'!$E$3="POD"),AND('Aggregate summary'!$U$3="Process",'Aggregate summary'!$T$76="Clearance + downstream effects")),SUMIFS(V$385:V$387,$L$385:$L$387,$AE240),0)</f>
        <v>0</v>
      </c>
      <c r="AN245" s="8">
        <f ca="1">SUMIFS(W$324:W$326,$L$324:$L$326,$AE240)+IF(OR(AND('Aggregate summary'!$L$3="Yes",'Aggregate summary'!$E$3="POD"),AND('Aggregate summary'!$U$3="Process",'Aggregate summary'!$T$76="Clearance + downstream effects")),SUMIFS(W$385:W$387,$L$385:$L$387,$AE240),0)</f>
        <v>0</v>
      </c>
      <c r="AO245" s="8">
        <f ca="1">SUMIFS(X$324:X$326,$L$324:$L$326,$AE240)+IF(OR(AND('Aggregate summary'!$L$3="Yes",'Aggregate summary'!$E$3="POD"),AND('Aggregate summary'!$U$3="Process",'Aggregate summary'!$T$76="Clearance + downstream effects")),SUMIFS(X$385:X$387,$L$385:$L$387,$AE240),0)</f>
        <v>0</v>
      </c>
      <c r="AP245" s="8">
        <f ca="1">SUMIFS(Y$324:Y$326,$L$324:$L$326,$AE240)+IF(OR(AND('Aggregate summary'!$L$3="Yes",'Aggregate summary'!$E$3="POD"),AND('Aggregate summary'!$U$3="Process",'Aggregate summary'!$T$76="Clearance + downstream effects")),SUMIFS(Y$385:Y$387,$L$385:$L$387,$AE240),0)</f>
        <v>0</v>
      </c>
      <c r="AQ245" s="8">
        <f ca="1">SUMIFS(Z$324:Z$326,$L$324:$L$326,$AE240)+IF(OR(AND('Aggregate summary'!$L$3="Yes",'Aggregate summary'!$E$3="POD"),AND('Aggregate summary'!$U$3="Process",'Aggregate summary'!$T$76="Clearance + downstream effects")),SUMIFS(Z$385:Z$387,$L$385:$L$387,$AE240),0)</f>
        <v>0</v>
      </c>
    </row>
    <row r="246" spans="1:43" x14ac:dyDescent="0.25">
      <c r="A246">
        <f>1</f>
        <v>1</v>
      </c>
      <c r="B246" s="85">
        <f t="shared" si="127"/>
        <v>44034</v>
      </c>
      <c r="C246" s="85">
        <f t="shared" si="123"/>
        <v>44032</v>
      </c>
      <c r="D246">
        <f t="shared" ca="1" si="124"/>
        <v>1</v>
      </c>
      <c r="E246" s="85">
        <f t="shared" si="125"/>
        <v>44013</v>
      </c>
      <c r="F246">
        <f t="shared" si="126"/>
        <v>30</v>
      </c>
      <c r="M246">
        <v>0</v>
      </c>
      <c r="N246">
        <v>2</v>
      </c>
      <c r="O246" s="6">
        <f t="array" aca="1" ref="O246" ca="1">SUM(OFFSET($HQ$43,0,($M246*3)+$N246,53,1)*O$43:O$95)</f>
        <v>0</v>
      </c>
      <c r="P246" s="6">
        <f t="array" aca="1" ref="P246" ca="1">SUM(OFFSET($HQ$43,0,($M246*3)+$N246,53,1)*P$43:P$95)</f>
        <v>0</v>
      </c>
      <c r="Q246" s="6">
        <f t="array" aca="1" ref="Q246" ca="1">SUM(OFFSET($HQ$43,0,($M246*3)+$N246,53,1)*Q$43:Q$95)</f>
        <v>0</v>
      </c>
      <c r="R246" s="6">
        <f t="array" aca="1" ref="R246" ca="1">SUM(OFFSET($HQ$43,0,($M246*3)+$N246,53,1)*R$43:R$95)</f>
        <v>0</v>
      </c>
      <c r="S246" s="6">
        <f t="array" aca="1" ref="S246" ca="1">SUM(OFFSET($HQ$43,0,($M246*3)+$N246,53,1)*S$43:S$95)</f>
        <v>0</v>
      </c>
      <c r="T246" s="6">
        <f t="array" aca="1" ref="T246" ca="1">SUM(OFFSET($HQ$43,0,($M246*3)+$N246,53,1)*T$43:T$95)</f>
        <v>0</v>
      </c>
      <c r="U246" s="6">
        <f t="array" aca="1" ref="U246" ca="1">SUM(OFFSET($HQ$43,0,($M246*3)+$N246,53,1)*U$43:U$95)</f>
        <v>0</v>
      </c>
      <c r="V246" s="6">
        <f t="array" aca="1" ref="V246" ca="1">SUM(OFFSET($HQ$43,0,($M246*3)+$N246,53,1)*V$43:V$95)</f>
        <v>0</v>
      </c>
      <c r="W246" s="6">
        <f t="array" aca="1" ref="W246" ca="1">SUM(OFFSET($HQ$43,0,($M246*3)+$N246,53,1)*W$43:W$95)</f>
        <v>0</v>
      </c>
      <c r="X246" s="6">
        <f t="array" aca="1" ref="X246" ca="1">SUM(OFFSET($HQ$43,0,($M246*3)+$N246,53,1)*X$43:X$95)</f>
        <v>0</v>
      </c>
      <c r="Y246" s="6">
        <f t="array" aca="1" ref="Y246" ca="1">SUM(OFFSET($HQ$43,0,($M246*3)+$N246,53,1)*Y$43:Y$95)</f>
        <v>0</v>
      </c>
      <c r="Z246" s="6">
        <f t="array" aca="1" ref="Z246" ca="1">SUM(OFFSET($HQ$43,0,($M246*3)+$N246,53,1)*Z$43:Z$95)</f>
        <v>0</v>
      </c>
      <c r="AA246" s="6">
        <f t="shared" ca="1" si="129"/>
        <v>0</v>
      </c>
      <c r="AB246" s="6">
        <f t="shared" ca="1" si="111"/>
        <v>0</v>
      </c>
      <c r="AC246" s="6"/>
      <c r="AD246" s="8"/>
      <c r="AE246" t="str">
        <f t="shared" si="128"/>
        <v>Diagnostic (FU)</v>
      </c>
      <c r="AF246" s="8">
        <f ca="1">SUMIFS(O$324:O$326,$L$324:$L$326,$AE241)+IF(OR(AND('Aggregate summary'!$L$3="Yes",'Aggregate summary'!$E$3="POD"),AND('Aggregate summary'!$U$3="Process",'Aggregate summary'!$T$76="Clearance + downstream effects")),SUMIFS(O$385:O$387,$L$385:$L$387,$AE241),0)</f>
        <v>0</v>
      </c>
      <c r="AG246" s="8">
        <f ca="1">SUMIFS(P$324:P$326,$L$324:$L$326,$AE241)+IF(OR(AND('Aggregate summary'!$L$3="Yes",'Aggregate summary'!$E$3="POD"),AND('Aggregate summary'!$U$3="Process",'Aggregate summary'!$T$76="Clearance + downstream effects")),SUMIFS(P$385:P$387,$L$385:$L$387,$AE241),0)</f>
        <v>0</v>
      </c>
      <c r="AH246" s="8">
        <f ca="1">SUMIFS(Q$324:Q$326,$L$324:$L$326,$AE241)+IF(OR(AND('Aggregate summary'!$L$3="Yes",'Aggregate summary'!$E$3="POD"),AND('Aggregate summary'!$U$3="Process",'Aggregate summary'!$T$76="Clearance + downstream effects")),SUMIFS(Q$385:Q$387,$L$385:$L$387,$AE241),0)</f>
        <v>0</v>
      </c>
      <c r="AI246" s="8">
        <f ca="1">SUMIFS(R$324:R$326,$L$324:$L$326,$AE241)+IF(OR(AND('Aggregate summary'!$L$3="Yes",'Aggregate summary'!$E$3="POD"),AND('Aggregate summary'!$U$3="Process",'Aggregate summary'!$T$76="Clearance + downstream effects")),SUMIFS(R$385:R$387,$L$385:$L$387,$AE241),0)</f>
        <v>0</v>
      </c>
      <c r="AJ246" s="8">
        <f ca="1">SUMIFS(S$324:S$326,$L$324:$L$326,$AE241)+IF(OR(AND('Aggregate summary'!$L$3="Yes",'Aggregate summary'!$E$3="POD"),AND('Aggregate summary'!$U$3="Process",'Aggregate summary'!$T$76="Clearance + downstream effects")),SUMIFS(S$385:S$387,$L$385:$L$387,$AE241),0)</f>
        <v>0</v>
      </c>
      <c r="AK246" s="8">
        <f ca="1">SUMIFS(T$324:T$326,$L$324:$L$326,$AE241)+IF(OR(AND('Aggregate summary'!$L$3="Yes",'Aggregate summary'!$E$3="POD"),AND('Aggregate summary'!$U$3="Process",'Aggregate summary'!$T$76="Clearance + downstream effects")),SUMIFS(T$385:T$387,$L$385:$L$387,$AE241),0)</f>
        <v>0</v>
      </c>
      <c r="AL246" s="8">
        <f ca="1">SUMIFS(U$324:U$326,$L$324:$L$326,$AE241)+IF(OR(AND('Aggregate summary'!$L$3="Yes",'Aggregate summary'!$E$3="POD"),AND('Aggregate summary'!$U$3="Process",'Aggregate summary'!$T$76="Clearance + downstream effects")),SUMIFS(U$385:U$387,$L$385:$L$387,$AE241),0)</f>
        <v>0</v>
      </c>
      <c r="AM246" s="8">
        <f ca="1">SUMIFS(V$324:V$326,$L$324:$L$326,$AE241)+IF(OR(AND('Aggregate summary'!$L$3="Yes",'Aggregate summary'!$E$3="POD"),AND('Aggregate summary'!$U$3="Process",'Aggregate summary'!$T$76="Clearance + downstream effects")),SUMIFS(V$385:V$387,$L$385:$L$387,$AE241),0)</f>
        <v>0</v>
      </c>
      <c r="AN246" s="8">
        <f ca="1">SUMIFS(W$324:W$326,$L$324:$L$326,$AE241)+IF(OR(AND('Aggregate summary'!$L$3="Yes",'Aggregate summary'!$E$3="POD"),AND('Aggregate summary'!$U$3="Process",'Aggregate summary'!$T$76="Clearance + downstream effects")),SUMIFS(W$385:W$387,$L$385:$L$387,$AE241),0)</f>
        <v>0</v>
      </c>
      <c r="AO246" s="8">
        <f ca="1">SUMIFS(X$324:X$326,$L$324:$L$326,$AE241)+IF(OR(AND('Aggregate summary'!$L$3="Yes",'Aggregate summary'!$E$3="POD"),AND('Aggregate summary'!$U$3="Process",'Aggregate summary'!$T$76="Clearance + downstream effects")),SUMIFS(X$385:X$387,$L$385:$L$387,$AE241),0)</f>
        <v>0</v>
      </c>
      <c r="AP246" s="8">
        <f ca="1">SUMIFS(Y$324:Y$326,$L$324:$L$326,$AE241)+IF(OR(AND('Aggregate summary'!$L$3="Yes",'Aggregate summary'!$E$3="POD"),AND('Aggregate summary'!$U$3="Process",'Aggregate summary'!$T$76="Clearance + downstream effects")),SUMIFS(Y$385:Y$387,$L$385:$L$387,$AE241),0)</f>
        <v>0</v>
      </c>
      <c r="AQ246" s="8">
        <f ca="1">SUMIFS(Z$324:Z$326,$L$324:$L$326,$AE241)+IF(OR(AND('Aggregate summary'!$L$3="Yes",'Aggregate summary'!$E$3="POD"),AND('Aggregate summary'!$U$3="Process",'Aggregate summary'!$T$76="Clearance + downstream effects")),SUMIFS(Z$385:Z$387,$L$385:$L$387,$AE241),0)</f>
        <v>0</v>
      </c>
    </row>
    <row r="247" spans="1:43" x14ac:dyDescent="0.25">
      <c r="A247">
        <f>1</f>
        <v>1</v>
      </c>
      <c r="B247" s="85">
        <f t="shared" si="127"/>
        <v>44035</v>
      </c>
      <c r="C247" s="85">
        <f t="shared" si="123"/>
        <v>44032</v>
      </c>
      <c r="D247">
        <f t="shared" ca="1" si="124"/>
        <v>1</v>
      </c>
      <c r="E247" s="85">
        <f t="shared" si="125"/>
        <v>44013</v>
      </c>
      <c r="F247">
        <f t="shared" si="126"/>
        <v>30</v>
      </c>
      <c r="M247">
        <v>0</v>
      </c>
      <c r="N247">
        <v>3</v>
      </c>
      <c r="O247" s="6">
        <f t="array" aca="1" ref="O247" ca="1">SUM(OFFSET($HQ$43,0,($M247*3)+$N247,53,1)*O$43:O$95)</f>
        <v>0</v>
      </c>
      <c r="P247" s="6">
        <f t="array" aca="1" ref="P247" ca="1">SUM(OFFSET($HQ$43,0,($M247*3)+$N247,53,1)*P$43:P$95)</f>
        <v>0</v>
      </c>
      <c r="Q247" s="6">
        <f t="array" aca="1" ref="Q247" ca="1">SUM(OFFSET($HQ$43,0,($M247*3)+$N247,53,1)*Q$43:Q$95)</f>
        <v>0</v>
      </c>
      <c r="R247" s="6">
        <f t="array" aca="1" ref="R247" ca="1">SUM(OFFSET($HQ$43,0,($M247*3)+$N247,53,1)*R$43:R$95)</f>
        <v>0</v>
      </c>
      <c r="S247" s="6">
        <f t="array" aca="1" ref="S247" ca="1">SUM(OFFSET($HQ$43,0,($M247*3)+$N247,53,1)*S$43:S$95)</f>
        <v>0</v>
      </c>
      <c r="T247" s="6">
        <f t="array" aca="1" ref="T247" ca="1">SUM(OFFSET($HQ$43,0,($M247*3)+$N247,53,1)*T$43:T$95)</f>
        <v>0</v>
      </c>
      <c r="U247" s="6">
        <f t="array" aca="1" ref="U247" ca="1">SUM(OFFSET($HQ$43,0,($M247*3)+$N247,53,1)*U$43:U$95)</f>
        <v>0</v>
      </c>
      <c r="V247" s="6">
        <f t="array" aca="1" ref="V247" ca="1">SUM(OFFSET($HQ$43,0,($M247*3)+$N247,53,1)*V$43:V$95)</f>
        <v>0</v>
      </c>
      <c r="W247" s="6">
        <f t="array" aca="1" ref="W247" ca="1">SUM(OFFSET($HQ$43,0,($M247*3)+$N247,53,1)*W$43:W$95)</f>
        <v>0</v>
      </c>
      <c r="X247" s="6">
        <f t="array" aca="1" ref="X247" ca="1">SUM(OFFSET($HQ$43,0,($M247*3)+$N247,53,1)*X$43:X$95)</f>
        <v>0</v>
      </c>
      <c r="Y247" s="6">
        <f t="array" aca="1" ref="Y247" ca="1">SUM(OFFSET($HQ$43,0,($M247*3)+$N247,53,1)*Y$43:Y$95)</f>
        <v>0</v>
      </c>
      <c r="Z247" s="6">
        <f t="array" aca="1" ref="Z247" ca="1">SUM(OFFSET($HQ$43,0,($M247*3)+$N247,53,1)*Z$43:Z$95)</f>
        <v>0</v>
      </c>
      <c r="AA247" s="6">
        <f t="shared" ca="1" si="129"/>
        <v>0</v>
      </c>
      <c r="AB247" s="6">
        <f t="shared" ca="1" si="111"/>
        <v>0</v>
      </c>
      <c r="AC247" s="6"/>
      <c r="AD247" s="8"/>
      <c r="AE247" t="str">
        <f t="shared" si="128"/>
        <v>Admission</v>
      </c>
      <c r="AF247" s="8">
        <f ca="1">SUMIFS(O$324:O$326,$L$324:$L$326,$AE242)+IF(OR(AND('Aggregate summary'!$L$3="Yes",'Aggregate summary'!$E$3="POD"),AND('Aggregate summary'!$U$3="Process",'Aggregate summary'!$T$76="Clearance + downstream effects")),SUMIFS(O$385:O$387,$L$385:$L$387,$AE242),0)</f>
        <v>0</v>
      </c>
      <c r="AG247" s="8">
        <f ca="1">SUMIFS(P$324:P$326,$L$324:$L$326,$AE242)+IF(OR(AND('Aggregate summary'!$L$3="Yes",'Aggregate summary'!$E$3="POD"),AND('Aggregate summary'!$U$3="Process",'Aggregate summary'!$T$76="Clearance + downstream effects")),SUMIFS(P$385:P$387,$L$385:$L$387,$AE242),0)</f>
        <v>0</v>
      </c>
      <c r="AH247" s="8">
        <f ca="1">SUMIFS(Q$324:Q$326,$L$324:$L$326,$AE242)+IF(OR(AND('Aggregate summary'!$L$3="Yes",'Aggregate summary'!$E$3="POD"),AND('Aggregate summary'!$U$3="Process",'Aggregate summary'!$T$76="Clearance + downstream effects")),SUMIFS(Q$385:Q$387,$L$385:$L$387,$AE242),0)</f>
        <v>0</v>
      </c>
      <c r="AI247" s="8">
        <f ca="1">SUMIFS(R$324:R$326,$L$324:$L$326,$AE242)+IF(OR(AND('Aggregate summary'!$L$3="Yes",'Aggregate summary'!$E$3="POD"),AND('Aggregate summary'!$U$3="Process",'Aggregate summary'!$T$76="Clearance + downstream effects")),SUMIFS(R$385:R$387,$L$385:$L$387,$AE242),0)</f>
        <v>0</v>
      </c>
      <c r="AJ247" s="8">
        <f ca="1">SUMIFS(S$324:S$326,$L$324:$L$326,$AE242)+IF(OR(AND('Aggregate summary'!$L$3="Yes",'Aggregate summary'!$E$3="POD"),AND('Aggregate summary'!$U$3="Process",'Aggregate summary'!$T$76="Clearance + downstream effects")),SUMIFS(S$385:S$387,$L$385:$L$387,$AE242),0)</f>
        <v>0</v>
      </c>
      <c r="AK247" s="8">
        <f ca="1">SUMIFS(T$324:T$326,$L$324:$L$326,$AE242)+IF(OR(AND('Aggregate summary'!$L$3="Yes",'Aggregate summary'!$E$3="POD"),AND('Aggregate summary'!$U$3="Process",'Aggregate summary'!$T$76="Clearance + downstream effects")),SUMIFS(T$385:T$387,$L$385:$L$387,$AE242),0)</f>
        <v>0</v>
      </c>
      <c r="AL247" s="8">
        <f ca="1">SUMIFS(U$324:U$326,$L$324:$L$326,$AE242)+IF(OR(AND('Aggregate summary'!$L$3="Yes",'Aggregate summary'!$E$3="POD"),AND('Aggregate summary'!$U$3="Process",'Aggregate summary'!$T$76="Clearance + downstream effects")),SUMIFS(U$385:U$387,$L$385:$L$387,$AE242),0)</f>
        <v>0</v>
      </c>
      <c r="AM247" s="8">
        <f ca="1">SUMIFS(V$324:V$326,$L$324:$L$326,$AE242)+IF(OR(AND('Aggregate summary'!$L$3="Yes",'Aggregate summary'!$E$3="POD"),AND('Aggregate summary'!$U$3="Process",'Aggregate summary'!$T$76="Clearance + downstream effects")),SUMIFS(V$385:V$387,$L$385:$L$387,$AE242),0)</f>
        <v>0</v>
      </c>
      <c r="AN247" s="8">
        <f ca="1">SUMIFS(W$324:W$326,$L$324:$L$326,$AE242)+IF(OR(AND('Aggregate summary'!$L$3="Yes",'Aggregate summary'!$E$3="POD"),AND('Aggregate summary'!$U$3="Process",'Aggregate summary'!$T$76="Clearance + downstream effects")),SUMIFS(W$385:W$387,$L$385:$L$387,$AE242),0)</f>
        <v>0</v>
      </c>
      <c r="AO247" s="8">
        <f ca="1">SUMIFS(X$324:X$326,$L$324:$L$326,$AE242)+IF(OR(AND('Aggregate summary'!$L$3="Yes",'Aggregate summary'!$E$3="POD"),AND('Aggregate summary'!$U$3="Process",'Aggregate summary'!$T$76="Clearance + downstream effects")),SUMIFS(X$385:X$387,$L$385:$L$387,$AE242),0)</f>
        <v>0</v>
      </c>
      <c r="AP247" s="8">
        <f ca="1">SUMIFS(Y$324:Y$326,$L$324:$L$326,$AE242)+IF(OR(AND('Aggregate summary'!$L$3="Yes",'Aggregate summary'!$E$3="POD"),AND('Aggregate summary'!$U$3="Process",'Aggregate summary'!$T$76="Clearance + downstream effects")),SUMIFS(Y$385:Y$387,$L$385:$L$387,$AE242),0)</f>
        <v>0</v>
      </c>
      <c r="AQ247" s="8">
        <f ca="1">SUMIFS(Z$324:Z$326,$L$324:$L$326,$AE242)+IF(OR(AND('Aggregate summary'!$L$3="Yes",'Aggregate summary'!$E$3="POD"),AND('Aggregate summary'!$U$3="Process",'Aggregate summary'!$T$76="Clearance + downstream effects")),SUMIFS(Z$385:Z$387,$L$385:$L$387,$AE242),0)</f>
        <v>0</v>
      </c>
    </row>
    <row r="248" spans="1:43" x14ac:dyDescent="0.25">
      <c r="A248">
        <f>1</f>
        <v>1</v>
      </c>
      <c r="B248" s="85">
        <f t="shared" si="127"/>
        <v>44036</v>
      </c>
      <c r="C248" s="85">
        <f t="shared" si="123"/>
        <v>44032</v>
      </c>
      <c r="D248">
        <f t="shared" ca="1" si="124"/>
        <v>1</v>
      </c>
      <c r="E248" s="85">
        <f t="shared" si="125"/>
        <v>44013</v>
      </c>
      <c r="F248">
        <f t="shared" si="126"/>
        <v>30</v>
      </c>
      <c r="M248">
        <v>1</v>
      </c>
      <c r="N248">
        <v>1</v>
      </c>
      <c r="O248" s="6">
        <f t="array" aca="1" ref="O248" ca="1">SUM(OFFSET($HQ$43,0,($M248*3)+$N248,53,1)*O$43:O$95)</f>
        <v>0</v>
      </c>
      <c r="P248" s="6">
        <f t="array" aca="1" ref="P248" ca="1">SUM(OFFSET($HQ$43,0,($M248*3)+$N248,53,1)*P$43:P$95)</f>
        <v>0</v>
      </c>
      <c r="Q248" s="6">
        <f t="array" aca="1" ref="Q248" ca="1">SUM(OFFSET($HQ$43,0,($M248*3)+$N248,53,1)*Q$43:Q$95)</f>
        <v>0</v>
      </c>
      <c r="R248" s="6">
        <f t="array" aca="1" ref="R248" ca="1">SUM(OFFSET($HQ$43,0,($M248*3)+$N248,53,1)*R$43:R$95)</f>
        <v>0</v>
      </c>
      <c r="S248" s="6">
        <f t="array" aca="1" ref="S248" ca="1">SUM(OFFSET($HQ$43,0,($M248*3)+$N248,53,1)*S$43:S$95)</f>
        <v>0</v>
      </c>
      <c r="T248" s="6">
        <f t="array" aca="1" ref="T248" ca="1">SUM(OFFSET($HQ$43,0,($M248*3)+$N248,53,1)*T$43:T$95)</f>
        <v>0</v>
      </c>
      <c r="U248" s="6">
        <f t="array" aca="1" ref="U248" ca="1">SUM(OFFSET($HQ$43,0,($M248*3)+$N248,53,1)*U$43:U$95)</f>
        <v>0</v>
      </c>
      <c r="V248" s="6">
        <f t="array" aca="1" ref="V248" ca="1">SUM(OFFSET($HQ$43,0,($M248*3)+$N248,53,1)*V$43:V$95)</f>
        <v>0</v>
      </c>
      <c r="W248" s="6">
        <f t="array" aca="1" ref="W248" ca="1">SUM(OFFSET($HQ$43,0,($M248*3)+$N248,53,1)*W$43:W$95)</f>
        <v>0</v>
      </c>
      <c r="X248" s="6">
        <f t="array" aca="1" ref="X248" ca="1">SUM(OFFSET($HQ$43,0,($M248*3)+$N248,53,1)*X$43:X$95)</f>
        <v>0</v>
      </c>
      <c r="Y248" s="6">
        <f t="array" aca="1" ref="Y248" ca="1">SUM(OFFSET($HQ$43,0,($M248*3)+$N248,53,1)*Y$43:Y$95)</f>
        <v>0</v>
      </c>
      <c r="Z248" s="6">
        <f t="array" aca="1" ref="Z248" ca="1">SUM(OFFSET($HQ$43,0,($M248*3)+$N248,53,1)*Z$43:Z$95)</f>
        <v>0</v>
      </c>
      <c r="AA248" s="6">
        <f t="shared" ca="1" si="129"/>
        <v>0</v>
      </c>
      <c r="AB248" s="6">
        <f t="shared" ca="1" si="111"/>
        <v>0</v>
      </c>
      <c r="AC248" s="6"/>
      <c r="AD248" s="8">
        <v>3</v>
      </c>
      <c r="AE248" t="str">
        <f t="shared" si="128"/>
        <v>New</v>
      </c>
      <c r="AF248" s="8">
        <f ca="1">SUMIFS(O$327:O$329,$L$327:$L$329,$AE238)+IF(OR(AND('Aggregate summary'!$L$3="Yes",'Aggregate summary'!$E$3="POD"),AND('Aggregate summary'!$U$3="Process",'Aggregate summary'!$T$76="Clearance + downstream effects")),SUMIFS(O$388:O$390,$L$388:$L$390,$AE238),0)</f>
        <v>0</v>
      </c>
      <c r="AG248" s="8">
        <f ca="1">SUMIFS(P$327:P$329,$L$327:$L$329,$AE238)+IF(OR(AND('Aggregate summary'!$L$3="Yes",'Aggregate summary'!$E$3="POD"),AND('Aggregate summary'!$U$3="Process",'Aggregate summary'!$T$76="Clearance + downstream effects")),SUMIFS(P$388:P$390,$L$388:$L$390,$AE238),0)</f>
        <v>0</v>
      </c>
      <c r="AH248" s="8">
        <f ca="1">SUMIFS(Q$327:Q$329,$L$327:$L$329,$AE238)+IF(OR(AND('Aggregate summary'!$L$3="Yes",'Aggregate summary'!$E$3="POD"),AND('Aggregate summary'!$U$3="Process",'Aggregate summary'!$T$76="Clearance + downstream effects")),SUMIFS(Q$388:Q$390,$L$388:$L$390,$AE238),0)</f>
        <v>0</v>
      </c>
      <c r="AI248" s="8">
        <f ca="1">SUMIFS(R$327:R$329,$L$327:$L$329,$AE238)+IF(OR(AND('Aggregate summary'!$L$3="Yes",'Aggregate summary'!$E$3="POD"),AND('Aggregate summary'!$U$3="Process",'Aggregate summary'!$T$76="Clearance + downstream effects")),SUMIFS(R$388:R$390,$L$388:$L$390,$AE238),0)</f>
        <v>0</v>
      </c>
      <c r="AJ248" s="8">
        <f ca="1">SUMIFS(S$327:S$329,$L$327:$L$329,$AE238)+IF(OR(AND('Aggregate summary'!$L$3="Yes",'Aggregate summary'!$E$3="POD"),AND('Aggregate summary'!$U$3="Process",'Aggregate summary'!$T$76="Clearance + downstream effects")),SUMIFS(S$388:S$390,$L$388:$L$390,$AE238),0)</f>
        <v>0</v>
      </c>
      <c r="AK248" s="8">
        <f ca="1">SUMIFS(T$327:T$329,$L$327:$L$329,$AE238)+IF(OR(AND('Aggregate summary'!$L$3="Yes",'Aggregate summary'!$E$3="POD"),AND('Aggregate summary'!$U$3="Process",'Aggregate summary'!$T$76="Clearance + downstream effects")),SUMIFS(T$388:T$390,$L$388:$L$390,$AE238),0)</f>
        <v>0</v>
      </c>
      <c r="AL248" s="8">
        <f ca="1">SUMIFS(U$327:U$329,$L$327:$L$329,$AE238)+IF(OR(AND('Aggregate summary'!$L$3="Yes",'Aggregate summary'!$E$3="POD"),AND('Aggregate summary'!$U$3="Process",'Aggregate summary'!$T$76="Clearance + downstream effects")),SUMIFS(U$388:U$390,$L$388:$L$390,$AE238),0)</f>
        <v>0</v>
      </c>
      <c r="AM248" s="8">
        <f ca="1">SUMIFS(V$327:V$329,$L$327:$L$329,$AE238)+IF(OR(AND('Aggregate summary'!$L$3="Yes",'Aggregate summary'!$E$3="POD"),AND('Aggregate summary'!$U$3="Process",'Aggregate summary'!$T$76="Clearance + downstream effects")),SUMIFS(V$388:V$390,$L$388:$L$390,$AE238),0)</f>
        <v>0</v>
      </c>
      <c r="AN248" s="8">
        <f ca="1">SUMIFS(W$327:W$329,$L$327:$L$329,$AE238)+IF(OR(AND('Aggregate summary'!$L$3="Yes",'Aggregate summary'!$E$3="POD"),AND('Aggregate summary'!$U$3="Process",'Aggregate summary'!$T$76="Clearance + downstream effects")),SUMIFS(W$388:W$390,$L$388:$L$390,$AE238),0)</f>
        <v>0</v>
      </c>
      <c r="AO248" s="8">
        <f ca="1">SUMIFS(X$327:X$329,$L$327:$L$329,$AE238)+IF(OR(AND('Aggregate summary'!$L$3="Yes",'Aggregate summary'!$E$3="POD"),AND('Aggregate summary'!$U$3="Process",'Aggregate summary'!$T$76="Clearance + downstream effects")),SUMIFS(X$388:X$390,$L$388:$L$390,$AE238),0)</f>
        <v>0</v>
      </c>
      <c r="AP248" s="8">
        <f ca="1">SUMIFS(Y$327:Y$329,$L$327:$L$329,$AE238)+IF(OR(AND('Aggregate summary'!$L$3="Yes",'Aggregate summary'!$E$3="POD"),AND('Aggregate summary'!$U$3="Process",'Aggregate summary'!$T$76="Clearance + downstream effects")),SUMIFS(Y$388:Y$390,$L$388:$L$390,$AE238),0)</f>
        <v>0</v>
      </c>
      <c r="AQ248" s="8">
        <f ca="1">SUMIFS(Z$327:Z$329,$L$327:$L$329,$AE238)+IF(OR(AND('Aggregate summary'!$L$3="Yes",'Aggregate summary'!$E$3="POD"),AND('Aggregate summary'!$U$3="Process",'Aggregate summary'!$T$76="Clearance + downstream effects")),SUMIFS(Z$388:Z$390,$L$388:$L$390,$AE238),0)</f>
        <v>0</v>
      </c>
    </row>
    <row r="249" spans="1:43" x14ac:dyDescent="0.25">
      <c r="A249">
        <f>1</f>
        <v>1</v>
      </c>
      <c r="B249" s="85">
        <f t="shared" si="127"/>
        <v>44037</v>
      </c>
      <c r="C249" s="85">
        <f t="shared" si="123"/>
        <v>44032</v>
      </c>
      <c r="D249">
        <f t="shared" ca="1" si="124"/>
        <v>0</v>
      </c>
      <c r="E249" s="85">
        <f t="shared" si="125"/>
        <v>44013</v>
      </c>
      <c r="F249">
        <f t="shared" si="126"/>
        <v>30</v>
      </c>
      <c r="M249">
        <v>1</v>
      </c>
      <c r="N249">
        <v>2</v>
      </c>
      <c r="O249" s="6">
        <f t="array" aca="1" ref="O249" ca="1">SUM(OFFSET($HQ$43,0,($M249*3)+$N249,53,1)*O$43:O$95)</f>
        <v>0</v>
      </c>
      <c r="P249" s="6">
        <f t="array" aca="1" ref="P249" ca="1">SUM(OFFSET($HQ$43,0,($M249*3)+$N249,53,1)*P$43:P$95)</f>
        <v>0</v>
      </c>
      <c r="Q249" s="6">
        <f t="array" aca="1" ref="Q249" ca="1">SUM(OFFSET($HQ$43,0,($M249*3)+$N249,53,1)*Q$43:Q$95)</f>
        <v>0</v>
      </c>
      <c r="R249" s="6">
        <f t="array" aca="1" ref="R249" ca="1">SUM(OFFSET($HQ$43,0,($M249*3)+$N249,53,1)*R$43:R$95)</f>
        <v>0</v>
      </c>
      <c r="S249" s="6">
        <f t="array" aca="1" ref="S249" ca="1">SUM(OFFSET($HQ$43,0,($M249*3)+$N249,53,1)*S$43:S$95)</f>
        <v>0</v>
      </c>
      <c r="T249" s="6">
        <f t="array" aca="1" ref="T249" ca="1">SUM(OFFSET($HQ$43,0,($M249*3)+$N249,53,1)*T$43:T$95)</f>
        <v>0</v>
      </c>
      <c r="U249" s="6">
        <f t="array" aca="1" ref="U249" ca="1">SUM(OFFSET($HQ$43,0,($M249*3)+$N249,53,1)*U$43:U$95)</f>
        <v>0</v>
      </c>
      <c r="V249" s="6">
        <f t="array" aca="1" ref="V249" ca="1">SUM(OFFSET($HQ$43,0,($M249*3)+$N249,53,1)*V$43:V$95)</f>
        <v>0</v>
      </c>
      <c r="W249" s="6">
        <f t="array" aca="1" ref="W249" ca="1">SUM(OFFSET($HQ$43,0,($M249*3)+$N249,53,1)*W$43:W$95)</f>
        <v>0</v>
      </c>
      <c r="X249" s="6">
        <f t="array" aca="1" ref="X249" ca="1">SUM(OFFSET($HQ$43,0,($M249*3)+$N249,53,1)*X$43:X$95)</f>
        <v>0</v>
      </c>
      <c r="Y249" s="6">
        <f t="array" aca="1" ref="Y249" ca="1">SUM(OFFSET($HQ$43,0,($M249*3)+$N249,53,1)*Y$43:Y$95)</f>
        <v>0</v>
      </c>
      <c r="Z249" s="6">
        <f t="array" aca="1" ref="Z249" ca="1">SUM(OFFSET($HQ$43,0,($M249*3)+$N249,53,1)*Z$43:Z$95)</f>
        <v>0</v>
      </c>
      <c r="AA249" s="6">
        <f t="shared" ca="1" si="129"/>
        <v>0</v>
      </c>
      <c r="AB249" s="6">
        <f t="shared" ca="1" si="111"/>
        <v>0</v>
      </c>
      <c r="AC249" s="6"/>
      <c r="AD249" s="8"/>
      <c r="AE249" t="str">
        <f t="shared" si="128"/>
        <v>Diagnostic (N)</v>
      </c>
      <c r="AF249" s="8">
        <f ca="1">SUMIFS(O$327:O$329,$L$327:$L$329,$AE239)+IF(OR(AND('Aggregate summary'!$L$3="Yes",'Aggregate summary'!$E$3="POD"),AND('Aggregate summary'!$U$3="Process",'Aggregate summary'!$T$76="Clearance + downstream effects")),SUMIFS(O$388:O$390,$L$388:$L$390,$AE239),0)</f>
        <v>0</v>
      </c>
      <c r="AG249" s="8">
        <f ca="1">SUMIFS(P$327:P$329,$L$327:$L$329,$AE239)+IF(OR(AND('Aggregate summary'!$L$3="Yes",'Aggregate summary'!$E$3="POD"),AND('Aggregate summary'!$U$3="Process",'Aggregate summary'!$T$76="Clearance + downstream effects")),SUMIFS(P$388:P$390,$L$388:$L$390,$AE239),0)</f>
        <v>0</v>
      </c>
      <c r="AH249" s="8">
        <f ca="1">SUMIFS(Q$327:Q$329,$L$327:$L$329,$AE239)+IF(OR(AND('Aggregate summary'!$L$3="Yes",'Aggregate summary'!$E$3="POD"),AND('Aggregate summary'!$U$3="Process",'Aggregate summary'!$T$76="Clearance + downstream effects")),SUMIFS(Q$388:Q$390,$L$388:$L$390,$AE239),0)</f>
        <v>0</v>
      </c>
      <c r="AI249" s="8">
        <f ca="1">SUMIFS(R$327:R$329,$L$327:$L$329,$AE239)+IF(OR(AND('Aggregate summary'!$L$3="Yes",'Aggregate summary'!$E$3="POD"),AND('Aggregate summary'!$U$3="Process",'Aggregate summary'!$T$76="Clearance + downstream effects")),SUMIFS(R$388:R$390,$L$388:$L$390,$AE239),0)</f>
        <v>0</v>
      </c>
      <c r="AJ249" s="8">
        <f ca="1">SUMIFS(S$327:S$329,$L$327:$L$329,$AE239)+IF(OR(AND('Aggregate summary'!$L$3="Yes",'Aggregate summary'!$E$3="POD"),AND('Aggregate summary'!$U$3="Process",'Aggregate summary'!$T$76="Clearance + downstream effects")),SUMIFS(S$388:S$390,$L$388:$L$390,$AE239),0)</f>
        <v>0</v>
      </c>
      <c r="AK249" s="8">
        <f ca="1">SUMIFS(T$327:T$329,$L$327:$L$329,$AE239)+IF(OR(AND('Aggregate summary'!$L$3="Yes",'Aggregate summary'!$E$3="POD"),AND('Aggregate summary'!$U$3="Process",'Aggregate summary'!$T$76="Clearance + downstream effects")),SUMIFS(T$388:T$390,$L$388:$L$390,$AE239),0)</f>
        <v>0</v>
      </c>
      <c r="AL249" s="8">
        <f ca="1">SUMIFS(U$327:U$329,$L$327:$L$329,$AE239)+IF(OR(AND('Aggregate summary'!$L$3="Yes",'Aggregate summary'!$E$3="POD"),AND('Aggregate summary'!$U$3="Process",'Aggregate summary'!$T$76="Clearance + downstream effects")),SUMIFS(U$388:U$390,$L$388:$L$390,$AE239),0)</f>
        <v>0</v>
      </c>
      <c r="AM249" s="8">
        <f ca="1">SUMIFS(V$327:V$329,$L$327:$L$329,$AE239)+IF(OR(AND('Aggregate summary'!$L$3="Yes",'Aggregate summary'!$E$3="POD"),AND('Aggregate summary'!$U$3="Process",'Aggregate summary'!$T$76="Clearance + downstream effects")),SUMIFS(V$388:V$390,$L$388:$L$390,$AE239),0)</f>
        <v>0</v>
      </c>
      <c r="AN249" s="8">
        <f ca="1">SUMIFS(W$327:W$329,$L$327:$L$329,$AE239)+IF(OR(AND('Aggregate summary'!$L$3="Yes",'Aggregate summary'!$E$3="POD"),AND('Aggregate summary'!$U$3="Process",'Aggregate summary'!$T$76="Clearance + downstream effects")),SUMIFS(W$388:W$390,$L$388:$L$390,$AE239),0)</f>
        <v>0</v>
      </c>
      <c r="AO249" s="8">
        <f ca="1">SUMIFS(X$327:X$329,$L$327:$L$329,$AE239)+IF(OR(AND('Aggregate summary'!$L$3="Yes",'Aggregate summary'!$E$3="POD"),AND('Aggregate summary'!$U$3="Process",'Aggregate summary'!$T$76="Clearance + downstream effects")),SUMIFS(X$388:X$390,$L$388:$L$390,$AE239),0)</f>
        <v>0</v>
      </c>
      <c r="AP249" s="8">
        <f ca="1">SUMIFS(Y$327:Y$329,$L$327:$L$329,$AE239)+IF(OR(AND('Aggregate summary'!$L$3="Yes",'Aggregate summary'!$E$3="POD"),AND('Aggregate summary'!$U$3="Process",'Aggregate summary'!$T$76="Clearance + downstream effects")),SUMIFS(Y$388:Y$390,$L$388:$L$390,$AE239),0)</f>
        <v>0</v>
      </c>
      <c r="AQ249" s="8">
        <f ca="1">SUMIFS(Z$327:Z$329,$L$327:$L$329,$AE239)+IF(OR(AND('Aggregate summary'!$L$3="Yes",'Aggregate summary'!$E$3="POD"),AND('Aggregate summary'!$U$3="Process",'Aggregate summary'!$T$76="Clearance + downstream effects")),SUMIFS(Z$388:Z$390,$L$388:$L$390,$AE239),0)</f>
        <v>0</v>
      </c>
    </row>
    <row r="250" spans="1:43" x14ac:dyDescent="0.25">
      <c r="A250">
        <f>1</f>
        <v>1</v>
      </c>
      <c r="B250" s="85">
        <f t="shared" si="127"/>
        <v>44038</v>
      </c>
      <c r="C250" s="85">
        <f t="shared" si="123"/>
        <v>44032</v>
      </c>
      <c r="D250">
        <f t="shared" ca="1" si="124"/>
        <v>0</v>
      </c>
      <c r="E250" s="85">
        <f t="shared" si="125"/>
        <v>44013</v>
      </c>
      <c r="F250">
        <f t="shared" si="126"/>
        <v>30</v>
      </c>
      <c r="M250">
        <v>1</v>
      </c>
      <c r="N250">
        <v>3</v>
      </c>
      <c r="O250" s="6">
        <f t="array" aca="1" ref="O250" ca="1">SUM(OFFSET($HQ$43,0,($M250*3)+$N250,53,1)*O$43:O$95)</f>
        <v>0</v>
      </c>
      <c r="P250" s="6">
        <f t="array" aca="1" ref="P250" ca="1">SUM(OFFSET($HQ$43,0,($M250*3)+$N250,53,1)*P$43:P$95)</f>
        <v>0</v>
      </c>
      <c r="Q250" s="6">
        <f t="array" aca="1" ref="Q250" ca="1">SUM(OFFSET($HQ$43,0,($M250*3)+$N250,53,1)*Q$43:Q$95)</f>
        <v>0</v>
      </c>
      <c r="R250" s="6">
        <f t="array" aca="1" ref="R250" ca="1">SUM(OFFSET($HQ$43,0,($M250*3)+$N250,53,1)*R$43:R$95)</f>
        <v>0</v>
      </c>
      <c r="S250" s="6">
        <f t="array" aca="1" ref="S250" ca="1">SUM(OFFSET($HQ$43,0,($M250*3)+$N250,53,1)*S$43:S$95)</f>
        <v>0</v>
      </c>
      <c r="T250" s="6">
        <f t="array" aca="1" ref="T250" ca="1">SUM(OFFSET($HQ$43,0,($M250*3)+$N250,53,1)*T$43:T$95)</f>
        <v>0</v>
      </c>
      <c r="U250" s="6">
        <f t="array" aca="1" ref="U250" ca="1">SUM(OFFSET($HQ$43,0,($M250*3)+$N250,53,1)*U$43:U$95)</f>
        <v>0</v>
      </c>
      <c r="V250" s="6">
        <f t="array" aca="1" ref="V250" ca="1">SUM(OFFSET($HQ$43,0,($M250*3)+$N250,53,1)*V$43:V$95)</f>
        <v>0</v>
      </c>
      <c r="W250" s="6">
        <f t="array" aca="1" ref="W250" ca="1">SUM(OFFSET($HQ$43,0,($M250*3)+$N250,53,1)*W$43:W$95)</f>
        <v>0</v>
      </c>
      <c r="X250" s="6">
        <f t="array" aca="1" ref="X250" ca="1">SUM(OFFSET($HQ$43,0,($M250*3)+$N250,53,1)*X$43:X$95)</f>
        <v>0</v>
      </c>
      <c r="Y250" s="6">
        <f t="array" aca="1" ref="Y250" ca="1">SUM(OFFSET($HQ$43,0,($M250*3)+$N250,53,1)*Y$43:Y$95)</f>
        <v>0</v>
      </c>
      <c r="Z250" s="6">
        <f t="array" aca="1" ref="Z250" ca="1">SUM(OFFSET($HQ$43,0,($M250*3)+$N250,53,1)*Z$43:Z$95)</f>
        <v>0</v>
      </c>
      <c r="AA250" s="6">
        <f t="shared" ca="1" si="129"/>
        <v>0</v>
      </c>
      <c r="AB250" s="6">
        <f t="shared" ca="1" si="111"/>
        <v>0</v>
      </c>
      <c r="AC250" s="6"/>
      <c r="AD250" s="8"/>
      <c r="AE250" t="str">
        <f t="shared" si="128"/>
        <v>Follow Up</v>
      </c>
      <c r="AF250" s="8">
        <f ca="1">SUMIFS(O$327:O$329,$L$327:$L$329,$AE240)+IF(OR(AND('Aggregate summary'!$L$3="Yes",'Aggregate summary'!$E$3="POD"),AND('Aggregate summary'!$U$3="Process",'Aggregate summary'!$T$76="Clearance + downstream effects")),SUMIFS(O$388:O$390,$L$388:$L$390,$AE240),0)</f>
        <v>0</v>
      </c>
      <c r="AG250" s="8">
        <f ca="1">SUMIFS(P$327:P$329,$L$327:$L$329,$AE240)+IF(OR(AND('Aggregate summary'!$L$3="Yes",'Aggregate summary'!$E$3="POD"),AND('Aggregate summary'!$U$3="Process",'Aggregate summary'!$T$76="Clearance + downstream effects")),SUMIFS(P$388:P$390,$L$388:$L$390,$AE240),0)</f>
        <v>0</v>
      </c>
      <c r="AH250" s="8">
        <f ca="1">SUMIFS(Q$327:Q$329,$L$327:$L$329,$AE240)+IF(OR(AND('Aggregate summary'!$L$3="Yes",'Aggregate summary'!$E$3="POD"),AND('Aggregate summary'!$U$3="Process",'Aggregate summary'!$T$76="Clearance + downstream effects")),SUMIFS(Q$388:Q$390,$L$388:$L$390,$AE240),0)</f>
        <v>0</v>
      </c>
      <c r="AI250" s="8">
        <f ca="1">SUMIFS(R$327:R$329,$L$327:$L$329,$AE240)+IF(OR(AND('Aggregate summary'!$L$3="Yes",'Aggregate summary'!$E$3="POD"),AND('Aggregate summary'!$U$3="Process",'Aggregate summary'!$T$76="Clearance + downstream effects")),SUMIFS(R$388:R$390,$L$388:$L$390,$AE240),0)</f>
        <v>0</v>
      </c>
      <c r="AJ250" s="8">
        <f ca="1">SUMIFS(S$327:S$329,$L$327:$L$329,$AE240)+IF(OR(AND('Aggregate summary'!$L$3="Yes",'Aggregate summary'!$E$3="POD"),AND('Aggregate summary'!$U$3="Process",'Aggregate summary'!$T$76="Clearance + downstream effects")),SUMIFS(S$388:S$390,$L$388:$L$390,$AE240),0)</f>
        <v>0</v>
      </c>
      <c r="AK250" s="8">
        <f ca="1">SUMIFS(T$327:T$329,$L$327:$L$329,$AE240)+IF(OR(AND('Aggregate summary'!$L$3="Yes",'Aggregate summary'!$E$3="POD"),AND('Aggregate summary'!$U$3="Process",'Aggregate summary'!$T$76="Clearance + downstream effects")),SUMIFS(T$388:T$390,$L$388:$L$390,$AE240),0)</f>
        <v>0</v>
      </c>
      <c r="AL250" s="8">
        <f ca="1">SUMIFS(U$327:U$329,$L$327:$L$329,$AE240)+IF(OR(AND('Aggregate summary'!$L$3="Yes",'Aggregate summary'!$E$3="POD"),AND('Aggregate summary'!$U$3="Process",'Aggregate summary'!$T$76="Clearance + downstream effects")),SUMIFS(U$388:U$390,$L$388:$L$390,$AE240),0)</f>
        <v>0</v>
      </c>
      <c r="AM250" s="8">
        <f ca="1">SUMIFS(V$327:V$329,$L$327:$L$329,$AE240)+IF(OR(AND('Aggregate summary'!$L$3="Yes",'Aggregate summary'!$E$3="POD"),AND('Aggregate summary'!$U$3="Process",'Aggregate summary'!$T$76="Clearance + downstream effects")),SUMIFS(V$388:V$390,$L$388:$L$390,$AE240),0)</f>
        <v>0</v>
      </c>
      <c r="AN250" s="8">
        <f ca="1">SUMIFS(W$327:W$329,$L$327:$L$329,$AE240)+IF(OR(AND('Aggregate summary'!$L$3="Yes",'Aggregate summary'!$E$3="POD"),AND('Aggregate summary'!$U$3="Process",'Aggregate summary'!$T$76="Clearance + downstream effects")),SUMIFS(W$388:W$390,$L$388:$L$390,$AE240),0)</f>
        <v>0</v>
      </c>
      <c r="AO250" s="8">
        <f ca="1">SUMIFS(X$327:X$329,$L$327:$L$329,$AE240)+IF(OR(AND('Aggregate summary'!$L$3="Yes",'Aggregate summary'!$E$3="POD"),AND('Aggregate summary'!$U$3="Process",'Aggregate summary'!$T$76="Clearance + downstream effects")),SUMIFS(X$388:X$390,$L$388:$L$390,$AE240),0)</f>
        <v>0</v>
      </c>
      <c r="AP250" s="8">
        <f ca="1">SUMIFS(Y$327:Y$329,$L$327:$L$329,$AE240)+IF(OR(AND('Aggregate summary'!$L$3="Yes",'Aggregate summary'!$E$3="POD"),AND('Aggregate summary'!$U$3="Process",'Aggregate summary'!$T$76="Clearance + downstream effects")),SUMIFS(Y$388:Y$390,$L$388:$L$390,$AE240),0)</f>
        <v>0</v>
      </c>
      <c r="AQ250" s="8">
        <f ca="1">SUMIFS(Z$327:Z$329,$L$327:$L$329,$AE240)+IF(OR(AND('Aggregate summary'!$L$3="Yes",'Aggregate summary'!$E$3="POD"),AND('Aggregate summary'!$U$3="Process",'Aggregate summary'!$T$76="Clearance + downstream effects")),SUMIFS(Z$388:Z$390,$L$388:$L$390,$AE240),0)</f>
        <v>0</v>
      </c>
    </row>
    <row r="251" spans="1:43" x14ac:dyDescent="0.25">
      <c r="A251">
        <f>1</f>
        <v>1</v>
      </c>
      <c r="B251" s="85">
        <f t="shared" si="127"/>
        <v>44039</v>
      </c>
      <c r="C251" s="85">
        <f t="shared" si="123"/>
        <v>44039</v>
      </c>
      <c r="D251">
        <f t="shared" ca="1" si="124"/>
        <v>1</v>
      </c>
      <c r="E251" s="85">
        <f t="shared" si="125"/>
        <v>44013</v>
      </c>
      <c r="F251">
        <f t="shared" si="126"/>
        <v>31</v>
      </c>
      <c r="M251">
        <v>2</v>
      </c>
      <c r="N251">
        <v>1</v>
      </c>
      <c r="O251" s="6">
        <f t="array" aca="1" ref="O251" ca="1">SUM(OFFSET($HQ$43,0,($M251*3)+$N251,53,1)*O$43:O$95)</f>
        <v>0</v>
      </c>
      <c r="P251" s="6">
        <f t="array" aca="1" ref="P251" ca="1">SUM(OFFSET($HQ$43,0,($M251*3)+$N251,53,1)*P$43:P$95)</f>
        <v>0</v>
      </c>
      <c r="Q251" s="6">
        <f t="array" aca="1" ref="Q251" ca="1">SUM(OFFSET($HQ$43,0,($M251*3)+$N251,53,1)*Q$43:Q$95)</f>
        <v>0</v>
      </c>
      <c r="R251" s="6">
        <f t="array" aca="1" ref="R251" ca="1">SUM(OFFSET($HQ$43,0,($M251*3)+$N251,53,1)*R$43:R$95)</f>
        <v>0</v>
      </c>
      <c r="S251" s="6">
        <f t="array" aca="1" ref="S251" ca="1">SUM(OFFSET($HQ$43,0,($M251*3)+$N251,53,1)*S$43:S$95)</f>
        <v>0</v>
      </c>
      <c r="T251" s="6">
        <f t="array" aca="1" ref="T251" ca="1">SUM(OFFSET($HQ$43,0,($M251*3)+$N251,53,1)*T$43:T$95)</f>
        <v>0</v>
      </c>
      <c r="U251" s="6">
        <f t="array" aca="1" ref="U251" ca="1">SUM(OFFSET($HQ$43,0,($M251*3)+$N251,53,1)*U$43:U$95)</f>
        <v>0</v>
      </c>
      <c r="V251" s="6">
        <f t="array" aca="1" ref="V251" ca="1">SUM(OFFSET($HQ$43,0,($M251*3)+$N251,53,1)*V$43:V$95)</f>
        <v>0</v>
      </c>
      <c r="W251" s="6">
        <f t="array" aca="1" ref="W251" ca="1">SUM(OFFSET($HQ$43,0,($M251*3)+$N251,53,1)*W$43:W$95)</f>
        <v>0</v>
      </c>
      <c r="X251" s="6">
        <f t="array" aca="1" ref="X251" ca="1">SUM(OFFSET($HQ$43,0,($M251*3)+$N251,53,1)*X$43:X$95)</f>
        <v>0</v>
      </c>
      <c r="Y251" s="6">
        <f t="array" aca="1" ref="Y251" ca="1">SUM(OFFSET($HQ$43,0,($M251*3)+$N251,53,1)*Y$43:Y$95)</f>
        <v>0</v>
      </c>
      <c r="Z251" s="6">
        <f t="array" aca="1" ref="Z251" ca="1">SUM(OFFSET($HQ$43,0,($M251*3)+$N251,53,1)*Z$43:Z$95)</f>
        <v>0</v>
      </c>
      <c r="AA251" s="6">
        <f t="shared" ca="1" si="129"/>
        <v>0</v>
      </c>
      <c r="AB251" s="6">
        <f t="shared" ca="1" si="111"/>
        <v>0</v>
      </c>
      <c r="AC251" s="6"/>
      <c r="AD251" s="8"/>
      <c r="AE251" t="str">
        <f t="shared" si="128"/>
        <v>Diagnostic (FU)</v>
      </c>
      <c r="AF251" s="8">
        <f ca="1">SUMIFS(O$327:O$329,$L$327:$L$329,$AE241)+IF(OR(AND('Aggregate summary'!$L$3="Yes",'Aggregate summary'!$E$3="POD"),AND('Aggregate summary'!$U$3="Process",'Aggregate summary'!$T$76="Clearance + downstream effects")),SUMIFS(O$388:O$390,$L$388:$L$390,$AE241),0)</f>
        <v>0</v>
      </c>
      <c r="AG251" s="8">
        <f ca="1">SUMIFS(P$327:P$329,$L$327:$L$329,$AE241)+IF(OR(AND('Aggregate summary'!$L$3="Yes",'Aggregate summary'!$E$3="POD"),AND('Aggregate summary'!$U$3="Process",'Aggregate summary'!$T$76="Clearance + downstream effects")),SUMIFS(P$388:P$390,$L$388:$L$390,$AE241),0)</f>
        <v>0</v>
      </c>
      <c r="AH251" s="8">
        <f ca="1">SUMIFS(Q$327:Q$329,$L$327:$L$329,$AE241)+IF(OR(AND('Aggregate summary'!$L$3="Yes",'Aggregate summary'!$E$3="POD"),AND('Aggregate summary'!$U$3="Process",'Aggregate summary'!$T$76="Clearance + downstream effects")),SUMIFS(Q$388:Q$390,$L$388:$L$390,$AE241),0)</f>
        <v>0</v>
      </c>
      <c r="AI251" s="8">
        <f ca="1">SUMIFS(R$327:R$329,$L$327:$L$329,$AE241)+IF(OR(AND('Aggregate summary'!$L$3="Yes",'Aggregate summary'!$E$3="POD"),AND('Aggregate summary'!$U$3="Process",'Aggregate summary'!$T$76="Clearance + downstream effects")),SUMIFS(R$388:R$390,$L$388:$L$390,$AE241),0)</f>
        <v>0</v>
      </c>
      <c r="AJ251" s="8">
        <f ca="1">SUMIFS(S$327:S$329,$L$327:$L$329,$AE241)+IF(OR(AND('Aggregate summary'!$L$3="Yes",'Aggregate summary'!$E$3="POD"),AND('Aggregate summary'!$U$3="Process",'Aggregate summary'!$T$76="Clearance + downstream effects")),SUMIFS(S$388:S$390,$L$388:$L$390,$AE241),0)</f>
        <v>0</v>
      </c>
      <c r="AK251" s="8">
        <f ca="1">SUMIFS(T$327:T$329,$L$327:$L$329,$AE241)+IF(OR(AND('Aggregate summary'!$L$3="Yes",'Aggregate summary'!$E$3="POD"),AND('Aggregate summary'!$U$3="Process",'Aggregate summary'!$T$76="Clearance + downstream effects")),SUMIFS(T$388:T$390,$L$388:$L$390,$AE241),0)</f>
        <v>0</v>
      </c>
      <c r="AL251" s="8">
        <f ca="1">SUMIFS(U$327:U$329,$L$327:$L$329,$AE241)+IF(OR(AND('Aggregate summary'!$L$3="Yes",'Aggregate summary'!$E$3="POD"),AND('Aggregate summary'!$U$3="Process",'Aggregate summary'!$T$76="Clearance + downstream effects")),SUMIFS(U$388:U$390,$L$388:$L$390,$AE241),0)</f>
        <v>0</v>
      </c>
      <c r="AM251" s="8">
        <f ca="1">SUMIFS(V$327:V$329,$L$327:$L$329,$AE241)+IF(OR(AND('Aggregate summary'!$L$3="Yes",'Aggregate summary'!$E$3="POD"),AND('Aggregate summary'!$U$3="Process",'Aggregate summary'!$T$76="Clearance + downstream effects")),SUMIFS(V$388:V$390,$L$388:$L$390,$AE241),0)</f>
        <v>0</v>
      </c>
      <c r="AN251" s="8">
        <f ca="1">SUMIFS(W$327:W$329,$L$327:$L$329,$AE241)+IF(OR(AND('Aggregate summary'!$L$3="Yes",'Aggregate summary'!$E$3="POD"),AND('Aggregate summary'!$U$3="Process",'Aggregate summary'!$T$76="Clearance + downstream effects")),SUMIFS(W$388:W$390,$L$388:$L$390,$AE241),0)</f>
        <v>0</v>
      </c>
      <c r="AO251" s="8">
        <f ca="1">SUMIFS(X$327:X$329,$L$327:$L$329,$AE241)+IF(OR(AND('Aggregate summary'!$L$3="Yes",'Aggregate summary'!$E$3="POD"),AND('Aggregate summary'!$U$3="Process",'Aggregate summary'!$T$76="Clearance + downstream effects")),SUMIFS(X$388:X$390,$L$388:$L$390,$AE241),0)</f>
        <v>0</v>
      </c>
      <c r="AP251" s="8">
        <f ca="1">SUMIFS(Y$327:Y$329,$L$327:$L$329,$AE241)+IF(OR(AND('Aggregate summary'!$L$3="Yes",'Aggregate summary'!$E$3="POD"),AND('Aggregate summary'!$U$3="Process",'Aggregate summary'!$T$76="Clearance + downstream effects")),SUMIFS(Y$388:Y$390,$L$388:$L$390,$AE241),0)</f>
        <v>0</v>
      </c>
      <c r="AQ251" s="8">
        <f ca="1">SUMIFS(Z$327:Z$329,$L$327:$L$329,$AE241)+IF(OR(AND('Aggregate summary'!$L$3="Yes",'Aggregate summary'!$E$3="POD"),AND('Aggregate summary'!$U$3="Process",'Aggregate summary'!$T$76="Clearance + downstream effects")),SUMIFS(Z$388:Z$390,$L$388:$L$390,$AE241),0)</f>
        <v>0</v>
      </c>
    </row>
    <row r="252" spans="1:43" x14ac:dyDescent="0.25">
      <c r="A252">
        <f>1</f>
        <v>1</v>
      </c>
      <c r="B252" s="85">
        <f t="shared" si="127"/>
        <v>44040</v>
      </c>
      <c r="C252" s="85">
        <f t="shared" si="123"/>
        <v>44039</v>
      </c>
      <c r="D252">
        <f t="shared" ca="1" si="124"/>
        <v>1</v>
      </c>
      <c r="E252" s="85">
        <f t="shared" si="125"/>
        <v>44013</v>
      </c>
      <c r="F252">
        <f t="shared" si="126"/>
        <v>31</v>
      </c>
      <c r="M252">
        <v>2</v>
      </c>
      <c r="N252">
        <v>2</v>
      </c>
      <c r="O252" s="6">
        <f t="array" aca="1" ref="O252" ca="1">SUM(OFFSET($HQ$43,0,($M252*3)+$N252,53,1)*O$43:O$95)</f>
        <v>0</v>
      </c>
      <c r="P252" s="6">
        <f t="array" aca="1" ref="P252" ca="1">SUM(OFFSET($HQ$43,0,($M252*3)+$N252,53,1)*P$43:P$95)</f>
        <v>0</v>
      </c>
      <c r="Q252" s="6">
        <f t="array" aca="1" ref="Q252" ca="1">SUM(OFFSET($HQ$43,0,($M252*3)+$N252,53,1)*Q$43:Q$95)</f>
        <v>0</v>
      </c>
      <c r="R252" s="6">
        <f t="array" aca="1" ref="R252" ca="1">SUM(OFFSET($HQ$43,0,($M252*3)+$N252,53,1)*R$43:R$95)</f>
        <v>0</v>
      </c>
      <c r="S252" s="6">
        <f t="array" aca="1" ref="S252" ca="1">SUM(OFFSET($HQ$43,0,($M252*3)+$N252,53,1)*S$43:S$95)</f>
        <v>0</v>
      </c>
      <c r="T252" s="6">
        <f t="array" aca="1" ref="T252" ca="1">SUM(OFFSET($HQ$43,0,($M252*3)+$N252,53,1)*T$43:T$95)</f>
        <v>0</v>
      </c>
      <c r="U252" s="6">
        <f t="array" aca="1" ref="U252" ca="1">SUM(OFFSET($HQ$43,0,($M252*3)+$N252,53,1)*U$43:U$95)</f>
        <v>0</v>
      </c>
      <c r="V252" s="6">
        <f t="array" aca="1" ref="V252" ca="1">SUM(OFFSET($HQ$43,0,($M252*3)+$N252,53,1)*V$43:V$95)</f>
        <v>0</v>
      </c>
      <c r="W252" s="6">
        <f t="array" aca="1" ref="W252" ca="1">SUM(OFFSET($HQ$43,0,($M252*3)+$N252,53,1)*W$43:W$95)</f>
        <v>0</v>
      </c>
      <c r="X252" s="6">
        <f t="array" aca="1" ref="X252" ca="1">SUM(OFFSET($HQ$43,0,($M252*3)+$N252,53,1)*X$43:X$95)</f>
        <v>0</v>
      </c>
      <c r="Y252" s="6">
        <f t="array" aca="1" ref="Y252" ca="1">SUM(OFFSET($HQ$43,0,($M252*3)+$N252,53,1)*Y$43:Y$95)</f>
        <v>0</v>
      </c>
      <c r="Z252" s="6">
        <f t="array" aca="1" ref="Z252" ca="1">SUM(OFFSET($HQ$43,0,($M252*3)+$N252,53,1)*Z$43:Z$95)</f>
        <v>0</v>
      </c>
      <c r="AA252" s="6">
        <f t="shared" ca="1" si="129"/>
        <v>0</v>
      </c>
      <c r="AB252" s="6">
        <f t="shared" ref="AB252:AB304" ca="1" si="130">AVERAGE(O252:Z252)</f>
        <v>0</v>
      </c>
      <c r="AC252" s="6"/>
      <c r="AD252" s="8"/>
      <c r="AE252" t="str">
        <f t="shared" si="128"/>
        <v>Admission</v>
      </c>
      <c r="AF252" s="8">
        <f ca="1">SUMIFS(O$327:O$329,$L$327:$L$329,$AE242)+IF(OR(AND('Aggregate summary'!$L$3="Yes",'Aggregate summary'!$E$3="POD"),AND('Aggregate summary'!$U$3="Process",'Aggregate summary'!$T$76="Clearance + downstream effects")),SUMIFS(O$388:O$390,$L$388:$L$390,$AE242),0)</f>
        <v>0</v>
      </c>
      <c r="AG252" s="8">
        <f ca="1">SUMIFS(P$327:P$329,$L$327:$L$329,$AE242)+IF(OR(AND('Aggregate summary'!$L$3="Yes",'Aggregate summary'!$E$3="POD"),AND('Aggregate summary'!$U$3="Process",'Aggregate summary'!$T$76="Clearance + downstream effects")),SUMIFS(P$388:P$390,$L$388:$L$390,$AE242),0)</f>
        <v>0</v>
      </c>
      <c r="AH252" s="8">
        <f ca="1">SUMIFS(Q$327:Q$329,$L$327:$L$329,$AE242)+IF(OR(AND('Aggregate summary'!$L$3="Yes",'Aggregate summary'!$E$3="POD"),AND('Aggregate summary'!$U$3="Process",'Aggregate summary'!$T$76="Clearance + downstream effects")),SUMIFS(Q$388:Q$390,$L$388:$L$390,$AE242),0)</f>
        <v>0</v>
      </c>
      <c r="AI252" s="8">
        <f ca="1">SUMIFS(R$327:R$329,$L$327:$L$329,$AE242)+IF(OR(AND('Aggregate summary'!$L$3="Yes",'Aggregate summary'!$E$3="POD"),AND('Aggregate summary'!$U$3="Process",'Aggregate summary'!$T$76="Clearance + downstream effects")),SUMIFS(R$388:R$390,$L$388:$L$390,$AE242),0)</f>
        <v>0</v>
      </c>
      <c r="AJ252" s="8">
        <f ca="1">SUMIFS(S$327:S$329,$L$327:$L$329,$AE242)+IF(OR(AND('Aggregate summary'!$L$3="Yes",'Aggregate summary'!$E$3="POD"),AND('Aggregate summary'!$U$3="Process",'Aggregate summary'!$T$76="Clearance + downstream effects")),SUMIFS(S$388:S$390,$L$388:$L$390,$AE242),0)</f>
        <v>0</v>
      </c>
      <c r="AK252" s="8">
        <f ca="1">SUMIFS(T$327:T$329,$L$327:$L$329,$AE242)+IF(OR(AND('Aggregate summary'!$L$3="Yes",'Aggregate summary'!$E$3="POD"),AND('Aggregate summary'!$U$3="Process",'Aggregate summary'!$T$76="Clearance + downstream effects")),SUMIFS(T$388:T$390,$L$388:$L$390,$AE242),0)</f>
        <v>0</v>
      </c>
      <c r="AL252" s="8">
        <f ca="1">SUMIFS(U$327:U$329,$L$327:$L$329,$AE242)+IF(OR(AND('Aggregate summary'!$L$3="Yes",'Aggregate summary'!$E$3="POD"),AND('Aggregate summary'!$U$3="Process",'Aggregate summary'!$T$76="Clearance + downstream effects")),SUMIFS(U$388:U$390,$L$388:$L$390,$AE242),0)</f>
        <v>0</v>
      </c>
      <c r="AM252" s="8">
        <f ca="1">SUMIFS(V$327:V$329,$L$327:$L$329,$AE242)+IF(OR(AND('Aggregate summary'!$L$3="Yes",'Aggregate summary'!$E$3="POD"),AND('Aggregate summary'!$U$3="Process",'Aggregate summary'!$T$76="Clearance + downstream effects")),SUMIFS(V$388:V$390,$L$388:$L$390,$AE242),0)</f>
        <v>0</v>
      </c>
      <c r="AN252" s="8">
        <f ca="1">SUMIFS(W$327:W$329,$L$327:$L$329,$AE242)+IF(OR(AND('Aggregate summary'!$L$3="Yes",'Aggregate summary'!$E$3="POD"),AND('Aggregate summary'!$U$3="Process",'Aggregate summary'!$T$76="Clearance + downstream effects")),SUMIFS(W$388:W$390,$L$388:$L$390,$AE242),0)</f>
        <v>0</v>
      </c>
      <c r="AO252" s="8">
        <f ca="1">SUMIFS(X$327:X$329,$L$327:$L$329,$AE242)+IF(OR(AND('Aggregate summary'!$L$3="Yes",'Aggregate summary'!$E$3="POD"),AND('Aggregate summary'!$U$3="Process",'Aggregate summary'!$T$76="Clearance + downstream effects")),SUMIFS(X$388:X$390,$L$388:$L$390,$AE242),0)</f>
        <v>0</v>
      </c>
      <c r="AP252" s="8">
        <f ca="1">SUMIFS(Y$327:Y$329,$L$327:$L$329,$AE242)+IF(OR(AND('Aggregate summary'!$L$3="Yes",'Aggregate summary'!$E$3="POD"),AND('Aggregate summary'!$U$3="Process",'Aggregate summary'!$T$76="Clearance + downstream effects")),SUMIFS(Y$388:Y$390,$L$388:$L$390,$AE242),0)</f>
        <v>0</v>
      </c>
      <c r="AQ252" s="8">
        <f ca="1">SUMIFS(Z$327:Z$329,$L$327:$L$329,$AE242)+IF(OR(AND('Aggregate summary'!$L$3="Yes",'Aggregate summary'!$E$3="POD"),AND('Aggregate summary'!$U$3="Process",'Aggregate summary'!$T$76="Clearance + downstream effects")),SUMIFS(Z$388:Z$390,$L$388:$L$390,$AE242),0)</f>
        <v>0</v>
      </c>
    </row>
    <row r="253" spans="1:43" x14ac:dyDescent="0.25">
      <c r="A253">
        <f>1</f>
        <v>1</v>
      </c>
      <c r="B253" s="85">
        <f t="shared" si="127"/>
        <v>44041</v>
      </c>
      <c r="C253" s="85">
        <f t="shared" si="123"/>
        <v>44039</v>
      </c>
      <c r="D253">
        <f t="shared" ca="1" si="124"/>
        <v>1</v>
      </c>
      <c r="E253" s="85">
        <f t="shared" si="125"/>
        <v>44013</v>
      </c>
      <c r="F253">
        <f t="shared" si="126"/>
        <v>31</v>
      </c>
      <c r="M253">
        <v>2</v>
      </c>
      <c r="N253">
        <v>3</v>
      </c>
      <c r="O253" s="6">
        <f t="array" aca="1" ref="O253" ca="1">SUM(OFFSET($HQ$43,0,($M253*3)+$N253,53,1)*O$43:O$95)</f>
        <v>0</v>
      </c>
      <c r="P253" s="6">
        <f t="array" aca="1" ref="P253" ca="1">SUM(OFFSET($HQ$43,0,($M253*3)+$N253,53,1)*P$43:P$95)</f>
        <v>0</v>
      </c>
      <c r="Q253" s="6">
        <f t="array" aca="1" ref="Q253" ca="1">SUM(OFFSET($HQ$43,0,($M253*3)+$N253,53,1)*Q$43:Q$95)</f>
        <v>0</v>
      </c>
      <c r="R253" s="6">
        <f t="array" aca="1" ref="R253" ca="1">SUM(OFFSET($HQ$43,0,($M253*3)+$N253,53,1)*R$43:R$95)</f>
        <v>0</v>
      </c>
      <c r="S253" s="6">
        <f t="array" aca="1" ref="S253" ca="1">SUM(OFFSET($HQ$43,0,($M253*3)+$N253,53,1)*S$43:S$95)</f>
        <v>0</v>
      </c>
      <c r="T253" s="6">
        <f t="array" aca="1" ref="T253" ca="1">SUM(OFFSET($HQ$43,0,($M253*3)+$N253,53,1)*T$43:T$95)</f>
        <v>0</v>
      </c>
      <c r="U253" s="6">
        <f t="array" aca="1" ref="U253" ca="1">SUM(OFFSET($HQ$43,0,($M253*3)+$N253,53,1)*U$43:U$95)</f>
        <v>0</v>
      </c>
      <c r="V253" s="6">
        <f t="array" aca="1" ref="V253" ca="1">SUM(OFFSET($HQ$43,0,($M253*3)+$N253,53,1)*V$43:V$95)</f>
        <v>0</v>
      </c>
      <c r="W253" s="6">
        <f t="array" aca="1" ref="W253" ca="1">SUM(OFFSET($HQ$43,0,($M253*3)+$N253,53,1)*W$43:W$95)</f>
        <v>0</v>
      </c>
      <c r="X253" s="6">
        <f t="array" aca="1" ref="X253" ca="1">SUM(OFFSET($HQ$43,0,($M253*3)+$N253,53,1)*X$43:X$95)</f>
        <v>0</v>
      </c>
      <c r="Y253" s="6">
        <f t="array" aca="1" ref="Y253" ca="1">SUM(OFFSET($HQ$43,0,($M253*3)+$N253,53,1)*Y$43:Y$95)</f>
        <v>0</v>
      </c>
      <c r="Z253" s="6">
        <f t="array" aca="1" ref="Z253" ca="1">SUM(OFFSET($HQ$43,0,($M253*3)+$N253,53,1)*Z$43:Z$95)</f>
        <v>0</v>
      </c>
      <c r="AA253" s="6">
        <f t="shared" ca="1" si="129"/>
        <v>0</v>
      </c>
      <c r="AB253" s="6">
        <f t="shared" ca="1" si="130"/>
        <v>0</v>
      </c>
      <c r="AC253" s="6"/>
      <c r="AD253" s="8">
        <v>4</v>
      </c>
      <c r="AE253" t="str">
        <f t="shared" si="128"/>
        <v>New</v>
      </c>
      <c r="AF253" s="8">
        <f ca="1">SUMIFS(O$330:O$332,$L$330:$L$332,$AE238)+IF(OR(AND('Aggregate summary'!$L$3="Yes",'Aggregate summary'!$E$3="POD"),AND('Aggregate summary'!$U$3="Process",'Aggregate summary'!$T$76="Clearance + downstream effects")),SUMIFS(O$391:O$393,$L$391:$L$393,$AE238),0)</f>
        <v>0</v>
      </c>
      <c r="AG253" s="8">
        <f ca="1">SUMIFS(P$330:P$332,$L$330:$L$332,$AE238)+IF(OR(AND('Aggregate summary'!$L$3="Yes",'Aggregate summary'!$E$3="POD"),AND('Aggregate summary'!$U$3="Process",'Aggregate summary'!$T$76="Clearance + downstream effects")),SUMIFS(P$391:P$393,$L$391:$L$393,$AE238),0)</f>
        <v>0</v>
      </c>
      <c r="AH253" s="8">
        <f ca="1">SUMIFS(Q$330:Q$332,$L$330:$L$332,$AE238)+IF(OR(AND('Aggregate summary'!$L$3="Yes",'Aggregate summary'!$E$3="POD"),AND('Aggregate summary'!$U$3="Process",'Aggregate summary'!$T$76="Clearance + downstream effects")),SUMIFS(Q$391:Q$393,$L$391:$L$393,$AE238),0)</f>
        <v>0</v>
      </c>
      <c r="AI253" s="8">
        <f ca="1">SUMIFS(R$330:R$332,$L$330:$L$332,$AE238)+IF(OR(AND('Aggregate summary'!$L$3="Yes",'Aggregate summary'!$E$3="POD"),AND('Aggregate summary'!$U$3="Process",'Aggregate summary'!$T$76="Clearance + downstream effects")),SUMIFS(R$391:R$393,$L$391:$L$393,$AE238),0)</f>
        <v>0</v>
      </c>
      <c r="AJ253" s="8">
        <f ca="1">SUMIFS(S$330:S$332,$L$330:$L$332,$AE238)+IF(OR(AND('Aggregate summary'!$L$3="Yes",'Aggregate summary'!$E$3="POD"),AND('Aggregate summary'!$U$3="Process",'Aggregate summary'!$T$76="Clearance + downstream effects")),SUMIFS(S$391:S$393,$L$391:$L$393,$AE238),0)</f>
        <v>0</v>
      </c>
      <c r="AK253" s="8">
        <f ca="1">SUMIFS(T$330:T$332,$L$330:$L$332,$AE238)+IF(OR(AND('Aggregate summary'!$L$3="Yes",'Aggregate summary'!$E$3="POD"),AND('Aggregate summary'!$U$3="Process",'Aggregate summary'!$T$76="Clearance + downstream effects")),SUMIFS(T$391:T$393,$L$391:$L$393,$AE238),0)</f>
        <v>0</v>
      </c>
      <c r="AL253" s="8">
        <f ca="1">SUMIFS(U$330:U$332,$L$330:$L$332,$AE238)+IF(OR(AND('Aggregate summary'!$L$3="Yes",'Aggregate summary'!$E$3="POD"),AND('Aggregate summary'!$U$3="Process",'Aggregate summary'!$T$76="Clearance + downstream effects")),SUMIFS(U$391:U$393,$L$391:$L$393,$AE238),0)</f>
        <v>0</v>
      </c>
      <c r="AM253" s="8">
        <f ca="1">SUMIFS(V$330:V$332,$L$330:$L$332,$AE238)+IF(OR(AND('Aggregate summary'!$L$3="Yes",'Aggregate summary'!$E$3="POD"),AND('Aggregate summary'!$U$3="Process",'Aggregate summary'!$T$76="Clearance + downstream effects")),SUMIFS(V$391:V$393,$L$391:$L$393,$AE238),0)</f>
        <v>0</v>
      </c>
      <c r="AN253" s="8">
        <f ca="1">SUMIFS(W$330:W$332,$L$330:$L$332,$AE238)+IF(OR(AND('Aggregate summary'!$L$3="Yes",'Aggregate summary'!$E$3="POD"),AND('Aggregate summary'!$U$3="Process",'Aggregate summary'!$T$76="Clearance + downstream effects")),SUMIFS(W$391:W$393,$L$391:$L$393,$AE238),0)</f>
        <v>0</v>
      </c>
      <c r="AO253" s="8">
        <f ca="1">SUMIFS(X$330:X$332,$L$330:$L$332,$AE238)+IF(OR(AND('Aggregate summary'!$L$3="Yes",'Aggregate summary'!$E$3="POD"),AND('Aggregate summary'!$U$3="Process",'Aggregate summary'!$T$76="Clearance + downstream effects")),SUMIFS(X$391:X$393,$L$391:$L$393,$AE238),0)</f>
        <v>0</v>
      </c>
      <c r="AP253" s="8">
        <f ca="1">SUMIFS(Y$330:Y$332,$L$330:$L$332,$AE238)+IF(OR(AND('Aggregate summary'!$L$3="Yes",'Aggregate summary'!$E$3="POD"),AND('Aggregate summary'!$U$3="Process",'Aggregate summary'!$T$76="Clearance + downstream effects")),SUMIFS(Y$391:Y$393,$L$391:$L$393,$AE238),0)</f>
        <v>0</v>
      </c>
      <c r="AQ253" s="8">
        <f ca="1">SUMIFS(Z$330:Z$332,$L$330:$L$332,$AE238)+IF(OR(AND('Aggregate summary'!$L$3="Yes",'Aggregate summary'!$E$3="POD"),AND('Aggregate summary'!$U$3="Process",'Aggregate summary'!$T$76="Clearance + downstream effects")),SUMIFS(Z$391:Z$393,$L$391:$L$393,$AE238),0)</f>
        <v>0</v>
      </c>
    </row>
    <row r="254" spans="1:43" x14ac:dyDescent="0.25">
      <c r="A254">
        <f>1</f>
        <v>1</v>
      </c>
      <c r="B254" s="85">
        <f t="shared" si="127"/>
        <v>44042</v>
      </c>
      <c r="C254" s="85">
        <f t="shared" si="123"/>
        <v>44039</v>
      </c>
      <c r="D254">
        <f t="shared" ca="1" si="124"/>
        <v>1</v>
      </c>
      <c r="E254" s="85">
        <f t="shared" si="125"/>
        <v>44013</v>
      </c>
      <c r="F254">
        <f t="shared" si="126"/>
        <v>31</v>
      </c>
      <c r="M254">
        <v>3</v>
      </c>
      <c r="N254">
        <v>1</v>
      </c>
      <c r="O254" s="6">
        <f t="array" aca="1" ref="O254" ca="1">SUM(OFFSET($HQ$43,0,($M254*3)+$N254,53,1)*O$43:O$95)</f>
        <v>0</v>
      </c>
      <c r="P254" s="6">
        <f t="array" aca="1" ref="P254" ca="1">SUM(OFFSET($HQ$43,0,($M254*3)+$N254,53,1)*P$43:P$95)</f>
        <v>0</v>
      </c>
      <c r="Q254" s="6">
        <f t="array" aca="1" ref="Q254" ca="1">SUM(OFFSET($HQ$43,0,($M254*3)+$N254,53,1)*Q$43:Q$95)</f>
        <v>0</v>
      </c>
      <c r="R254" s="6">
        <f t="array" aca="1" ref="R254" ca="1">SUM(OFFSET($HQ$43,0,($M254*3)+$N254,53,1)*R$43:R$95)</f>
        <v>0</v>
      </c>
      <c r="S254" s="6">
        <f t="array" aca="1" ref="S254" ca="1">SUM(OFFSET($HQ$43,0,($M254*3)+$N254,53,1)*S$43:S$95)</f>
        <v>0</v>
      </c>
      <c r="T254" s="6">
        <f t="array" aca="1" ref="T254" ca="1">SUM(OFFSET($HQ$43,0,($M254*3)+$N254,53,1)*T$43:T$95)</f>
        <v>0</v>
      </c>
      <c r="U254" s="6">
        <f t="array" aca="1" ref="U254" ca="1">SUM(OFFSET($HQ$43,0,($M254*3)+$N254,53,1)*U$43:U$95)</f>
        <v>0</v>
      </c>
      <c r="V254" s="6">
        <f t="array" aca="1" ref="V254" ca="1">SUM(OFFSET($HQ$43,0,($M254*3)+$N254,53,1)*V$43:V$95)</f>
        <v>0</v>
      </c>
      <c r="W254" s="6">
        <f t="array" aca="1" ref="W254" ca="1">SUM(OFFSET($HQ$43,0,($M254*3)+$N254,53,1)*W$43:W$95)</f>
        <v>0</v>
      </c>
      <c r="X254" s="6">
        <f t="array" aca="1" ref="X254" ca="1">SUM(OFFSET($HQ$43,0,($M254*3)+$N254,53,1)*X$43:X$95)</f>
        <v>0</v>
      </c>
      <c r="Y254" s="6">
        <f t="array" aca="1" ref="Y254" ca="1">SUM(OFFSET($HQ$43,0,($M254*3)+$N254,53,1)*Y$43:Y$95)</f>
        <v>0</v>
      </c>
      <c r="Z254" s="6">
        <f t="array" aca="1" ref="Z254" ca="1">SUM(OFFSET($HQ$43,0,($M254*3)+$N254,53,1)*Z$43:Z$95)</f>
        <v>0</v>
      </c>
      <c r="AA254" s="6">
        <f t="shared" ca="1" si="129"/>
        <v>0</v>
      </c>
      <c r="AB254" s="6">
        <f t="shared" ca="1" si="130"/>
        <v>0</v>
      </c>
      <c r="AC254" s="6"/>
      <c r="AD254" s="8"/>
      <c r="AE254" t="str">
        <f t="shared" si="128"/>
        <v>Diagnostic (N)</v>
      </c>
      <c r="AF254" s="8">
        <f ca="1">SUMIFS(O$330:O$332,$L$330:$L$332,$AE239)+IF(OR(AND('Aggregate summary'!$L$3="Yes",'Aggregate summary'!$E$3="POD"),AND('Aggregate summary'!$U$3="Process",'Aggregate summary'!$T$76="Clearance + downstream effects")),SUMIFS(O$391:O$393,$L$391:$L$393,$AE239),0)</f>
        <v>0</v>
      </c>
      <c r="AG254" s="8">
        <f ca="1">SUMIFS(P$330:P$332,$L$330:$L$332,$AE239)+IF(OR(AND('Aggregate summary'!$L$3="Yes",'Aggregate summary'!$E$3="POD"),AND('Aggregate summary'!$U$3="Process",'Aggregate summary'!$T$76="Clearance + downstream effects")),SUMIFS(P$391:P$393,$L$391:$L$393,$AE239),0)</f>
        <v>0</v>
      </c>
      <c r="AH254" s="8">
        <f ca="1">SUMIFS(Q$330:Q$332,$L$330:$L$332,$AE239)+IF(OR(AND('Aggregate summary'!$L$3="Yes",'Aggregate summary'!$E$3="POD"),AND('Aggregate summary'!$U$3="Process",'Aggregate summary'!$T$76="Clearance + downstream effects")),SUMIFS(Q$391:Q$393,$L$391:$L$393,$AE239),0)</f>
        <v>0</v>
      </c>
      <c r="AI254" s="8">
        <f ca="1">SUMIFS(R$330:R$332,$L$330:$L$332,$AE239)+IF(OR(AND('Aggregate summary'!$L$3="Yes",'Aggregate summary'!$E$3="POD"),AND('Aggregate summary'!$U$3="Process",'Aggregate summary'!$T$76="Clearance + downstream effects")),SUMIFS(R$391:R$393,$L$391:$L$393,$AE239),0)</f>
        <v>0</v>
      </c>
      <c r="AJ254" s="8">
        <f ca="1">SUMIFS(S$330:S$332,$L$330:$L$332,$AE239)+IF(OR(AND('Aggregate summary'!$L$3="Yes",'Aggregate summary'!$E$3="POD"),AND('Aggregate summary'!$U$3="Process",'Aggregate summary'!$T$76="Clearance + downstream effects")),SUMIFS(S$391:S$393,$L$391:$L$393,$AE239),0)</f>
        <v>0</v>
      </c>
      <c r="AK254" s="8">
        <f ca="1">SUMIFS(T$330:T$332,$L$330:$L$332,$AE239)+IF(OR(AND('Aggregate summary'!$L$3="Yes",'Aggregate summary'!$E$3="POD"),AND('Aggregate summary'!$U$3="Process",'Aggregate summary'!$T$76="Clearance + downstream effects")),SUMIFS(T$391:T$393,$L$391:$L$393,$AE239),0)</f>
        <v>0</v>
      </c>
      <c r="AL254" s="8">
        <f ca="1">SUMIFS(U$330:U$332,$L$330:$L$332,$AE239)+IF(OR(AND('Aggregate summary'!$L$3="Yes",'Aggregate summary'!$E$3="POD"),AND('Aggregate summary'!$U$3="Process",'Aggregate summary'!$T$76="Clearance + downstream effects")),SUMIFS(U$391:U$393,$L$391:$L$393,$AE239),0)</f>
        <v>0</v>
      </c>
      <c r="AM254" s="8">
        <f ca="1">SUMIFS(V$330:V$332,$L$330:$L$332,$AE239)+IF(OR(AND('Aggregate summary'!$L$3="Yes",'Aggregate summary'!$E$3="POD"),AND('Aggregate summary'!$U$3="Process",'Aggregate summary'!$T$76="Clearance + downstream effects")),SUMIFS(V$391:V$393,$L$391:$L$393,$AE239),0)</f>
        <v>0</v>
      </c>
      <c r="AN254" s="8">
        <f ca="1">SUMIFS(W$330:W$332,$L$330:$L$332,$AE239)+IF(OR(AND('Aggregate summary'!$L$3="Yes",'Aggregate summary'!$E$3="POD"),AND('Aggregate summary'!$U$3="Process",'Aggregate summary'!$T$76="Clearance + downstream effects")),SUMIFS(W$391:W$393,$L$391:$L$393,$AE239),0)</f>
        <v>0</v>
      </c>
      <c r="AO254" s="8">
        <f ca="1">SUMIFS(X$330:X$332,$L$330:$L$332,$AE239)+IF(OR(AND('Aggregate summary'!$L$3="Yes",'Aggregate summary'!$E$3="POD"),AND('Aggregate summary'!$U$3="Process",'Aggregate summary'!$T$76="Clearance + downstream effects")),SUMIFS(X$391:X$393,$L$391:$L$393,$AE239),0)</f>
        <v>0</v>
      </c>
      <c r="AP254" s="8">
        <f ca="1">SUMIFS(Y$330:Y$332,$L$330:$L$332,$AE239)+IF(OR(AND('Aggregate summary'!$L$3="Yes",'Aggregate summary'!$E$3="POD"),AND('Aggregate summary'!$U$3="Process",'Aggregate summary'!$T$76="Clearance + downstream effects")),SUMIFS(Y$391:Y$393,$L$391:$L$393,$AE239),0)</f>
        <v>0</v>
      </c>
      <c r="AQ254" s="8">
        <f ca="1">SUMIFS(Z$330:Z$332,$L$330:$L$332,$AE239)+IF(OR(AND('Aggregate summary'!$L$3="Yes",'Aggregate summary'!$E$3="POD"),AND('Aggregate summary'!$U$3="Process",'Aggregate summary'!$T$76="Clearance + downstream effects")),SUMIFS(Z$391:Z$393,$L$391:$L$393,$AE239),0)</f>
        <v>0</v>
      </c>
    </row>
    <row r="255" spans="1:43" x14ac:dyDescent="0.25">
      <c r="A255">
        <f>1</f>
        <v>1</v>
      </c>
      <c r="B255" s="85">
        <f t="shared" si="127"/>
        <v>44043</v>
      </c>
      <c r="C255" s="85">
        <f t="shared" si="123"/>
        <v>44039</v>
      </c>
      <c r="D255">
        <f t="shared" ca="1" si="124"/>
        <v>1</v>
      </c>
      <c r="E255" s="85">
        <f t="shared" si="125"/>
        <v>44013</v>
      </c>
      <c r="F255">
        <f t="shared" si="126"/>
        <v>31</v>
      </c>
      <c r="M255">
        <v>3</v>
      </c>
      <c r="N255">
        <v>2</v>
      </c>
      <c r="O255" s="6">
        <f t="array" aca="1" ref="O255" ca="1">SUM(OFFSET($HQ$43,0,($M255*3)+$N255,53,1)*O$43:O$95)</f>
        <v>0</v>
      </c>
      <c r="P255" s="6">
        <f t="array" aca="1" ref="P255" ca="1">SUM(OFFSET($HQ$43,0,($M255*3)+$N255,53,1)*P$43:P$95)</f>
        <v>0</v>
      </c>
      <c r="Q255" s="6">
        <f t="array" aca="1" ref="Q255" ca="1">SUM(OFFSET($HQ$43,0,($M255*3)+$N255,53,1)*Q$43:Q$95)</f>
        <v>0</v>
      </c>
      <c r="R255" s="6">
        <f t="array" aca="1" ref="R255" ca="1">SUM(OFFSET($HQ$43,0,($M255*3)+$N255,53,1)*R$43:R$95)</f>
        <v>0</v>
      </c>
      <c r="S255" s="6">
        <f t="array" aca="1" ref="S255" ca="1">SUM(OFFSET($HQ$43,0,($M255*3)+$N255,53,1)*S$43:S$95)</f>
        <v>0</v>
      </c>
      <c r="T255" s="6">
        <f t="array" aca="1" ref="T255" ca="1">SUM(OFFSET($HQ$43,0,($M255*3)+$N255,53,1)*T$43:T$95)</f>
        <v>0</v>
      </c>
      <c r="U255" s="6">
        <f t="array" aca="1" ref="U255" ca="1">SUM(OFFSET($HQ$43,0,($M255*3)+$N255,53,1)*U$43:U$95)</f>
        <v>0</v>
      </c>
      <c r="V255" s="6">
        <f t="array" aca="1" ref="V255" ca="1">SUM(OFFSET($HQ$43,0,($M255*3)+$N255,53,1)*V$43:V$95)</f>
        <v>0</v>
      </c>
      <c r="W255" s="6">
        <f t="array" aca="1" ref="W255" ca="1">SUM(OFFSET($HQ$43,0,($M255*3)+$N255,53,1)*W$43:W$95)</f>
        <v>0</v>
      </c>
      <c r="X255" s="6">
        <f t="array" aca="1" ref="X255" ca="1">SUM(OFFSET($HQ$43,0,($M255*3)+$N255,53,1)*X$43:X$95)</f>
        <v>0</v>
      </c>
      <c r="Y255" s="6">
        <f t="array" aca="1" ref="Y255" ca="1">SUM(OFFSET($HQ$43,0,($M255*3)+$N255,53,1)*Y$43:Y$95)</f>
        <v>0</v>
      </c>
      <c r="Z255" s="6">
        <f t="array" aca="1" ref="Z255" ca="1">SUM(OFFSET($HQ$43,0,($M255*3)+$N255,53,1)*Z$43:Z$95)</f>
        <v>0</v>
      </c>
      <c r="AA255" s="6">
        <f t="shared" ca="1" si="129"/>
        <v>0</v>
      </c>
      <c r="AB255" s="6">
        <f t="shared" ca="1" si="130"/>
        <v>0</v>
      </c>
      <c r="AC255" s="6"/>
      <c r="AD255" s="8"/>
      <c r="AE255" t="str">
        <f t="shared" si="128"/>
        <v>Follow Up</v>
      </c>
      <c r="AF255" s="8">
        <f ca="1">SUMIFS(O$330:O$332,$L$330:$L$332,$AE240)+IF(OR(AND('Aggregate summary'!$L$3="Yes",'Aggregate summary'!$E$3="POD"),AND('Aggregate summary'!$U$3="Process",'Aggregate summary'!$T$76="Clearance + downstream effects")),SUMIFS(O$391:O$393,$L$391:$L$393,$AE240),0)</f>
        <v>0</v>
      </c>
      <c r="AG255" s="8">
        <f ca="1">SUMIFS(P$330:P$332,$L$330:$L$332,$AE240)+IF(OR(AND('Aggregate summary'!$L$3="Yes",'Aggregate summary'!$E$3="POD"),AND('Aggregate summary'!$U$3="Process",'Aggregate summary'!$T$76="Clearance + downstream effects")),SUMIFS(P$391:P$393,$L$391:$L$393,$AE240),0)</f>
        <v>0</v>
      </c>
      <c r="AH255" s="8">
        <f ca="1">SUMIFS(Q$330:Q$332,$L$330:$L$332,$AE240)+IF(OR(AND('Aggregate summary'!$L$3="Yes",'Aggregate summary'!$E$3="POD"),AND('Aggregate summary'!$U$3="Process",'Aggregate summary'!$T$76="Clearance + downstream effects")),SUMIFS(Q$391:Q$393,$L$391:$L$393,$AE240),0)</f>
        <v>0</v>
      </c>
      <c r="AI255" s="8">
        <f ca="1">SUMIFS(R$330:R$332,$L$330:$L$332,$AE240)+IF(OR(AND('Aggregate summary'!$L$3="Yes",'Aggregate summary'!$E$3="POD"),AND('Aggregate summary'!$U$3="Process",'Aggregate summary'!$T$76="Clearance + downstream effects")),SUMIFS(R$391:R$393,$L$391:$L$393,$AE240),0)</f>
        <v>0</v>
      </c>
      <c r="AJ255" s="8">
        <f ca="1">SUMIFS(S$330:S$332,$L$330:$L$332,$AE240)+IF(OR(AND('Aggregate summary'!$L$3="Yes",'Aggregate summary'!$E$3="POD"),AND('Aggregate summary'!$U$3="Process",'Aggregate summary'!$T$76="Clearance + downstream effects")),SUMIFS(S$391:S$393,$L$391:$L$393,$AE240),0)</f>
        <v>0</v>
      </c>
      <c r="AK255" s="8">
        <f ca="1">SUMIFS(T$330:T$332,$L$330:$L$332,$AE240)+IF(OR(AND('Aggregate summary'!$L$3="Yes",'Aggregate summary'!$E$3="POD"),AND('Aggregate summary'!$U$3="Process",'Aggregate summary'!$T$76="Clearance + downstream effects")),SUMIFS(T$391:T$393,$L$391:$L$393,$AE240),0)</f>
        <v>0</v>
      </c>
      <c r="AL255" s="8">
        <f ca="1">SUMIFS(U$330:U$332,$L$330:$L$332,$AE240)+IF(OR(AND('Aggregate summary'!$L$3="Yes",'Aggregate summary'!$E$3="POD"),AND('Aggregate summary'!$U$3="Process",'Aggregate summary'!$T$76="Clearance + downstream effects")),SUMIFS(U$391:U$393,$L$391:$L$393,$AE240),0)</f>
        <v>0</v>
      </c>
      <c r="AM255" s="8">
        <f ca="1">SUMIFS(V$330:V$332,$L$330:$L$332,$AE240)+IF(OR(AND('Aggregate summary'!$L$3="Yes",'Aggregate summary'!$E$3="POD"),AND('Aggregate summary'!$U$3="Process",'Aggregate summary'!$T$76="Clearance + downstream effects")),SUMIFS(V$391:V$393,$L$391:$L$393,$AE240),0)</f>
        <v>0</v>
      </c>
      <c r="AN255" s="8">
        <f ca="1">SUMIFS(W$330:W$332,$L$330:$L$332,$AE240)+IF(OR(AND('Aggregate summary'!$L$3="Yes",'Aggregate summary'!$E$3="POD"),AND('Aggregate summary'!$U$3="Process",'Aggregate summary'!$T$76="Clearance + downstream effects")),SUMIFS(W$391:W$393,$L$391:$L$393,$AE240),0)</f>
        <v>0</v>
      </c>
      <c r="AO255" s="8">
        <f ca="1">SUMIFS(X$330:X$332,$L$330:$L$332,$AE240)+IF(OR(AND('Aggregate summary'!$L$3="Yes",'Aggregate summary'!$E$3="POD"),AND('Aggregate summary'!$U$3="Process",'Aggregate summary'!$T$76="Clearance + downstream effects")),SUMIFS(X$391:X$393,$L$391:$L$393,$AE240),0)</f>
        <v>0</v>
      </c>
      <c r="AP255" s="8">
        <f ca="1">SUMIFS(Y$330:Y$332,$L$330:$L$332,$AE240)+IF(OR(AND('Aggregate summary'!$L$3="Yes",'Aggregate summary'!$E$3="POD"),AND('Aggregate summary'!$U$3="Process",'Aggregate summary'!$T$76="Clearance + downstream effects")),SUMIFS(Y$391:Y$393,$L$391:$L$393,$AE240),0)</f>
        <v>0</v>
      </c>
      <c r="AQ255" s="8">
        <f ca="1">SUMIFS(Z$330:Z$332,$L$330:$L$332,$AE240)+IF(OR(AND('Aggregate summary'!$L$3="Yes",'Aggregate summary'!$E$3="POD"),AND('Aggregate summary'!$U$3="Process",'Aggregate summary'!$T$76="Clearance + downstream effects")),SUMIFS(Z$391:Z$393,$L$391:$L$393,$AE240),0)</f>
        <v>0</v>
      </c>
    </row>
    <row r="256" spans="1:43" x14ac:dyDescent="0.25">
      <c r="A256">
        <f>1</f>
        <v>1</v>
      </c>
      <c r="B256" s="85">
        <f t="shared" si="127"/>
        <v>44044</v>
      </c>
      <c r="C256" s="85">
        <f t="shared" si="123"/>
        <v>44039</v>
      </c>
      <c r="D256">
        <f t="shared" ca="1" si="124"/>
        <v>0</v>
      </c>
      <c r="E256" s="85">
        <f t="shared" si="125"/>
        <v>44044</v>
      </c>
      <c r="F256">
        <f t="shared" si="126"/>
        <v>31</v>
      </c>
      <c r="M256">
        <v>3</v>
      </c>
      <c r="N256">
        <v>3</v>
      </c>
      <c r="O256" s="6">
        <f t="array" aca="1" ref="O256" ca="1">SUM(OFFSET($HQ$43,0,($M256*3)+$N256,53,1)*O$43:O$95)</f>
        <v>0</v>
      </c>
      <c r="P256" s="6">
        <f t="array" aca="1" ref="P256" ca="1">SUM(OFFSET($HQ$43,0,($M256*3)+$N256,53,1)*P$43:P$95)</f>
        <v>0</v>
      </c>
      <c r="Q256" s="6">
        <f t="array" aca="1" ref="Q256" ca="1">SUM(OFFSET($HQ$43,0,($M256*3)+$N256,53,1)*Q$43:Q$95)</f>
        <v>0</v>
      </c>
      <c r="R256" s="6">
        <f t="array" aca="1" ref="R256" ca="1">SUM(OFFSET($HQ$43,0,($M256*3)+$N256,53,1)*R$43:R$95)</f>
        <v>0</v>
      </c>
      <c r="S256" s="6">
        <f t="array" aca="1" ref="S256" ca="1">SUM(OFFSET($HQ$43,0,($M256*3)+$N256,53,1)*S$43:S$95)</f>
        <v>0</v>
      </c>
      <c r="T256" s="6">
        <f t="array" aca="1" ref="T256" ca="1">SUM(OFFSET($HQ$43,0,($M256*3)+$N256,53,1)*T$43:T$95)</f>
        <v>0</v>
      </c>
      <c r="U256" s="6">
        <f t="array" aca="1" ref="U256" ca="1">SUM(OFFSET($HQ$43,0,($M256*3)+$N256,53,1)*U$43:U$95)</f>
        <v>0</v>
      </c>
      <c r="V256" s="6">
        <f t="array" aca="1" ref="V256" ca="1">SUM(OFFSET($HQ$43,0,($M256*3)+$N256,53,1)*V$43:V$95)</f>
        <v>0</v>
      </c>
      <c r="W256" s="6">
        <f t="array" aca="1" ref="W256" ca="1">SUM(OFFSET($HQ$43,0,($M256*3)+$N256,53,1)*W$43:W$95)</f>
        <v>0</v>
      </c>
      <c r="X256" s="6">
        <f t="array" aca="1" ref="X256" ca="1">SUM(OFFSET($HQ$43,0,($M256*3)+$N256,53,1)*X$43:X$95)</f>
        <v>0</v>
      </c>
      <c r="Y256" s="6">
        <f t="array" aca="1" ref="Y256" ca="1">SUM(OFFSET($HQ$43,0,($M256*3)+$N256,53,1)*Y$43:Y$95)</f>
        <v>0</v>
      </c>
      <c r="Z256" s="6">
        <f t="array" aca="1" ref="Z256" ca="1">SUM(OFFSET($HQ$43,0,($M256*3)+$N256,53,1)*Z$43:Z$95)</f>
        <v>0</v>
      </c>
      <c r="AA256" s="6">
        <f t="shared" ca="1" si="129"/>
        <v>0</v>
      </c>
      <c r="AB256" s="6">
        <f t="shared" ca="1" si="130"/>
        <v>0</v>
      </c>
      <c r="AC256" s="6"/>
      <c r="AD256" s="8"/>
      <c r="AE256" t="str">
        <f t="shared" si="128"/>
        <v>Diagnostic (FU)</v>
      </c>
      <c r="AF256" s="8">
        <f ca="1">SUMIFS(O$330:O$332,$L$330:$L$332,$AE241)+IF(OR(AND('Aggregate summary'!$L$3="Yes",'Aggregate summary'!$E$3="POD"),AND('Aggregate summary'!$U$3="Process",'Aggregate summary'!$T$76="Clearance + downstream effects")),SUMIFS(O$391:O$393,$L$391:$L$393,$AE241),0)</f>
        <v>0</v>
      </c>
      <c r="AG256" s="8">
        <f ca="1">SUMIFS(P$330:P$332,$L$330:$L$332,$AE241)+IF(OR(AND('Aggregate summary'!$L$3="Yes",'Aggregate summary'!$E$3="POD"),AND('Aggregate summary'!$U$3="Process",'Aggregate summary'!$T$76="Clearance + downstream effects")),SUMIFS(P$391:P$393,$L$391:$L$393,$AE241),0)</f>
        <v>0</v>
      </c>
      <c r="AH256" s="8">
        <f ca="1">SUMIFS(Q$330:Q$332,$L$330:$L$332,$AE241)+IF(OR(AND('Aggregate summary'!$L$3="Yes",'Aggregate summary'!$E$3="POD"),AND('Aggregate summary'!$U$3="Process",'Aggregate summary'!$T$76="Clearance + downstream effects")),SUMIFS(Q$391:Q$393,$L$391:$L$393,$AE241),0)</f>
        <v>0</v>
      </c>
      <c r="AI256" s="8">
        <f ca="1">SUMIFS(R$330:R$332,$L$330:$L$332,$AE241)+IF(OR(AND('Aggregate summary'!$L$3="Yes",'Aggregate summary'!$E$3="POD"),AND('Aggregate summary'!$U$3="Process",'Aggregate summary'!$T$76="Clearance + downstream effects")),SUMIFS(R$391:R$393,$L$391:$L$393,$AE241),0)</f>
        <v>0</v>
      </c>
      <c r="AJ256" s="8">
        <f ca="1">SUMIFS(S$330:S$332,$L$330:$L$332,$AE241)+IF(OR(AND('Aggregate summary'!$L$3="Yes",'Aggregate summary'!$E$3="POD"),AND('Aggregate summary'!$U$3="Process",'Aggregate summary'!$T$76="Clearance + downstream effects")),SUMIFS(S$391:S$393,$L$391:$L$393,$AE241),0)</f>
        <v>0</v>
      </c>
      <c r="AK256" s="8">
        <f ca="1">SUMIFS(T$330:T$332,$L$330:$L$332,$AE241)+IF(OR(AND('Aggregate summary'!$L$3="Yes",'Aggregate summary'!$E$3="POD"),AND('Aggregate summary'!$U$3="Process",'Aggregate summary'!$T$76="Clearance + downstream effects")),SUMIFS(T$391:T$393,$L$391:$L$393,$AE241),0)</f>
        <v>0</v>
      </c>
      <c r="AL256" s="8">
        <f ca="1">SUMIFS(U$330:U$332,$L$330:$L$332,$AE241)+IF(OR(AND('Aggregate summary'!$L$3="Yes",'Aggregate summary'!$E$3="POD"),AND('Aggregate summary'!$U$3="Process",'Aggregate summary'!$T$76="Clearance + downstream effects")),SUMIFS(U$391:U$393,$L$391:$L$393,$AE241),0)</f>
        <v>0</v>
      </c>
      <c r="AM256" s="8">
        <f ca="1">SUMIFS(V$330:V$332,$L$330:$L$332,$AE241)+IF(OR(AND('Aggregate summary'!$L$3="Yes",'Aggregate summary'!$E$3="POD"),AND('Aggregate summary'!$U$3="Process",'Aggregate summary'!$T$76="Clearance + downstream effects")),SUMIFS(V$391:V$393,$L$391:$L$393,$AE241),0)</f>
        <v>0</v>
      </c>
      <c r="AN256" s="8">
        <f ca="1">SUMIFS(W$330:W$332,$L$330:$L$332,$AE241)+IF(OR(AND('Aggregate summary'!$L$3="Yes",'Aggregate summary'!$E$3="POD"),AND('Aggregate summary'!$U$3="Process",'Aggregate summary'!$T$76="Clearance + downstream effects")),SUMIFS(W$391:W$393,$L$391:$L$393,$AE241),0)</f>
        <v>0</v>
      </c>
      <c r="AO256" s="8">
        <f ca="1">SUMIFS(X$330:X$332,$L$330:$L$332,$AE241)+IF(OR(AND('Aggregate summary'!$L$3="Yes",'Aggregate summary'!$E$3="POD"),AND('Aggregate summary'!$U$3="Process",'Aggregate summary'!$T$76="Clearance + downstream effects")),SUMIFS(X$391:X$393,$L$391:$L$393,$AE241),0)</f>
        <v>0</v>
      </c>
      <c r="AP256" s="8">
        <f ca="1">SUMIFS(Y$330:Y$332,$L$330:$L$332,$AE241)+IF(OR(AND('Aggregate summary'!$L$3="Yes",'Aggregate summary'!$E$3="POD"),AND('Aggregate summary'!$U$3="Process",'Aggregate summary'!$T$76="Clearance + downstream effects")),SUMIFS(Y$391:Y$393,$L$391:$L$393,$AE241),0)</f>
        <v>0</v>
      </c>
      <c r="AQ256" s="8">
        <f ca="1">SUMIFS(Z$330:Z$332,$L$330:$L$332,$AE241)+IF(OR(AND('Aggregate summary'!$L$3="Yes",'Aggregate summary'!$E$3="POD"),AND('Aggregate summary'!$U$3="Process",'Aggregate summary'!$T$76="Clearance + downstream effects")),SUMIFS(Z$391:Z$393,$L$391:$L$393,$AE241),0)</f>
        <v>0</v>
      </c>
    </row>
    <row r="257" spans="1:43" x14ac:dyDescent="0.25">
      <c r="A257">
        <f>1</f>
        <v>1</v>
      </c>
      <c r="B257" s="85">
        <f t="shared" si="127"/>
        <v>44045</v>
      </c>
      <c r="C257" s="85">
        <f t="shared" si="123"/>
        <v>44039</v>
      </c>
      <c r="D257">
        <f t="shared" ca="1" si="124"/>
        <v>0</v>
      </c>
      <c r="E257" s="85">
        <f t="shared" si="125"/>
        <v>44044</v>
      </c>
      <c r="F257">
        <f t="shared" si="126"/>
        <v>31</v>
      </c>
      <c r="M257">
        <v>4</v>
      </c>
      <c r="N257">
        <v>1</v>
      </c>
      <c r="O257" s="6">
        <f t="array" aca="1" ref="O257" ca="1">SUM(OFFSET($HQ$43,0,($M257*3)+$N257,53,1)*O$43:O$95)</f>
        <v>0</v>
      </c>
      <c r="P257" s="6">
        <f t="array" aca="1" ref="P257" ca="1">SUM(OFFSET($HQ$43,0,($M257*3)+$N257,53,1)*P$43:P$95)</f>
        <v>0</v>
      </c>
      <c r="Q257" s="6">
        <f t="array" aca="1" ref="Q257" ca="1">SUM(OFFSET($HQ$43,0,($M257*3)+$N257,53,1)*Q$43:Q$95)</f>
        <v>0</v>
      </c>
      <c r="R257" s="6">
        <f t="array" aca="1" ref="R257" ca="1">SUM(OFFSET($HQ$43,0,($M257*3)+$N257,53,1)*R$43:R$95)</f>
        <v>0</v>
      </c>
      <c r="S257" s="6">
        <f t="array" aca="1" ref="S257" ca="1">SUM(OFFSET($HQ$43,0,($M257*3)+$N257,53,1)*S$43:S$95)</f>
        <v>0</v>
      </c>
      <c r="T257" s="6">
        <f t="array" aca="1" ref="T257" ca="1">SUM(OFFSET($HQ$43,0,($M257*3)+$N257,53,1)*T$43:T$95)</f>
        <v>0</v>
      </c>
      <c r="U257" s="6">
        <f t="array" aca="1" ref="U257" ca="1">SUM(OFFSET($HQ$43,0,($M257*3)+$N257,53,1)*U$43:U$95)</f>
        <v>0</v>
      </c>
      <c r="V257" s="6">
        <f t="array" aca="1" ref="V257" ca="1">SUM(OFFSET($HQ$43,0,($M257*3)+$N257,53,1)*V$43:V$95)</f>
        <v>0</v>
      </c>
      <c r="W257" s="6">
        <f t="array" aca="1" ref="W257" ca="1">SUM(OFFSET($HQ$43,0,($M257*3)+$N257,53,1)*W$43:W$95)</f>
        <v>0</v>
      </c>
      <c r="X257" s="6">
        <f t="array" aca="1" ref="X257" ca="1">SUM(OFFSET($HQ$43,0,($M257*3)+$N257,53,1)*X$43:X$95)</f>
        <v>0</v>
      </c>
      <c r="Y257" s="6">
        <f t="array" aca="1" ref="Y257" ca="1">SUM(OFFSET($HQ$43,0,($M257*3)+$N257,53,1)*Y$43:Y$95)</f>
        <v>0</v>
      </c>
      <c r="Z257" s="6">
        <f t="array" aca="1" ref="Z257" ca="1">SUM(OFFSET($HQ$43,0,($M257*3)+$N257,53,1)*Z$43:Z$95)</f>
        <v>0</v>
      </c>
      <c r="AA257" s="6">
        <f t="shared" ca="1" si="129"/>
        <v>0</v>
      </c>
      <c r="AB257" s="6">
        <f t="shared" ca="1" si="130"/>
        <v>0</v>
      </c>
      <c r="AC257" s="6"/>
      <c r="AD257" s="8"/>
      <c r="AE257" t="str">
        <f t="shared" si="128"/>
        <v>Admission</v>
      </c>
      <c r="AF257" s="8">
        <f ca="1">SUMIFS(O$330:O$332,$L$330:$L$332,$AE242)+IF(OR(AND('Aggregate summary'!$L$3="Yes",'Aggregate summary'!$E$3="POD"),AND('Aggregate summary'!$U$3="Process",'Aggregate summary'!$T$76="Clearance + downstream effects")),SUMIFS(O$391:O$393,$L$391:$L$393,$AE242),0)</f>
        <v>0</v>
      </c>
      <c r="AG257" s="8">
        <f ca="1">SUMIFS(P$330:P$332,$L$330:$L$332,$AE242)+IF(OR(AND('Aggregate summary'!$L$3="Yes",'Aggregate summary'!$E$3="POD"),AND('Aggregate summary'!$U$3="Process",'Aggregate summary'!$T$76="Clearance + downstream effects")),SUMIFS(P$391:P$393,$L$391:$L$393,$AE242),0)</f>
        <v>0</v>
      </c>
      <c r="AH257" s="8">
        <f ca="1">SUMIFS(Q$330:Q$332,$L$330:$L$332,$AE242)+IF(OR(AND('Aggregate summary'!$L$3="Yes",'Aggregate summary'!$E$3="POD"),AND('Aggregate summary'!$U$3="Process",'Aggregate summary'!$T$76="Clearance + downstream effects")),SUMIFS(Q$391:Q$393,$L$391:$L$393,$AE242),0)</f>
        <v>0</v>
      </c>
      <c r="AI257" s="8">
        <f ca="1">SUMIFS(R$330:R$332,$L$330:$L$332,$AE242)+IF(OR(AND('Aggregate summary'!$L$3="Yes",'Aggregate summary'!$E$3="POD"),AND('Aggregate summary'!$U$3="Process",'Aggregate summary'!$T$76="Clearance + downstream effects")),SUMIFS(R$391:R$393,$L$391:$L$393,$AE242),0)</f>
        <v>0</v>
      </c>
      <c r="AJ257" s="8">
        <f ca="1">SUMIFS(S$330:S$332,$L$330:$L$332,$AE242)+IF(OR(AND('Aggregate summary'!$L$3="Yes",'Aggregate summary'!$E$3="POD"),AND('Aggregate summary'!$U$3="Process",'Aggregate summary'!$T$76="Clearance + downstream effects")),SUMIFS(S$391:S$393,$L$391:$L$393,$AE242),0)</f>
        <v>0</v>
      </c>
      <c r="AK257" s="8">
        <f ca="1">SUMIFS(T$330:T$332,$L$330:$L$332,$AE242)+IF(OR(AND('Aggregate summary'!$L$3="Yes",'Aggregate summary'!$E$3="POD"),AND('Aggregate summary'!$U$3="Process",'Aggregate summary'!$T$76="Clearance + downstream effects")),SUMIFS(T$391:T$393,$L$391:$L$393,$AE242),0)</f>
        <v>0</v>
      </c>
      <c r="AL257" s="8">
        <f ca="1">SUMIFS(U$330:U$332,$L$330:$L$332,$AE242)+IF(OR(AND('Aggregate summary'!$L$3="Yes",'Aggregate summary'!$E$3="POD"),AND('Aggregate summary'!$U$3="Process",'Aggregate summary'!$T$76="Clearance + downstream effects")),SUMIFS(U$391:U$393,$L$391:$L$393,$AE242),0)</f>
        <v>0</v>
      </c>
      <c r="AM257" s="8">
        <f ca="1">SUMIFS(V$330:V$332,$L$330:$L$332,$AE242)+IF(OR(AND('Aggregate summary'!$L$3="Yes",'Aggregate summary'!$E$3="POD"),AND('Aggregate summary'!$U$3="Process",'Aggregate summary'!$T$76="Clearance + downstream effects")),SUMIFS(V$391:V$393,$L$391:$L$393,$AE242),0)</f>
        <v>0</v>
      </c>
      <c r="AN257" s="8">
        <f ca="1">SUMIFS(W$330:W$332,$L$330:$L$332,$AE242)+IF(OR(AND('Aggregate summary'!$L$3="Yes",'Aggregate summary'!$E$3="POD"),AND('Aggregate summary'!$U$3="Process",'Aggregate summary'!$T$76="Clearance + downstream effects")),SUMIFS(W$391:W$393,$L$391:$L$393,$AE242),0)</f>
        <v>0</v>
      </c>
      <c r="AO257" s="8">
        <f ca="1">SUMIFS(X$330:X$332,$L$330:$L$332,$AE242)+IF(OR(AND('Aggregate summary'!$L$3="Yes",'Aggregate summary'!$E$3="POD"),AND('Aggregate summary'!$U$3="Process",'Aggregate summary'!$T$76="Clearance + downstream effects")),SUMIFS(X$391:X$393,$L$391:$L$393,$AE242),0)</f>
        <v>0</v>
      </c>
      <c r="AP257" s="8">
        <f ca="1">SUMIFS(Y$330:Y$332,$L$330:$L$332,$AE242)+IF(OR(AND('Aggregate summary'!$L$3="Yes",'Aggregate summary'!$E$3="POD"),AND('Aggregate summary'!$U$3="Process",'Aggregate summary'!$T$76="Clearance + downstream effects")),SUMIFS(Y$391:Y$393,$L$391:$L$393,$AE242),0)</f>
        <v>0</v>
      </c>
      <c r="AQ257" s="8">
        <f ca="1">SUMIFS(Z$330:Z$332,$L$330:$L$332,$AE242)+IF(OR(AND('Aggregate summary'!$L$3="Yes",'Aggregate summary'!$E$3="POD"),AND('Aggregate summary'!$U$3="Process",'Aggregate summary'!$T$76="Clearance + downstream effects")),SUMIFS(Z$391:Z$393,$L$391:$L$393,$AE242),0)</f>
        <v>0</v>
      </c>
    </row>
    <row r="258" spans="1:43" x14ac:dyDescent="0.25">
      <c r="A258">
        <f>1</f>
        <v>1</v>
      </c>
      <c r="B258" s="85">
        <f t="shared" si="127"/>
        <v>44046</v>
      </c>
      <c r="C258" s="85">
        <f t="shared" si="123"/>
        <v>44046</v>
      </c>
      <c r="D258">
        <f t="shared" ca="1" si="124"/>
        <v>1</v>
      </c>
      <c r="E258" s="85">
        <f t="shared" si="125"/>
        <v>44044</v>
      </c>
      <c r="F258">
        <f t="shared" si="126"/>
        <v>32</v>
      </c>
      <c r="M258">
        <v>4</v>
      </c>
      <c r="N258">
        <v>2</v>
      </c>
      <c r="O258" s="6">
        <f t="array" aca="1" ref="O258" ca="1">SUM(OFFSET($HQ$43,0,($M258*3)+$N258,53,1)*O$43:O$95)</f>
        <v>0</v>
      </c>
      <c r="P258" s="6">
        <f t="array" aca="1" ref="P258" ca="1">SUM(OFFSET($HQ$43,0,($M258*3)+$N258,53,1)*P$43:P$95)</f>
        <v>0</v>
      </c>
      <c r="Q258" s="6">
        <f t="array" aca="1" ref="Q258" ca="1">SUM(OFFSET($HQ$43,0,($M258*3)+$N258,53,1)*Q$43:Q$95)</f>
        <v>0</v>
      </c>
      <c r="R258" s="6">
        <f t="array" aca="1" ref="R258" ca="1">SUM(OFFSET($HQ$43,0,($M258*3)+$N258,53,1)*R$43:R$95)</f>
        <v>0</v>
      </c>
      <c r="S258" s="6">
        <f t="array" aca="1" ref="S258" ca="1">SUM(OFFSET($HQ$43,0,($M258*3)+$N258,53,1)*S$43:S$95)</f>
        <v>0</v>
      </c>
      <c r="T258" s="6">
        <f t="array" aca="1" ref="T258" ca="1">SUM(OFFSET($HQ$43,0,($M258*3)+$N258,53,1)*T$43:T$95)</f>
        <v>0</v>
      </c>
      <c r="U258" s="6">
        <f t="array" aca="1" ref="U258" ca="1">SUM(OFFSET($HQ$43,0,($M258*3)+$N258,53,1)*U$43:U$95)</f>
        <v>0</v>
      </c>
      <c r="V258" s="6">
        <f t="array" aca="1" ref="V258" ca="1">SUM(OFFSET($HQ$43,0,($M258*3)+$N258,53,1)*V$43:V$95)</f>
        <v>0</v>
      </c>
      <c r="W258" s="6">
        <f t="array" aca="1" ref="W258" ca="1">SUM(OFFSET($HQ$43,0,($M258*3)+$N258,53,1)*W$43:W$95)</f>
        <v>0</v>
      </c>
      <c r="X258" s="6">
        <f t="array" aca="1" ref="X258" ca="1">SUM(OFFSET($HQ$43,0,($M258*3)+$N258,53,1)*X$43:X$95)</f>
        <v>0</v>
      </c>
      <c r="Y258" s="6">
        <f t="array" aca="1" ref="Y258" ca="1">SUM(OFFSET($HQ$43,0,($M258*3)+$N258,53,1)*Y$43:Y$95)</f>
        <v>0</v>
      </c>
      <c r="Z258" s="6">
        <f t="array" aca="1" ref="Z258" ca="1">SUM(OFFSET($HQ$43,0,($M258*3)+$N258,53,1)*Z$43:Z$95)</f>
        <v>0</v>
      </c>
      <c r="AA258" s="6">
        <f t="shared" ca="1" si="129"/>
        <v>0</v>
      </c>
      <c r="AB258" s="6">
        <f t="shared" ca="1" si="130"/>
        <v>0</v>
      </c>
      <c r="AC258" s="6"/>
      <c r="AD258" s="8">
        <v>5</v>
      </c>
      <c r="AE258" t="str">
        <f t="shared" si="128"/>
        <v>New</v>
      </c>
      <c r="AF258" s="8">
        <f ca="1">SUMIFS(O$333:O$335,$L$333:$L$335,$AE238)+IF(OR(AND('Aggregate summary'!$L$3="Yes",'Aggregate summary'!$E$3="POD"),AND('Aggregate summary'!$U$3="Process",'Aggregate summary'!$T$76="Clearance + downstream effects")),SUMIFS(O$394:O$396,$L$394:$L$396,$AE238),0)</f>
        <v>0</v>
      </c>
      <c r="AG258" s="8">
        <f ca="1">SUMIFS(P$333:P$335,$L$333:$L$335,$AE238)+IF(OR(AND('Aggregate summary'!$L$3="Yes",'Aggregate summary'!$E$3="POD"),AND('Aggregate summary'!$U$3="Process",'Aggregate summary'!$T$76="Clearance + downstream effects")),SUMIFS(P$394:P$396,$L$394:$L$396,$AE238),0)</f>
        <v>0</v>
      </c>
      <c r="AH258" s="8">
        <f ca="1">SUMIFS(Q$333:Q$335,$L$333:$L$335,$AE238)+IF(OR(AND('Aggregate summary'!$L$3="Yes",'Aggregate summary'!$E$3="POD"),AND('Aggregate summary'!$U$3="Process",'Aggregate summary'!$T$76="Clearance + downstream effects")),SUMIFS(Q$394:Q$396,$L$394:$L$396,$AE238),0)</f>
        <v>0</v>
      </c>
      <c r="AI258" s="8">
        <f ca="1">SUMIFS(R$333:R$335,$L$333:$L$335,$AE238)+IF(OR(AND('Aggregate summary'!$L$3="Yes",'Aggregate summary'!$E$3="POD"),AND('Aggregate summary'!$U$3="Process",'Aggregate summary'!$T$76="Clearance + downstream effects")),SUMIFS(R$394:R$396,$L$394:$L$396,$AE238),0)</f>
        <v>0</v>
      </c>
      <c r="AJ258" s="8">
        <f ca="1">SUMIFS(S$333:S$335,$L$333:$L$335,$AE238)+IF(OR(AND('Aggregate summary'!$L$3="Yes",'Aggregate summary'!$E$3="POD"),AND('Aggregate summary'!$U$3="Process",'Aggregate summary'!$T$76="Clearance + downstream effects")),SUMIFS(S$394:S$396,$L$394:$L$396,$AE238),0)</f>
        <v>0</v>
      </c>
      <c r="AK258" s="8">
        <f ca="1">SUMIFS(T$333:T$335,$L$333:$L$335,$AE238)+IF(OR(AND('Aggregate summary'!$L$3="Yes",'Aggregate summary'!$E$3="POD"),AND('Aggregate summary'!$U$3="Process",'Aggregate summary'!$T$76="Clearance + downstream effects")),SUMIFS(T$394:T$396,$L$394:$L$396,$AE238),0)</f>
        <v>0</v>
      </c>
      <c r="AL258" s="8">
        <f ca="1">SUMIFS(U$333:U$335,$L$333:$L$335,$AE238)+IF(OR(AND('Aggregate summary'!$L$3="Yes",'Aggregate summary'!$E$3="POD"),AND('Aggregate summary'!$U$3="Process",'Aggregate summary'!$T$76="Clearance + downstream effects")),SUMIFS(U$394:U$396,$L$394:$L$396,$AE238),0)</f>
        <v>0</v>
      </c>
      <c r="AM258" s="8">
        <f ca="1">SUMIFS(V$333:V$335,$L$333:$L$335,$AE238)+IF(OR(AND('Aggregate summary'!$L$3="Yes",'Aggregate summary'!$E$3="POD"),AND('Aggregate summary'!$U$3="Process",'Aggregate summary'!$T$76="Clearance + downstream effects")),SUMIFS(V$394:V$396,$L$394:$L$396,$AE238),0)</f>
        <v>0</v>
      </c>
      <c r="AN258" s="8">
        <f ca="1">SUMIFS(W$333:W$335,$L$333:$L$335,$AE238)+IF(OR(AND('Aggregate summary'!$L$3="Yes",'Aggregate summary'!$E$3="POD"),AND('Aggregate summary'!$U$3="Process",'Aggregate summary'!$T$76="Clearance + downstream effects")),SUMIFS(W$394:W$396,$L$394:$L$396,$AE238),0)</f>
        <v>0</v>
      </c>
      <c r="AO258" s="8">
        <f ca="1">SUMIFS(X$333:X$335,$L$333:$L$335,$AE238)+IF(OR(AND('Aggregate summary'!$L$3="Yes",'Aggregate summary'!$E$3="POD"),AND('Aggregate summary'!$U$3="Process",'Aggregate summary'!$T$76="Clearance + downstream effects")),SUMIFS(X$394:X$396,$L$394:$L$396,$AE238),0)</f>
        <v>0</v>
      </c>
      <c r="AP258" s="8">
        <f ca="1">SUMIFS(Y$333:Y$335,$L$333:$L$335,$AE238)+IF(OR(AND('Aggregate summary'!$L$3="Yes",'Aggregate summary'!$E$3="POD"),AND('Aggregate summary'!$U$3="Process",'Aggregate summary'!$T$76="Clearance + downstream effects")),SUMIFS(Y$394:Y$396,$L$394:$L$396,$AE238),0)</f>
        <v>0</v>
      </c>
      <c r="AQ258" s="8">
        <f ca="1">SUMIFS(Z$333:Z$335,$L$333:$L$335,$AE238)+IF(OR(AND('Aggregate summary'!$L$3="Yes",'Aggregate summary'!$E$3="POD"),AND('Aggregate summary'!$U$3="Process",'Aggregate summary'!$T$76="Clearance + downstream effects")),SUMIFS(Z$394:Z$396,$L$394:$L$396,$AE238),0)</f>
        <v>0</v>
      </c>
    </row>
    <row r="259" spans="1:43" x14ac:dyDescent="0.25">
      <c r="A259">
        <f>1</f>
        <v>1</v>
      </c>
      <c r="B259" s="85">
        <f t="shared" si="127"/>
        <v>44047</v>
      </c>
      <c r="C259" s="85">
        <f t="shared" si="123"/>
        <v>44046</v>
      </c>
      <c r="D259">
        <f t="shared" ca="1" si="124"/>
        <v>1</v>
      </c>
      <c r="E259" s="85">
        <f t="shared" si="125"/>
        <v>44044</v>
      </c>
      <c r="F259">
        <f t="shared" si="126"/>
        <v>32</v>
      </c>
      <c r="M259">
        <v>4</v>
      </c>
      <c r="N259">
        <v>3</v>
      </c>
      <c r="O259" s="6">
        <f t="array" aca="1" ref="O259" ca="1">SUM(OFFSET($HQ$43,0,($M259*3)+$N259,53,1)*O$43:O$95)</f>
        <v>0</v>
      </c>
      <c r="P259" s="6">
        <f t="array" aca="1" ref="P259" ca="1">SUM(OFFSET($HQ$43,0,($M259*3)+$N259,53,1)*P$43:P$95)</f>
        <v>0</v>
      </c>
      <c r="Q259" s="6">
        <f t="array" aca="1" ref="Q259" ca="1">SUM(OFFSET($HQ$43,0,($M259*3)+$N259,53,1)*Q$43:Q$95)</f>
        <v>0</v>
      </c>
      <c r="R259" s="6">
        <f t="array" aca="1" ref="R259" ca="1">SUM(OFFSET($HQ$43,0,($M259*3)+$N259,53,1)*R$43:R$95)</f>
        <v>0</v>
      </c>
      <c r="S259" s="6">
        <f t="array" aca="1" ref="S259" ca="1">SUM(OFFSET($HQ$43,0,($M259*3)+$N259,53,1)*S$43:S$95)</f>
        <v>0</v>
      </c>
      <c r="T259" s="6">
        <f t="array" aca="1" ref="T259" ca="1">SUM(OFFSET($HQ$43,0,($M259*3)+$N259,53,1)*T$43:T$95)</f>
        <v>0</v>
      </c>
      <c r="U259" s="6">
        <f t="array" aca="1" ref="U259" ca="1">SUM(OFFSET($HQ$43,0,($M259*3)+$N259,53,1)*U$43:U$95)</f>
        <v>0</v>
      </c>
      <c r="V259" s="6">
        <f t="array" aca="1" ref="V259" ca="1">SUM(OFFSET($HQ$43,0,($M259*3)+$N259,53,1)*V$43:V$95)</f>
        <v>0</v>
      </c>
      <c r="W259" s="6">
        <f t="array" aca="1" ref="W259" ca="1">SUM(OFFSET($HQ$43,0,($M259*3)+$N259,53,1)*W$43:W$95)</f>
        <v>0</v>
      </c>
      <c r="X259" s="6">
        <f t="array" aca="1" ref="X259" ca="1">SUM(OFFSET($HQ$43,0,($M259*3)+$N259,53,1)*X$43:X$95)</f>
        <v>0</v>
      </c>
      <c r="Y259" s="6">
        <f t="array" aca="1" ref="Y259" ca="1">SUM(OFFSET($HQ$43,0,($M259*3)+$N259,53,1)*Y$43:Y$95)</f>
        <v>0</v>
      </c>
      <c r="Z259" s="6">
        <f t="array" aca="1" ref="Z259" ca="1">SUM(OFFSET($HQ$43,0,($M259*3)+$N259,53,1)*Z$43:Z$95)</f>
        <v>0</v>
      </c>
      <c r="AA259" s="6">
        <f t="shared" ca="1" si="129"/>
        <v>0</v>
      </c>
      <c r="AB259" s="6">
        <f t="shared" ca="1" si="130"/>
        <v>0</v>
      </c>
      <c r="AC259" s="6"/>
      <c r="AD259" s="8"/>
      <c r="AE259" t="str">
        <f t="shared" si="128"/>
        <v>Diagnostic (N)</v>
      </c>
      <c r="AF259" s="8">
        <f ca="1">SUMIFS(O$333:O$335,$L$333:$L$335,$AE239)+IF(OR(AND('Aggregate summary'!$L$3="Yes",'Aggregate summary'!$E$3="POD"),AND('Aggregate summary'!$U$3="Process",'Aggregate summary'!$T$76="Clearance + downstream effects")),SUMIFS(O$394:O$396,$L$394:$L$396,$AE239),0)</f>
        <v>0</v>
      </c>
      <c r="AG259" s="8">
        <f ca="1">SUMIFS(P$333:P$335,$L$333:$L$335,$AE239)+IF(OR(AND('Aggregate summary'!$L$3="Yes",'Aggregate summary'!$E$3="POD"),AND('Aggregate summary'!$U$3="Process",'Aggregate summary'!$T$76="Clearance + downstream effects")),SUMIFS(P$394:P$396,$L$394:$L$396,$AE239),0)</f>
        <v>0</v>
      </c>
      <c r="AH259" s="8">
        <f ca="1">SUMIFS(Q$333:Q$335,$L$333:$L$335,$AE239)+IF(OR(AND('Aggregate summary'!$L$3="Yes",'Aggregate summary'!$E$3="POD"),AND('Aggregate summary'!$U$3="Process",'Aggregate summary'!$T$76="Clearance + downstream effects")),SUMIFS(Q$394:Q$396,$L$394:$L$396,$AE239),0)</f>
        <v>0</v>
      </c>
      <c r="AI259" s="8">
        <f ca="1">SUMIFS(R$333:R$335,$L$333:$L$335,$AE239)+IF(OR(AND('Aggregate summary'!$L$3="Yes",'Aggregate summary'!$E$3="POD"),AND('Aggregate summary'!$U$3="Process",'Aggregate summary'!$T$76="Clearance + downstream effects")),SUMIFS(R$394:R$396,$L$394:$L$396,$AE239),0)</f>
        <v>0</v>
      </c>
      <c r="AJ259" s="8">
        <f ca="1">SUMIFS(S$333:S$335,$L$333:$L$335,$AE239)+IF(OR(AND('Aggregate summary'!$L$3="Yes",'Aggregate summary'!$E$3="POD"),AND('Aggregate summary'!$U$3="Process",'Aggregate summary'!$T$76="Clearance + downstream effects")),SUMIFS(S$394:S$396,$L$394:$L$396,$AE239),0)</f>
        <v>0</v>
      </c>
      <c r="AK259" s="8">
        <f ca="1">SUMIFS(T$333:T$335,$L$333:$L$335,$AE239)+IF(OR(AND('Aggregate summary'!$L$3="Yes",'Aggregate summary'!$E$3="POD"),AND('Aggregate summary'!$U$3="Process",'Aggregate summary'!$T$76="Clearance + downstream effects")),SUMIFS(T$394:T$396,$L$394:$L$396,$AE239),0)</f>
        <v>0</v>
      </c>
      <c r="AL259" s="8">
        <f ca="1">SUMIFS(U$333:U$335,$L$333:$L$335,$AE239)+IF(OR(AND('Aggregate summary'!$L$3="Yes",'Aggregate summary'!$E$3="POD"),AND('Aggregate summary'!$U$3="Process",'Aggregate summary'!$T$76="Clearance + downstream effects")),SUMIFS(U$394:U$396,$L$394:$L$396,$AE239),0)</f>
        <v>0</v>
      </c>
      <c r="AM259" s="8">
        <f ca="1">SUMIFS(V$333:V$335,$L$333:$L$335,$AE239)+IF(OR(AND('Aggregate summary'!$L$3="Yes",'Aggregate summary'!$E$3="POD"),AND('Aggregate summary'!$U$3="Process",'Aggregate summary'!$T$76="Clearance + downstream effects")),SUMIFS(V$394:V$396,$L$394:$L$396,$AE239),0)</f>
        <v>0</v>
      </c>
      <c r="AN259" s="8">
        <f ca="1">SUMIFS(W$333:W$335,$L$333:$L$335,$AE239)+IF(OR(AND('Aggregate summary'!$L$3="Yes",'Aggregate summary'!$E$3="POD"),AND('Aggregate summary'!$U$3="Process",'Aggregate summary'!$T$76="Clearance + downstream effects")),SUMIFS(W$394:W$396,$L$394:$L$396,$AE239),0)</f>
        <v>0</v>
      </c>
      <c r="AO259" s="8">
        <f ca="1">SUMIFS(X$333:X$335,$L$333:$L$335,$AE239)+IF(OR(AND('Aggregate summary'!$L$3="Yes",'Aggregate summary'!$E$3="POD"),AND('Aggregate summary'!$U$3="Process",'Aggregate summary'!$T$76="Clearance + downstream effects")),SUMIFS(X$394:X$396,$L$394:$L$396,$AE239),0)</f>
        <v>0</v>
      </c>
      <c r="AP259" s="8">
        <f ca="1">SUMIFS(Y$333:Y$335,$L$333:$L$335,$AE239)+IF(OR(AND('Aggregate summary'!$L$3="Yes",'Aggregate summary'!$E$3="POD"),AND('Aggregate summary'!$U$3="Process",'Aggregate summary'!$T$76="Clearance + downstream effects")),SUMIFS(Y$394:Y$396,$L$394:$L$396,$AE239),0)</f>
        <v>0</v>
      </c>
      <c r="AQ259" s="8">
        <f ca="1">SUMIFS(Z$333:Z$335,$L$333:$L$335,$AE239)+IF(OR(AND('Aggregate summary'!$L$3="Yes",'Aggregate summary'!$E$3="POD"),AND('Aggregate summary'!$U$3="Process",'Aggregate summary'!$T$76="Clearance + downstream effects")),SUMIFS(Z$394:Z$396,$L$394:$L$396,$AE239),0)</f>
        <v>0</v>
      </c>
    </row>
    <row r="260" spans="1:43" x14ac:dyDescent="0.25">
      <c r="A260">
        <f>1</f>
        <v>1</v>
      </c>
      <c r="B260" s="85">
        <f t="shared" si="127"/>
        <v>44048</v>
      </c>
      <c r="C260" s="85">
        <f t="shared" si="123"/>
        <v>44046</v>
      </c>
      <c r="D260">
        <f t="shared" ca="1" si="124"/>
        <v>1</v>
      </c>
      <c r="E260" s="85">
        <f t="shared" si="125"/>
        <v>44044</v>
      </c>
      <c r="F260">
        <f t="shared" si="126"/>
        <v>32</v>
      </c>
      <c r="M260">
        <v>5</v>
      </c>
      <c r="N260">
        <v>1</v>
      </c>
      <c r="O260" s="6">
        <f t="array" aca="1" ref="O260" ca="1">SUM(OFFSET($HQ$43,0,($M260*3)+$N260,53,1)*O$43:O$95)</f>
        <v>0</v>
      </c>
      <c r="P260" s="6">
        <f t="array" aca="1" ref="P260" ca="1">SUM(OFFSET($HQ$43,0,($M260*3)+$N260,53,1)*P$43:P$95)</f>
        <v>0</v>
      </c>
      <c r="Q260" s="6">
        <f t="array" aca="1" ref="Q260" ca="1">SUM(OFFSET($HQ$43,0,($M260*3)+$N260,53,1)*Q$43:Q$95)</f>
        <v>0</v>
      </c>
      <c r="R260" s="6">
        <f t="array" aca="1" ref="R260" ca="1">SUM(OFFSET($HQ$43,0,($M260*3)+$N260,53,1)*R$43:R$95)</f>
        <v>0</v>
      </c>
      <c r="S260" s="6">
        <f t="array" aca="1" ref="S260" ca="1">SUM(OFFSET($HQ$43,0,($M260*3)+$N260,53,1)*S$43:S$95)</f>
        <v>0</v>
      </c>
      <c r="T260" s="6">
        <f t="array" aca="1" ref="T260" ca="1">SUM(OFFSET($HQ$43,0,($M260*3)+$N260,53,1)*T$43:T$95)</f>
        <v>0</v>
      </c>
      <c r="U260" s="6">
        <f t="array" aca="1" ref="U260" ca="1">SUM(OFFSET($HQ$43,0,($M260*3)+$N260,53,1)*U$43:U$95)</f>
        <v>0</v>
      </c>
      <c r="V260" s="6">
        <f t="array" aca="1" ref="V260" ca="1">SUM(OFFSET($HQ$43,0,($M260*3)+$N260,53,1)*V$43:V$95)</f>
        <v>0</v>
      </c>
      <c r="W260" s="6">
        <f t="array" aca="1" ref="W260" ca="1">SUM(OFFSET($HQ$43,0,($M260*3)+$N260,53,1)*W$43:W$95)</f>
        <v>0</v>
      </c>
      <c r="X260" s="6">
        <f t="array" aca="1" ref="X260" ca="1">SUM(OFFSET($HQ$43,0,($M260*3)+$N260,53,1)*X$43:X$95)</f>
        <v>0</v>
      </c>
      <c r="Y260" s="6">
        <f t="array" aca="1" ref="Y260" ca="1">SUM(OFFSET($HQ$43,0,($M260*3)+$N260,53,1)*Y$43:Y$95)</f>
        <v>0</v>
      </c>
      <c r="Z260" s="6">
        <f t="array" aca="1" ref="Z260" ca="1">SUM(OFFSET($HQ$43,0,($M260*3)+$N260,53,1)*Z$43:Z$95)</f>
        <v>0</v>
      </c>
      <c r="AA260" s="6">
        <f t="shared" ca="1" si="129"/>
        <v>0</v>
      </c>
      <c r="AB260" s="6">
        <f t="shared" ca="1" si="130"/>
        <v>0</v>
      </c>
      <c r="AC260" s="6"/>
      <c r="AD260" s="8"/>
      <c r="AE260" t="str">
        <f t="shared" si="128"/>
        <v>Follow Up</v>
      </c>
      <c r="AF260" s="8">
        <f ca="1">SUMIFS(O$333:O$335,$L$333:$L$335,$AE240)+IF(OR(AND('Aggregate summary'!$L$3="Yes",'Aggregate summary'!$E$3="POD"),AND('Aggregate summary'!$U$3="Process",'Aggregate summary'!$T$76="Clearance + downstream effects")),SUMIFS(O$394:O$396,$L$394:$L$396,$AE240),0)</f>
        <v>0</v>
      </c>
      <c r="AG260" s="8">
        <f ca="1">SUMIFS(P$333:P$335,$L$333:$L$335,$AE240)+IF(OR(AND('Aggregate summary'!$L$3="Yes",'Aggregate summary'!$E$3="POD"),AND('Aggregate summary'!$U$3="Process",'Aggregate summary'!$T$76="Clearance + downstream effects")),SUMIFS(P$394:P$396,$L$394:$L$396,$AE240),0)</f>
        <v>0</v>
      </c>
      <c r="AH260" s="8">
        <f ca="1">SUMIFS(Q$333:Q$335,$L$333:$L$335,$AE240)+IF(OR(AND('Aggregate summary'!$L$3="Yes",'Aggregate summary'!$E$3="POD"),AND('Aggregate summary'!$U$3="Process",'Aggregate summary'!$T$76="Clearance + downstream effects")),SUMIFS(Q$394:Q$396,$L$394:$L$396,$AE240),0)</f>
        <v>0</v>
      </c>
      <c r="AI260" s="8">
        <f ca="1">SUMIFS(R$333:R$335,$L$333:$L$335,$AE240)+IF(OR(AND('Aggregate summary'!$L$3="Yes",'Aggregate summary'!$E$3="POD"),AND('Aggregate summary'!$U$3="Process",'Aggregate summary'!$T$76="Clearance + downstream effects")),SUMIFS(R$394:R$396,$L$394:$L$396,$AE240),0)</f>
        <v>0</v>
      </c>
      <c r="AJ260" s="8">
        <f ca="1">SUMIFS(S$333:S$335,$L$333:$L$335,$AE240)+IF(OR(AND('Aggregate summary'!$L$3="Yes",'Aggregate summary'!$E$3="POD"),AND('Aggregate summary'!$U$3="Process",'Aggregate summary'!$T$76="Clearance + downstream effects")),SUMIFS(S$394:S$396,$L$394:$L$396,$AE240),0)</f>
        <v>0</v>
      </c>
      <c r="AK260" s="8">
        <f ca="1">SUMIFS(T$333:T$335,$L$333:$L$335,$AE240)+IF(OR(AND('Aggregate summary'!$L$3="Yes",'Aggregate summary'!$E$3="POD"),AND('Aggregate summary'!$U$3="Process",'Aggregate summary'!$T$76="Clearance + downstream effects")),SUMIFS(T$394:T$396,$L$394:$L$396,$AE240),0)</f>
        <v>0</v>
      </c>
      <c r="AL260" s="8">
        <f ca="1">SUMIFS(U$333:U$335,$L$333:$L$335,$AE240)+IF(OR(AND('Aggregate summary'!$L$3="Yes",'Aggregate summary'!$E$3="POD"),AND('Aggregate summary'!$U$3="Process",'Aggregate summary'!$T$76="Clearance + downstream effects")),SUMIFS(U$394:U$396,$L$394:$L$396,$AE240),0)</f>
        <v>0</v>
      </c>
      <c r="AM260" s="8">
        <f ca="1">SUMIFS(V$333:V$335,$L$333:$L$335,$AE240)+IF(OR(AND('Aggregate summary'!$L$3="Yes",'Aggregate summary'!$E$3="POD"),AND('Aggregate summary'!$U$3="Process",'Aggregate summary'!$T$76="Clearance + downstream effects")),SUMIFS(V$394:V$396,$L$394:$L$396,$AE240),0)</f>
        <v>0</v>
      </c>
      <c r="AN260" s="8">
        <f ca="1">SUMIFS(W$333:W$335,$L$333:$L$335,$AE240)+IF(OR(AND('Aggregate summary'!$L$3="Yes",'Aggregate summary'!$E$3="POD"),AND('Aggregate summary'!$U$3="Process",'Aggregate summary'!$T$76="Clearance + downstream effects")),SUMIFS(W$394:W$396,$L$394:$L$396,$AE240),0)</f>
        <v>0</v>
      </c>
      <c r="AO260" s="8">
        <f ca="1">SUMIFS(X$333:X$335,$L$333:$L$335,$AE240)+IF(OR(AND('Aggregate summary'!$L$3="Yes",'Aggregate summary'!$E$3="POD"),AND('Aggregate summary'!$U$3="Process",'Aggregate summary'!$T$76="Clearance + downstream effects")),SUMIFS(X$394:X$396,$L$394:$L$396,$AE240),0)</f>
        <v>0</v>
      </c>
      <c r="AP260" s="8">
        <f ca="1">SUMIFS(Y$333:Y$335,$L$333:$L$335,$AE240)+IF(OR(AND('Aggregate summary'!$L$3="Yes",'Aggregate summary'!$E$3="POD"),AND('Aggregate summary'!$U$3="Process",'Aggregate summary'!$T$76="Clearance + downstream effects")),SUMIFS(Y$394:Y$396,$L$394:$L$396,$AE240),0)</f>
        <v>0</v>
      </c>
      <c r="AQ260" s="8">
        <f ca="1">SUMIFS(Z$333:Z$335,$L$333:$L$335,$AE240)+IF(OR(AND('Aggregate summary'!$L$3="Yes",'Aggregate summary'!$E$3="POD"),AND('Aggregate summary'!$U$3="Process",'Aggregate summary'!$T$76="Clearance + downstream effects")),SUMIFS(Z$394:Z$396,$L$394:$L$396,$AE240),0)</f>
        <v>0</v>
      </c>
    </row>
    <row r="261" spans="1:43" x14ac:dyDescent="0.25">
      <c r="A261">
        <f>1</f>
        <v>1</v>
      </c>
      <c r="B261" s="85">
        <f t="shared" si="127"/>
        <v>44049</v>
      </c>
      <c r="C261" s="85">
        <f t="shared" si="123"/>
        <v>44046</v>
      </c>
      <c r="D261">
        <f t="shared" ca="1" si="124"/>
        <v>1</v>
      </c>
      <c r="E261" s="85">
        <f t="shared" si="125"/>
        <v>44044</v>
      </c>
      <c r="F261">
        <f t="shared" si="126"/>
        <v>32</v>
      </c>
      <c r="M261">
        <v>5</v>
      </c>
      <c r="N261">
        <v>2</v>
      </c>
      <c r="O261" s="6">
        <f t="array" aca="1" ref="O261" ca="1">SUM(OFFSET($HQ$43,0,($M261*3)+$N261,53,1)*O$43:O$95)</f>
        <v>0</v>
      </c>
      <c r="P261" s="6">
        <f t="array" aca="1" ref="P261" ca="1">SUM(OFFSET($HQ$43,0,($M261*3)+$N261,53,1)*P$43:P$95)</f>
        <v>0</v>
      </c>
      <c r="Q261" s="6">
        <f t="array" aca="1" ref="Q261" ca="1">SUM(OFFSET($HQ$43,0,($M261*3)+$N261,53,1)*Q$43:Q$95)</f>
        <v>0</v>
      </c>
      <c r="R261" s="6">
        <f t="array" aca="1" ref="R261" ca="1">SUM(OFFSET($HQ$43,0,($M261*3)+$N261,53,1)*R$43:R$95)</f>
        <v>0</v>
      </c>
      <c r="S261" s="6">
        <f t="array" aca="1" ref="S261" ca="1">SUM(OFFSET($HQ$43,0,($M261*3)+$N261,53,1)*S$43:S$95)</f>
        <v>0</v>
      </c>
      <c r="T261" s="6">
        <f t="array" aca="1" ref="T261" ca="1">SUM(OFFSET($HQ$43,0,($M261*3)+$N261,53,1)*T$43:T$95)</f>
        <v>0</v>
      </c>
      <c r="U261" s="6">
        <f t="array" aca="1" ref="U261" ca="1">SUM(OFFSET($HQ$43,0,($M261*3)+$N261,53,1)*U$43:U$95)</f>
        <v>0</v>
      </c>
      <c r="V261" s="6">
        <f t="array" aca="1" ref="V261" ca="1">SUM(OFFSET($HQ$43,0,($M261*3)+$N261,53,1)*V$43:V$95)</f>
        <v>0</v>
      </c>
      <c r="W261" s="6">
        <f t="array" aca="1" ref="W261" ca="1">SUM(OFFSET($HQ$43,0,($M261*3)+$N261,53,1)*W$43:W$95)</f>
        <v>0</v>
      </c>
      <c r="X261" s="6">
        <f t="array" aca="1" ref="X261" ca="1">SUM(OFFSET($HQ$43,0,($M261*3)+$N261,53,1)*X$43:X$95)</f>
        <v>0</v>
      </c>
      <c r="Y261" s="6">
        <f t="array" aca="1" ref="Y261" ca="1">SUM(OFFSET($HQ$43,0,($M261*3)+$N261,53,1)*Y$43:Y$95)</f>
        <v>0</v>
      </c>
      <c r="Z261" s="6">
        <f t="array" aca="1" ref="Z261" ca="1">SUM(OFFSET($HQ$43,0,($M261*3)+$N261,53,1)*Z$43:Z$95)</f>
        <v>0</v>
      </c>
      <c r="AA261" s="6">
        <f t="shared" ca="1" si="129"/>
        <v>0</v>
      </c>
      <c r="AB261" s="6">
        <f t="shared" ca="1" si="130"/>
        <v>0</v>
      </c>
      <c r="AC261" s="6"/>
      <c r="AD261" s="8"/>
      <c r="AE261" t="str">
        <f t="shared" si="128"/>
        <v>Diagnostic (FU)</v>
      </c>
      <c r="AF261" s="8">
        <f ca="1">SUMIFS(O$333:O$335,$L$333:$L$335,$AE241)+IF(OR(AND('Aggregate summary'!$L$3="Yes",'Aggregate summary'!$E$3="POD"),AND('Aggregate summary'!$U$3="Process",'Aggregate summary'!$T$76="Clearance + downstream effects")),SUMIFS(O$394:O$396,$L$394:$L$396,$AE241),0)</f>
        <v>0</v>
      </c>
      <c r="AG261" s="8">
        <f ca="1">SUMIFS(P$333:P$335,$L$333:$L$335,$AE241)+IF(OR(AND('Aggregate summary'!$L$3="Yes",'Aggregate summary'!$E$3="POD"),AND('Aggregate summary'!$U$3="Process",'Aggregate summary'!$T$76="Clearance + downstream effects")),SUMIFS(P$394:P$396,$L$394:$L$396,$AE241),0)</f>
        <v>0</v>
      </c>
      <c r="AH261" s="8">
        <f ca="1">SUMIFS(Q$333:Q$335,$L$333:$L$335,$AE241)+IF(OR(AND('Aggregate summary'!$L$3="Yes",'Aggregate summary'!$E$3="POD"),AND('Aggregate summary'!$U$3="Process",'Aggregate summary'!$T$76="Clearance + downstream effects")),SUMIFS(Q$394:Q$396,$L$394:$L$396,$AE241),0)</f>
        <v>0</v>
      </c>
      <c r="AI261" s="8">
        <f ca="1">SUMIFS(R$333:R$335,$L$333:$L$335,$AE241)+IF(OR(AND('Aggregate summary'!$L$3="Yes",'Aggregate summary'!$E$3="POD"),AND('Aggregate summary'!$U$3="Process",'Aggregate summary'!$T$76="Clearance + downstream effects")),SUMIFS(R$394:R$396,$L$394:$L$396,$AE241),0)</f>
        <v>0</v>
      </c>
      <c r="AJ261" s="8">
        <f ca="1">SUMIFS(S$333:S$335,$L$333:$L$335,$AE241)+IF(OR(AND('Aggregate summary'!$L$3="Yes",'Aggregate summary'!$E$3="POD"),AND('Aggregate summary'!$U$3="Process",'Aggregate summary'!$T$76="Clearance + downstream effects")),SUMIFS(S$394:S$396,$L$394:$L$396,$AE241),0)</f>
        <v>0</v>
      </c>
      <c r="AK261" s="8">
        <f ca="1">SUMIFS(T$333:T$335,$L$333:$L$335,$AE241)+IF(OR(AND('Aggregate summary'!$L$3="Yes",'Aggregate summary'!$E$3="POD"),AND('Aggregate summary'!$U$3="Process",'Aggregate summary'!$T$76="Clearance + downstream effects")),SUMIFS(T$394:T$396,$L$394:$L$396,$AE241),0)</f>
        <v>0</v>
      </c>
      <c r="AL261" s="8">
        <f ca="1">SUMIFS(U$333:U$335,$L$333:$L$335,$AE241)+IF(OR(AND('Aggregate summary'!$L$3="Yes",'Aggregate summary'!$E$3="POD"),AND('Aggregate summary'!$U$3="Process",'Aggregate summary'!$T$76="Clearance + downstream effects")),SUMIFS(U$394:U$396,$L$394:$L$396,$AE241),0)</f>
        <v>0</v>
      </c>
      <c r="AM261" s="8">
        <f ca="1">SUMIFS(V$333:V$335,$L$333:$L$335,$AE241)+IF(OR(AND('Aggregate summary'!$L$3="Yes",'Aggregate summary'!$E$3="POD"),AND('Aggregate summary'!$U$3="Process",'Aggregate summary'!$T$76="Clearance + downstream effects")),SUMIFS(V$394:V$396,$L$394:$L$396,$AE241),0)</f>
        <v>0</v>
      </c>
      <c r="AN261" s="8">
        <f ca="1">SUMIFS(W$333:W$335,$L$333:$L$335,$AE241)+IF(OR(AND('Aggregate summary'!$L$3="Yes",'Aggregate summary'!$E$3="POD"),AND('Aggregate summary'!$U$3="Process",'Aggregate summary'!$T$76="Clearance + downstream effects")),SUMIFS(W$394:W$396,$L$394:$L$396,$AE241),0)</f>
        <v>0</v>
      </c>
      <c r="AO261" s="8">
        <f ca="1">SUMIFS(X$333:X$335,$L$333:$L$335,$AE241)+IF(OR(AND('Aggregate summary'!$L$3="Yes",'Aggregate summary'!$E$3="POD"),AND('Aggregate summary'!$U$3="Process",'Aggregate summary'!$T$76="Clearance + downstream effects")),SUMIFS(X$394:X$396,$L$394:$L$396,$AE241),0)</f>
        <v>0</v>
      </c>
      <c r="AP261" s="8">
        <f ca="1">SUMIFS(Y$333:Y$335,$L$333:$L$335,$AE241)+IF(OR(AND('Aggregate summary'!$L$3="Yes",'Aggregate summary'!$E$3="POD"),AND('Aggregate summary'!$U$3="Process",'Aggregate summary'!$T$76="Clearance + downstream effects")),SUMIFS(Y$394:Y$396,$L$394:$L$396,$AE241),0)</f>
        <v>0</v>
      </c>
      <c r="AQ261" s="8">
        <f ca="1">SUMIFS(Z$333:Z$335,$L$333:$L$335,$AE241)+IF(OR(AND('Aggregate summary'!$L$3="Yes",'Aggregate summary'!$E$3="POD"),AND('Aggregate summary'!$U$3="Process",'Aggregate summary'!$T$76="Clearance + downstream effects")),SUMIFS(Z$394:Z$396,$L$394:$L$396,$AE241),0)</f>
        <v>0</v>
      </c>
    </row>
    <row r="262" spans="1:43" x14ac:dyDescent="0.25">
      <c r="A262">
        <f>1</f>
        <v>1</v>
      </c>
      <c r="B262" s="85">
        <f t="shared" si="127"/>
        <v>44050</v>
      </c>
      <c r="C262" s="85">
        <f t="shared" si="123"/>
        <v>44046</v>
      </c>
      <c r="D262">
        <f t="shared" ca="1" si="124"/>
        <v>1</v>
      </c>
      <c r="E262" s="85">
        <f t="shared" si="125"/>
        <v>44044</v>
      </c>
      <c r="F262">
        <f t="shared" si="126"/>
        <v>32</v>
      </c>
      <c r="M262">
        <v>5</v>
      </c>
      <c r="N262">
        <v>3</v>
      </c>
      <c r="O262" s="6">
        <f t="array" aca="1" ref="O262" ca="1">SUM(OFFSET($HQ$43,0,($M262*3)+$N262,53,1)*O$43:O$95)</f>
        <v>0</v>
      </c>
      <c r="P262" s="6">
        <f t="array" aca="1" ref="P262" ca="1">SUM(OFFSET($HQ$43,0,($M262*3)+$N262,53,1)*P$43:P$95)</f>
        <v>0</v>
      </c>
      <c r="Q262" s="6">
        <f t="array" aca="1" ref="Q262" ca="1">SUM(OFFSET($HQ$43,0,($M262*3)+$N262,53,1)*Q$43:Q$95)</f>
        <v>0</v>
      </c>
      <c r="R262" s="6">
        <f t="array" aca="1" ref="R262" ca="1">SUM(OFFSET($HQ$43,0,($M262*3)+$N262,53,1)*R$43:R$95)</f>
        <v>0</v>
      </c>
      <c r="S262" s="6">
        <f t="array" aca="1" ref="S262" ca="1">SUM(OFFSET($HQ$43,0,($M262*3)+$N262,53,1)*S$43:S$95)</f>
        <v>0</v>
      </c>
      <c r="T262" s="6">
        <f t="array" aca="1" ref="T262" ca="1">SUM(OFFSET($HQ$43,0,($M262*3)+$N262,53,1)*T$43:T$95)</f>
        <v>0</v>
      </c>
      <c r="U262" s="6">
        <f t="array" aca="1" ref="U262" ca="1">SUM(OFFSET($HQ$43,0,($M262*3)+$N262,53,1)*U$43:U$95)</f>
        <v>0</v>
      </c>
      <c r="V262" s="6">
        <f t="array" aca="1" ref="V262" ca="1">SUM(OFFSET($HQ$43,0,($M262*3)+$N262,53,1)*V$43:V$95)</f>
        <v>0</v>
      </c>
      <c r="W262" s="6">
        <f t="array" aca="1" ref="W262" ca="1">SUM(OFFSET($HQ$43,0,($M262*3)+$N262,53,1)*W$43:W$95)</f>
        <v>0</v>
      </c>
      <c r="X262" s="6">
        <f t="array" aca="1" ref="X262" ca="1">SUM(OFFSET($HQ$43,0,($M262*3)+$N262,53,1)*X$43:X$95)</f>
        <v>0</v>
      </c>
      <c r="Y262" s="6">
        <f t="array" aca="1" ref="Y262" ca="1">SUM(OFFSET($HQ$43,0,($M262*3)+$N262,53,1)*Y$43:Y$95)</f>
        <v>0</v>
      </c>
      <c r="Z262" s="6">
        <f t="array" aca="1" ref="Z262" ca="1">SUM(OFFSET($HQ$43,0,($M262*3)+$N262,53,1)*Z$43:Z$95)</f>
        <v>0</v>
      </c>
      <c r="AA262" s="6">
        <f t="shared" ca="1" si="129"/>
        <v>0</v>
      </c>
      <c r="AB262" s="6">
        <f t="shared" ca="1" si="130"/>
        <v>0</v>
      </c>
      <c r="AC262" s="6"/>
      <c r="AD262" s="8"/>
      <c r="AE262" t="str">
        <f t="shared" si="128"/>
        <v>Admission</v>
      </c>
      <c r="AF262" s="8">
        <f ca="1">SUMIFS(O$333:O$335,$L$333:$L$335,$AE242)+IF(OR(AND('Aggregate summary'!$L$3="Yes",'Aggregate summary'!$E$3="POD"),AND('Aggregate summary'!$U$3="Process",'Aggregate summary'!$T$76="Clearance + downstream effects")),SUMIFS(O$394:O$396,$L$394:$L$396,$AE242),0)</f>
        <v>0</v>
      </c>
      <c r="AG262" s="8">
        <f ca="1">SUMIFS(P$333:P$335,$L$333:$L$335,$AE242)+IF(OR(AND('Aggregate summary'!$L$3="Yes",'Aggregate summary'!$E$3="POD"),AND('Aggregate summary'!$U$3="Process",'Aggregate summary'!$T$76="Clearance + downstream effects")),SUMIFS(P$394:P$396,$L$394:$L$396,$AE242),0)</f>
        <v>0</v>
      </c>
      <c r="AH262" s="8">
        <f ca="1">SUMIFS(Q$333:Q$335,$L$333:$L$335,$AE242)+IF(OR(AND('Aggregate summary'!$L$3="Yes",'Aggregate summary'!$E$3="POD"),AND('Aggregate summary'!$U$3="Process",'Aggregate summary'!$T$76="Clearance + downstream effects")),SUMIFS(Q$394:Q$396,$L$394:$L$396,$AE242),0)</f>
        <v>0</v>
      </c>
      <c r="AI262" s="8">
        <f ca="1">SUMIFS(R$333:R$335,$L$333:$L$335,$AE242)+IF(OR(AND('Aggregate summary'!$L$3="Yes",'Aggregate summary'!$E$3="POD"),AND('Aggregate summary'!$U$3="Process",'Aggregate summary'!$T$76="Clearance + downstream effects")),SUMIFS(R$394:R$396,$L$394:$L$396,$AE242),0)</f>
        <v>0</v>
      </c>
      <c r="AJ262" s="8">
        <f ca="1">SUMIFS(S$333:S$335,$L$333:$L$335,$AE242)+IF(OR(AND('Aggregate summary'!$L$3="Yes",'Aggregate summary'!$E$3="POD"),AND('Aggregate summary'!$U$3="Process",'Aggregate summary'!$T$76="Clearance + downstream effects")),SUMIFS(S$394:S$396,$L$394:$L$396,$AE242),0)</f>
        <v>0</v>
      </c>
      <c r="AK262" s="8">
        <f ca="1">SUMIFS(T$333:T$335,$L$333:$L$335,$AE242)+IF(OR(AND('Aggregate summary'!$L$3="Yes",'Aggregate summary'!$E$3="POD"),AND('Aggregate summary'!$U$3="Process",'Aggregate summary'!$T$76="Clearance + downstream effects")),SUMIFS(T$394:T$396,$L$394:$L$396,$AE242),0)</f>
        <v>0</v>
      </c>
      <c r="AL262" s="8">
        <f ca="1">SUMIFS(U$333:U$335,$L$333:$L$335,$AE242)+IF(OR(AND('Aggregate summary'!$L$3="Yes",'Aggregate summary'!$E$3="POD"),AND('Aggregate summary'!$U$3="Process",'Aggregate summary'!$T$76="Clearance + downstream effects")),SUMIFS(U$394:U$396,$L$394:$L$396,$AE242),0)</f>
        <v>0</v>
      </c>
      <c r="AM262" s="8">
        <f ca="1">SUMIFS(V$333:V$335,$L$333:$L$335,$AE242)+IF(OR(AND('Aggregate summary'!$L$3="Yes",'Aggregate summary'!$E$3="POD"),AND('Aggregate summary'!$U$3="Process",'Aggregate summary'!$T$76="Clearance + downstream effects")),SUMIFS(V$394:V$396,$L$394:$L$396,$AE242),0)</f>
        <v>0</v>
      </c>
      <c r="AN262" s="8">
        <f ca="1">SUMIFS(W$333:W$335,$L$333:$L$335,$AE242)+IF(OR(AND('Aggregate summary'!$L$3="Yes",'Aggregate summary'!$E$3="POD"),AND('Aggregate summary'!$U$3="Process",'Aggregate summary'!$T$76="Clearance + downstream effects")),SUMIFS(W$394:W$396,$L$394:$L$396,$AE242),0)</f>
        <v>0</v>
      </c>
      <c r="AO262" s="8">
        <f ca="1">SUMIFS(X$333:X$335,$L$333:$L$335,$AE242)+IF(OR(AND('Aggregate summary'!$L$3="Yes",'Aggregate summary'!$E$3="POD"),AND('Aggregate summary'!$U$3="Process",'Aggregate summary'!$T$76="Clearance + downstream effects")),SUMIFS(X$394:X$396,$L$394:$L$396,$AE242),0)</f>
        <v>0</v>
      </c>
      <c r="AP262" s="8">
        <f ca="1">SUMIFS(Y$333:Y$335,$L$333:$L$335,$AE242)+IF(OR(AND('Aggregate summary'!$L$3="Yes",'Aggregate summary'!$E$3="POD"),AND('Aggregate summary'!$U$3="Process",'Aggregate summary'!$T$76="Clearance + downstream effects")),SUMIFS(Y$394:Y$396,$L$394:$L$396,$AE242),0)</f>
        <v>0</v>
      </c>
      <c r="AQ262" s="8">
        <f ca="1">SUMIFS(Z$333:Z$335,$L$333:$L$335,$AE242)+IF(OR(AND('Aggregate summary'!$L$3="Yes",'Aggregate summary'!$E$3="POD"),AND('Aggregate summary'!$U$3="Process",'Aggregate summary'!$T$76="Clearance + downstream effects")),SUMIFS(Z$394:Z$396,$L$394:$L$396,$AE242),0)</f>
        <v>0</v>
      </c>
    </row>
    <row r="263" spans="1:43" x14ac:dyDescent="0.25">
      <c r="A263">
        <f>1</f>
        <v>1</v>
      </c>
      <c r="B263" s="85">
        <f t="shared" si="127"/>
        <v>44051</v>
      </c>
      <c r="C263" s="85">
        <f t="shared" si="123"/>
        <v>44046</v>
      </c>
      <c r="D263">
        <f t="shared" ca="1" si="124"/>
        <v>0</v>
      </c>
      <c r="E263" s="85">
        <f t="shared" si="125"/>
        <v>44044</v>
      </c>
      <c r="F263">
        <f t="shared" si="126"/>
        <v>32</v>
      </c>
      <c r="M263">
        <v>6</v>
      </c>
      <c r="N263">
        <v>1</v>
      </c>
      <c r="O263" s="6">
        <f t="array" aca="1" ref="O263" ca="1">SUM(OFFSET($HQ$43,0,($M263*3)+$N263,53,1)*O$43:O$95)</f>
        <v>0</v>
      </c>
      <c r="P263" s="6">
        <f t="array" aca="1" ref="P263" ca="1">SUM(OFFSET($HQ$43,0,($M263*3)+$N263,53,1)*P$43:P$95)</f>
        <v>0</v>
      </c>
      <c r="Q263" s="6">
        <f t="array" aca="1" ref="Q263" ca="1">SUM(OFFSET($HQ$43,0,($M263*3)+$N263,53,1)*Q$43:Q$95)</f>
        <v>0</v>
      </c>
      <c r="R263" s="6">
        <f t="array" aca="1" ref="R263" ca="1">SUM(OFFSET($HQ$43,0,($M263*3)+$N263,53,1)*R$43:R$95)</f>
        <v>0</v>
      </c>
      <c r="S263" s="6">
        <f t="array" aca="1" ref="S263" ca="1">SUM(OFFSET($HQ$43,0,($M263*3)+$N263,53,1)*S$43:S$95)</f>
        <v>0</v>
      </c>
      <c r="T263" s="6">
        <f t="array" aca="1" ref="T263" ca="1">SUM(OFFSET($HQ$43,0,($M263*3)+$N263,53,1)*T$43:T$95)</f>
        <v>0</v>
      </c>
      <c r="U263" s="6">
        <f t="array" aca="1" ref="U263" ca="1">SUM(OFFSET($HQ$43,0,($M263*3)+$N263,53,1)*U$43:U$95)</f>
        <v>0</v>
      </c>
      <c r="V263" s="6">
        <f t="array" aca="1" ref="V263" ca="1">SUM(OFFSET($HQ$43,0,($M263*3)+$N263,53,1)*V$43:V$95)</f>
        <v>0</v>
      </c>
      <c r="W263" s="6">
        <f t="array" aca="1" ref="W263" ca="1">SUM(OFFSET($HQ$43,0,($M263*3)+$N263,53,1)*W$43:W$95)</f>
        <v>0</v>
      </c>
      <c r="X263" s="6">
        <f t="array" aca="1" ref="X263" ca="1">SUM(OFFSET($HQ$43,0,($M263*3)+$N263,53,1)*X$43:X$95)</f>
        <v>0</v>
      </c>
      <c r="Y263" s="6">
        <f t="array" aca="1" ref="Y263" ca="1">SUM(OFFSET($HQ$43,0,($M263*3)+$N263,53,1)*Y$43:Y$95)</f>
        <v>0</v>
      </c>
      <c r="Z263" s="6">
        <f t="array" aca="1" ref="Z263" ca="1">SUM(OFFSET($HQ$43,0,($M263*3)+$N263,53,1)*Z$43:Z$95)</f>
        <v>0</v>
      </c>
      <c r="AA263" s="6">
        <f t="shared" ca="1" si="129"/>
        <v>0</v>
      </c>
      <c r="AB263" s="6">
        <f t="shared" ca="1" si="130"/>
        <v>0</v>
      </c>
      <c r="AC263" s="6"/>
      <c r="AD263" s="8">
        <v>6</v>
      </c>
      <c r="AE263" t="str">
        <f t="shared" si="128"/>
        <v>New</v>
      </c>
      <c r="AF263" s="8">
        <f ca="1">SUMIFS(O$336:O$338,$L$336:$L$338,$AE238)+IF(OR(AND('Aggregate summary'!$L$3="Yes",'Aggregate summary'!$E$3="POD"),AND('Aggregate summary'!$U$3="Process",'Aggregate summary'!$T$76="Clearance + downstream effects")),SUMIFS(O$397:O$399,$L$397:$L$399,$AE238),0)</f>
        <v>0</v>
      </c>
      <c r="AG263" s="8">
        <f ca="1">SUMIFS(P$336:P$338,$L$336:$L$338,$AE238)+IF(OR(AND('Aggregate summary'!$L$3="Yes",'Aggregate summary'!$E$3="POD"),AND('Aggregate summary'!$U$3="Process",'Aggregate summary'!$T$76="Clearance + downstream effects")),SUMIFS(P$397:P$399,$L$397:$L$399,$AE238),0)</f>
        <v>0</v>
      </c>
      <c r="AH263" s="8">
        <f ca="1">SUMIFS(Q$336:Q$338,$L$336:$L$338,$AE238)+IF(OR(AND('Aggregate summary'!$L$3="Yes",'Aggregate summary'!$E$3="POD"),AND('Aggregate summary'!$U$3="Process",'Aggregate summary'!$T$76="Clearance + downstream effects")),SUMIFS(Q$397:Q$399,$L$397:$L$399,$AE238),0)</f>
        <v>0</v>
      </c>
      <c r="AI263" s="8">
        <f ca="1">SUMIFS(R$336:R$338,$L$336:$L$338,$AE238)+IF(OR(AND('Aggregate summary'!$L$3="Yes",'Aggregate summary'!$E$3="POD"),AND('Aggregate summary'!$U$3="Process",'Aggregate summary'!$T$76="Clearance + downstream effects")),SUMIFS(R$397:R$399,$L$397:$L$399,$AE238),0)</f>
        <v>0</v>
      </c>
      <c r="AJ263" s="8">
        <f ca="1">SUMIFS(S$336:S$338,$L$336:$L$338,$AE238)+IF(OR(AND('Aggregate summary'!$L$3="Yes",'Aggregate summary'!$E$3="POD"),AND('Aggregate summary'!$U$3="Process",'Aggregate summary'!$T$76="Clearance + downstream effects")),SUMIFS(S$397:S$399,$L$397:$L$399,$AE238),0)</f>
        <v>0</v>
      </c>
      <c r="AK263" s="8">
        <f ca="1">SUMIFS(T$336:T$338,$L$336:$L$338,$AE238)+IF(OR(AND('Aggregate summary'!$L$3="Yes",'Aggregate summary'!$E$3="POD"),AND('Aggregate summary'!$U$3="Process",'Aggregate summary'!$T$76="Clearance + downstream effects")),SUMIFS(T$397:T$399,$L$397:$L$399,$AE238),0)</f>
        <v>0</v>
      </c>
      <c r="AL263" s="8">
        <f ca="1">SUMIFS(U$336:U$338,$L$336:$L$338,$AE238)+IF(OR(AND('Aggregate summary'!$L$3="Yes",'Aggregate summary'!$E$3="POD"),AND('Aggregate summary'!$U$3="Process",'Aggregate summary'!$T$76="Clearance + downstream effects")),SUMIFS(U$397:U$399,$L$397:$L$399,$AE238),0)</f>
        <v>0</v>
      </c>
      <c r="AM263" s="8">
        <f ca="1">SUMIFS(V$336:V$338,$L$336:$L$338,$AE238)+IF(OR(AND('Aggregate summary'!$L$3="Yes",'Aggregate summary'!$E$3="POD"),AND('Aggregate summary'!$U$3="Process",'Aggregate summary'!$T$76="Clearance + downstream effects")),SUMIFS(V$397:V$399,$L$397:$L$399,$AE238),0)</f>
        <v>0</v>
      </c>
      <c r="AN263" s="8">
        <f ca="1">SUMIFS(W$336:W$338,$L$336:$L$338,$AE238)+IF(OR(AND('Aggregate summary'!$L$3="Yes",'Aggregate summary'!$E$3="POD"),AND('Aggregate summary'!$U$3="Process",'Aggregate summary'!$T$76="Clearance + downstream effects")),SUMIFS(W$397:W$399,$L$397:$L$399,$AE238),0)</f>
        <v>0</v>
      </c>
      <c r="AO263" s="8">
        <f ca="1">SUMIFS(X$336:X$338,$L$336:$L$338,$AE238)+IF(OR(AND('Aggregate summary'!$L$3="Yes",'Aggregate summary'!$E$3="POD"),AND('Aggregate summary'!$U$3="Process",'Aggregate summary'!$T$76="Clearance + downstream effects")),SUMIFS(X$397:X$399,$L$397:$L$399,$AE238),0)</f>
        <v>0</v>
      </c>
      <c r="AP263" s="8">
        <f ca="1">SUMIFS(Y$336:Y$338,$L$336:$L$338,$AE238)+IF(OR(AND('Aggregate summary'!$L$3="Yes",'Aggregate summary'!$E$3="POD"),AND('Aggregate summary'!$U$3="Process",'Aggregate summary'!$T$76="Clearance + downstream effects")),SUMIFS(Y$397:Y$399,$L$397:$L$399,$AE238),0)</f>
        <v>0</v>
      </c>
      <c r="AQ263" s="8">
        <f ca="1">SUMIFS(Z$336:Z$338,$L$336:$L$338,$AE238)+IF(OR(AND('Aggregate summary'!$L$3="Yes",'Aggregate summary'!$E$3="POD"),AND('Aggregate summary'!$U$3="Process",'Aggregate summary'!$T$76="Clearance + downstream effects")),SUMIFS(Z$397:Z$399,$L$397:$L$399,$AE238),0)</f>
        <v>0</v>
      </c>
    </row>
    <row r="264" spans="1:43" x14ac:dyDescent="0.25">
      <c r="A264">
        <f>1</f>
        <v>1</v>
      </c>
      <c r="B264" s="85">
        <f t="shared" si="127"/>
        <v>44052</v>
      </c>
      <c r="C264" s="85">
        <f t="shared" si="123"/>
        <v>44046</v>
      </c>
      <c r="D264">
        <f t="shared" ca="1" si="124"/>
        <v>0</v>
      </c>
      <c r="E264" s="85">
        <f t="shared" si="125"/>
        <v>44044</v>
      </c>
      <c r="F264">
        <f t="shared" si="126"/>
        <v>32</v>
      </c>
      <c r="M264">
        <v>6</v>
      </c>
      <c r="N264">
        <v>2</v>
      </c>
      <c r="O264" s="6">
        <f t="array" aca="1" ref="O264" ca="1">SUM(OFFSET($HQ$43,0,($M264*3)+$N264,53,1)*O$43:O$95)</f>
        <v>0</v>
      </c>
      <c r="P264" s="6">
        <f t="array" aca="1" ref="P264" ca="1">SUM(OFFSET($HQ$43,0,($M264*3)+$N264,53,1)*P$43:P$95)</f>
        <v>0</v>
      </c>
      <c r="Q264" s="6">
        <f t="array" aca="1" ref="Q264" ca="1">SUM(OFFSET($HQ$43,0,($M264*3)+$N264,53,1)*Q$43:Q$95)</f>
        <v>0</v>
      </c>
      <c r="R264" s="6">
        <f t="array" aca="1" ref="R264" ca="1">SUM(OFFSET($HQ$43,0,($M264*3)+$N264,53,1)*R$43:R$95)</f>
        <v>0</v>
      </c>
      <c r="S264" s="6">
        <f t="array" aca="1" ref="S264" ca="1">SUM(OFFSET($HQ$43,0,($M264*3)+$N264,53,1)*S$43:S$95)</f>
        <v>0</v>
      </c>
      <c r="T264" s="6">
        <f t="array" aca="1" ref="T264" ca="1">SUM(OFFSET($HQ$43,0,($M264*3)+$N264,53,1)*T$43:T$95)</f>
        <v>0</v>
      </c>
      <c r="U264" s="6">
        <f t="array" aca="1" ref="U264" ca="1">SUM(OFFSET($HQ$43,0,($M264*3)+$N264,53,1)*U$43:U$95)</f>
        <v>0</v>
      </c>
      <c r="V264" s="6">
        <f t="array" aca="1" ref="V264" ca="1">SUM(OFFSET($HQ$43,0,($M264*3)+$N264,53,1)*V$43:V$95)</f>
        <v>0</v>
      </c>
      <c r="W264" s="6">
        <f t="array" aca="1" ref="W264" ca="1">SUM(OFFSET($HQ$43,0,($M264*3)+$N264,53,1)*W$43:W$95)</f>
        <v>0</v>
      </c>
      <c r="X264" s="6">
        <f t="array" aca="1" ref="X264" ca="1">SUM(OFFSET($HQ$43,0,($M264*3)+$N264,53,1)*X$43:X$95)</f>
        <v>0</v>
      </c>
      <c r="Y264" s="6">
        <f t="array" aca="1" ref="Y264" ca="1">SUM(OFFSET($HQ$43,0,($M264*3)+$N264,53,1)*Y$43:Y$95)</f>
        <v>0</v>
      </c>
      <c r="Z264" s="6">
        <f t="array" aca="1" ref="Z264" ca="1">SUM(OFFSET($HQ$43,0,($M264*3)+$N264,53,1)*Z$43:Z$95)</f>
        <v>0</v>
      </c>
      <c r="AA264" s="6">
        <f t="shared" ca="1" si="129"/>
        <v>0</v>
      </c>
      <c r="AB264" s="6">
        <f t="shared" ca="1" si="130"/>
        <v>0</v>
      </c>
      <c r="AC264" s="6"/>
      <c r="AD264" s="8"/>
      <c r="AE264" t="str">
        <f t="shared" si="128"/>
        <v>Diagnostic (N)</v>
      </c>
      <c r="AF264" s="8">
        <f ca="1">SUMIFS(O$336:O$338,$L$336:$L$338,$AE239)+IF(OR(AND('Aggregate summary'!$L$3="Yes",'Aggregate summary'!$E$3="POD"),AND('Aggregate summary'!$U$3="Process",'Aggregate summary'!$T$76="Clearance + downstream effects")),SUMIFS(O$397:O$399,$L$397:$L$399,$AE239),0)</f>
        <v>0</v>
      </c>
      <c r="AG264" s="8">
        <f ca="1">SUMIFS(P$336:P$338,$L$336:$L$338,$AE239)+IF(OR(AND('Aggregate summary'!$L$3="Yes",'Aggregate summary'!$E$3="POD"),AND('Aggregate summary'!$U$3="Process",'Aggregate summary'!$T$76="Clearance + downstream effects")),SUMIFS(P$397:P$399,$L$397:$L$399,$AE239),0)</f>
        <v>0</v>
      </c>
      <c r="AH264" s="8">
        <f ca="1">SUMIFS(Q$336:Q$338,$L$336:$L$338,$AE239)+IF(OR(AND('Aggregate summary'!$L$3="Yes",'Aggregate summary'!$E$3="POD"),AND('Aggregate summary'!$U$3="Process",'Aggregate summary'!$T$76="Clearance + downstream effects")),SUMIFS(Q$397:Q$399,$L$397:$L$399,$AE239),0)</f>
        <v>0</v>
      </c>
      <c r="AI264" s="8">
        <f ca="1">SUMIFS(R$336:R$338,$L$336:$L$338,$AE239)+IF(OR(AND('Aggregate summary'!$L$3="Yes",'Aggregate summary'!$E$3="POD"),AND('Aggregate summary'!$U$3="Process",'Aggregate summary'!$T$76="Clearance + downstream effects")),SUMIFS(R$397:R$399,$L$397:$L$399,$AE239),0)</f>
        <v>0</v>
      </c>
      <c r="AJ264" s="8">
        <f ca="1">SUMIFS(S$336:S$338,$L$336:$L$338,$AE239)+IF(OR(AND('Aggregate summary'!$L$3="Yes",'Aggregate summary'!$E$3="POD"),AND('Aggregate summary'!$U$3="Process",'Aggregate summary'!$T$76="Clearance + downstream effects")),SUMIFS(S$397:S$399,$L$397:$L$399,$AE239),0)</f>
        <v>0</v>
      </c>
      <c r="AK264" s="8">
        <f ca="1">SUMIFS(T$336:T$338,$L$336:$L$338,$AE239)+IF(OR(AND('Aggregate summary'!$L$3="Yes",'Aggregate summary'!$E$3="POD"),AND('Aggregate summary'!$U$3="Process",'Aggregate summary'!$T$76="Clearance + downstream effects")),SUMIFS(T$397:T$399,$L$397:$L$399,$AE239),0)</f>
        <v>0</v>
      </c>
      <c r="AL264" s="8">
        <f ca="1">SUMIFS(U$336:U$338,$L$336:$L$338,$AE239)+IF(OR(AND('Aggregate summary'!$L$3="Yes",'Aggregate summary'!$E$3="POD"),AND('Aggregate summary'!$U$3="Process",'Aggregate summary'!$T$76="Clearance + downstream effects")),SUMIFS(U$397:U$399,$L$397:$L$399,$AE239),0)</f>
        <v>0</v>
      </c>
      <c r="AM264" s="8">
        <f ca="1">SUMIFS(V$336:V$338,$L$336:$L$338,$AE239)+IF(OR(AND('Aggregate summary'!$L$3="Yes",'Aggregate summary'!$E$3="POD"),AND('Aggregate summary'!$U$3="Process",'Aggregate summary'!$T$76="Clearance + downstream effects")),SUMIFS(V$397:V$399,$L$397:$L$399,$AE239),0)</f>
        <v>0</v>
      </c>
      <c r="AN264" s="8">
        <f ca="1">SUMIFS(W$336:W$338,$L$336:$L$338,$AE239)+IF(OR(AND('Aggregate summary'!$L$3="Yes",'Aggregate summary'!$E$3="POD"),AND('Aggregate summary'!$U$3="Process",'Aggregate summary'!$T$76="Clearance + downstream effects")),SUMIFS(W$397:W$399,$L$397:$L$399,$AE239),0)</f>
        <v>0</v>
      </c>
      <c r="AO264" s="8">
        <f ca="1">SUMIFS(X$336:X$338,$L$336:$L$338,$AE239)+IF(OR(AND('Aggregate summary'!$L$3="Yes",'Aggregate summary'!$E$3="POD"),AND('Aggregate summary'!$U$3="Process",'Aggregate summary'!$T$76="Clearance + downstream effects")),SUMIFS(X$397:X$399,$L$397:$L$399,$AE239),0)</f>
        <v>0</v>
      </c>
      <c r="AP264" s="8">
        <f ca="1">SUMIFS(Y$336:Y$338,$L$336:$L$338,$AE239)+IF(OR(AND('Aggregate summary'!$L$3="Yes",'Aggregate summary'!$E$3="POD"),AND('Aggregate summary'!$U$3="Process",'Aggregate summary'!$T$76="Clearance + downstream effects")),SUMIFS(Y$397:Y$399,$L$397:$L$399,$AE239),0)</f>
        <v>0</v>
      </c>
      <c r="AQ264" s="8">
        <f ca="1">SUMIFS(Z$336:Z$338,$L$336:$L$338,$AE239)+IF(OR(AND('Aggregate summary'!$L$3="Yes",'Aggregate summary'!$E$3="POD"),AND('Aggregate summary'!$U$3="Process",'Aggregate summary'!$T$76="Clearance + downstream effects")),SUMIFS(Z$397:Z$399,$L$397:$L$399,$AE239),0)</f>
        <v>0</v>
      </c>
    </row>
    <row r="265" spans="1:43" x14ac:dyDescent="0.25">
      <c r="A265">
        <f>1</f>
        <v>1</v>
      </c>
      <c r="B265" s="85">
        <f t="shared" si="127"/>
        <v>44053</v>
      </c>
      <c r="C265" s="85">
        <f t="shared" si="123"/>
        <v>44053</v>
      </c>
      <c r="D265">
        <f t="shared" ca="1" si="124"/>
        <v>1</v>
      </c>
      <c r="E265" s="85">
        <f t="shared" si="125"/>
        <v>44044</v>
      </c>
      <c r="F265">
        <f t="shared" si="126"/>
        <v>33</v>
      </c>
      <c r="M265">
        <v>6</v>
      </c>
      <c r="N265">
        <v>3</v>
      </c>
      <c r="O265" s="6">
        <f t="array" aca="1" ref="O265" ca="1">SUM(OFFSET($HQ$43,0,($M265*3)+$N265,53,1)*O$43:O$95)</f>
        <v>0</v>
      </c>
      <c r="P265" s="6">
        <f t="array" aca="1" ref="P265" ca="1">SUM(OFFSET($HQ$43,0,($M265*3)+$N265,53,1)*P$43:P$95)</f>
        <v>0</v>
      </c>
      <c r="Q265" s="6">
        <f t="array" aca="1" ref="Q265" ca="1">SUM(OFFSET($HQ$43,0,($M265*3)+$N265,53,1)*Q$43:Q$95)</f>
        <v>0</v>
      </c>
      <c r="R265" s="6">
        <f t="array" aca="1" ref="R265" ca="1">SUM(OFFSET($HQ$43,0,($M265*3)+$N265,53,1)*R$43:R$95)</f>
        <v>0</v>
      </c>
      <c r="S265" s="6">
        <f t="array" aca="1" ref="S265" ca="1">SUM(OFFSET($HQ$43,0,($M265*3)+$N265,53,1)*S$43:S$95)</f>
        <v>0</v>
      </c>
      <c r="T265" s="6">
        <f t="array" aca="1" ref="T265" ca="1">SUM(OFFSET($HQ$43,0,($M265*3)+$N265,53,1)*T$43:T$95)</f>
        <v>0</v>
      </c>
      <c r="U265" s="6">
        <f t="array" aca="1" ref="U265" ca="1">SUM(OFFSET($HQ$43,0,($M265*3)+$N265,53,1)*U$43:U$95)</f>
        <v>0</v>
      </c>
      <c r="V265" s="6">
        <f t="array" aca="1" ref="V265" ca="1">SUM(OFFSET($HQ$43,0,($M265*3)+$N265,53,1)*V$43:V$95)</f>
        <v>0</v>
      </c>
      <c r="W265" s="6">
        <f t="array" aca="1" ref="W265" ca="1">SUM(OFFSET($HQ$43,0,($M265*3)+$N265,53,1)*W$43:W$95)</f>
        <v>0</v>
      </c>
      <c r="X265" s="6">
        <f t="array" aca="1" ref="X265" ca="1">SUM(OFFSET($HQ$43,0,($M265*3)+$N265,53,1)*X$43:X$95)</f>
        <v>0</v>
      </c>
      <c r="Y265" s="6">
        <f t="array" aca="1" ref="Y265" ca="1">SUM(OFFSET($HQ$43,0,($M265*3)+$N265,53,1)*Y$43:Y$95)</f>
        <v>0</v>
      </c>
      <c r="Z265" s="6">
        <f t="array" aca="1" ref="Z265" ca="1">SUM(OFFSET($HQ$43,0,($M265*3)+$N265,53,1)*Z$43:Z$95)</f>
        <v>0</v>
      </c>
      <c r="AA265" s="6">
        <f t="shared" ca="1" si="129"/>
        <v>0</v>
      </c>
      <c r="AB265" s="6">
        <f t="shared" ca="1" si="130"/>
        <v>0</v>
      </c>
      <c r="AC265" s="6"/>
      <c r="AD265" s="8"/>
      <c r="AE265" t="str">
        <f t="shared" si="128"/>
        <v>Follow Up</v>
      </c>
      <c r="AF265" s="8">
        <f ca="1">SUMIFS(O$336:O$338,$L$336:$L$338,$AE240)+IF(OR(AND('Aggregate summary'!$L$3="Yes",'Aggregate summary'!$E$3="POD"),AND('Aggregate summary'!$U$3="Process",'Aggregate summary'!$T$76="Clearance + downstream effects")),SUMIFS(O$397:O$399,$L$397:$L$399,$AE240),0)</f>
        <v>0</v>
      </c>
      <c r="AG265" s="8">
        <f ca="1">SUMIFS(P$336:P$338,$L$336:$L$338,$AE240)+IF(OR(AND('Aggregate summary'!$L$3="Yes",'Aggregate summary'!$E$3="POD"),AND('Aggregate summary'!$U$3="Process",'Aggregate summary'!$T$76="Clearance + downstream effects")),SUMIFS(P$397:P$399,$L$397:$L$399,$AE240),0)</f>
        <v>0</v>
      </c>
      <c r="AH265" s="8">
        <f ca="1">SUMIFS(Q$336:Q$338,$L$336:$L$338,$AE240)+IF(OR(AND('Aggregate summary'!$L$3="Yes",'Aggregate summary'!$E$3="POD"),AND('Aggregate summary'!$U$3="Process",'Aggregate summary'!$T$76="Clearance + downstream effects")),SUMIFS(Q$397:Q$399,$L$397:$L$399,$AE240),0)</f>
        <v>0</v>
      </c>
      <c r="AI265" s="8">
        <f ca="1">SUMIFS(R$336:R$338,$L$336:$L$338,$AE240)+IF(OR(AND('Aggregate summary'!$L$3="Yes",'Aggregate summary'!$E$3="POD"),AND('Aggregate summary'!$U$3="Process",'Aggregate summary'!$T$76="Clearance + downstream effects")),SUMIFS(R$397:R$399,$L$397:$L$399,$AE240),0)</f>
        <v>0</v>
      </c>
      <c r="AJ265" s="8">
        <f ca="1">SUMIFS(S$336:S$338,$L$336:$L$338,$AE240)+IF(OR(AND('Aggregate summary'!$L$3="Yes",'Aggregate summary'!$E$3="POD"),AND('Aggregate summary'!$U$3="Process",'Aggregate summary'!$T$76="Clearance + downstream effects")),SUMIFS(S$397:S$399,$L$397:$L$399,$AE240),0)</f>
        <v>0</v>
      </c>
      <c r="AK265" s="8">
        <f ca="1">SUMIFS(T$336:T$338,$L$336:$L$338,$AE240)+IF(OR(AND('Aggregate summary'!$L$3="Yes",'Aggregate summary'!$E$3="POD"),AND('Aggregate summary'!$U$3="Process",'Aggregate summary'!$T$76="Clearance + downstream effects")),SUMIFS(T$397:T$399,$L$397:$L$399,$AE240),0)</f>
        <v>0</v>
      </c>
      <c r="AL265" s="8">
        <f ca="1">SUMIFS(U$336:U$338,$L$336:$L$338,$AE240)+IF(OR(AND('Aggregate summary'!$L$3="Yes",'Aggregate summary'!$E$3="POD"),AND('Aggregate summary'!$U$3="Process",'Aggregate summary'!$T$76="Clearance + downstream effects")),SUMIFS(U$397:U$399,$L$397:$L$399,$AE240),0)</f>
        <v>0</v>
      </c>
      <c r="AM265" s="8">
        <f ca="1">SUMIFS(V$336:V$338,$L$336:$L$338,$AE240)+IF(OR(AND('Aggregate summary'!$L$3="Yes",'Aggregate summary'!$E$3="POD"),AND('Aggregate summary'!$U$3="Process",'Aggregate summary'!$T$76="Clearance + downstream effects")),SUMIFS(V$397:V$399,$L$397:$L$399,$AE240),0)</f>
        <v>0</v>
      </c>
      <c r="AN265" s="8">
        <f ca="1">SUMIFS(W$336:W$338,$L$336:$L$338,$AE240)+IF(OR(AND('Aggregate summary'!$L$3="Yes",'Aggregate summary'!$E$3="POD"),AND('Aggregate summary'!$U$3="Process",'Aggregate summary'!$T$76="Clearance + downstream effects")),SUMIFS(W$397:W$399,$L$397:$L$399,$AE240),0)</f>
        <v>0</v>
      </c>
      <c r="AO265" s="8">
        <f ca="1">SUMIFS(X$336:X$338,$L$336:$L$338,$AE240)+IF(OR(AND('Aggregate summary'!$L$3="Yes",'Aggregate summary'!$E$3="POD"),AND('Aggregate summary'!$U$3="Process",'Aggregate summary'!$T$76="Clearance + downstream effects")),SUMIFS(X$397:X$399,$L$397:$L$399,$AE240),0)</f>
        <v>0</v>
      </c>
      <c r="AP265" s="8">
        <f ca="1">SUMIFS(Y$336:Y$338,$L$336:$L$338,$AE240)+IF(OR(AND('Aggregate summary'!$L$3="Yes",'Aggregate summary'!$E$3="POD"),AND('Aggregate summary'!$U$3="Process",'Aggregate summary'!$T$76="Clearance + downstream effects")),SUMIFS(Y$397:Y$399,$L$397:$L$399,$AE240),0)</f>
        <v>0</v>
      </c>
      <c r="AQ265" s="8">
        <f ca="1">SUMIFS(Z$336:Z$338,$L$336:$L$338,$AE240)+IF(OR(AND('Aggregate summary'!$L$3="Yes",'Aggregate summary'!$E$3="POD"),AND('Aggregate summary'!$U$3="Process",'Aggregate summary'!$T$76="Clearance + downstream effects")),SUMIFS(Z$397:Z$399,$L$397:$L$399,$AE240),0)</f>
        <v>0</v>
      </c>
    </row>
    <row r="266" spans="1:43" x14ac:dyDescent="0.25">
      <c r="A266">
        <f>1</f>
        <v>1</v>
      </c>
      <c r="B266" s="85">
        <f t="shared" si="127"/>
        <v>44054</v>
      </c>
      <c r="C266" s="85">
        <f t="shared" si="123"/>
        <v>44053</v>
      </c>
      <c r="D266">
        <f t="shared" ca="1" si="124"/>
        <v>1</v>
      </c>
      <c r="E266" s="85">
        <f t="shared" si="125"/>
        <v>44044</v>
      </c>
      <c r="F266">
        <f t="shared" si="126"/>
        <v>33</v>
      </c>
      <c r="M266">
        <v>7</v>
      </c>
      <c r="N266">
        <v>1</v>
      </c>
      <c r="O266" s="6">
        <f t="array" aca="1" ref="O266" ca="1">SUM(OFFSET($HQ$43,0,($M266*3)+$N266,53,1)*O$43:O$95)</f>
        <v>0</v>
      </c>
      <c r="P266" s="6">
        <f t="array" aca="1" ref="P266" ca="1">SUM(OFFSET($HQ$43,0,($M266*3)+$N266,53,1)*P$43:P$95)</f>
        <v>0</v>
      </c>
      <c r="Q266" s="6">
        <f t="array" aca="1" ref="Q266" ca="1">SUM(OFFSET($HQ$43,0,($M266*3)+$N266,53,1)*Q$43:Q$95)</f>
        <v>0</v>
      </c>
      <c r="R266" s="6">
        <f t="array" aca="1" ref="R266" ca="1">SUM(OFFSET($HQ$43,0,($M266*3)+$N266,53,1)*R$43:R$95)</f>
        <v>0</v>
      </c>
      <c r="S266" s="6">
        <f t="array" aca="1" ref="S266" ca="1">SUM(OFFSET($HQ$43,0,($M266*3)+$N266,53,1)*S$43:S$95)</f>
        <v>0</v>
      </c>
      <c r="T266" s="6">
        <f t="array" aca="1" ref="T266" ca="1">SUM(OFFSET($HQ$43,0,($M266*3)+$N266,53,1)*T$43:T$95)</f>
        <v>0</v>
      </c>
      <c r="U266" s="6">
        <f t="array" aca="1" ref="U266" ca="1">SUM(OFFSET($HQ$43,0,($M266*3)+$N266,53,1)*U$43:U$95)</f>
        <v>0</v>
      </c>
      <c r="V266" s="6">
        <f t="array" aca="1" ref="V266" ca="1">SUM(OFFSET($HQ$43,0,($M266*3)+$N266,53,1)*V$43:V$95)</f>
        <v>0</v>
      </c>
      <c r="W266" s="6">
        <f t="array" aca="1" ref="W266" ca="1">SUM(OFFSET($HQ$43,0,($M266*3)+$N266,53,1)*W$43:W$95)</f>
        <v>0</v>
      </c>
      <c r="X266" s="6">
        <f t="array" aca="1" ref="X266" ca="1">SUM(OFFSET($HQ$43,0,($M266*3)+$N266,53,1)*X$43:X$95)</f>
        <v>0</v>
      </c>
      <c r="Y266" s="6">
        <f t="array" aca="1" ref="Y266" ca="1">SUM(OFFSET($HQ$43,0,($M266*3)+$N266,53,1)*Y$43:Y$95)</f>
        <v>0</v>
      </c>
      <c r="Z266" s="6">
        <f t="array" aca="1" ref="Z266" ca="1">SUM(OFFSET($HQ$43,0,($M266*3)+$N266,53,1)*Z$43:Z$95)</f>
        <v>0</v>
      </c>
      <c r="AA266" s="6">
        <f t="shared" ca="1" si="129"/>
        <v>0</v>
      </c>
      <c r="AB266" s="6">
        <f t="shared" ca="1" si="130"/>
        <v>0</v>
      </c>
      <c r="AC266" s="6"/>
      <c r="AD266" s="8"/>
      <c r="AE266" t="str">
        <f t="shared" si="128"/>
        <v>Diagnostic (FU)</v>
      </c>
      <c r="AF266" s="8">
        <f ca="1">SUMIFS(O$336:O$338,$L$336:$L$338,$AE241)+IF(OR(AND('Aggregate summary'!$L$3="Yes",'Aggregate summary'!$E$3="POD"),AND('Aggregate summary'!$U$3="Process",'Aggregate summary'!$T$76="Clearance + downstream effects")),SUMIFS(O$397:O$399,$L$397:$L$399,$AE241),0)</f>
        <v>0</v>
      </c>
      <c r="AG266" s="8">
        <f ca="1">SUMIFS(P$336:P$338,$L$336:$L$338,$AE241)+IF(OR(AND('Aggregate summary'!$L$3="Yes",'Aggregate summary'!$E$3="POD"),AND('Aggregate summary'!$U$3="Process",'Aggregate summary'!$T$76="Clearance + downstream effects")),SUMIFS(P$397:P$399,$L$397:$L$399,$AE241),0)</f>
        <v>0</v>
      </c>
      <c r="AH266" s="8">
        <f ca="1">SUMIFS(Q$336:Q$338,$L$336:$L$338,$AE241)+IF(OR(AND('Aggregate summary'!$L$3="Yes",'Aggregate summary'!$E$3="POD"),AND('Aggregate summary'!$U$3="Process",'Aggregate summary'!$T$76="Clearance + downstream effects")),SUMIFS(Q$397:Q$399,$L$397:$L$399,$AE241),0)</f>
        <v>0</v>
      </c>
      <c r="AI266" s="8">
        <f ca="1">SUMIFS(R$336:R$338,$L$336:$L$338,$AE241)+IF(OR(AND('Aggregate summary'!$L$3="Yes",'Aggregate summary'!$E$3="POD"),AND('Aggregate summary'!$U$3="Process",'Aggregate summary'!$T$76="Clearance + downstream effects")),SUMIFS(R$397:R$399,$L$397:$L$399,$AE241),0)</f>
        <v>0</v>
      </c>
      <c r="AJ266" s="8">
        <f ca="1">SUMIFS(S$336:S$338,$L$336:$L$338,$AE241)+IF(OR(AND('Aggregate summary'!$L$3="Yes",'Aggregate summary'!$E$3="POD"),AND('Aggregate summary'!$U$3="Process",'Aggregate summary'!$T$76="Clearance + downstream effects")),SUMIFS(S$397:S$399,$L$397:$L$399,$AE241),0)</f>
        <v>0</v>
      </c>
      <c r="AK266" s="8">
        <f ca="1">SUMIFS(T$336:T$338,$L$336:$L$338,$AE241)+IF(OR(AND('Aggregate summary'!$L$3="Yes",'Aggregate summary'!$E$3="POD"),AND('Aggregate summary'!$U$3="Process",'Aggregate summary'!$T$76="Clearance + downstream effects")),SUMIFS(T$397:T$399,$L$397:$L$399,$AE241),0)</f>
        <v>0</v>
      </c>
      <c r="AL266" s="8">
        <f ca="1">SUMIFS(U$336:U$338,$L$336:$L$338,$AE241)+IF(OR(AND('Aggregate summary'!$L$3="Yes",'Aggregate summary'!$E$3="POD"),AND('Aggregate summary'!$U$3="Process",'Aggregate summary'!$T$76="Clearance + downstream effects")),SUMIFS(U$397:U$399,$L$397:$L$399,$AE241),0)</f>
        <v>0</v>
      </c>
      <c r="AM266" s="8">
        <f ca="1">SUMIFS(V$336:V$338,$L$336:$L$338,$AE241)+IF(OR(AND('Aggregate summary'!$L$3="Yes",'Aggregate summary'!$E$3="POD"),AND('Aggregate summary'!$U$3="Process",'Aggregate summary'!$T$76="Clearance + downstream effects")),SUMIFS(V$397:V$399,$L$397:$L$399,$AE241),0)</f>
        <v>0</v>
      </c>
      <c r="AN266" s="8">
        <f ca="1">SUMIFS(W$336:W$338,$L$336:$L$338,$AE241)+IF(OR(AND('Aggregate summary'!$L$3="Yes",'Aggregate summary'!$E$3="POD"),AND('Aggregate summary'!$U$3="Process",'Aggregate summary'!$T$76="Clearance + downstream effects")),SUMIFS(W$397:W$399,$L$397:$L$399,$AE241),0)</f>
        <v>0</v>
      </c>
      <c r="AO266" s="8">
        <f ca="1">SUMIFS(X$336:X$338,$L$336:$L$338,$AE241)+IF(OR(AND('Aggregate summary'!$L$3="Yes",'Aggregate summary'!$E$3="POD"),AND('Aggregate summary'!$U$3="Process",'Aggregate summary'!$T$76="Clearance + downstream effects")),SUMIFS(X$397:X$399,$L$397:$L$399,$AE241),0)</f>
        <v>0</v>
      </c>
      <c r="AP266" s="8">
        <f ca="1">SUMIFS(Y$336:Y$338,$L$336:$L$338,$AE241)+IF(OR(AND('Aggregate summary'!$L$3="Yes",'Aggregate summary'!$E$3="POD"),AND('Aggregate summary'!$U$3="Process",'Aggregate summary'!$T$76="Clearance + downstream effects")),SUMIFS(Y$397:Y$399,$L$397:$L$399,$AE241),0)</f>
        <v>0</v>
      </c>
      <c r="AQ266" s="8">
        <f ca="1">SUMIFS(Z$336:Z$338,$L$336:$L$338,$AE241)+IF(OR(AND('Aggregate summary'!$L$3="Yes",'Aggregate summary'!$E$3="POD"),AND('Aggregate summary'!$U$3="Process",'Aggregate summary'!$T$76="Clearance + downstream effects")),SUMIFS(Z$397:Z$399,$L$397:$L$399,$AE241),0)</f>
        <v>0</v>
      </c>
    </row>
    <row r="267" spans="1:43" x14ac:dyDescent="0.25">
      <c r="A267">
        <f>1</f>
        <v>1</v>
      </c>
      <c r="B267" s="85">
        <f t="shared" si="127"/>
        <v>44055</v>
      </c>
      <c r="C267" s="85">
        <f t="shared" si="123"/>
        <v>44053</v>
      </c>
      <c r="D267">
        <f t="shared" ca="1" si="124"/>
        <v>1</v>
      </c>
      <c r="E267" s="85">
        <f t="shared" si="125"/>
        <v>44044</v>
      </c>
      <c r="F267">
        <f t="shared" si="126"/>
        <v>33</v>
      </c>
      <c r="M267">
        <v>7</v>
      </c>
      <c r="N267">
        <v>2</v>
      </c>
      <c r="O267" s="6">
        <f t="array" aca="1" ref="O267" ca="1">SUM(OFFSET($HQ$43,0,($M267*3)+$N267,53,1)*O$43:O$95)</f>
        <v>0</v>
      </c>
      <c r="P267" s="6">
        <f t="array" aca="1" ref="P267" ca="1">SUM(OFFSET($HQ$43,0,($M267*3)+$N267,53,1)*P$43:P$95)</f>
        <v>0</v>
      </c>
      <c r="Q267" s="6">
        <f t="array" aca="1" ref="Q267" ca="1">SUM(OFFSET($HQ$43,0,($M267*3)+$N267,53,1)*Q$43:Q$95)</f>
        <v>0</v>
      </c>
      <c r="R267" s="6">
        <f t="array" aca="1" ref="R267" ca="1">SUM(OFFSET($HQ$43,0,($M267*3)+$N267,53,1)*R$43:R$95)</f>
        <v>0</v>
      </c>
      <c r="S267" s="6">
        <f t="array" aca="1" ref="S267" ca="1">SUM(OFFSET($HQ$43,0,($M267*3)+$N267,53,1)*S$43:S$95)</f>
        <v>0</v>
      </c>
      <c r="T267" s="6">
        <f t="array" aca="1" ref="T267" ca="1">SUM(OFFSET($HQ$43,0,($M267*3)+$N267,53,1)*T$43:T$95)</f>
        <v>0</v>
      </c>
      <c r="U267" s="6">
        <f t="array" aca="1" ref="U267" ca="1">SUM(OFFSET($HQ$43,0,($M267*3)+$N267,53,1)*U$43:U$95)</f>
        <v>0</v>
      </c>
      <c r="V267" s="6">
        <f t="array" aca="1" ref="V267" ca="1">SUM(OFFSET($HQ$43,0,($M267*3)+$N267,53,1)*V$43:V$95)</f>
        <v>0</v>
      </c>
      <c r="W267" s="6">
        <f t="array" aca="1" ref="W267" ca="1">SUM(OFFSET($HQ$43,0,($M267*3)+$N267,53,1)*W$43:W$95)</f>
        <v>0</v>
      </c>
      <c r="X267" s="6">
        <f t="array" aca="1" ref="X267" ca="1">SUM(OFFSET($HQ$43,0,($M267*3)+$N267,53,1)*X$43:X$95)</f>
        <v>0</v>
      </c>
      <c r="Y267" s="6">
        <f t="array" aca="1" ref="Y267" ca="1">SUM(OFFSET($HQ$43,0,($M267*3)+$N267,53,1)*Y$43:Y$95)</f>
        <v>0</v>
      </c>
      <c r="Z267" s="6">
        <f t="array" aca="1" ref="Z267" ca="1">SUM(OFFSET($HQ$43,0,($M267*3)+$N267,53,1)*Z$43:Z$95)</f>
        <v>0</v>
      </c>
      <c r="AA267" s="6">
        <f t="shared" ca="1" si="129"/>
        <v>0</v>
      </c>
      <c r="AB267" s="6">
        <f t="shared" ca="1" si="130"/>
        <v>0</v>
      </c>
      <c r="AC267" s="6"/>
      <c r="AD267" s="8"/>
      <c r="AE267" t="str">
        <f t="shared" si="128"/>
        <v>Admission</v>
      </c>
      <c r="AF267" s="8">
        <f ca="1">SUMIFS(O$336:O$338,$L$336:$L$338,$AE242)+IF(OR(AND('Aggregate summary'!$L$3="Yes",'Aggregate summary'!$E$3="POD"),AND('Aggregate summary'!$U$3="Process",'Aggregate summary'!$T$76="Clearance + downstream effects")),SUMIFS(O$397:O$399,$L$397:$L$399,$AE242),0)</f>
        <v>0</v>
      </c>
      <c r="AG267" s="8">
        <f ca="1">SUMIFS(P$336:P$338,$L$336:$L$338,$AE242)+IF(OR(AND('Aggregate summary'!$L$3="Yes",'Aggregate summary'!$E$3="POD"),AND('Aggregate summary'!$U$3="Process",'Aggregate summary'!$T$76="Clearance + downstream effects")),SUMIFS(P$397:P$399,$L$397:$L$399,$AE242),0)</f>
        <v>0</v>
      </c>
      <c r="AH267" s="8">
        <f ca="1">SUMIFS(Q$336:Q$338,$L$336:$L$338,$AE242)+IF(OR(AND('Aggregate summary'!$L$3="Yes",'Aggregate summary'!$E$3="POD"),AND('Aggregate summary'!$U$3="Process",'Aggregate summary'!$T$76="Clearance + downstream effects")),SUMIFS(Q$397:Q$399,$L$397:$L$399,$AE242),0)</f>
        <v>0</v>
      </c>
      <c r="AI267" s="8">
        <f ca="1">SUMIFS(R$336:R$338,$L$336:$L$338,$AE242)+IF(OR(AND('Aggregate summary'!$L$3="Yes",'Aggregate summary'!$E$3="POD"),AND('Aggregate summary'!$U$3="Process",'Aggregate summary'!$T$76="Clearance + downstream effects")),SUMIFS(R$397:R$399,$L$397:$L$399,$AE242),0)</f>
        <v>0</v>
      </c>
      <c r="AJ267" s="8">
        <f ca="1">SUMIFS(S$336:S$338,$L$336:$L$338,$AE242)+IF(OR(AND('Aggregate summary'!$L$3="Yes",'Aggregate summary'!$E$3="POD"),AND('Aggregate summary'!$U$3="Process",'Aggregate summary'!$T$76="Clearance + downstream effects")),SUMIFS(S$397:S$399,$L$397:$L$399,$AE242),0)</f>
        <v>0</v>
      </c>
      <c r="AK267" s="8">
        <f ca="1">SUMIFS(T$336:T$338,$L$336:$L$338,$AE242)+IF(OR(AND('Aggregate summary'!$L$3="Yes",'Aggregate summary'!$E$3="POD"),AND('Aggregate summary'!$U$3="Process",'Aggregate summary'!$T$76="Clearance + downstream effects")),SUMIFS(T$397:T$399,$L$397:$L$399,$AE242),0)</f>
        <v>0</v>
      </c>
      <c r="AL267" s="8">
        <f ca="1">SUMIFS(U$336:U$338,$L$336:$L$338,$AE242)+IF(OR(AND('Aggregate summary'!$L$3="Yes",'Aggregate summary'!$E$3="POD"),AND('Aggregate summary'!$U$3="Process",'Aggregate summary'!$T$76="Clearance + downstream effects")),SUMIFS(U$397:U$399,$L$397:$L$399,$AE242),0)</f>
        <v>0</v>
      </c>
      <c r="AM267" s="8">
        <f ca="1">SUMIFS(V$336:V$338,$L$336:$L$338,$AE242)+IF(OR(AND('Aggregate summary'!$L$3="Yes",'Aggregate summary'!$E$3="POD"),AND('Aggregate summary'!$U$3="Process",'Aggregate summary'!$T$76="Clearance + downstream effects")),SUMIFS(V$397:V$399,$L$397:$L$399,$AE242),0)</f>
        <v>0</v>
      </c>
      <c r="AN267" s="8">
        <f ca="1">SUMIFS(W$336:W$338,$L$336:$L$338,$AE242)+IF(OR(AND('Aggregate summary'!$L$3="Yes",'Aggregate summary'!$E$3="POD"),AND('Aggregate summary'!$U$3="Process",'Aggregate summary'!$T$76="Clearance + downstream effects")),SUMIFS(W$397:W$399,$L$397:$L$399,$AE242),0)</f>
        <v>0</v>
      </c>
      <c r="AO267" s="8">
        <f ca="1">SUMIFS(X$336:X$338,$L$336:$L$338,$AE242)+IF(OR(AND('Aggregate summary'!$L$3="Yes",'Aggregate summary'!$E$3="POD"),AND('Aggregate summary'!$U$3="Process",'Aggregate summary'!$T$76="Clearance + downstream effects")),SUMIFS(X$397:X$399,$L$397:$L$399,$AE242),0)</f>
        <v>0</v>
      </c>
      <c r="AP267" s="8">
        <f ca="1">SUMIFS(Y$336:Y$338,$L$336:$L$338,$AE242)+IF(OR(AND('Aggregate summary'!$L$3="Yes",'Aggregate summary'!$E$3="POD"),AND('Aggregate summary'!$U$3="Process",'Aggregate summary'!$T$76="Clearance + downstream effects")),SUMIFS(Y$397:Y$399,$L$397:$L$399,$AE242),0)</f>
        <v>0</v>
      </c>
      <c r="AQ267" s="8">
        <f ca="1">SUMIFS(Z$336:Z$338,$L$336:$L$338,$AE242)+IF(OR(AND('Aggregate summary'!$L$3="Yes",'Aggregate summary'!$E$3="POD"),AND('Aggregate summary'!$U$3="Process",'Aggregate summary'!$T$76="Clearance + downstream effects")),SUMIFS(Z$397:Z$399,$L$397:$L$399,$AE242),0)</f>
        <v>0</v>
      </c>
    </row>
    <row r="268" spans="1:43" x14ac:dyDescent="0.25">
      <c r="A268">
        <f>1</f>
        <v>1</v>
      </c>
      <c r="B268" s="85">
        <f t="shared" si="127"/>
        <v>44056</v>
      </c>
      <c r="C268" s="85">
        <f t="shared" si="123"/>
        <v>44053</v>
      </c>
      <c r="D268">
        <f t="shared" ca="1" si="124"/>
        <v>1</v>
      </c>
      <c r="E268" s="85">
        <f t="shared" si="125"/>
        <v>44044</v>
      </c>
      <c r="F268">
        <f t="shared" si="126"/>
        <v>33</v>
      </c>
      <c r="M268">
        <v>7</v>
      </c>
      <c r="N268">
        <v>3</v>
      </c>
      <c r="O268" s="6">
        <f t="array" aca="1" ref="O268" ca="1">SUM(OFFSET($HQ$43,0,($M268*3)+$N268,53,1)*O$43:O$95)</f>
        <v>0</v>
      </c>
      <c r="P268" s="6">
        <f t="array" aca="1" ref="P268" ca="1">SUM(OFFSET($HQ$43,0,($M268*3)+$N268,53,1)*P$43:P$95)</f>
        <v>0</v>
      </c>
      <c r="Q268" s="6">
        <f t="array" aca="1" ref="Q268" ca="1">SUM(OFFSET($HQ$43,0,($M268*3)+$N268,53,1)*Q$43:Q$95)</f>
        <v>0</v>
      </c>
      <c r="R268" s="6">
        <f t="array" aca="1" ref="R268" ca="1">SUM(OFFSET($HQ$43,0,($M268*3)+$N268,53,1)*R$43:R$95)</f>
        <v>0</v>
      </c>
      <c r="S268" s="6">
        <f t="array" aca="1" ref="S268" ca="1">SUM(OFFSET($HQ$43,0,($M268*3)+$N268,53,1)*S$43:S$95)</f>
        <v>0</v>
      </c>
      <c r="T268" s="6">
        <f t="array" aca="1" ref="T268" ca="1">SUM(OFFSET($HQ$43,0,($M268*3)+$N268,53,1)*T$43:T$95)</f>
        <v>0</v>
      </c>
      <c r="U268" s="6">
        <f t="array" aca="1" ref="U268" ca="1">SUM(OFFSET($HQ$43,0,($M268*3)+$N268,53,1)*U$43:U$95)</f>
        <v>0</v>
      </c>
      <c r="V268" s="6">
        <f t="array" aca="1" ref="V268" ca="1">SUM(OFFSET($HQ$43,0,($M268*3)+$N268,53,1)*V$43:V$95)</f>
        <v>0</v>
      </c>
      <c r="W268" s="6">
        <f t="array" aca="1" ref="W268" ca="1">SUM(OFFSET($HQ$43,0,($M268*3)+$N268,53,1)*W$43:W$95)</f>
        <v>0</v>
      </c>
      <c r="X268" s="6">
        <f t="array" aca="1" ref="X268" ca="1">SUM(OFFSET($HQ$43,0,($M268*3)+$N268,53,1)*X$43:X$95)</f>
        <v>0</v>
      </c>
      <c r="Y268" s="6">
        <f t="array" aca="1" ref="Y268" ca="1">SUM(OFFSET($HQ$43,0,($M268*3)+$N268,53,1)*Y$43:Y$95)</f>
        <v>0</v>
      </c>
      <c r="Z268" s="6">
        <f t="array" aca="1" ref="Z268" ca="1">SUM(OFFSET($HQ$43,0,($M268*3)+$N268,53,1)*Z$43:Z$95)</f>
        <v>0</v>
      </c>
      <c r="AA268" s="6">
        <f t="shared" ca="1" si="129"/>
        <v>0</v>
      </c>
      <c r="AB268" s="6">
        <f t="shared" ca="1" si="130"/>
        <v>0</v>
      </c>
      <c r="AC268" s="6"/>
      <c r="AD268" s="8">
        <v>7</v>
      </c>
      <c r="AE268" t="str">
        <f t="shared" si="128"/>
        <v>New</v>
      </c>
      <c r="AF268" s="8">
        <f ca="1">SUMIFS(O$339:O$341,$L$339:$L$341,$AE238)+IF(OR(AND('Aggregate summary'!$L$3="Yes",'Aggregate summary'!$E$3="POD"),AND('Aggregate summary'!$U$3="Process",'Aggregate summary'!$T$76="Clearance + downstream effects")),SUMIFS(O$400:O$402,$L$400:$L$402,$AE238),0)</f>
        <v>0</v>
      </c>
      <c r="AG268" s="8">
        <f ca="1">SUMIFS(P$339:P$341,$L$339:$L$341,$AE238)+IF(OR(AND('Aggregate summary'!$L$3="Yes",'Aggregate summary'!$E$3="POD"),AND('Aggregate summary'!$U$3="Process",'Aggregate summary'!$T$76="Clearance + downstream effects")),SUMIFS(P$400:P$402,$L$400:$L$402,$AE238),0)</f>
        <v>0</v>
      </c>
      <c r="AH268" s="8">
        <f ca="1">SUMIFS(Q$339:Q$341,$L$339:$L$341,$AE238)+IF(OR(AND('Aggregate summary'!$L$3="Yes",'Aggregate summary'!$E$3="POD"),AND('Aggregate summary'!$U$3="Process",'Aggregate summary'!$T$76="Clearance + downstream effects")),SUMIFS(Q$400:Q$402,$L$400:$L$402,$AE238),0)</f>
        <v>0</v>
      </c>
      <c r="AI268" s="8">
        <f ca="1">SUMIFS(R$339:R$341,$L$339:$L$341,$AE238)+IF(OR(AND('Aggregate summary'!$L$3="Yes",'Aggregate summary'!$E$3="POD"),AND('Aggregate summary'!$U$3="Process",'Aggregate summary'!$T$76="Clearance + downstream effects")),SUMIFS(R$400:R$402,$L$400:$L$402,$AE238),0)</f>
        <v>0</v>
      </c>
      <c r="AJ268" s="8">
        <f ca="1">SUMIFS(S$339:S$341,$L$339:$L$341,$AE238)+IF(OR(AND('Aggregate summary'!$L$3="Yes",'Aggregate summary'!$E$3="POD"),AND('Aggregate summary'!$U$3="Process",'Aggregate summary'!$T$76="Clearance + downstream effects")),SUMIFS(S$400:S$402,$L$400:$L$402,$AE238),0)</f>
        <v>0</v>
      </c>
      <c r="AK268" s="8">
        <f ca="1">SUMIFS(T$339:T$341,$L$339:$L$341,$AE238)+IF(OR(AND('Aggregate summary'!$L$3="Yes",'Aggregate summary'!$E$3="POD"),AND('Aggregate summary'!$U$3="Process",'Aggregate summary'!$T$76="Clearance + downstream effects")),SUMIFS(T$400:T$402,$L$400:$L$402,$AE238),0)</f>
        <v>0</v>
      </c>
      <c r="AL268" s="8">
        <f ca="1">SUMIFS(U$339:U$341,$L$339:$L$341,$AE238)+IF(OR(AND('Aggregate summary'!$L$3="Yes",'Aggregate summary'!$E$3="POD"),AND('Aggregate summary'!$U$3="Process",'Aggregate summary'!$T$76="Clearance + downstream effects")),SUMIFS(U$400:U$402,$L$400:$L$402,$AE238),0)</f>
        <v>0</v>
      </c>
      <c r="AM268" s="8">
        <f ca="1">SUMIFS(V$339:V$341,$L$339:$L$341,$AE238)+IF(OR(AND('Aggregate summary'!$L$3="Yes",'Aggregate summary'!$E$3="POD"),AND('Aggregate summary'!$U$3="Process",'Aggregate summary'!$T$76="Clearance + downstream effects")),SUMIFS(V$400:V$402,$L$400:$L$402,$AE238),0)</f>
        <v>0</v>
      </c>
      <c r="AN268" s="8">
        <f ca="1">SUMIFS(W$339:W$341,$L$339:$L$341,$AE238)+IF(OR(AND('Aggregate summary'!$L$3="Yes",'Aggregate summary'!$E$3="POD"),AND('Aggregate summary'!$U$3="Process",'Aggregate summary'!$T$76="Clearance + downstream effects")),SUMIFS(W$400:W$402,$L$400:$L$402,$AE238),0)</f>
        <v>0</v>
      </c>
      <c r="AO268" s="8">
        <f ca="1">SUMIFS(X$339:X$341,$L$339:$L$341,$AE238)+IF(OR(AND('Aggregate summary'!$L$3="Yes",'Aggregate summary'!$E$3="POD"),AND('Aggregate summary'!$U$3="Process",'Aggregate summary'!$T$76="Clearance + downstream effects")),SUMIFS(X$400:X$402,$L$400:$L$402,$AE238),0)</f>
        <v>0</v>
      </c>
      <c r="AP268" s="8">
        <f ca="1">SUMIFS(Y$339:Y$341,$L$339:$L$341,$AE238)+IF(OR(AND('Aggregate summary'!$L$3="Yes",'Aggregate summary'!$E$3="POD"),AND('Aggregate summary'!$U$3="Process",'Aggregate summary'!$T$76="Clearance + downstream effects")),SUMIFS(Y$400:Y$402,$L$400:$L$402,$AE238),0)</f>
        <v>0</v>
      </c>
      <c r="AQ268" s="8">
        <f ca="1">SUMIFS(Z$339:Z$341,$L$339:$L$341,$AE238)+IF(OR(AND('Aggregate summary'!$L$3="Yes",'Aggregate summary'!$E$3="POD"),AND('Aggregate summary'!$U$3="Process",'Aggregate summary'!$T$76="Clearance + downstream effects")),SUMIFS(Z$400:Z$402,$L$400:$L$402,$AE238),0)</f>
        <v>0</v>
      </c>
    </row>
    <row r="269" spans="1:43" x14ac:dyDescent="0.25">
      <c r="A269">
        <f>1</f>
        <v>1</v>
      </c>
      <c r="B269" s="85">
        <f t="shared" si="127"/>
        <v>44057</v>
      </c>
      <c r="C269" s="85">
        <f t="shared" si="123"/>
        <v>44053</v>
      </c>
      <c r="D269">
        <f t="shared" ca="1" si="124"/>
        <v>1</v>
      </c>
      <c r="E269" s="85">
        <f t="shared" si="125"/>
        <v>44044</v>
      </c>
      <c r="F269">
        <f t="shared" si="126"/>
        <v>33</v>
      </c>
      <c r="M269">
        <v>8</v>
      </c>
      <c r="N269">
        <v>1</v>
      </c>
      <c r="O269" s="6">
        <f t="array" aca="1" ref="O269" ca="1">SUM(OFFSET($HQ$43,0,($M269*3)+$N269,53,1)*O$43:O$95)</f>
        <v>0</v>
      </c>
      <c r="P269" s="6">
        <f t="array" aca="1" ref="P269" ca="1">SUM(OFFSET($HQ$43,0,($M269*3)+$N269,53,1)*P$43:P$95)</f>
        <v>0</v>
      </c>
      <c r="Q269" s="6">
        <f t="array" aca="1" ref="Q269" ca="1">SUM(OFFSET($HQ$43,0,($M269*3)+$N269,53,1)*Q$43:Q$95)</f>
        <v>0</v>
      </c>
      <c r="R269" s="6">
        <f t="array" aca="1" ref="R269" ca="1">SUM(OFFSET($HQ$43,0,($M269*3)+$N269,53,1)*R$43:R$95)</f>
        <v>0</v>
      </c>
      <c r="S269" s="6">
        <f t="array" aca="1" ref="S269" ca="1">SUM(OFFSET($HQ$43,0,($M269*3)+$N269,53,1)*S$43:S$95)</f>
        <v>0</v>
      </c>
      <c r="T269" s="6">
        <f t="array" aca="1" ref="T269" ca="1">SUM(OFFSET($HQ$43,0,($M269*3)+$N269,53,1)*T$43:T$95)</f>
        <v>0</v>
      </c>
      <c r="U269" s="6">
        <f t="array" aca="1" ref="U269" ca="1">SUM(OFFSET($HQ$43,0,($M269*3)+$N269,53,1)*U$43:U$95)</f>
        <v>0</v>
      </c>
      <c r="V269" s="6">
        <f t="array" aca="1" ref="V269" ca="1">SUM(OFFSET($HQ$43,0,($M269*3)+$N269,53,1)*V$43:V$95)</f>
        <v>0</v>
      </c>
      <c r="W269" s="6">
        <f t="array" aca="1" ref="W269" ca="1">SUM(OFFSET($HQ$43,0,($M269*3)+$N269,53,1)*W$43:W$95)</f>
        <v>0</v>
      </c>
      <c r="X269" s="6">
        <f t="array" aca="1" ref="X269" ca="1">SUM(OFFSET($HQ$43,0,($M269*3)+$N269,53,1)*X$43:X$95)</f>
        <v>0</v>
      </c>
      <c r="Y269" s="6">
        <f t="array" aca="1" ref="Y269" ca="1">SUM(OFFSET($HQ$43,0,($M269*3)+$N269,53,1)*Y$43:Y$95)</f>
        <v>0</v>
      </c>
      <c r="Z269" s="6">
        <f t="array" aca="1" ref="Z269" ca="1">SUM(OFFSET($HQ$43,0,($M269*3)+$N269,53,1)*Z$43:Z$95)</f>
        <v>0</v>
      </c>
      <c r="AA269" s="6">
        <f t="shared" ca="1" si="129"/>
        <v>0</v>
      </c>
      <c r="AB269" s="6">
        <f t="shared" ca="1" si="130"/>
        <v>0</v>
      </c>
      <c r="AC269" s="6"/>
      <c r="AD269" s="8"/>
      <c r="AE269" t="str">
        <f t="shared" si="128"/>
        <v>Diagnostic (N)</v>
      </c>
      <c r="AF269" s="8">
        <f ca="1">SUMIFS(O$339:O$341,$L$339:$L$341,$AE239)+IF(OR(AND('Aggregate summary'!$L$3="Yes",'Aggregate summary'!$E$3="POD"),AND('Aggregate summary'!$U$3="Process",'Aggregate summary'!$T$76="Clearance + downstream effects")),SUMIFS(O$400:O$402,$L$400:$L$402,$AE239),0)</f>
        <v>0</v>
      </c>
      <c r="AG269" s="8">
        <f ca="1">SUMIFS(P$339:P$341,$L$339:$L$341,$AE239)+IF(OR(AND('Aggregate summary'!$L$3="Yes",'Aggregate summary'!$E$3="POD"),AND('Aggregate summary'!$U$3="Process",'Aggregate summary'!$T$76="Clearance + downstream effects")),SUMIFS(P$400:P$402,$L$400:$L$402,$AE239),0)</f>
        <v>0</v>
      </c>
      <c r="AH269" s="8">
        <f ca="1">SUMIFS(Q$339:Q$341,$L$339:$L$341,$AE239)+IF(OR(AND('Aggregate summary'!$L$3="Yes",'Aggregate summary'!$E$3="POD"),AND('Aggregate summary'!$U$3="Process",'Aggregate summary'!$T$76="Clearance + downstream effects")),SUMIFS(Q$400:Q$402,$L$400:$L$402,$AE239),0)</f>
        <v>0</v>
      </c>
      <c r="AI269" s="8">
        <f ca="1">SUMIFS(R$339:R$341,$L$339:$L$341,$AE239)+IF(OR(AND('Aggregate summary'!$L$3="Yes",'Aggregate summary'!$E$3="POD"),AND('Aggregate summary'!$U$3="Process",'Aggregate summary'!$T$76="Clearance + downstream effects")),SUMIFS(R$400:R$402,$L$400:$L$402,$AE239),0)</f>
        <v>0</v>
      </c>
      <c r="AJ269" s="8">
        <f ca="1">SUMIFS(S$339:S$341,$L$339:$L$341,$AE239)+IF(OR(AND('Aggregate summary'!$L$3="Yes",'Aggregate summary'!$E$3="POD"),AND('Aggregate summary'!$U$3="Process",'Aggregate summary'!$T$76="Clearance + downstream effects")),SUMIFS(S$400:S$402,$L$400:$L$402,$AE239),0)</f>
        <v>0</v>
      </c>
      <c r="AK269" s="8">
        <f ca="1">SUMIFS(T$339:T$341,$L$339:$L$341,$AE239)+IF(OR(AND('Aggregate summary'!$L$3="Yes",'Aggregate summary'!$E$3="POD"),AND('Aggregate summary'!$U$3="Process",'Aggregate summary'!$T$76="Clearance + downstream effects")),SUMIFS(T$400:T$402,$L$400:$L$402,$AE239),0)</f>
        <v>0</v>
      </c>
      <c r="AL269" s="8">
        <f ca="1">SUMIFS(U$339:U$341,$L$339:$L$341,$AE239)+IF(OR(AND('Aggregate summary'!$L$3="Yes",'Aggregate summary'!$E$3="POD"),AND('Aggregate summary'!$U$3="Process",'Aggregate summary'!$T$76="Clearance + downstream effects")),SUMIFS(U$400:U$402,$L$400:$L$402,$AE239),0)</f>
        <v>0</v>
      </c>
      <c r="AM269" s="8">
        <f ca="1">SUMIFS(V$339:V$341,$L$339:$L$341,$AE239)+IF(OR(AND('Aggregate summary'!$L$3="Yes",'Aggregate summary'!$E$3="POD"),AND('Aggregate summary'!$U$3="Process",'Aggregate summary'!$T$76="Clearance + downstream effects")),SUMIFS(V$400:V$402,$L$400:$L$402,$AE239),0)</f>
        <v>0</v>
      </c>
      <c r="AN269" s="8">
        <f ca="1">SUMIFS(W$339:W$341,$L$339:$L$341,$AE239)+IF(OR(AND('Aggregate summary'!$L$3="Yes",'Aggregate summary'!$E$3="POD"),AND('Aggregate summary'!$U$3="Process",'Aggregate summary'!$T$76="Clearance + downstream effects")),SUMIFS(W$400:W$402,$L$400:$L$402,$AE239),0)</f>
        <v>0</v>
      </c>
      <c r="AO269" s="8">
        <f ca="1">SUMIFS(X$339:X$341,$L$339:$L$341,$AE239)+IF(OR(AND('Aggregate summary'!$L$3="Yes",'Aggregate summary'!$E$3="POD"),AND('Aggregate summary'!$U$3="Process",'Aggregate summary'!$T$76="Clearance + downstream effects")),SUMIFS(X$400:X$402,$L$400:$L$402,$AE239),0)</f>
        <v>0</v>
      </c>
      <c r="AP269" s="8">
        <f ca="1">SUMIFS(Y$339:Y$341,$L$339:$L$341,$AE239)+IF(OR(AND('Aggregate summary'!$L$3="Yes",'Aggregate summary'!$E$3="POD"),AND('Aggregate summary'!$U$3="Process",'Aggregate summary'!$T$76="Clearance + downstream effects")),SUMIFS(Y$400:Y$402,$L$400:$L$402,$AE239),0)</f>
        <v>0</v>
      </c>
      <c r="AQ269" s="8">
        <f ca="1">SUMIFS(Z$339:Z$341,$L$339:$L$341,$AE239)+IF(OR(AND('Aggregate summary'!$L$3="Yes",'Aggregate summary'!$E$3="POD"),AND('Aggregate summary'!$U$3="Process",'Aggregate summary'!$T$76="Clearance + downstream effects")),SUMIFS(Z$400:Z$402,$L$400:$L$402,$AE239),0)</f>
        <v>0</v>
      </c>
    </row>
    <row r="270" spans="1:43" x14ac:dyDescent="0.25">
      <c r="A270">
        <f>1</f>
        <v>1</v>
      </c>
      <c r="B270" s="85">
        <f t="shared" si="127"/>
        <v>44058</v>
      </c>
      <c r="C270" s="85">
        <f t="shared" si="123"/>
        <v>44053</v>
      </c>
      <c r="D270">
        <f t="shared" ca="1" si="124"/>
        <v>0</v>
      </c>
      <c r="E270" s="85">
        <f t="shared" si="125"/>
        <v>44044</v>
      </c>
      <c r="F270">
        <f t="shared" si="126"/>
        <v>33</v>
      </c>
      <c r="M270">
        <v>8</v>
      </c>
      <c r="N270">
        <v>2</v>
      </c>
      <c r="O270" s="6">
        <f t="array" aca="1" ref="O270" ca="1">SUM(OFFSET($HQ$43,0,($M270*3)+$N270,53,1)*O$43:O$95)</f>
        <v>0</v>
      </c>
      <c r="P270" s="6">
        <f t="array" aca="1" ref="P270" ca="1">SUM(OFFSET($HQ$43,0,($M270*3)+$N270,53,1)*P$43:P$95)</f>
        <v>0</v>
      </c>
      <c r="Q270" s="6">
        <f t="array" aca="1" ref="Q270" ca="1">SUM(OFFSET($HQ$43,0,($M270*3)+$N270,53,1)*Q$43:Q$95)</f>
        <v>0</v>
      </c>
      <c r="R270" s="6">
        <f t="array" aca="1" ref="R270" ca="1">SUM(OFFSET($HQ$43,0,($M270*3)+$N270,53,1)*R$43:R$95)</f>
        <v>0</v>
      </c>
      <c r="S270" s="6">
        <f t="array" aca="1" ref="S270" ca="1">SUM(OFFSET($HQ$43,0,($M270*3)+$N270,53,1)*S$43:S$95)</f>
        <v>0</v>
      </c>
      <c r="T270" s="6">
        <f t="array" aca="1" ref="T270" ca="1">SUM(OFFSET($HQ$43,0,($M270*3)+$N270,53,1)*T$43:T$95)</f>
        <v>0</v>
      </c>
      <c r="U270" s="6">
        <f t="array" aca="1" ref="U270" ca="1">SUM(OFFSET($HQ$43,0,($M270*3)+$N270,53,1)*U$43:U$95)</f>
        <v>0</v>
      </c>
      <c r="V270" s="6">
        <f t="array" aca="1" ref="V270" ca="1">SUM(OFFSET($HQ$43,0,($M270*3)+$N270,53,1)*V$43:V$95)</f>
        <v>0</v>
      </c>
      <c r="W270" s="6">
        <f t="array" aca="1" ref="W270" ca="1">SUM(OFFSET($HQ$43,0,($M270*3)+$N270,53,1)*W$43:W$95)</f>
        <v>0</v>
      </c>
      <c r="X270" s="6">
        <f t="array" aca="1" ref="X270" ca="1">SUM(OFFSET($HQ$43,0,($M270*3)+$N270,53,1)*X$43:X$95)</f>
        <v>0</v>
      </c>
      <c r="Y270" s="6">
        <f t="array" aca="1" ref="Y270" ca="1">SUM(OFFSET($HQ$43,0,($M270*3)+$N270,53,1)*Y$43:Y$95)</f>
        <v>0</v>
      </c>
      <c r="Z270" s="6">
        <f t="array" aca="1" ref="Z270" ca="1">SUM(OFFSET($HQ$43,0,($M270*3)+$N270,53,1)*Z$43:Z$95)</f>
        <v>0</v>
      </c>
      <c r="AA270" s="6">
        <f t="shared" ca="1" si="129"/>
        <v>0</v>
      </c>
      <c r="AB270" s="6">
        <f t="shared" ca="1" si="130"/>
        <v>0</v>
      </c>
      <c r="AC270" s="6"/>
      <c r="AD270" s="8"/>
      <c r="AE270" t="str">
        <f t="shared" si="128"/>
        <v>Follow Up</v>
      </c>
      <c r="AF270" s="8">
        <f ca="1">SUMIFS(O$339:O$341,$L$339:$L$341,$AE240)+IF(OR(AND('Aggregate summary'!$L$3="Yes",'Aggregate summary'!$E$3="POD"),AND('Aggregate summary'!$U$3="Process",'Aggregate summary'!$T$76="Clearance + downstream effects")),SUMIFS(O$400:O$402,$L$400:$L$402,$AE240),0)</f>
        <v>0</v>
      </c>
      <c r="AG270" s="8">
        <f ca="1">SUMIFS(P$339:P$341,$L$339:$L$341,$AE240)+IF(OR(AND('Aggregate summary'!$L$3="Yes",'Aggregate summary'!$E$3="POD"),AND('Aggregate summary'!$U$3="Process",'Aggregate summary'!$T$76="Clearance + downstream effects")),SUMIFS(P$400:P$402,$L$400:$L$402,$AE240),0)</f>
        <v>0</v>
      </c>
      <c r="AH270" s="8">
        <f ca="1">SUMIFS(Q$339:Q$341,$L$339:$L$341,$AE240)+IF(OR(AND('Aggregate summary'!$L$3="Yes",'Aggregate summary'!$E$3="POD"),AND('Aggregate summary'!$U$3="Process",'Aggregate summary'!$T$76="Clearance + downstream effects")),SUMIFS(Q$400:Q$402,$L$400:$L$402,$AE240),0)</f>
        <v>0</v>
      </c>
      <c r="AI270" s="8">
        <f ca="1">SUMIFS(R$339:R$341,$L$339:$L$341,$AE240)+IF(OR(AND('Aggregate summary'!$L$3="Yes",'Aggregate summary'!$E$3="POD"),AND('Aggregate summary'!$U$3="Process",'Aggregate summary'!$T$76="Clearance + downstream effects")),SUMIFS(R$400:R$402,$L$400:$L$402,$AE240),0)</f>
        <v>0</v>
      </c>
      <c r="AJ270" s="8">
        <f ca="1">SUMIFS(S$339:S$341,$L$339:$L$341,$AE240)+IF(OR(AND('Aggregate summary'!$L$3="Yes",'Aggregate summary'!$E$3="POD"),AND('Aggregate summary'!$U$3="Process",'Aggregate summary'!$T$76="Clearance + downstream effects")),SUMIFS(S$400:S$402,$L$400:$L$402,$AE240),0)</f>
        <v>0</v>
      </c>
      <c r="AK270" s="8">
        <f ca="1">SUMIFS(T$339:T$341,$L$339:$L$341,$AE240)+IF(OR(AND('Aggregate summary'!$L$3="Yes",'Aggregate summary'!$E$3="POD"),AND('Aggregate summary'!$U$3="Process",'Aggregate summary'!$T$76="Clearance + downstream effects")),SUMIFS(T$400:T$402,$L$400:$L$402,$AE240),0)</f>
        <v>0</v>
      </c>
      <c r="AL270" s="8">
        <f ca="1">SUMIFS(U$339:U$341,$L$339:$L$341,$AE240)+IF(OR(AND('Aggregate summary'!$L$3="Yes",'Aggregate summary'!$E$3="POD"),AND('Aggregate summary'!$U$3="Process",'Aggregate summary'!$T$76="Clearance + downstream effects")),SUMIFS(U$400:U$402,$L$400:$L$402,$AE240),0)</f>
        <v>0</v>
      </c>
      <c r="AM270" s="8">
        <f ca="1">SUMIFS(V$339:V$341,$L$339:$L$341,$AE240)+IF(OR(AND('Aggregate summary'!$L$3="Yes",'Aggregate summary'!$E$3="POD"),AND('Aggregate summary'!$U$3="Process",'Aggregate summary'!$T$76="Clearance + downstream effects")),SUMIFS(V$400:V$402,$L$400:$L$402,$AE240),0)</f>
        <v>0</v>
      </c>
      <c r="AN270" s="8">
        <f ca="1">SUMIFS(W$339:W$341,$L$339:$L$341,$AE240)+IF(OR(AND('Aggregate summary'!$L$3="Yes",'Aggregate summary'!$E$3="POD"),AND('Aggregate summary'!$U$3="Process",'Aggregate summary'!$T$76="Clearance + downstream effects")),SUMIFS(W$400:W$402,$L$400:$L$402,$AE240),0)</f>
        <v>0</v>
      </c>
      <c r="AO270" s="8">
        <f ca="1">SUMIFS(X$339:X$341,$L$339:$L$341,$AE240)+IF(OR(AND('Aggregate summary'!$L$3="Yes",'Aggregate summary'!$E$3="POD"),AND('Aggregate summary'!$U$3="Process",'Aggregate summary'!$T$76="Clearance + downstream effects")),SUMIFS(X$400:X$402,$L$400:$L$402,$AE240),0)</f>
        <v>0</v>
      </c>
      <c r="AP270" s="8">
        <f ca="1">SUMIFS(Y$339:Y$341,$L$339:$L$341,$AE240)+IF(OR(AND('Aggregate summary'!$L$3="Yes",'Aggregate summary'!$E$3="POD"),AND('Aggregate summary'!$U$3="Process",'Aggregate summary'!$T$76="Clearance + downstream effects")),SUMIFS(Y$400:Y$402,$L$400:$L$402,$AE240),0)</f>
        <v>0</v>
      </c>
      <c r="AQ270" s="8">
        <f ca="1">SUMIFS(Z$339:Z$341,$L$339:$L$341,$AE240)+IF(OR(AND('Aggregate summary'!$L$3="Yes",'Aggregate summary'!$E$3="POD"),AND('Aggregate summary'!$U$3="Process",'Aggregate summary'!$T$76="Clearance + downstream effects")),SUMIFS(Z$400:Z$402,$L$400:$L$402,$AE240),0)</f>
        <v>0</v>
      </c>
    </row>
    <row r="271" spans="1:43" x14ac:dyDescent="0.25">
      <c r="A271">
        <f>1</f>
        <v>1</v>
      </c>
      <c r="B271" s="85">
        <f t="shared" si="127"/>
        <v>44059</v>
      </c>
      <c r="C271" s="85">
        <f t="shared" si="123"/>
        <v>44053</v>
      </c>
      <c r="D271">
        <f t="shared" ca="1" si="124"/>
        <v>0</v>
      </c>
      <c r="E271" s="85">
        <f t="shared" si="125"/>
        <v>44044</v>
      </c>
      <c r="F271">
        <f t="shared" si="126"/>
        <v>33</v>
      </c>
      <c r="M271">
        <v>8</v>
      </c>
      <c r="N271">
        <v>3</v>
      </c>
      <c r="O271" s="6">
        <f t="array" aca="1" ref="O271" ca="1">SUM(OFFSET($HQ$43,0,($M271*3)+$N271,53,1)*O$43:O$95)</f>
        <v>0</v>
      </c>
      <c r="P271" s="6">
        <f t="array" aca="1" ref="P271" ca="1">SUM(OFFSET($HQ$43,0,($M271*3)+$N271,53,1)*P$43:P$95)</f>
        <v>0</v>
      </c>
      <c r="Q271" s="6">
        <f t="array" aca="1" ref="Q271" ca="1">SUM(OFFSET($HQ$43,0,($M271*3)+$N271,53,1)*Q$43:Q$95)</f>
        <v>0</v>
      </c>
      <c r="R271" s="6">
        <f t="array" aca="1" ref="R271" ca="1">SUM(OFFSET($HQ$43,0,($M271*3)+$N271,53,1)*R$43:R$95)</f>
        <v>0</v>
      </c>
      <c r="S271" s="6">
        <f t="array" aca="1" ref="S271" ca="1">SUM(OFFSET($HQ$43,0,($M271*3)+$N271,53,1)*S$43:S$95)</f>
        <v>0</v>
      </c>
      <c r="T271" s="6">
        <f t="array" aca="1" ref="T271" ca="1">SUM(OFFSET($HQ$43,0,($M271*3)+$N271,53,1)*T$43:T$95)</f>
        <v>0</v>
      </c>
      <c r="U271" s="6">
        <f t="array" aca="1" ref="U271" ca="1">SUM(OFFSET($HQ$43,0,($M271*3)+$N271,53,1)*U$43:U$95)</f>
        <v>0</v>
      </c>
      <c r="V271" s="6">
        <f t="array" aca="1" ref="V271" ca="1">SUM(OFFSET($HQ$43,0,($M271*3)+$N271,53,1)*V$43:V$95)</f>
        <v>0</v>
      </c>
      <c r="W271" s="6">
        <f t="array" aca="1" ref="W271" ca="1">SUM(OFFSET($HQ$43,0,($M271*3)+$N271,53,1)*W$43:W$95)</f>
        <v>0</v>
      </c>
      <c r="X271" s="6">
        <f t="array" aca="1" ref="X271" ca="1">SUM(OFFSET($HQ$43,0,($M271*3)+$N271,53,1)*X$43:X$95)</f>
        <v>0</v>
      </c>
      <c r="Y271" s="6">
        <f t="array" aca="1" ref="Y271" ca="1">SUM(OFFSET($HQ$43,0,($M271*3)+$N271,53,1)*Y$43:Y$95)</f>
        <v>0</v>
      </c>
      <c r="Z271" s="6">
        <f t="array" aca="1" ref="Z271" ca="1">SUM(OFFSET($HQ$43,0,($M271*3)+$N271,53,1)*Z$43:Z$95)</f>
        <v>0</v>
      </c>
      <c r="AA271" s="6">
        <f t="shared" ca="1" si="129"/>
        <v>0</v>
      </c>
      <c r="AB271" s="6">
        <f t="shared" ca="1" si="130"/>
        <v>0</v>
      </c>
      <c r="AC271" s="6"/>
      <c r="AD271" s="8"/>
      <c r="AE271" t="str">
        <f t="shared" si="128"/>
        <v>Diagnostic (FU)</v>
      </c>
      <c r="AF271" s="8">
        <f ca="1">SUMIFS(O$339:O$341,$L$339:$L$341,$AE241)+IF(OR(AND('Aggregate summary'!$L$3="Yes",'Aggregate summary'!$E$3="POD"),AND('Aggregate summary'!$U$3="Process",'Aggregate summary'!$T$76="Clearance + downstream effects")),SUMIFS(O$400:O$402,$L$400:$L$402,$AE241),0)</f>
        <v>0</v>
      </c>
      <c r="AG271" s="8">
        <f ca="1">SUMIFS(P$339:P$341,$L$339:$L$341,$AE241)+IF(OR(AND('Aggregate summary'!$L$3="Yes",'Aggregate summary'!$E$3="POD"),AND('Aggregate summary'!$U$3="Process",'Aggregate summary'!$T$76="Clearance + downstream effects")),SUMIFS(P$400:P$402,$L$400:$L$402,$AE241),0)</f>
        <v>0</v>
      </c>
      <c r="AH271" s="8">
        <f ca="1">SUMIFS(Q$339:Q$341,$L$339:$L$341,$AE241)+IF(OR(AND('Aggregate summary'!$L$3="Yes",'Aggregate summary'!$E$3="POD"),AND('Aggregate summary'!$U$3="Process",'Aggregate summary'!$T$76="Clearance + downstream effects")),SUMIFS(Q$400:Q$402,$L$400:$L$402,$AE241),0)</f>
        <v>0</v>
      </c>
      <c r="AI271" s="8">
        <f ca="1">SUMIFS(R$339:R$341,$L$339:$L$341,$AE241)+IF(OR(AND('Aggregate summary'!$L$3="Yes",'Aggregate summary'!$E$3="POD"),AND('Aggregate summary'!$U$3="Process",'Aggregate summary'!$T$76="Clearance + downstream effects")),SUMIFS(R$400:R$402,$L$400:$L$402,$AE241),0)</f>
        <v>0</v>
      </c>
      <c r="AJ271" s="8">
        <f ca="1">SUMIFS(S$339:S$341,$L$339:$L$341,$AE241)+IF(OR(AND('Aggregate summary'!$L$3="Yes",'Aggregate summary'!$E$3="POD"),AND('Aggregate summary'!$U$3="Process",'Aggregate summary'!$T$76="Clearance + downstream effects")),SUMIFS(S$400:S$402,$L$400:$L$402,$AE241),0)</f>
        <v>0</v>
      </c>
      <c r="AK271" s="8">
        <f ca="1">SUMIFS(T$339:T$341,$L$339:$L$341,$AE241)+IF(OR(AND('Aggregate summary'!$L$3="Yes",'Aggregate summary'!$E$3="POD"),AND('Aggregate summary'!$U$3="Process",'Aggregate summary'!$T$76="Clearance + downstream effects")),SUMIFS(T$400:T$402,$L$400:$L$402,$AE241),0)</f>
        <v>0</v>
      </c>
      <c r="AL271" s="8">
        <f ca="1">SUMIFS(U$339:U$341,$L$339:$L$341,$AE241)+IF(OR(AND('Aggregate summary'!$L$3="Yes",'Aggregate summary'!$E$3="POD"),AND('Aggregate summary'!$U$3="Process",'Aggregate summary'!$T$76="Clearance + downstream effects")),SUMIFS(U$400:U$402,$L$400:$L$402,$AE241),0)</f>
        <v>0</v>
      </c>
      <c r="AM271" s="8">
        <f ca="1">SUMIFS(V$339:V$341,$L$339:$L$341,$AE241)+IF(OR(AND('Aggregate summary'!$L$3="Yes",'Aggregate summary'!$E$3="POD"),AND('Aggregate summary'!$U$3="Process",'Aggregate summary'!$T$76="Clearance + downstream effects")),SUMIFS(V$400:V$402,$L$400:$L$402,$AE241),0)</f>
        <v>0</v>
      </c>
      <c r="AN271" s="8">
        <f ca="1">SUMIFS(W$339:W$341,$L$339:$L$341,$AE241)+IF(OR(AND('Aggregate summary'!$L$3="Yes",'Aggregate summary'!$E$3="POD"),AND('Aggregate summary'!$U$3="Process",'Aggregate summary'!$T$76="Clearance + downstream effects")),SUMIFS(W$400:W$402,$L$400:$L$402,$AE241),0)</f>
        <v>0</v>
      </c>
      <c r="AO271" s="8">
        <f ca="1">SUMIFS(X$339:X$341,$L$339:$L$341,$AE241)+IF(OR(AND('Aggregate summary'!$L$3="Yes",'Aggregate summary'!$E$3="POD"),AND('Aggregate summary'!$U$3="Process",'Aggregate summary'!$T$76="Clearance + downstream effects")),SUMIFS(X$400:X$402,$L$400:$L$402,$AE241),0)</f>
        <v>0</v>
      </c>
      <c r="AP271" s="8">
        <f ca="1">SUMIFS(Y$339:Y$341,$L$339:$L$341,$AE241)+IF(OR(AND('Aggregate summary'!$L$3="Yes",'Aggregate summary'!$E$3="POD"),AND('Aggregate summary'!$U$3="Process",'Aggregate summary'!$T$76="Clearance + downstream effects")),SUMIFS(Y$400:Y$402,$L$400:$L$402,$AE241),0)</f>
        <v>0</v>
      </c>
      <c r="AQ271" s="8">
        <f ca="1">SUMIFS(Z$339:Z$341,$L$339:$L$341,$AE241)+IF(OR(AND('Aggregate summary'!$L$3="Yes",'Aggregate summary'!$E$3="POD"),AND('Aggregate summary'!$U$3="Process",'Aggregate summary'!$T$76="Clearance + downstream effects")),SUMIFS(Z$400:Z$402,$L$400:$L$402,$AE241),0)</f>
        <v>0</v>
      </c>
    </row>
    <row r="272" spans="1:43" x14ac:dyDescent="0.25">
      <c r="A272">
        <f>1</f>
        <v>1</v>
      </c>
      <c r="B272" s="85">
        <f t="shared" si="127"/>
        <v>44060</v>
      </c>
      <c r="C272" s="85">
        <f t="shared" si="123"/>
        <v>44060</v>
      </c>
      <c r="D272">
        <f t="shared" ca="1" si="124"/>
        <v>1</v>
      </c>
      <c r="E272" s="85">
        <f t="shared" si="125"/>
        <v>44044</v>
      </c>
      <c r="F272">
        <f t="shared" si="126"/>
        <v>34</v>
      </c>
      <c r="M272">
        <v>9</v>
      </c>
      <c r="N272">
        <v>1</v>
      </c>
      <c r="O272" s="6">
        <f t="array" aca="1" ref="O272" ca="1">SUM(OFFSET($HQ$43,0,($M272*3)+$N272,53,1)*O$43:O$95)</f>
        <v>0</v>
      </c>
      <c r="P272" s="6">
        <f t="array" aca="1" ref="P272" ca="1">SUM(OFFSET($HQ$43,0,($M272*3)+$N272,53,1)*P$43:P$95)</f>
        <v>0</v>
      </c>
      <c r="Q272" s="6">
        <f t="array" aca="1" ref="Q272" ca="1">SUM(OFFSET($HQ$43,0,($M272*3)+$N272,53,1)*Q$43:Q$95)</f>
        <v>0</v>
      </c>
      <c r="R272" s="6">
        <f t="array" aca="1" ref="R272" ca="1">SUM(OFFSET($HQ$43,0,($M272*3)+$N272,53,1)*R$43:R$95)</f>
        <v>0</v>
      </c>
      <c r="S272" s="6">
        <f t="array" aca="1" ref="S272" ca="1">SUM(OFFSET($HQ$43,0,($M272*3)+$N272,53,1)*S$43:S$95)</f>
        <v>0</v>
      </c>
      <c r="T272" s="6">
        <f t="array" aca="1" ref="T272" ca="1">SUM(OFFSET($HQ$43,0,($M272*3)+$N272,53,1)*T$43:T$95)</f>
        <v>0</v>
      </c>
      <c r="U272" s="6">
        <f t="array" aca="1" ref="U272" ca="1">SUM(OFFSET($HQ$43,0,($M272*3)+$N272,53,1)*U$43:U$95)</f>
        <v>0</v>
      </c>
      <c r="V272" s="6">
        <f t="array" aca="1" ref="V272" ca="1">SUM(OFFSET($HQ$43,0,($M272*3)+$N272,53,1)*V$43:V$95)</f>
        <v>0</v>
      </c>
      <c r="W272" s="6">
        <f t="array" aca="1" ref="W272" ca="1">SUM(OFFSET($HQ$43,0,($M272*3)+$N272,53,1)*W$43:W$95)</f>
        <v>0</v>
      </c>
      <c r="X272" s="6">
        <f t="array" aca="1" ref="X272" ca="1">SUM(OFFSET($HQ$43,0,($M272*3)+$N272,53,1)*X$43:X$95)</f>
        <v>0</v>
      </c>
      <c r="Y272" s="6">
        <f t="array" aca="1" ref="Y272" ca="1">SUM(OFFSET($HQ$43,0,($M272*3)+$N272,53,1)*Y$43:Y$95)</f>
        <v>0</v>
      </c>
      <c r="Z272" s="6">
        <f t="array" aca="1" ref="Z272" ca="1">SUM(OFFSET($HQ$43,0,($M272*3)+$N272,53,1)*Z$43:Z$95)</f>
        <v>0</v>
      </c>
      <c r="AA272" s="6">
        <f t="shared" ca="1" si="129"/>
        <v>0</v>
      </c>
      <c r="AB272" s="6">
        <f t="shared" ca="1" si="130"/>
        <v>0</v>
      </c>
      <c r="AC272" s="6"/>
      <c r="AD272" s="8"/>
      <c r="AE272" t="str">
        <f t="shared" si="128"/>
        <v>Admission</v>
      </c>
      <c r="AF272" s="8">
        <f ca="1">SUMIFS(O$339:O$341,$L$339:$L$341,$AE242)+IF(OR(AND('Aggregate summary'!$L$3="Yes",'Aggregate summary'!$E$3="POD"),AND('Aggregate summary'!$U$3="Process",'Aggregate summary'!$T$76="Clearance + downstream effects")),SUMIFS(O$400:O$402,$L$400:$L$402,$AE242),0)</f>
        <v>0</v>
      </c>
      <c r="AG272" s="8">
        <f ca="1">SUMIFS(P$339:P$341,$L$339:$L$341,$AE242)+IF(OR(AND('Aggregate summary'!$L$3="Yes",'Aggregate summary'!$E$3="POD"),AND('Aggregate summary'!$U$3="Process",'Aggregate summary'!$T$76="Clearance + downstream effects")),SUMIFS(P$400:P$402,$L$400:$L$402,$AE242),0)</f>
        <v>0</v>
      </c>
      <c r="AH272" s="8">
        <f ca="1">SUMIFS(Q$339:Q$341,$L$339:$L$341,$AE242)+IF(OR(AND('Aggregate summary'!$L$3="Yes",'Aggregate summary'!$E$3="POD"),AND('Aggregate summary'!$U$3="Process",'Aggregate summary'!$T$76="Clearance + downstream effects")),SUMIFS(Q$400:Q$402,$L$400:$L$402,$AE242),0)</f>
        <v>0</v>
      </c>
      <c r="AI272" s="8">
        <f ca="1">SUMIFS(R$339:R$341,$L$339:$L$341,$AE242)+IF(OR(AND('Aggregate summary'!$L$3="Yes",'Aggregate summary'!$E$3="POD"),AND('Aggregate summary'!$U$3="Process",'Aggregate summary'!$T$76="Clearance + downstream effects")),SUMIFS(R$400:R$402,$L$400:$L$402,$AE242),0)</f>
        <v>0</v>
      </c>
      <c r="AJ272" s="8">
        <f ca="1">SUMIFS(S$339:S$341,$L$339:$L$341,$AE242)+IF(OR(AND('Aggregate summary'!$L$3="Yes",'Aggregate summary'!$E$3="POD"),AND('Aggregate summary'!$U$3="Process",'Aggregate summary'!$T$76="Clearance + downstream effects")),SUMIFS(S$400:S$402,$L$400:$L$402,$AE242),0)</f>
        <v>0</v>
      </c>
      <c r="AK272" s="8">
        <f ca="1">SUMIFS(T$339:T$341,$L$339:$L$341,$AE242)+IF(OR(AND('Aggregate summary'!$L$3="Yes",'Aggregate summary'!$E$3="POD"),AND('Aggregate summary'!$U$3="Process",'Aggregate summary'!$T$76="Clearance + downstream effects")),SUMIFS(T$400:T$402,$L$400:$L$402,$AE242),0)</f>
        <v>0</v>
      </c>
      <c r="AL272" s="8">
        <f ca="1">SUMIFS(U$339:U$341,$L$339:$L$341,$AE242)+IF(OR(AND('Aggregate summary'!$L$3="Yes",'Aggregate summary'!$E$3="POD"),AND('Aggregate summary'!$U$3="Process",'Aggregate summary'!$T$76="Clearance + downstream effects")),SUMIFS(U$400:U$402,$L$400:$L$402,$AE242),0)</f>
        <v>0</v>
      </c>
      <c r="AM272" s="8">
        <f ca="1">SUMIFS(V$339:V$341,$L$339:$L$341,$AE242)+IF(OR(AND('Aggregate summary'!$L$3="Yes",'Aggregate summary'!$E$3="POD"),AND('Aggregate summary'!$U$3="Process",'Aggregate summary'!$T$76="Clearance + downstream effects")),SUMIFS(V$400:V$402,$L$400:$L$402,$AE242),0)</f>
        <v>0</v>
      </c>
      <c r="AN272" s="8">
        <f ca="1">SUMIFS(W$339:W$341,$L$339:$L$341,$AE242)+IF(OR(AND('Aggregate summary'!$L$3="Yes",'Aggregate summary'!$E$3="POD"),AND('Aggregate summary'!$U$3="Process",'Aggregate summary'!$T$76="Clearance + downstream effects")),SUMIFS(W$400:W$402,$L$400:$L$402,$AE242),0)</f>
        <v>0</v>
      </c>
      <c r="AO272" s="8">
        <f ca="1">SUMIFS(X$339:X$341,$L$339:$L$341,$AE242)+IF(OR(AND('Aggregate summary'!$L$3="Yes",'Aggregate summary'!$E$3="POD"),AND('Aggregate summary'!$U$3="Process",'Aggregate summary'!$T$76="Clearance + downstream effects")),SUMIFS(X$400:X$402,$L$400:$L$402,$AE242),0)</f>
        <v>0</v>
      </c>
      <c r="AP272" s="8">
        <f ca="1">SUMIFS(Y$339:Y$341,$L$339:$L$341,$AE242)+IF(OR(AND('Aggregate summary'!$L$3="Yes",'Aggregate summary'!$E$3="POD"),AND('Aggregate summary'!$U$3="Process",'Aggregate summary'!$T$76="Clearance + downstream effects")),SUMIFS(Y$400:Y$402,$L$400:$L$402,$AE242),0)</f>
        <v>0</v>
      </c>
      <c r="AQ272" s="8">
        <f ca="1">SUMIFS(Z$339:Z$341,$L$339:$L$341,$AE242)+IF(OR(AND('Aggregate summary'!$L$3="Yes",'Aggregate summary'!$E$3="POD"),AND('Aggregate summary'!$U$3="Process",'Aggregate summary'!$T$76="Clearance + downstream effects")),SUMIFS(Z$400:Z$402,$L$400:$L$402,$AE242),0)</f>
        <v>0</v>
      </c>
    </row>
    <row r="273" spans="1:43" x14ac:dyDescent="0.25">
      <c r="A273">
        <f>1</f>
        <v>1</v>
      </c>
      <c r="B273" s="85">
        <f t="shared" si="127"/>
        <v>44061</v>
      </c>
      <c r="C273" s="85">
        <f t="shared" si="123"/>
        <v>44060</v>
      </c>
      <c r="D273">
        <f t="shared" ca="1" si="124"/>
        <v>1</v>
      </c>
      <c r="E273" s="85">
        <f t="shared" si="125"/>
        <v>44044</v>
      </c>
      <c r="F273">
        <f t="shared" si="126"/>
        <v>34</v>
      </c>
      <c r="M273">
        <v>9</v>
      </c>
      <c r="N273">
        <v>2</v>
      </c>
      <c r="O273" s="6">
        <f t="array" aca="1" ref="O273" ca="1">SUM(OFFSET($HQ$43,0,($M273*3)+$N273,53,1)*O$43:O$95)</f>
        <v>0</v>
      </c>
      <c r="P273" s="6">
        <f t="array" aca="1" ref="P273" ca="1">SUM(OFFSET($HQ$43,0,($M273*3)+$N273,53,1)*P$43:P$95)</f>
        <v>0</v>
      </c>
      <c r="Q273" s="6">
        <f t="array" aca="1" ref="Q273" ca="1">SUM(OFFSET($HQ$43,0,($M273*3)+$N273,53,1)*Q$43:Q$95)</f>
        <v>0</v>
      </c>
      <c r="R273" s="6">
        <f t="array" aca="1" ref="R273" ca="1">SUM(OFFSET($HQ$43,0,($M273*3)+$N273,53,1)*R$43:R$95)</f>
        <v>0</v>
      </c>
      <c r="S273" s="6">
        <f t="array" aca="1" ref="S273" ca="1">SUM(OFFSET($HQ$43,0,($M273*3)+$N273,53,1)*S$43:S$95)</f>
        <v>0</v>
      </c>
      <c r="T273" s="6">
        <f t="array" aca="1" ref="T273" ca="1">SUM(OFFSET($HQ$43,0,($M273*3)+$N273,53,1)*T$43:T$95)</f>
        <v>0</v>
      </c>
      <c r="U273" s="6">
        <f t="array" aca="1" ref="U273" ca="1">SUM(OFFSET($HQ$43,0,($M273*3)+$N273,53,1)*U$43:U$95)</f>
        <v>0</v>
      </c>
      <c r="V273" s="6">
        <f t="array" aca="1" ref="V273" ca="1">SUM(OFFSET($HQ$43,0,($M273*3)+$N273,53,1)*V$43:V$95)</f>
        <v>0</v>
      </c>
      <c r="W273" s="6">
        <f t="array" aca="1" ref="W273" ca="1">SUM(OFFSET($HQ$43,0,($M273*3)+$N273,53,1)*W$43:W$95)</f>
        <v>0</v>
      </c>
      <c r="X273" s="6">
        <f t="array" aca="1" ref="X273" ca="1">SUM(OFFSET($HQ$43,0,($M273*3)+$N273,53,1)*X$43:X$95)</f>
        <v>0</v>
      </c>
      <c r="Y273" s="6">
        <f t="array" aca="1" ref="Y273" ca="1">SUM(OFFSET($HQ$43,0,($M273*3)+$N273,53,1)*Y$43:Y$95)</f>
        <v>0</v>
      </c>
      <c r="Z273" s="6">
        <f t="array" aca="1" ref="Z273" ca="1">SUM(OFFSET($HQ$43,0,($M273*3)+$N273,53,1)*Z$43:Z$95)</f>
        <v>0</v>
      </c>
      <c r="AA273" s="6">
        <f t="shared" ca="1" si="129"/>
        <v>0</v>
      </c>
      <c r="AB273" s="6">
        <f t="shared" ca="1" si="130"/>
        <v>0</v>
      </c>
      <c r="AC273" s="6"/>
      <c r="AD273" s="8">
        <v>8</v>
      </c>
      <c r="AE273" t="str">
        <f t="shared" si="128"/>
        <v>New</v>
      </c>
      <c r="AF273" s="8">
        <f ca="1">SUMIFS(O$342:O$344,$L$342:$L$344,$AE238)+IF(OR(AND('Aggregate summary'!$L$3="Yes",'Aggregate summary'!$E$3="POD"),AND('Aggregate summary'!$U$3="Process",'Aggregate summary'!$T$76="Clearance + downstream effects")),SUMIFS(O$403:O$405,$L$403:$L$405,$AE238),0)</f>
        <v>0</v>
      </c>
      <c r="AG273" s="8">
        <f ca="1">SUMIFS(P$342:P$344,$L$342:$L$344,$AE238)+IF(OR(AND('Aggregate summary'!$L$3="Yes",'Aggregate summary'!$E$3="POD"),AND('Aggregate summary'!$U$3="Process",'Aggregate summary'!$T$76="Clearance + downstream effects")),SUMIFS(P$403:P$405,$L$403:$L$405,$AE238),0)</f>
        <v>0</v>
      </c>
      <c r="AH273" s="8">
        <f ca="1">SUMIFS(Q$342:Q$344,$L$342:$L$344,$AE238)+IF(OR(AND('Aggregate summary'!$L$3="Yes",'Aggregate summary'!$E$3="POD"),AND('Aggregate summary'!$U$3="Process",'Aggregate summary'!$T$76="Clearance + downstream effects")),SUMIFS(Q$403:Q$405,$L$403:$L$405,$AE238),0)</f>
        <v>0</v>
      </c>
      <c r="AI273" s="8">
        <f ca="1">SUMIFS(R$342:R$344,$L$342:$L$344,$AE238)+IF(OR(AND('Aggregate summary'!$L$3="Yes",'Aggregate summary'!$E$3="POD"),AND('Aggregate summary'!$U$3="Process",'Aggregate summary'!$T$76="Clearance + downstream effects")),SUMIFS(R$403:R$405,$L$403:$L$405,$AE238),0)</f>
        <v>0</v>
      </c>
      <c r="AJ273" s="8">
        <f ca="1">SUMIFS(S$342:S$344,$L$342:$L$344,$AE238)+IF(OR(AND('Aggregate summary'!$L$3="Yes",'Aggregate summary'!$E$3="POD"),AND('Aggregate summary'!$U$3="Process",'Aggregate summary'!$T$76="Clearance + downstream effects")),SUMIFS(S$403:S$405,$L$403:$L$405,$AE238),0)</f>
        <v>0</v>
      </c>
      <c r="AK273" s="8">
        <f ca="1">SUMIFS(T$342:T$344,$L$342:$L$344,$AE238)+IF(OR(AND('Aggregate summary'!$L$3="Yes",'Aggregate summary'!$E$3="POD"),AND('Aggregate summary'!$U$3="Process",'Aggregate summary'!$T$76="Clearance + downstream effects")),SUMIFS(T$403:T$405,$L$403:$L$405,$AE238),0)</f>
        <v>0</v>
      </c>
      <c r="AL273" s="8">
        <f ca="1">SUMIFS(U$342:U$344,$L$342:$L$344,$AE238)+IF(OR(AND('Aggregate summary'!$L$3="Yes",'Aggregate summary'!$E$3="POD"),AND('Aggregate summary'!$U$3="Process",'Aggregate summary'!$T$76="Clearance + downstream effects")),SUMIFS(U$403:U$405,$L$403:$L$405,$AE238),0)</f>
        <v>0</v>
      </c>
      <c r="AM273" s="8">
        <f ca="1">SUMIFS(V$342:V$344,$L$342:$L$344,$AE238)+IF(OR(AND('Aggregate summary'!$L$3="Yes",'Aggregate summary'!$E$3="POD"),AND('Aggregate summary'!$U$3="Process",'Aggregate summary'!$T$76="Clearance + downstream effects")),SUMIFS(V$403:V$405,$L$403:$L$405,$AE238),0)</f>
        <v>0</v>
      </c>
      <c r="AN273" s="8">
        <f ca="1">SUMIFS(W$342:W$344,$L$342:$L$344,$AE238)+IF(OR(AND('Aggregate summary'!$L$3="Yes",'Aggregate summary'!$E$3="POD"),AND('Aggregate summary'!$U$3="Process",'Aggregate summary'!$T$76="Clearance + downstream effects")),SUMIFS(W$403:W$405,$L$403:$L$405,$AE238),0)</f>
        <v>0</v>
      </c>
      <c r="AO273" s="8">
        <f ca="1">SUMIFS(X$342:X$344,$L$342:$L$344,$AE238)+IF(OR(AND('Aggregate summary'!$L$3="Yes",'Aggregate summary'!$E$3="POD"),AND('Aggregate summary'!$U$3="Process",'Aggregate summary'!$T$76="Clearance + downstream effects")),SUMIFS(X$403:X$405,$L$403:$L$405,$AE238),0)</f>
        <v>0</v>
      </c>
      <c r="AP273" s="8">
        <f ca="1">SUMIFS(Y$342:Y$344,$L$342:$L$344,$AE238)+IF(OR(AND('Aggregate summary'!$L$3="Yes",'Aggregate summary'!$E$3="POD"),AND('Aggregate summary'!$U$3="Process",'Aggregate summary'!$T$76="Clearance + downstream effects")),SUMIFS(Y$403:Y$405,$L$403:$L$405,$AE238),0)</f>
        <v>0</v>
      </c>
      <c r="AQ273" s="8">
        <f ca="1">SUMIFS(Z$342:Z$344,$L$342:$L$344,$AE238)+IF(OR(AND('Aggregate summary'!$L$3="Yes",'Aggregate summary'!$E$3="POD"),AND('Aggregate summary'!$U$3="Process",'Aggregate summary'!$T$76="Clearance + downstream effects")),SUMIFS(Z$403:Z$405,$L$403:$L$405,$AE238),0)</f>
        <v>0</v>
      </c>
    </row>
    <row r="274" spans="1:43" x14ac:dyDescent="0.25">
      <c r="A274">
        <f>1</f>
        <v>1</v>
      </c>
      <c r="B274" s="85">
        <f t="shared" si="127"/>
        <v>44062</v>
      </c>
      <c r="C274" s="85">
        <f t="shared" si="123"/>
        <v>44060</v>
      </c>
      <c r="D274">
        <f t="shared" ca="1" si="124"/>
        <v>1</v>
      </c>
      <c r="E274" s="85">
        <f t="shared" si="125"/>
        <v>44044</v>
      </c>
      <c r="F274">
        <f t="shared" si="126"/>
        <v>34</v>
      </c>
      <c r="M274">
        <v>9</v>
      </c>
      <c r="N274">
        <v>3</v>
      </c>
      <c r="O274" s="6">
        <f t="array" aca="1" ref="O274" ca="1">SUM(OFFSET($HQ$43,0,($M274*3)+$N274,53,1)*O$43:O$95)</f>
        <v>0</v>
      </c>
      <c r="P274" s="6">
        <f t="array" aca="1" ref="P274" ca="1">SUM(OFFSET($HQ$43,0,($M274*3)+$N274,53,1)*P$43:P$95)</f>
        <v>0</v>
      </c>
      <c r="Q274" s="6">
        <f t="array" aca="1" ref="Q274" ca="1">SUM(OFFSET($HQ$43,0,($M274*3)+$N274,53,1)*Q$43:Q$95)</f>
        <v>0</v>
      </c>
      <c r="R274" s="6">
        <f t="array" aca="1" ref="R274" ca="1">SUM(OFFSET($HQ$43,0,($M274*3)+$N274,53,1)*R$43:R$95)</f>
        <v>0</v>
      </c>
      <c r="S274" s="6">
        <f t="array" aca="1" ref="S274" ca="1">SUM(OFFSET($HQ$43,0,($M274*3)+$N274,53,1)*S$43:S$95)</f>
        <v>0</v>
      </c>
      <c r="T274" s="6">
        <f t="array" aca="1" ref="T274" ca="1">SUM(OFFSET($HQ$43,0,($M274*3)+$N274,53,1)*T$43:T$95)</f>
        <v>0</v>
      </c>
      <c r="U274" s="6">
        <f t="array" aca="1" ref="U274" ca="1">SUM(OFFSET($HQ$43,0,($M274*3)+$N274,53,1)*U$43:U$95)</f>
        <v>0</v>
      </c>
      <c r="V274" s="6">
        <f t="array" aca="1" ref="V274" ca="1">SUM(OFFSET($HQ$43,0,($M274*3)+$N274,53,1)*V$43:V$95)</f>
        <v>0</v>
      </c>
      <c r="W274" s="6">
        <f t="array" aca="1" ref="W274" ca="1">SUM(OFFSET($HQ$43,0,($M274*3)+$N274,53,1)*W$43:W$95)</f>
        <v>0</v>
      </c>
      <c r="X274" s="6">
        <f t="array" aca="1" ref="X274" ca="1">SUM(OFFSET($HQ$43,0,($M274*3)+$N274,53,1)*X$43:X$95)</f>
        <v>0</v>
      </c>
      <c r="Y274" s="6">
        <f t="array" aca="1" ref="Y274" ca="1">SUM(OFFSET($HQ$43,0,($M274*3)+$N274,53,1)*Y$43:Y$95)</f>
        <v>0</v>
      </c>
      <c r="Z274" s="6">
        <f t="array" aca="1" ref="Z274" ca="1">SUM(OFFSET($HQ$43,0,($M274*3)+$N274,53,1)*Z$43:Z$95)</f>
        <v>0</v>
      </c>
      <c r="AA274" s="6">
        <f t="shared" ca="1" si="129"/>
        <v>0</v>
      </c>
      <c r="AB274" s="6">
        <f t="shared" ca="1" si="130"/>
        <v>0</v>
      </c>
      <c r="AC274" s="6"/>
      <c r="AD274" s="8"/>
      <c r="AE274" t="str">
        <f t="shared" si="128"/>
        <v>Diagnostic (N)</v>
      </c>
      <c r="AF274" s="8">
        <f ca="1">SUMIFS(O$342:O$344,$L$342:$L$344,$AE239)+IF(OR(AND('Aggregate summary'!$L$3="Yes",'Aggregate summary'!$E$3="POD"),AND('Aggregate summary'!$U$3="Process",'Aggregate summary'!$T$76="Clearance + downstream effects")),SUMIFS(O$403:O$405,$L$403:$L$405,$AE239),0)</f>
        <v>0</v>
      </c>
      <c r="AG274" s="8">
        <f ca="1">SUMIFS(P$342:P$344,$L$342:$L$344,$AE239)+IF(OR(AND('Aggregate summary'!$L$3="Yes",'Aggregate summary'!$E$3="POD"),AND('Aggregate summary'!$U$3="Process",'Aggregate summary'!$T$76="Clearance + downstream effects")),SUMIFS(P$403:P$405,$L$403:$L$405,$AE239),0)</f>
        <v>0</v>
      </c>
      <c r="AH274" s="8">
        <f ca="1">SUMIFS(Q$342:Q$344,$L$342:$L$344,$AE239)+IF(OR(AND('Aggregate summary'!$L$3="Yes",'Aggregate summary'!$E$3="POD"),AND('Aggregate summary'!$U$3="Process",'Aggregate summary'!$T$76="Clearance + downstream effects")),SUMIFS(Q$403:Q$405,$L$403:$L$405,$AE239),0)</f>
        <v>0</v>
      </c>
      <c r="AI274" s="8">
        <f ca="1">SUMIFS(R$342:R$344,$L$342:$L$344,$AE239)+IF(OR(AND('Aggregate summary'!$L$3="Yes",'Aggregate summary'!$E$3="POD"),AND('Aggregate summary'!$U$3="Process",'Aggregate summary'!$T$76="Clearance + downstream effects")),SUMIFS(R$403:R$405,$L$403:$L$405,$AE239),0)</f>
        <v>0</v>
      </c>
      <c r="AJ274" s="8">
        <f ca="1">SUMIFS(S$342:S$344,$L$342:$L$344,$AE239)+IF(OR(AND('Aggregate summary'!$L$3="Yes",'Aggregate summary'!$E$3="POD"),AND('Aggregate summary'!$U$3="Process",'Aggregate summary'!$T$76="Clearance + downstream effects")),SUMIFS(S$403:S$405,$L$403:$L$405,$AE239),0)</f>
        <v>0</v>
      </c>
      <c r="AK274" s="8">
        <f ca="1">SUMIFS(T$342:T$344,$L$342:$L$344,$AE239)+IF(OR(AND('Aggregate summary'!$L$3="Yes",'Aggregate summary'!$E$3="POD"),AND('Aggregate summary'!$U$3="Process",'Aggregate summary'!$T$76="Clearance + downstream effects")),SUMIFS(T$403:T$405,$L$403:$L$405,$AE239),0)</f>
        <v>0</v>
      </c>
      <c r="AL274" s="8">
        <f ca="1">SUMIFS(U$342:U$344,$L$342:$L$344,$AE239)+IF(OR(AND('Aggregate summary'!$L$3="Yes",'Aggregate summary'!$E$3="POD"),AND('Aggregate summary'!$U$3="Process",'Aggregate summary'!$T$76="Clearance + downstream effects")),SUMIFS(U$403:U$405,$L$403:$L$405,$AE239),0)</f>
        <v>0</v>
      </c>
      <c r="AM274" s="8">
        <f ca="1">SUMIFS(V$342:V$344,$L$342:$L$344,$AE239)+IF(OR(AND('Aggregate summary'!$L$3="Yes",'Aggregate summary'!$E$3="POD"),AND('Aggregate summary'!$U$3="Process",'Aggregate summary'!$T$76="Clearance + downstream effects")),SUMIFS(V$403:V$405,$L$403:$L$405,$AE239),0)</f>
        <v>0</v>
      </c>
      <c r="AN274" s="8">
        <f ca="1">SUMIFS(W$342:W$344,$L$342:$L$344,$AE239)+IF(OR(AND('Aggregate summary'!$L$3="Yes",'Aggregate summary'!$E$3="POD"),AND('Aggregate summary'!$U$3="Process",'Aggregate summary'!$T$76="Clearance + downstream effects")),SUMIFS(W$403:W$405,$L$403:$L$405,$AE239),0)</f>
        <v>0</v>
      </c>
      <c r="AO274" s="8">
        <f ca="1">SUMIFS(X$342:X$344,$L$342:$L$344,$AE239)+IF(OR(AND('Aggregate summary'!$L$3="Yes",'Aggregate summary'!$E$3="POD"),AND('Aggregate summary'!$U$3="Process",'Aggregate summary'!$T$76="Clearance + downstream effects")),SUMIFS(X$403:X$405,$L$403:$L$405,$AE239),0)</f>
        <v>0</v>
      </c>
      <c r="AP274" s="8">
        <f ca="1">SUMIFS(Y$342:Y$344,$L$342:$L$344,$AE239)+IF(OR(AND('Aggregate summary'!$L$3="Yes",'Aggregate summary'!$E$3="POD"),AND('Aggregate summary'!$U$3="Process",'Aggregate summary'!$T$76="Clearance + downstream effects")),SUMIFS(Y$403:Y$405,$L$403:$L$405,$AE239),0)</f>
        <v>0</v>
      </c>
      <c r="AQ274" s="8">
        <f ca="1">SUMIFS(Z$342:Z$344,$L$342:$L$344,$AE239)+IF(OR(AND('Aggregate summary'!$L$3="Yes",'Aggregate summary'!$E$3="POD"),AND('Aggregate summary'!$U$3="Process",'Aggregate summary'!$T$76="Clearance + downstream effects")),SUMIFS(Z$403:Z$405,$L$403:$L$405,$AE239),0)</f>
        <v>0</v>
      </c>
    </row>
    <row r="275" spans="1:43" x14ac:dyDescent="0.25">
      <c r="A275">
        <f>1</f>
        <v>1</v>
      </c>
      <c r="B275" s="85">
        <f t="shared" si="127"/>
        <v>44063</v>
      </c>
      <c r="C275" s="85">
        <f t="shared" si="123"/>
        <v>44060</v>
      </c>
      <c r="D275">
        <f t="shared" ca="1" si="124"/>
        <v>1</v>
      </c>
      <c r="E275" s="85">
        <f t="shared" si="125"/>
        <v>44044</v>
      </c>
      <c r="F275">
        <f t="shared" si="126"/>
        <v>34</v>
      </c>
      <c r="M275">
        <v>10</v>
      </c>
      <c r="N275">
        <v>1</v>
      </c>
      <c r="O275" s="6">
        <f t="array" aca="1" ref="O275" ca="1">SUM(OFFSET($HQ$43,0,($M275*3)+$N275,53,1)*O$43:O$95)</f>
        <v>0</v>
      </c>
      <c r="P275" s="6">
        <f t="array" aca="1" ref="P275" ca="1">SUM(OFFSET($HQ$43,0,($M275*3)+$N275,53,1)*P$43:P$95)</f>
        <v>0</v>
      </c>
      <c r="Q275" s="6">
        <f t="array" aca="1" ref="Q275" ca="1">SUM(OFFSET($HQ$43,0,($M275*3)+$N275,53,1)*Q$43:Q$95)</f>
        <v>0</v>
      </c>
      <c r="R275" s="6">
        <f t="array" aca="1" ref="R275" ca="1">SUM(OFFSET($HQ$43,0,($M275*3)+$N275,53,1)*R$43:R$95)</f>
        <v>0</v>
      </c>
      <c r="S275" s="6">
        <f t="array" aca="1" ref="S275" ca="1">SUM(OFFSET($HQ$43,0,($M275*3)+$N275,53,1)*S$43:S$95)</f>
        <v>0</v>
      </c>
      <c r="T275" s="6">
        <f t="array" aca="1" ref="T275" ca="1">SUM(OFFSET($HQ$43,0,($M275*3)+$N275,53,1)*T$43:T$95)</f>
        <v>0</v>
      </c>
      <c r="U275" s="6">
        <f t="array" aca="1" ref="U275" ca="1">SUM(OFFSET($HQ$43,0,($M275*3)+$N275,53,1)*U$43:U$95)</f>
        <v>0</v>
      </c>
      <c r="V275" s="6">
        <f t="array" aca="1" ref="V275" ca="1">SUM(OFFSET($HQ$43,0,($M275*3)+$N275,53,1)*V$43:V$95)</f>
        <v>0</v>
      </c>
      <c r="W275" s="6">
        <f t="array" aca="1" ref="W275" ca="1">SUM(OFFSET($HQ$43,0,($M275*3)+$N275,53,1)*W$43:W$95)</f>
        <v>0</v>
      </c>
      <c r="X275" s="6">
        <f t="array" aca="1" ref="X275" ca="1">SUM(OFFSET($HQ$43,0,($M275*3)+$N275,53,1)*X$43:X$95)</f>
        <v>0</v>
      </c>
      <c r="Y275" s="6">
        <f t="array" aca="1" ref="Y275" ca="1">SUM(OFFSET($HQ$43,0,($M275*3)+$N275,53,1)*Y$43:Y$95)</f>
        <v>0</v>
      </c>
      <c r="Z275" s="6">
        <f t="array" aca="1" ref="Z275" ca="1">SUM(OFFSET($HQ$43,0,($M275*3)+$N275,53,1)*Z$43:Z$95)</f>
        <v>0</v>
      </c>
      <c r="AA275" s="6">
        <f t="shared" ca="1" si="129"/>
        <v>0</v>
      </c>
      <c r="AB275" s="6">
        <f t="shared" ca="1" si="130"/>
        <v>0</v>
      </c>
      <c r="AC275" s="6"/>
      <c r="AD275" s="8"/>
      <c r="AE275" t="str">
        <f t="shared" si="128"/>
        <v>Follow Up</v>
      </c>
      <c r="AF275" s="8">
        <f ca="1">SUMIFS(O$342:O$344,$L$342:$L$344,$AE240)+IF(OR(AND('Aggregate summary'!$L$3="Yes",'Aggregate summary'!$E$3="POD"),AND('Aggregate summary'!$U$3="Process",'Aggregate summary'!$T$76="Clearance + downstream effects")),SUMIFS(O$403:O$405,$L$403:$L$405,$AE240),0)</f>
        <v>0</v>
      </c>
      <c r="AG275" s="8">
        <f ca="1">SUMIFS(P$342:P$344,$L$342:$L$344,$AE240)+IF(OR(AND('Aggregate summary'!$L$3="Yes",'Aggregate summary'!$E$3="POD"),AND('Aggregate summary'!$U$3="Process",'Aggregate summary'!$T$76="Clearance + downstream effects")),SUMIFS(P$403:P$405,$L$403:$L$405,$AE240),0)</f>
        <v>0</v>
      </c>
      <c r="AH275" s="8">
        <f ca="1">SUMIFS(Q$342:Q$344,$L$342:$L$344,$AE240)+IF(OR(AND('Aggregate summary'!$L$3="Yes",'Aggregate summary'!$E$3="POD"),AND('Aggregate summary'!$U$3="Process",'Aggregate summary'!$T$76="Clearance + downstream effects")),SUMIFS(Q$403:Q$405,$L$403:$L$405,$AE240),0)</f>
        <v>0</v>
      </c>
      <c r="AI275" s="8">
        <f ca="1">SUMIFS(R$342:R$344,$L$342:$L$344,$AE240)+IF(OR(AND('Aggregate summary'!$L$3="Yes",'Aggregate summary'!$E$3="POD"),AND('Aggregate summary'!$U$3="Process",'Aggregate summary'!$T$76="Clearance + downstream effects")),SUMIFS(R$403:R$405,$L$403:$L$405,$AE240),0)</f>
        <v>0</v>
      </c>
      <c r="AJ275" s="8">
        <f ca="1">SUMIFS(S$342:S$344,$L$342:$L$344,$AE240)+IF(OR(AND('Aggregate summary'!$L$3="Yes",'Aggregate summary'!$E$3="POD"),AND('Aggregate summary'!$U$3="Process",'Aggregate summary'!$T$76="Clearance + downstream effects")),SUMIFS(S$403:S$405,$L$403:$L$405,$AE240),0)</f>
        <v>0</v>
      </c>
      <c r="AK275" s="8">
        <f ca="1">SUMIFS(T$342:T$344,$L$342:$L$344,$AE240)+IF(OR(AND('Aggregate summary'!$L$3="Yes",'Aggregate summary'!$E$3="POD"),AND('Aggregate summary'!$U$3="Process",'Aggregate summary'!$T$76="Clearance + downstream effects")),SUMIFS(T$403:T$405,$L$403:$L$405,$AE240),0)</f>
        <v>0</v>
      </c>
      <c r="AL275" s="8">
        <f ca="1">SUMIFS(U$342:U$344,$L$342:$L$344,$AE240)+IF(OR(AND('Aggregate summary'!$L$3="Yes",'Aggregate summary'!$E$3="POD"),AND('Aggregate summary'!$U$3="Process",'Aggregate summary'!$T$76="Clearance + downstream effects")),SUMIFS(U$403:U$405,$L$403:$L$405,$AE240),0)</f>
        <v>0</v>
      </c>
      <c r="AM275" s="8">
        <f ca="1">SUMIFS(V$342:V$344,$L$342:$L$344,$AE240)+IF(OR(AND('Aggregate summary'!$L$3="Yes",'Aggregate summary'!$E$3="POD"),AND('Aggregate summary'!$U$3="Process",'Aggregate summary'!$T$76="Clearance + downstream effects")),SUMIFS(V$403:V$405,$L$403:$L$405,$AE240),0)</f>
        <v>0</v>
      </c>
      <c r="AN275" s="8">
        <f ca="1">SUMIFS(W$342:W$344,$L$342:$L$344,$AE240)+IF(OR(AND('Aggregate summary'!$L$3="Yes",'Aggregate summary'!$E$3="POD"),AND('Aggregate summary'!$U$3="Process",'Aggregate summary'!$T$76="Clearance + downstream effects")),SUMIFS(W$403:W$405,$L$403:$L$405,$AE240),0)</f>
        <v>0</v>
      </c>
      <c r="AO275" s="8">
        <f ca="1">SUMIFS(X$342:X$344,$L$342:$L$344,$AE240)+IF(OR(AND('Aggregate summary'!$L$3="Yes",'Aggregate summary'!$E$3="POD"),AND('Aggregate summary'!$U$3="Process",'Aggregate summary'!$T$76="Clearance + downstream effects")),SUMIFS(X$403:X$405,$L$403:$L$405,$AE240),0)</f>
        <v>0</v>
      </c>
      <c r="AP275" s="8">
        <f ca="1">SUMIFS(Y$342:Y$344,$L$342:$L$344,$AE240)+IF(OR(AND('Aggregate summary'!$L$3="Yes",'Aggregate summary'!$E$3="POD"),AND('Aggregate summary'!$U$3="Process",'Aggregate summary'!$T$76="Clearance + downstream effects")),SUMIFS(Y$403:Y$405,$L$403:$L$405,$AE240),0)</f>
        <v>0</v>
      </c>
      <c r="AQ275" s="8">
        <f ca="1">SUMIFS(Z$342:Z$344,$L$342:$L$344,$AE240)+IF(OR(AND('Aggregate summary'!$L$3="Yes",'Aggregate summary'!$E$3="POD"),AND('Aggregate summary'!$U$3="Process",'Aggregate summary'!$T$76="Clearance + downstream effects")),SUMIFS(Z$403:Z$405,$L$403:$L$405,$AE240),0)</f>
        <v>0</v>
      </c>
    </row>
    <row r="276" spans="1:43" x14ac:dyDescent="0.25">
      <c r="A276">
        <f>1</f>
        <v>1</v>
      </c>
      <c r="B276" s="85">
        <f t="shared" si="127"/>
        <v>44064</v>
      </c>
      <c r="C276" s="85">
        <f t="shared" si="123"/>
        <v>44060</v>
      </c>
      <c r="D276">
        <f t="shared" ca="1" si="124"/>
        <v>1</v>
      </c>
      <c r="E276" s="85">
        <f t="shared" si="125"/>
        <v>44044</v>
      </c>
      <c r="F276">
        <f t="shared" si="126"/>
        <v>34</v>
      </c>
      <c r="M276">
        <v>10</v>
      </c>
      <c r="N276">
        <v>2</v>
      </c>
      <c r="O276" s="6">
        <f t="array" aca="1" ref="O276" ca="1">SUM(OFFSET($HQ$43,0,($M276*3)+$N276,53,1)*O$43:O$95)</f>
        <v>0</v>
      </c>
      <c r="P276" s="6">
        <f t="array" aca="1" ref="P276" ca="1">SUM(OFFSET($HQ$43,0,($M276*3)+$N276,53,1)*P$43:P$95)</f>
        <v>0</v>
      </c>
      <c r="Q276" s="6">
        <f t="array" aca="1" ref="Q276" ca="1">SUM(OFFSET($HQ$43,0,($M276*3)+$N276,53,1)*Q$43:Q$95)</f>
        <v>0</v>
      </c>
      <c r="R276" s="6">
        <f t="array" aca="1" ref="R276" ca="1">SUM(OFFSET($HQ$43,0,($M276*3)+$N276,53,1)*R$43:R$95)</f>
        <v>0</v>
      </c>
      <c r="S276" s="6">
        <f t="array" aca="1" ref="S276" ca="1">SUM(OFFSET($HQ$43,0,($M276*3)+$N276,53,1)*S$43:S$95)</f>
        <v>0</v>
      </c>
      <c r="T276" s="6">
        <f t="array" aca="1" ref="T276" ca="1">SUM(OFFSET($HQ$43,0,($M276*3)+$N276,53,1)*T$43:T$95)</f>
        <v>0</v>
      </c>
      <c r="U276" s="6">
        <f t="array" aca="1" ref="U276" ca="1">SUM(OFFSET($HQ$43,0,($M276*3)+$N276,53,1)*U$43:U$95)</f>
        <v>0</v>
      </c>
      <c r="V276" s="6">
        <f t="array" aca="1" ref="V276" ca="1">SUM(OFFSET($HQ$43,0,($M276*3)+$N276,53,1)*V$43:V$95)</f>
        <v>0</v>
      </c>
      <c r="W276" s="6">
        <f t="array" aca="1" ref="W276" ca="1">SUM(OFFSET($HQ$43,0,($M276*3)+$N276,53,1)*W$43:W$95)</f>
        <v>0</v>
      </c>
      <c r="X276" s="6">
        <f t="array" aca="1" ref="X276" ca="1">SUM(OFFSET($HQ$43,0,($M276*3)+$N276,53,1)*X$43:X$95)</f>
        <v>0</v>
      </c>
      <c r="Y276" s="6">
        <f t="array" aca="1" ref="Y276" ca="1">SUM(OFFSET($HQ$43,0,($M276*3)+$N276,53,1)*Y$43:Y$95)</f>
        <v>0</v>
      </c>
      <c r="Z276" s="6">
        <f t="array" aca="1" ref="Z276" ca="1">SUM(OFFSET($HQ$43,0,($M276*3)+$N276,53,1)*Z$43:Z$95)</f>
        <v>0</v>
      </c>
      <c r="AA276" s="6">
        <f t="shared" ca="1" si="129"/>
        <v>0</v>
      </c>
      <c r="AB276" s="6">
        <f t="shared" ca="1" si="130"/>
        <v>0</v>
      </c>
      <c r="AC276" s="6"/>
      <c r="AD276" s="8"/>
      <c r="AE276" t="str">
        <f t="shared" si="128"/>
        <v>Diagnostic (FU)</v>
      </c>
      <c r="AF276" s="8">
        <f ca="1">SUMIFS(O$342:O$344,$L$342:$L$344,$AE241)+IF(OR(AND('Aggregate summary'!$L$3="Yes",'Aggregate summary'!$E$3="POD"),AND('Aggregate summary'!$U$3="Process",'Aggregate summary'!$T$76="Clearance + downstream effects")),SUMIFS(O$403:O$405,$L$403:$L$405,$AE241),0)</f>
        <v>0</v>
      </c>
      <c r="AG276" s="8">
        <f ca="1">SUMIFS(P$342:P$344,$L$342:$L$344,$AE241)+IF(OR(AND('Aggregate summary'!$L$3="Yes",'Aggregate summary'!$E$3="POD"),AND('Aggregate summary'!$U$3="Process",'Aggregate summary'!$T$76="Clearance + downstream effects")),SUMIFS(P$403:P$405,$L$403:$L$405,$AE241),0)</f>
        <v>0</v>
      </c>
      <c r="AH276" s="8">
        <f ca="1">SUMIFS(Q$342:Q$344,$L$342:$L$344,$AE241)+IF(OR(AND('Aggregate summary'!$L$3="Yes",'Aggregate summary'!$E$3="POD"),AND('Aggregate summary'!$U$3="Process",'Aggregate summary'!$T$76="Clearance + downstream effects")),SUMIFS(Q$403:Q$405,$L$403:$L$405,$AE241),0)</f>
        <v>0</v>
      </c>
      <c r="AI276" s="8">
        <f ca="1">SUMIFS(R$342:R$344,$L$342:$L$344,$AE241)+IF(OR(AND('Aggregate summary'!$L$3="Yes",'Aggregate summary'!$E$3="POD"),AND('Aggregate summary'!$U$3="Process",'Aggregate summary'!$T$76="Clearance + downstream effects")),SUMIFS(R$403:R$405,$L$403:$L$405,$AE241),0)</f>
        <v>0</v>
      </c>
      <c r="AJ276" s="8">
        <f ca="1">SUMIFS(S$342:S$344,$L$342:$L$344,$AE241)+IF(OR(AND('Aggregate summary'!$L$3="Yes",'Aggregate summary'!$E$3="POD"),AND('Aggregate summary'!$U$3="Process",'Aggregate summary'!$T$76="Clearance + downstream effects")),SUMIFS(S$403:S$405,$L$403:$L$405,$AE241),0)</f>
        <v>0</v>
      </c>
      <c r="AK276" s="8">
        <f ca="1">SUMIFS(T$342:T$344,$L$342:$L$344,$AE241)+IF(OR(AND('Aggregate summary'!$L$3="Yes",'Aggregate summary'!$E$3="POD"),AND('Aggregate summary'!$U$3="Process",'Aggregate summary'!$T$76="Clearance + downstream effects")),SUMIFS(T$403:T$405,$L$403:$L$405,$AE241),0)</f>
        <v>0</v>
      </c>
      <c r="AL276" s="8">
        <f ca="1">SUMIFS(U$342:U$344,$L$342:$L$344,$AE241)+IF(OR(AND('Aggregate summary'!$L$3="Yes",'Aggregate summary'!$E$3="POD"),AND('Aggregate summary'!$U$3="Process",'Aggregate summary'!$T$76="Clearance + downstream effects")),SUMIFS(U$403:U$405,$L$403:$L$405,$AE241),0)</f>
        <v>0</v>
      </c>
      <c r="AM276" s="8">
        <f ca="1">SUMIFS(V$342:V$344,$L$342:$L$344,$AE241)+IF(OR(AND('Aggregate summary'!$L$3="Yes",'Aggregate summary'!$E$3="POD"),AND('Aggregate summary'!$U$3="Process",'Aggregate summary'!$T$76="Clearance + downstream effects")),SUMIFS(V$403:V$405,$L$403:$L$405,$AE241),0)</f>
        <v>0</v>
      </c>
      <c r="AN276" s="8">
        <f ca="1">SUMIFS(W$342:W$344,$L$342:$L$344,$AE241)+IF(OR(AND('Aggregate summary'!$L$3="Yes",'Aggregate summary'!$E$3="POD"),AND('Aggregate summary'!$U$3="Process",'Aggregate summary'!$T$76="Clearance + downstream effects")),SUMIFS(W$403:W$405,$L$403:$L$405,$AE241),0)</f>
        <v>0</v>
      </c>
      <c r="AO276" s="8">
        <f ca="1">SUMIFS(X$342:X$344,$L$342:$L$344,$AE241)+IF(OR(AND('Aggregate summary'!$L$3="Yes",'Aggregate summary'!$E$3="POD"),AND('Aggregate summary'!$U$3="Process",'Aggregate summary'!$T$76="Clearance + downstream effects")),SUMIFS(X$403:X$405,$L$403:$L$405,$AE241),0)</f>
        <v>0</v>
      </c>
      <c r="AP276" s="8">
        <f ca="1">SUMIFS(Y$342:Y$344,$L$342:$L$344,$AE241)+IF(OR(AND('Aggregate summary'!$L$3="Yes",'Aggregate summary'!$E$3="POD"),AND('Aggregate summary'!$U$3="Process",'Aggregate summary'!$T$76="Clearance + downstream effects")),SUMIFS(Y$403:Y$405,$L$403:$L$405,$AE241),0)</f>
        <v>0</v>
      </c>
      <c r="AQ276" s="8">
        <f ca="1">SUMIFS(Z$342:Z$344,$L$342:$L$344,$AE241)+IF(OR(AND('Aggregate summary'!$L$3="Yes",'Aggregate summary'!$E$3="POD"),AND('Aggregate summary'!$U$3="Process",'Aggregate summary'!$T$76="Clearance + downstream effects")),SUMIFS(Z$403:Z$405,$L$403:$L$405,$AE241),0)</f>
        <v>0</v>
      </c>
    </row>
    <row r="277" spans="1:43" x14ac:dyDescent="0.25">
      <c r="A277">
        <f>1</f>
        <v>1</v>
      </c>
      <c r="B277" s="85">
        <f t="shared" si="127"/>
        <v>44065</v>
      </c>
      <c r="C277" s="85">
        <f t="shared" si="123"/>
        <v>44060</v>
      </c>
      <c r="D277">
        <f t="shared" ca="1" si="124"/>
        <v>0</v>
      </c>
      <c r="E277" s="85">
        <f t="shared" si="125"/>
        <v>44044</v>
      </c>
      <c r="F277">
        <f t="shared" si="126"/>
        <v>34</v>
      </c>
      <c r="M277">
        <v>10</v>
      </c>
      <c r="N277">
        <v>3</v>
      </c>
      <c r="O277" s="6">
        <f t="array" aca="1" ref="O277" ca="1">SUM(OFFSET($HQ$43,0,($M277*3)+$N277,53,1)*O$43:O$95)</f>
        <v>0</v>
      </c>
      <c r="P277" s="6">
        <f t="array" aca="1" ref="P277" ca="1">SUM(OFFSET($HQ$43,0,($M277*3)+$N277,53,1)*P$43:P$95)</f>
        <v>0</v>
      </c>
      <c r="Q277" s="6">
        <f t="array" aca="1" ref="Q277" ca="1">SUM(OFFSET($HQ$43,0,($M277*3)+$N277,53,1)*Q$43:Q$95)</f>
        <v>0</v>
      </c>
      <c r="R277" s="6">
        <f t="array" aca="1" ref="R277" ca="1">SUM(OFFSET($HQ$43,0,($M277*3)+$N277,53,1)*R$43:R$95)</f>
        <v>0</v>
      </c>
      <c r="S277" s="6">
        <f t="array" aca="1" ref="S277" ca="1">SUM(OFFSET($HQ$43,0,($M277*3)+$N277,53,1)*S$43:S$95)</f>
        <v>0</v>
      </c>
      <c r="T277" s="6">
        <f t="array" aca="1" ref="T277" ca="1">SUM(OFFSET($HQ$43,0,($M277*3)+$N277,53,1)*T$43:T$95)</f>
        <v>0</v>
      </c>
      <c r="U277" s="6">
        <f t="array" aca="1" ref="U277" ca="1">SUM(OFFSET($HQ$43,0,($M277*3)+$N277,53,1)*U$43:U$95)</f>
        <v>0</v>
      </c>
      <c r="V277" s="6">
        <f t="array" aca="1" ref="V277" ca="1">SUM(OFFSET($HQ$43,0,($M277*3)+$N277,53,1)*V$43:V$95)</f>
        <v>0</v>
      </c>
      <c r="W277" s="6">
        <f t="array" aca="1" ref="W277" ca="1">SUM(OFFSET($HQ$43,0,($M277*3)+$N277,53,1)*W$43:W$95)</f>
        <v>0</v>
      </c>
      <c r="X277" s="6">
        <f t="array" aca="1" ref="X277" ca="1">SUM(OFFSET($HQ$43,0,($M277*3)+$N277,53,1)*X$43:X$95)</f>
        <v>0</v>
      </c>
      <c r="Y277" s="6">
        <f t="array" aca="1" ref="Y277" ca="1">SUM(OFFSET($HQ$43,0,($M277*3)+$N277,53,1)*Y$43:Y$95)</f>
        <v>0</v>
      </c>
      <c r="Z277" s="6">
        <f t="array" aca="1" ref="Z277" ca="1">SUM(OFFSET($HQ$43,0,($M277*3)+$N277,53,1)*Z$43:Z$95)</f>
        <v>0</v>
      </c>
      <c r="AA277" s="6">
        <f t="shared" ref="AA277:AA304" ca="1" si="131">SUM(O277:Z277)</f>
        <v>0</v>
      </c>
      <c r="AB277" s="6">
        <f t="shared" ca="1" si="130"/>
        <v>0</v>
      </c>
      <c r="AC277" s="6"/>
      <c r="AD277" s="8"/>
      <c r="AE277" t="str">
        <f t="shared" si="128"/>
        <v>Admission</v>
      </c>
      <c r="AF277" s="8">
        <f ca="1">SUMIFS(O$342:O$344,$L$342:$L$344,$AE242)+IF(OR(AND('Aggregate summary'!$L$3="Yes",'Aggregate summary'!$E$3="POD"),AND('Aggregate summary'!$U$3="Process",'Aggregate summary'!$T$76="Clearance + downstream effects")),SUMIFS(O$403:O$405,$L$403:$L$405,$AE242),0)</f>
        <v>0</v>
      </c>
      <c r="AG277" s="8">
        <f ca="1">SUMIFS(P$342:P$344,$L$342:$L$344,$AE242)+IF(OR(AND('Aggregate summary'!$L$3="Yes",'Aggregate summary'!$E$3="POD"),AND('Aggregate summary'!$U$3="Process",'Aggregate summary'!$T$76="Clearance + downstream effects")),SUMIFS(P$403:P$405,$L$403:$L$405,$AE242),0)</f>
        <v>0</v>
      </c>
      <c r="AH277" s="8">
        <f ca="1">SUMIFS(Q$342:Q$344,$L$342:$L$344,$AE242)+IF(OR(AND('Aggregate summary'!$L$3="Yes",'Aggregate summary'!$E$3="POD"),AND('Aggregate summary'!$U$3="Process",'Aggregate summary'!$T$76="Clearance + downstream effects")),SUMIFS(Q$403:Q$405,$L$403:$L$405,$AE242),0)</f>
        <v>0</v>
      </c>
      <c r="AI277" s="8">
        <f ca="1">SUMIFS(R$342:R$344,$L$342:$L$344,$AE242)+IF(OR(AND('Aggregate summary'!$L$3="Yes",'Aggregate summary'!$E$3="POD"),AND('Aggregate summary'!$U$3="Process",'Aggregate summary'!$T$76="Clearance + downstream effects")),SUMIFS(R$403:R$405,$L$403:$L$405,$AE242),0)</f>
        <v>0</v>
      </c>
      <c r="AJ277" s="8">
        <f ca="1">SUMIFS(S$342:S$344,$L$342:$L$344,$AE242)+IF(OR(AND('Aggregate summary'!$L$3="Yes",'Aggregate summary'!$E$3="POD"),AND('Aggregate summary'!$U$3="Process",'Aggregate summary'!$T$76="Clearance + downstream effects")),SUMIFS(S$403:S$405,$L$403:$L$405,$AE242),0)</f>
        <v>0</v>
      </c>
      <c r="AK277" s="8">
        <f ca="1">SUMIFS(T$342:T$344,$L$342:$L$344,$AE242)+IF(OR(AND('Aggregate summary'!$L$3="Yes",'Aggregate summary'!$E$3="POD"),AND('Aggregate summary'!$U$3="Process",'Aggregate summary'!$T$76="Clearance + downstream effects")),SUMIFS(T$403:T$405,$L$403:$L$405,$AE242),0)</f>
        <v>0</v>
      </c>
      <c r="AL277" s="8">
        <f ca="1">SUMIFS(U$342:U$344,$L$342:$L$344,$AE242)+IF(OR(AND('Aggregate summary'!$L$3="Yes",'Aggregate summary'!$E$3="POD"),AND('Aggregate summary'!$U$3="Process",'Aggregate summary'!$T$76="Clearance + downstream effects")),SUMIFS(U$403:U$405,$L$403:$L$405,$AE242),0)</f>
        <v>0</v>
      </c>
      <c r="AM277" s="8">
        <f ca="1">SUMIFS(V$342:V$344,$L$342:$L$344,$AE242)+IF(OR(AND('Aggregate summary'!$L$3="Yes",'Aggregate summary'!$E$3="POD"),AND('Aggregate summary'!$U$3="Process",'Aggregate summary'!$T$76="Clearance + downstream effects")),SUMIFS(V$403:V$405,$L$403:$L$405,$AE242),0)</f>
        <v>0</v>
      </c>
      <c r="AN277" s="8">
        <f ca="1">SUMIFS(W$342:W$344,$L$342:$L$344,$AE242)+IF(OR(AND('Aggregate summary'!$L$3="Yes",'Aggregate summary'!$E$3="POD"),AND('Aggregate summary'!$U$3="Process",'Aggregate summary'!$T$76="Clearance + downstream effects")),SUMIFS(W$403:W$405,$L$403:$L$405,$AE242),0)</f>
        <v>0</v>
      </c>
      <c r="AO277" s="8">
        <f ca="1">SUMIFS(X$342:X$344,$L$342:$L$344,$AE242)+IF(OR(AND('Aggregate summary'!$L$3="Yes",'Aggregate summary'!$E$3="POD"),AND('Aggregate summary'!$U$3="Process",'Aggregate summary'!$T$76="Clearance + downstream effects")),SUMIFS(X$403:X$405,$L$403:$L$405,$AE242),0)</f>
        <v>0</v>
      </c>
      <c r="AP277" s="8">
        <f ca="1">SUMIFS(Y$342:Y$344,$L$342:$L$344,$AE242)+IF(OR(AND('Aggregate summary'!$L$3="Yes",'Aggregate summary'!$E$3="POD"),AND('Aggregate summary'!$U$3="Process",'Aggregate summary'!$T$76="Clearance + downstream effects")),SUMIFS(Y$403:Y$405,$L$403:$L$405,$AE242),0)</f>
        <v>0</v>
      </c>
      <c r="AQ277" s="8">
        <f ca="1">SUMIFS(Z$342:Z$344,$L$342:$L$344,$AE242)+IF(OR(AND('Aggregate summary'!$L$3="Yes",'Aggregate summary'!$E$3="POD"),AND('Aggregate summary'!$U$3="Process",'Aggregate summary'!$T$76="Clearance + downstream effects")),SUMIFS(Z$403:Z$405,$L$403:$L$405,$AE242),0)</f>
        <v>0</v>
      </c>
    </row>
    <row r="278" spans="1:43" x14ac:dyDescent="0.25">
      <c r="A278">
        <f>1</f>
        <v>1</v>
      </c>
      <c r="B278" s="85">
        <f t="shared" si="127"/>
        <v>44066</v>
      </c>
      <c r="C278" s="85">
        <f t="shared" si="123"/>
        <v>44060</v>
      </c>
      <c r="D278">
        <f t="shared" ca="1" si="124"/>
        <v>0</v>
      </c>
      <c r="E278" s="85">
        <f t="shared" si="125"/>
        <v>44044</v>
      </c>
      <c r="F278">
        <f t="shared" si="126"/>
        <v>34</v>
      </c>
      <c r="M278">
        <v>11</v>
      </c>
      <c r="N278">
        <v>1</v>
      </c>
      <c r="O278" s="6">
        <f t="array" aca="1" ref="O278" ca="1">SUM(OFFSET($HQ$43,0,($M278*3)+$N278,53,1)*O$43:O$95)</f>
        <v>0</v>
      </c>
      <c r="P278" s="6">
        <f t="array" aca="1" ref="P278" ca="1">SUM(OFFSET($HQ$43,0,($M278*3)+$N278,53,1)*P$43:P$95)</f>
        <v>0</v>
      </c>
      <c r="Q278" s="6">
        <f t="array" aca="1" ref="Q278" ca="1">SUM(OFFSET($HQ$43,0,($M278*3)+$N278,53,1)*Q$43:Q$95)</f>
        <v>0</v>
      </c>
      <c r="R278" s="6">
        <f t="array" aca="1" ref="R278" ca="1">SUM(OFFSET($HQ$43,0,($M278*3)+$N278,53,1)*R$43:R$95)</f>
        <v>0</v>
      </c>
      <c r="S278" s="6">
        <f t="array" aca="1" ref="S278" ca="1">SUM(OFFSET($HQ$43,0,($M278*3)+$N278,53,1)*S$43:S$95)</f>
        <v>0</v>
      </c>
      <c r="T278" s="6">
        <f t="array" aca="1" ref="T278" ca="1">SUM(OFFSET($HQ$43,0,($M278*3)+$N278,53,1)*T$43:T$95)</f>
        <v>0</v>
      </c>
      <c r="U278" s="6">
        <f t="array" aca="1" ref="U278" ca="1">SUM(OFFSET($HQ$43,0,($M278*3)+$N278,53,1)*U$43:U$95)</f>
        <v>0</v>
      </c>
      <c r="V278" s="6">
        <f t="array" aca="1" ref="V278" ca="1">SUM(OFFSET($HQ$43,0,($M278*3)+$N278,53,1)*V$43:V$95)</f>
        <v>0</v>
      </c>
      <c r="W278" s="6">
        <f t="array" aca="1" ref="W278" ca="1">SUM(OFFSET($HQ$43,0,($M278*3)+$N278,53,1)*W$43:W$95)</f>
        <v>0</v>
      </c>
      <c r="X278" s="6">
        <f t="array" aca="1" ref="X278" ca="1">SUM(OFFSET($HQ$43,0,($M278*3)+$N278,53,1)*X$43:X$95)</f>
        <v>0</v>
      </c>
      <c r="Y278" s="6">
        <f t="array" aca="1" ref="Y278" ca="1">SUM(OFFSET($HQ$43,0,($M278*3)+$N278,53,1)*Y$43:Y$95)</f>
        <v>0</v>
      </c>
      <c r="Z278" s="6">
        <f t="array" aca="1" ref="Z278" ca="1">SUM(OFFSET($HQ$43,0,($M278*3)+$N278,53,1)*Z$43:Z$95)</f>
        <v>0</v>
      </c>
      <c r="AA278" s="6">
        <f t="shared" ca="1" si="131"/>
        <v>0</v>
      </c>
      <c r="AB278" s="6">
        <f t="shared" ca="1" si="130"/>
        <v>0</v>
      </c>
      <c r="AC278" s="6"/>
      <c r="AD278" s="8">
        <v>9</v>
      </c>
      <c r="AE278" t="str">
        <f t="shared" si="128"/>
        <v>New</v>
      </c>
      <c r="AF278" s="8">
        <f ca="1">SUMIFS(O$345:O$347,$L$345:$L$347,$AE238)+IF(OR(AND('Aggregate summary'!$L$3="Yes",'Aggregate summary'!$E$3="POD"),AND('Aggregate summary'!$U$3="Process",'Aggregate summary'!$T$76="Clearance + downstream effects")),SUMIFS(O$406:O$408,$L$406:$L$408,$AE238),0)</f>
        <v>0</v>
      </c>
      <c r="AG278" s="8">
        <f ca="1">SUMIFS(P$345:P$347,$L$345:$L$347,$AE238)+IF(OR(AND('Aggregate summary'!$L$3="Yes",'Aggregate summary'!$E$3="POD"),AND('Aggregate summary'!$U$3="Process",'Aggregate summary'!$T$76="Clearance + downstream effects")),SUMIFS(P$406:P$408,$L$406:$L$408,$AE238),0)</f>
        <v>0</v>
      </c>
      <c r="AH278" s="8">
        <f ca="1">SUMIFS(Q$345:Q$347,$L$345:$L$347,$AE238)+IF(OR(AND('Aggregate summary'!$L$3="Yes",'Aggregate summary'!$E$3="POD"),AND('Aggregate summary'!$U$3="Process",'Aggregate summary'!$T$76="Clearance + downstream effects")),SUMIFS(Q$406:Q$408,$L$406:$L$408,$AE238),0)</f>
        <v>0</v>
      </c>
      <c r="AI278" s="8">
        <f ca="1">SUMIFS(R$345:R$347,$L$345:$L$347,$AE238)+IF(OR(AND('Aggregate summary'!$L$3="Yes",'Aggregate summary'!$E$3="POD"),AND('Aggregate summary'!$U$3="Process",'Aggregate summary'!$T$76="Clearance + downstream effects")),SUMIFS(R$406:R$408,$L$406:$L$408,$AE238),0)</f>
        <v>0</v>
      </c>
      <c r="AJ278" s="8">
        <f ca="1">SUMIFS(S$345:S$347,$L$345:$L$347,$AE238)+IF(OR(AND('Aggregate summary'!$L$3="Yes",'Aggregate summary'!$E$3="POD"),AND('Aggregate summary'!$U$3="Process",'Aggregate summary'!$T$76="Clearance + downstream effects")),SUMIFS(S$406:S$408,$L$406:$L$408,$AE238),0)</f>
        <v>0</v>
      </c>
      <c r="AK278" s="8">
        <f ca="1">SUMIFS(T$345:T$347,$L$345:$L$347,$AE238)+IF(OR(AND('Aggregate summary'!$L$3="Yes",'Aggregate summary'!$E$3="POD"),AND('Aggregate summary'!$U$3="Process",'Aggregate summary'!$T$76="Clearance + downstream effects")),SUMIFS(T$406:T$408,$L$406:$L$408,$AE238),0)</f>
        <v>0</v>
      </c>
      <c r="AL278" s="8">
        <f ca="1">SUMIFS(U$345:U$347,$L$345:$L$347,$AE238)+IF(OR(AND('Aggregate summary'!$L$3="Yes",'Aggregate summary'!$E$3="POD"),AND('Aggregate summary'!$U$3="Process",'Aggregate summary'!$T$76="Clearance + downstream effects")),SUMIFS(U$406:U$408,$L$406:$L$408,$AE238),0)</f>
        <v>0</v>
      </c>
      <c r="AM278" s="8">
        <f ca="1">SUMIFS(V$345:V$347,$L$345:$L$347,$AE238)+IF(OR(AND('Aggregate summary'!$L$3="Yes",'Aggregate summary'!$E$3="POD"),AND('Aggregate summary'!$U$3="Process",'Aggregate summary'!$T$76="Clearance + downstream effects")),SUMIFS(V$406:V$408,$L$406:$L$408,$AE238),0)</f>
        <v>0</v>
      </c>
      <c r="AN278" s="8">
        <f ca="1">SUMIFS(W$345:W$347,$L$345:$L$347,$AE238)+IF(OR(AND('Aggregate summary'!$L$3="Yes",'Aggregate summary'!$E$3="POD"),AND('Aggregate summary'!$U$3="Process",'Aggregate summary'!$T$76="Clearance + downstream effects")),SUMIFS(W$406:W$408,$L$406:$L$408,$AE238),0)</f>
        <v>0</v>
      </c>
      <c r="AO278" s="8">
        <f ca="1">SUMIFS(X$345:X$347,$L$345:$L$347,$AE238)+IF(OR(AND('Aggregate summary'!$L$3="Yes",'Aggregate summary'!$E$3="POD"),AND('Aggregate summary'!$U$3="Process",'Aggregate summary'!$T$76="Clearance + downstream effects")),SUMIFS(X$406:X$408,$L$406:$L$408,$AE238),0)</f>
        <v>0</v>
      </c>
      <c r="AP278" s="8">
        <f ca="1">SUMIFS(Y$345:Y$347,$L$345:$L$347,$AE238)+IF(OR(AND('Aggregate summary'!$L$3="Yes",'Aggregate summary'!$E$3="POD"),AND('Aggregate summary'!$U$3="Process",'Aggregate summary'!$T$76="Clearance + downstream effects")),SUMIFS(Y$406:Y$408,$L$406:$L$408,$AE238),0)</f>
        <v>0</v>
      </c>
      <c r="AQ278" s="8">
        <f ca="1">SUMIFS(Z$345:Z$347,$L$345:$L$347,$AE238)+IF(OR(AND('Aggregate summary'!$L$3="Yes",'Aggregate summary'!$E$3="POD"),AND('Aggregate summary'!$U$3="Process",'Aggregate summary'!$T$76="Clearance + downstream effects")),SUMIFS(Z$406:Z$408,$L$406:$L$408,$AE238),0)</f>
        <v>0</v>
      </c>
    </row>
    <row r="279" spans="1:43" x14ac:dyDescent="0.25">
      <c r="A279">
        <f>1</f>
        <v>1</v>
      </c>
      <c r="B279" s="85">
        <f t="shared" si="127"/>
        <v>44067</v>
      </c>
      <c r="C279" s="85">
        <f t="shared" si="123"/>
        <v>44067</v>
      </c>
      <c r="D279">
        <f t="shared" ca="1" si="124"/>
        <v>1</v>
      </c>
      <c r="E279" s="85">
        <f t="shared" si="125"/>
        <v>44044</v>
      </c>
      <c r="F279">
        <f t="shared" si="126"/>
        <v>35</v>
      </c>
      <c r="M279">
        <v>11</v>
      </c>
      <c r="N279">
        <v>2</v>
      </c>
      <c r="O279" s="6">
        <f t="array" aca="1" ref="O279" ca="1">SUM(OFFSET($HQ$43,0,($M279*3)+$N279,53,1)*O$43:O$95)</f>
        <v>0</v>
      </c>
      <c r="P279" s="6">
        <f t="array" aca="1" ref="P279" ca="1">SUM(OFFSET($HQ$43,0,($M279*3)+$N279,53,1)*P$43:P$95)</f>
        <v>0</v>
      </c>
      <c r="Q279" s="6">
        <f t="array" aca="1" ref="Q279" ca="1">SUM(OFFSET($HQ$43,0,($M279*3)+$N279,53,1)*Q$43:Q$95)</f>
        <v>0</v>
      </c>
      <c r="R279" s="6">
        <f t="array" aca="1" ref="R279" ca="1">SUM(OFFSET($HQ$43,0,($M279*3)+$N279,53,1)*R$43:R$95)</f>
        <v>0</v>
      </c>
      <c r="S279" s="6">
        <f t="array" aca="1" ref="S279" ca="1">SUM(OFFSET($HQ$43,0,($M279*3)+$N279,53,1)*S$43:S$95)</f>
        <v>0</v>
      </c>
      <c r="T279" s="6">
        <f t="array" aca="1" ref="T279" ca="1">SUM(OFFSET($HQ$43,0,($M279*3)+$N279,53,1)*T$43:T$95)</f>
        <v>0</v>
      </c>
      <c r="U279" s="6">
        <f t="array" aca="1" ref="U279" ca="1">SUM(OFFSET($HQ$43,0,($M279*3)+$N279,53,1)*U$43:U$95)</f>
        <v>0</v>
      </c>
      <c r="V279" s="6">
        <f t="array" aca="1" ref="V279" ca="1">SUM(OFFSET($HQ$43,0,($M279*3)+$N279,53,1)*V$43:V$95)</f>
        <v>0</v>
      </c>
      <c r="W279" s="6">
        <f t="array" aca="1" ref="W279" ca="1">SUM(OFFSET($HQ$43,0,($M279*3)+$N279,53,1)*W$43:W$95)</f>
        <v>0</v>
      </c>
      <c r="X279" s="6">
        <f t="array" aca="1" ref="X279" ca="1">SUM(OFFSET($HQ$43,0,($M279*3)+$N279,53,1)*X$43:X$95)</f>
        <v>0</v>
      </c>
      <c r="Y279" s="6">
        <f t="array" aca="1" ref="Y279" ca="1">SUM(OFFSET($HQ$43,0,($M279*3)+$N279,53,1)*Y$43:Y$95)</f>
        <v>0</v>
      </c>
      <c r="Z279" s="6">
        <f t="array" aca="1" ref="Z279" ca="1">SUM(OFFSET($HQ$43,0,($M279*3)+$N279,53,1)*Z$43:Z$95)</f>
        <v>0</v>
      </c>
      <c r="AA279" s="6">
        <f t="shared" ca="1" si="131"/>
        <v>0</v>
      </c>
      <c r="AB279" s="6">
        <f t="shared" ca="1" si="130"/>
        <v>0</v>
      </c>
      <c r="AC279" s="6"/>
      <c r="AD279" s="8"/>
      <c r="AE279" t="str">
        <f t="shared" si="128"/>
        <v>Diagnostic (N)</v>
      </c>
      <c r="AF279" s="8">
        <f ca="1">SUMIFS(O$345:O$347,$L$345:$L$347,$AE239)+IF(OR(AND('Aggregate summary'!$L$3="Yes",'Aggregate summary'!$E$3="POD"),AND('Aggregate summary'!$U$3="Process",'Aggregate summary'!$T$76="Clearance + downstream effects")),SUMIFS(O$406:O$408,$L$406:$L$408,$AE239),0)</f>
        <v>0</v>
      </c>
      <c r="AG279" s="8">
        <f ca="1">SUMIFS(P$345:P$347,$L$345:$L$347,$AE239)+IF(OR(AND('Aggregate summary'!$L$3="Yes",'Aggregate summary'!$E$3="POD"),AND('Aggregate summary'!$U$3="Process",'Aggregate summary'!$T$76="Clearance + downstream effects")),SUMIFS(P$406:P$408,$L$406:$L$408,$AE239),0)</f>
        <v>0</v>
      </c>
      <c r="AH279" s="8">
        <f ca="1">SUMIFS(Q$345:Q$347,$L$345:$L$347,$AE239)+IF(OR(AND('Aggregate summary'!$L$3="Yes",'Aggregate summary'!$E$3="POD"),AND('Aggregate summary'!$U$3="Process",'Aggregate summary'!$T$76="Clearance + downstream effects")),SUMIFS(Q$406:Q$408,$L$406:$L$408,$AE239),0)</f>
        <v>0</v>
      </c>
      <c r="AI279" s="8">
        <f ca="1">SUMIFS(R$345:R$347,$L$345:$L$347,$AE239)+IF(OR(AND('Aggregate summary'!$L$3="Yes",'Aggregate summary'!$E$3="POD"),AND('Aggregate summary'!$U$3="Process",'Aggregate summary'!$T$76="Clearance + downstream effects")),SUMIFS(R$406:R$408,$L$406:$L$408,$AE239),0)</f>
        <v>0</v>
      </c>
      <c r="AJ279" s="8">
        <f ca="1">SUMIFS(S$345:S$347,$L$345:$L$347,$AE239)+IF(OR(AND('Aggregate summary'!$L$3="Yes",'Aggregate summary'!$E$3="POD"),AND('Aggregate summary'!$U$3="Process",'Aggregate summary'!$T$76="Clearance + downstream effects")),SUMIFS(S$406:S$408,$L$406:$L$408,$AE239),0)</f>
        <v>0</v>
      </c>
      <c r="AK279" s="8">
        <f ca="1">SUMIFS(T$345:T$347,$L$345:$L$347,$AE239)+IF(OR(AND('Aggregate summary'!$L$3="Yes",'Aggregate summary'!$E$3="POD"),AND('Aggregate summary'!$U$3="Process",'Aggregate summary'!$T$76="Clearance + downstream effects")),SUMIFS(T$406:T$408,$L$406:$L$408,$AE239),0)</f>
        <v>0</v>
      </c>
      <c r="AL279" s="8">
        <f ca="1">SUMIFS(U$345:U$347,$L$345:$L$347,$AE239)+IF(OR(AND('Aggregate summary'!$L$3="Yes",'Aggregate summary'!$E$3="POD"),AND('Aggregate summary'!$U$3="Process",'Aggregate summary'!$T$76="Clearance + downstream effects")),SUMIFS(U$406:U$408,$L$406:$L$408,$AE239),0)</f>
        <v>0</v>
      </c>
      <c r="AM279" s="8">
        <f ca="1">SUMIFS(V$345:V$347,$L$345:$L$347,$AE239)+IF(OR(AND('Aggregate summary'!$L$3="Yes",'Aggregate summary'!$E$3="POD"),AND('Aggregate summary'!$U$3="Process",'Aggregate summary'!$T$76="Clearance + downstream effects")),SUMIFS(V$406:V$408,$L$406:$L$408,$AE239),0)</f>
        <v>0</v>
      </c>
      <c r="AN279" s="8">
        <f ca="1">SUMIFS(W$345:W$347,$L$345:$L$347,$AE239)+IF(OR(AND('Aggregate summary'!$L$3="Yes",'Aggregate summary'!$E$3="POD"),AND('Aggregate summary'!$U$3="Process",'Aggregate summary'!$T$76="Clearance + downstream effects")),SUMIFS(W$406:W$408,$L$406:$L$408,$AE239),0)</f>
        <v>0</v>
      </c>
      <c r="AO279" s="8">
        <f ca="1">SUMIFS(X$345:X$347,$L$345:$L$347,$AE239)+IF(OR(AND('Aggregate summary'!$L$3="Yes",'Aggregate summary'!$E$3="POD"),AND('Aggregate summary'!$U$3="Process",'Aggregate summary'!$T$76="Clearance + downstream effects")),SUMIFS(X$406:X$408,$L$406:$L$408,$AE239),0)</f>
        <v>0</v>
      </c>
      <c r="AP279" s="8">
        <f ca="1">SUMIFS(Y$345:Y$347,$L$345:$L$347,$AE239)+IF(OR(AND('Aggregate summary'!$L$3="Yes",'Aggregate summary'!$E$3="POD"),AND('Aggregate summary'!$U$3="Process",'Aggregate summary'!$T$76="Clearance + downstream effects")),SUMIFS(Y$406:Y$408,$L$406:$L$408,$AE239),0)</f>
        <v>0</v>
      </c>
      <c r="AQ279" s="8">
        <f ca="1">SUMIFS(Z$345:Z$347,$L$345:$L$347,$AE239)+IF(OR(AND('Aggregate summary'!$L$3="Yes",'Aggregate summary'!$E$3="POD"),AND('Aggregate summary'!$U$3="Process",'Aggregate summary'!$T$76="Clearance + downstream effects")),SUMIFS(Z$406:Z$408,$L$406:$L$408,$AE239),0)</f>
        <v>0</v>
      </c>
    </row>
    <row r="280" spans="1:43" x14ac:dyDescent="0.25">
      <c r="A280">
        <f>1</f>
        <v>1</v>
      </c>
      <c r="B280" s="85">
        <f t="shared" si="127"/>
        <v>44068</v>
      </c>
      <c r="C280" s="85">
        <f t="shared" si="123"/>
        <v>44067</v>
      </c>
      <c r="D280">
        <f t="shared" ca="1" si="124"/>
        <v>1</v>
      </c>
      <c r="E280" s="85">
        <f t="shared" si="125"/>
        <v>44044</v>
      </c>
      <c r="F280">
        <f t="shared" si="126"/>
        <v>35</v>
      </c>
      <c r="M280">
        <v>11</v>
      </c>
      <c r="N280">
        <v>3</v>
      </c>
      <c r="O280" s="6">
        <f t="array" aca="1" ref="O280" ca="1">SUM(OFFSET($HQ$43,0,($M280*3)+$N280,53,1)*O$43:O$95)</f>
        <v>0</v>
      </c>
      <c r="P280" s="6">
        <f t="array" aca="1" ref="P280" ca="1">SUM(OFFSET($HQ$43,0,($M280*3)+$N280,53,1)*P$43:P$95)</f>
        <v>0</v>
      </c>
      <c r="Q280" s="6">
        <f t="array" aca="1" ref="Q280" ca="1">SUM(OFFSET($HQ$43,0,($M280*3)+$N280,53,1)*Q$43:Q$95)</f>
        <v>0</v>
      </c>
      <c r="R280" s="6">
        <f t="array" aca="1" ref="R280" ca="1">SUM(OFFSET($HQ$43,0,($M280*3)+$N280,53,1)*R$43:R$95)</f>
        <v>0</v>
      </c>
      <c r="S280" s="6">
        <f t="array" aca="1" ref="S280" ca="1">SUM(OFFSET($HQ$43,0,($M280*3)+$N280,53,1)*S$43:S$95)</f>
        <v>0</v>
      </c>
      <c r="T280" s="6">
        <f t="array" aca="1" ref="T280" ca="1">SUM(OFFSET($HQ$43,0,($M280*3)+$N280,53,1)*T$43:T$95)</f>
        <v>0</v>
      </c>
      <c r="U280" s="6">
        <f t="array" aca="1" ref="U280" ca="1">SUM(OFFSET($HQ$43,0,($M280*3)+$N280,53,1)*U$43:U$95)</f>
        <v>0</v>
      </c>
      <c r="V280" s="6">
        <f t="array" aca="1" ref="V280" ca="1">SUM(OFFSET($HQ$43,0,($M280*3)+$N280,53,1)*V$43:V$95)</f>
        <v>0</v>
      </c>
      <c r="W280" s="6">
        <f t="array" aca="1" ref="W280" ca="1">SUM(OFFSET($HQ$43,0,($M280*3)+$N280,53,1)*W$43:W$95)</f>
        <v>0</v>
      </c>
      <c r="X280" s="6">
        <f t="array" aca="1" ref="X280" ca="1">SUM(OFFSET($HQ$43,0,($M280*3)+$N280,53,1)*X$43:X$95)</f>
        <v>0</v>
      </c>
      <c r="Y280" s="6">
        <f t="array" aca="1" ref="Y280" ca="1">SUM(OFFSET($HQ$43,0,($M280*3)+$N280,53,1)*Y$43:Y$95)</f>
        <v>0</v>
      </c>
      <c r="Z280" s="6">
        <f t="array" aca="1" ref="Z280" ca="1">SUM(OFFSET($HQ$43,0,($M280*3)+$N280,53,1)*Z$43:Z$95)</f>
        <v>0</v>
      </c>
      <c r="AA280" s="6">
        <f t="shared" ca="1" si="131"/>
        <v>0</v>
      </c>
      <c r="AB280" s="6">
        <f t="shared" ca="1" si="130"/>
        <v>0</v>
      </c>
      <c r="AC280" s="6"/>
      <c r="AD280" s="8"/>
      <c r="AE280" t="str">
        <f t="shared" si="128"/>
        <v>Follow Up</v>
      </c>
      <c r="AF280" s="8">
        <f ca="1">SUMIFS(O$345:O$347,$L$345:$L$347,$AE240)+IF(OR(AND('Aggregate summary'!$L$3="Yes",'Aggregate summary'!$E$3="POD"),AND('Aggregate summary'!$U$3="Process",'Aggregate summary'!$T$76="Clearance + downstream effects")),SUMIFS(O$406:O$408,$L$406:$L$408,$AE240),0)</f>
        <v>0</v>
      </c>
      <c r="AG280" s="8">
        <f ca="1">SUMIFS(P$345:P$347,$L$345:$L$347,$AE240)+IF(OR(AND('Aggregate summary'!$L$3="Yes",'Aggregate summary'!$E$3="POD"),AND('Aggregate summary'!$U$3="Process",'Aggregate summary'!$T$76="Clearance + downstream effects")),SUMIFS(P$406:P$408,$L$406:$L$408,$AE240),0)</f>
        <v>0</v>
      </c>
      <c r="AH280" s="8">
        <f ca="1">SUMIFS(Q$345:Q$347,$L$345:$L$347,$AE240)+IF(OR(AND('Aggregate summary'!$L$3="Yes",'Aggregate summary'!$E$3="POD"),AND('Aggregate summary'!$U$3="Process",'Aggregate summary'!$T$76="Clearance + downstream effects")),SUMIFS(Q$406:Q$408,$L$406:$L$408,$AE240),0)</f>
        <v>0</v>
      </c>
      <c r="AI280" s="8">
        <f ca="1">SUMIFS(R$345:R$347,$L$345:$L$347,$AE240)+IF(OR(AND('Aggregate summary'!$L$3="Yes",'Aggregate summary'!$E$3="POD"),AND('Aggregate summary'!$U$3="Process",'Aggregate summary'!$T$76="Clearance + downstream effects")),SUMIFS(R$406:R$408,$L$406:$L$408,$AE240),0)</f>
        <v>0</v>
      </c>
      <c r="AJ280" s="8">
        <f ca="1">SUMIFS(S$345:S$347,$L$345:$L$347,$AE240)+IF(OR(AND('Aggregate summary'!$L$3="Yes",'Aggregate summary'!$E$3="POD"),AND('Aggregate summary'!$U$3="Process",'Aggregate summary'!$T$76="Clearance + downstream effects")),SUMIFS(S$406:S$408,$L$406:$L$408,$AE240),0)</f>
        <v>0</v>
      </c>
      <c r="AK280" s="8">
        <f ca="1">SUMIFS(T$345:T$347,$L$345:$L$347,$AE240)+IF(OR(AND('Aggregate summary'!$L$3="Yes",'Aggregate summary'!$E$3="POD"),AND('Aggregate summary'!$U$3="Process",'Aggregate summary'!$T$76="Clearance + downstream effects")),SUMIFS(T$406:T$408,$L$406:$L$408,$AE240),0)</f>
        <v>0</v>
      </c>
      <c r="AL280" s="8">
        <f ca="1">SUMIFS(U$345:U$347,$L$345:$L$347,$AE240)+IF(OR(AND('Aggregate summary'!$L$3="Yes",'Aggregate summary'!$E$3="POD"),AND('Aggregate summary'!$U$3="Process",'Aggregate summary'!$T$76="Clearance + downstream effects")),SUMIFS(U$406:U$408,$L$406:$L$408,$AE240),0)</f>
        <v>0</v>
      </c>
      <c r="AM280" s="8">
        <f ca="1">SUMIFS(V$345:V$347,$L$345:$L$347,$AE240)+IF(OR(AND('Aggregate summary'!$L$3="Yes",'Aggregate summary'!$E$3="POD"),AND('Aggregate summary'!$U$3="Process",'Aggregate summary'!$T$76="Clearance + downstream effects")),SUMIFS(V$406:V$408,$L$406:$L$408,$AE240),0)</f>
        <v>0</v>
      </c>
      <c r="AN280" s="8">
        <f ca="1">SUMIFS(W$345:W$347,$L$345:$L$347,$AE240)+IF(OR(AND('Aggregate summary'!$L$3="Yes",'Aggregate summary'!$E$3="POD"),AND('Aggregate summary'!$U$3="Process",'Aggregate summary'!$T$76="Clearance + downstream effects")),SUMIFS(W$406:W$408,$L$406:$L$408,$AE240),0)</f>
        <v>0</v>
      </c>
      <c r="AO280" s="8">
        <f ca="1">SUMIFS(X$345:X$347,$L$345:$L$347,$AE240)+IF(OR(AND('Aggregate summary'!$L$3="Yes",'Aggregate summary'!$E$3="POD"),AND('Aggregate summary'!$U$3="Process",'Aggregate summary'!$T$76="Clearance + downstream effects")),SUMIFS(X$406:X$408,$L$406:$L$408,$AE240),0)</f>
        <v>0</v>
      </c>
      <c r="AP280" s="8">
        <f ca="1">SUMIFS(Y$345:Y$347,$L$345:$L$347,$AE240)+IF(OR(AND('Aggregate summary'!$L$3="Yes",'Aggregate summary'!$E$3="POD"),AND('Aggregate summary'!$U$3="Process",'Aggregate summary'!$T$76="Clearance + downstream effects")),SUMIFS(Y$406:Y$408,$L$406:$L$408,$AE240),0)</f>
        <v>0</v>
      </c>
      <c r="AQ280" s="8">
        <f ca="1">SUMIFS(Z$345:Z$347,$L$345:$L$347,$AE240)+IF(OR(AND('Aggregate summary'!$L$3="Yes",'Aggregate summary'!$E$3="POD"),AND('Aggregate summary'!$U$3="Process",'Aggregate summary'!$T$76="Clearance + downstream effects")),SUMIFS(Z$406:Z$408,$L$406:$L$408,$AE240),0)</f>
        <v>0</v>
      </c>
    </row>
    <row r="281" spans="1:43" x14ac:dyDescent="0.25">
      <c r="A281">
        <f>1</f>
        <v>1</v>
      </c>
      <c r="B281" s="85">
        <f t="shared" si="127"/>
        <v>44069</v>
      </c>
      <c r="C281" s="85">
        <f t="shared" si="123"/>
        <v>44067</v>
      </c>
      <c r="D281">
        <f t="shared" ca="1" si="124"/>
        <v>1</v>
      </c>
      <c r="E281" s="85">
        <f t="shared" si="125"/>
        <v>44044</v>
      </c>
      <c r="F281">
        <f t="shared" si="126"/>
        <v>35</v>
      </c>
      <c r="M281">
        <v>12</v>
      </c>
      <c r="N281">
        <v>1</v>
      </c>
      <c r="O281" s="6">
        <f t="array" aca="1" ref="O281" ca="1">SUM(OFFSET($HQ$43,0,($M281*3)+$N281,53,1)*O$43:O$95)</f>
        <v>0</v>
      </c>
      <c r="P281" s="6">
        <f t="array" aca="1" ref="P281" ca="1">SUM(OFFSET($HQ$43,0,($M281*3)+$N281,53,1)*P$43:P$95)</f>
        <v>0</v>
      </c>
      <c r="Q281" s="6">
        <f t="array" aca="1" ref="Q281" ca="1">SUM(OFFSET($HQ$43,0,($M281*3)+$N281,53,1)*Q$43:Q$95)</f>
        <v>0</v>
      </c>
      <c r="R281" s="6">
        <f t="array" aca="1" ref="R281" ca="1">SUM(OFFSET($HQ$43,0,($M281*3)+$N281,53,1)*R$43:R$95)</f>
        <v>0</v>
      </c>
      <c r="S281" s="6">
        <f t="array" aca="1" ref="S281" ca="1">SUM(OFFSET($HQ$43,0,($M281*3)+$N281,53,1)*S$43:S$95)</f>
        <v>0</v>
      </c>
      <c r="T281" s="6">
        <f t="array" aca="1" ref="T281" ca="1">SUM(OFFSET($HQ$43,0,($M281*3)+$N281,53,1)*T$43:T$95)</f>
        <v>0</v>
      </c>
      <c r="U281" s="6">
        <f t="array" aca="1" ref="U281" ca="1">SUM(OFFSET($HQ$43,0,($M281*3)+$N281,53,1)*U$43:U$95)</f>
        <v>0</v>
      </c>
      <c r="V281" s="6">
        <f t="array" aca="1" ref="V281" ca="1">SUM(OFFSET($HQ$43,0,($M281*3)+$N281,53,1)*V$43:V$95)</f>
        <v>0</v>
      </c>
      <c r="W281" s="6">
        <f t="array" aca="1" ref="W281" ca="1">SUM(OFFSET($HQ$43,0,($M281*3)+$N281,53,1)*W$43:W$95)</f>
        <v>0</v>
      </c>
      <c r="X281" s="6">
        <f t="array" aca="1" ref="X281" ca="1">SUM(OFFSET($HQ$43,0,($M281*3)+$N281,53,1)*X$43:X$95)</f>
        <v>0</v>
      </c>
      <c r="Y281" s="6">
        <f t="array" aca="1" ref="Y281" ca="1">SUM(OFFSET($HQ$43,0,($M281*3)+$N281,53,1)*Y$43:Y$95)</f>
        <v>0</v>
      </c>
      <c r="Z281" s="6">
        <f t="array" aca="1" ref="Z281" ca="1">SUM(OFFSET($HQ$43,0,($M281*3)+$N281,53,1)*Z$43:Z$95)</f>
        <v>0</v>
      </c>
      <c r="AA281" s="6">
        <f t="shared" ca="1" si="131"/>
        <v>0</v>
      </c>
      <c r="AB281" s="6">
        <f t="shared" ca="1" si="130"/>
        <v>0</v>
      </c>
      <c r="AC281" s="6"/>
      <c r="AD281" s="8"/>
      <c r="AE281" t="str">
        <f t="shared" si="128"/>
        <v>Diagnostic (FU)</v>
      </c>
      <c r="AF281" s="8">
        <f ca="1">SUMIFS(O$345:O$347,$L$345:$L$347,$AE241)+IF(OR(AND('Aggregate summary'!$L$3="Yes",'Aggregate summary'!$E$3="POD"),AND('Aggregate summary'!$U$3="Process",'Aggregate summary'!$T$76="Clearance + downstream effects")),SUMIFS(O$406:O$408,$L$406:$L$408,$AE241),0)</f>
        <v>0</v>
      </c>
      <c r="AG281" s="8">
        <f ca="1">SUMIFS(P$345:P$347,$L$345:$L$347,$AE241)+IF(OR(AND('Aggregate summary'!$L$3="Yes",'Aggregate summary'!$E$3="POD"),AND('Aggregate summary'!$U$3="Process",'Aggregate summary'!$T$76="Clearance + downstream effects")),SUMIFS(P$406:P$408,$L$406:$L$408,$AE241),0)</f>
        <v>0</v>
      </c>
      <c r="AH281" s="8">
        <f ca="1">SUMIFS(Q$345:Q$347,$L$345:$L$347,$AE241)+IF(OR(AND('Aggregate summary'!$L$3="Yes",'Aggregate summary'!$E$3="POD"),AND('Aggregate summary'!$U$3="Process",'Aggregate summary'!$T$76="Clearance + downstream effects")),SUMIFS(Q$406:Q$408,$L$406:$L$408,$AE241),0)</f>
        <v>0</v>
      </c>
      <c r="AI281" s="8">
        <f ca="1">SUMIFS(R$345:R$347,$L$345:$L$347,$AE241)+IF(OR(AND('Aggregate summary'!$L$3="Yes",'Aggregate summary'!$E$3="POD"),AND('Aggregate summary'!$U$3="Process",'Aggregate summary'!$T$76="Clearance + downstream effects")),SUMIFS(R$406:R$408,$L$406:$L$408,$AE241),0)</f>
        <v>0</v>
      </c>
      <c r="AJ281" s="8">
        <f ca="1">SUMIFS(S$345:S$347,$L$345:$L$347,$AE241)+IF(OR(AND('Aggregate summary'!$L$3="Yes",'Aggregate summary'!$E$3="POD"),AND('Aggregate summary'!$U$3="Process",'Aggregate summary'!$T$76="Clearance + downstream effects")),SUMIFS(S$406:S$408,$L$406:$L$408,$AE241),0)</f>
        <v>0</v>
      </c>
      <c r="AK281" s="8">
        <f ca="1">SUMIFS(T$345:T$347,$L$345:$L$347,$AE241)+IF(OR(AND('Aggregate summary'!$L$3="Yes",'Aggregate summary'!$E$3="POD"),AND('Aggregate summary'!$U$3="Process",'Aggregate summary'!$T$76="Clearance + downstream effects")),SUMIFS(T$406:T$408,$L$406:$L$408,$AE241),0)</f>
        <v>0</v>
      </c>
      <c r="AL281" s="8">
        <f ca="1">SUMIFS(U$345:U$347,$L$345:$L$347,$AE241)+IF(OR(AND('Aggregate summary'!$L$3="Yes",'Aggregate summary'!$E$3="POD"),AND('Aggregate summary'!$U$3="Process",'Aggregate summary'!$T$76="Clearance + downstream effects")),SUMIFS(U$406:U$408,$L$406:$L$408,$AE241),0)</f>
        <v>0</v>
      </c>
      <c r="AM281" s="8">
        <f ca="1">SUMIFS(V$345:V$347,$L$345:$L$347,$AE241)+IF(OR(AND('Aggregate summary'!$L$3="Yes",'Aggregate summary'!$E$3="POD"),AND('Aggregate summary'!$U$3="Process",'Aggregate summary'!$T$76="Clearance + downstream effects")),SUMIFS(V$406:V$408,$L$406:$L$408,$AE241),0)</f>
        <v>0</v>
      </c>
      <c r="AN281" s="8">
        <f ca="1">SUMIFS(W$345:W$347,$L$345:$L$347,$AE241)+IF(OR(AND('Aggregate summary'!$L$3="Yes",'Aggregate summary'!$E$3="POD"),AND('Aggregate summary'!$U$3="Process",'Aggregate summary'!$T$76="Clearance + downstream effects")),SUMIFS(W$406:W$408,$L$406:$L$408,$AE241),0)</f>
        <v>0</v>
      </c>
      <c r="AO281" s="8">
        <f ca="1">SUMIFS(X$345:X$347,$L$345:$L$347,$AE241)+IF(OR(AND('Aggregate summary'!$L$3="Yes",'Aggregate summary'!$E$3="POD"),AND('Aggregate summary'!$U$3="Process",'Aggregate summary'!$T$76="Clearance + downstream effects")),SUMIFS(X$406:X$408,$L$406:$L$408,$AE241),0)</f>
        <v>0</v>
      </c>
      <c r="AP281" s="8">
        <f ca="1">SUMIFS(Y$345:Y$347,$L$345:$L$347,$AE241)+IF(OR(AND('Aggregate summary'!$L$3="Yes",'Aggregate summary'!$E$3="POD"),AND('Aggregate summary'!$U$3="Process",'Aggregate summary'!$T$76="Clearance + downstream effects")),SUMIFS(Y$406:Y$408,$L$406:$L$408,$AE241),0)</f>
        <v>0</v>
      </c>
      <c r="AQ281" s="8">
        <f ca="1">SUMIFS(Z$345:Z$347,$L$345:$L$347,$AE241)+IF(OR(AND('Aggregate summary'!$L$3="Yes",'Aggregate summary'!$E$3="POD"),AND('Aggregate summary'!$U$3="Process",'Aggregate summary'!$T$76="Clearance + downstream effects")),SUMIFS(Z$406:Z$408,$L$406:$L$408,$AE241),0)</f>
        <v>0</v>
      </c>
    </row>
    <row r="282" spans="1:43" x14ac:dyDescent="0.25">
      <c r="A282">
        <f>1</f>
        <v>1</v>
      </c>
      <c r="B282" s="85">
        <f t="shared" si="127"/>
        <v>44070</v>
      </c>
      <c r="C282" s="85">
        <f t="shared" si="123"/>
        <v>44067</v>
      </c>
      <c r="D282">
        <f t="shared" ca="1" si="124"/>
        <v>1</v>
      </c>
      <c r="E282" s="85">
        <f t="shared" si="125"/>
        <v>44044</v>
      </c>
      <c r="F282">
        <f t="shared" si="126"/>
        <v>35</v>
      </c>
      <c r="M282">
        <v>12</v>
      </c>
      <c r="N282">
        <v>2</v>
      </c>
      <c r="O282" s="6">
        <f t="array" aca="1" ref="O282" ca="1">SUM(OFFSET($HQ$43,0,($M282*3)+$N282,53,1)*O$43:O$95)</f>
        <v>0</v>
      </c>
      <c r="P282" s="6">
        <f t="array" aca="1" ref="P282" ca="1">SUM(OFFSET($HQ$43,0,($M282*3)+$N282,53,1)*P$43:P$95)</f>
        <v>0</v>
      </c>
      <c r="Q282" s="6">
        <f t="array" aca="1" ref="Q282" ca="1">SUM(OFFSET($HQ$43,0,($M282*3)+$N282,53,1)*Q$43:Q$95)</f>
        <v>0</v>
      </c>
      <c r="R282" s="6">
        <f t="array" aca="1" ref="R282" ca="1">SUM(OFFSET($HQ$43,0,($M282*3)+$N282,53,1)*R$43:R$95)</f>
        <v>0</v>
      </c>
      <c r="S282" s="6">
        <f t="array" aca="1" ref="S282" ca="1">SUM(OFFSET($HQ$43,0,($M282*3)+$N282,53,1)*S$43:S$95)</f>
        <v>0</v>
      </c>
      <c r="T282" s="6">
        <f t="array" aca="1" ref="T282" ca="1">SUM(OFFSET($HQ$43,0,($M282*3)+$N282,53,1)*T$43:T$95)</f>
        <v>0</v>
      </c>
      <c r="U282" s="6">
        <f t="array" aca="1" ref="U282" ca="1">SUM(OFFSET($HQ$43,0,($M282*3)+$N282,53,1)*U$43:U$95)</f>
        <v>0</v>
      </c>
      <c r="V282" s="6">
        <f t="array" aca="1" ref="V282" ca="1">SUM(OFFSET($HQ$43,0,($M282*3)+$N282,53,1)*V$43:V$95)</f>
        <v>0</v>
      </c>
      <c r="W282" s="6">
        <f t="array" aca="1" ref="W282" ca="1">SUM(OFFSET($HQ$43,0,($M282*3)+$N282,53,1)*W$43:W$95)</f>
        <v>0</v>
      </c>
      <c r="X282" s="6">
        <f t="array" aca="1" ref="X282" ca="1">SUM(OFFSET($HQ$43,0,($M282*3)+$N282,53,1)*X$43:X$95)</f>
        <v>0</v>
      </c>
      <c r="Y282" s="6">
        <f t="array" aca="1" ref="Y282" ca="1">SUM(OFFSET($HQ$43,0,($M282*3)+$N282,53,1)*Y$43:Y$95)</f>
        <v>0</v>
      </c>
      <c r="Z282" s="6">
        <f t="array" aca="1" ref="Z282" ca="1">SUM(OFFSET($HQ$43,0,($M282*3)+$N282,53,1)*Z$43:Z$95)</f>
        <v>0</v>
      </c>
      <c r="AA282" s="6">
        <f t="shared" ca="1" si="131"/>
        <v>0</v>
      </c>
      <c r="AB282" s="6">
        <f t="shared" ca="1" si="130"/>
        <v>0</v>
      </c>
      <c r="AC282" s="6"/>
      <c r="AD282" s="8"/>
      <c r="AE282" t="str">
        <f t="shared" si="128"/>
        <v>Admission</v>
      </c>
      <c r="AF282" s="8">
        <f ca="1">SUMIFS(O$345:O$347,$L$345:$L$347,$AE242)+IF(OR(AND('Aggregate summary'!$L$3="Yes",'Aggregate summary'!$E$3="POD"),AND('Aggregate summary'!$U$3="Process",'Aggregate summary'!$T$76="Clearance + downstream effects")),SUMIFS(O$406:O$408,$L$406:$L$408,$AE242),0)</f>
        <v>0</v>
      </c>
      <c r="AG282" s="8">
        <f ca="1">SUMIFS(P$345:P$347,$L$345:$L$347,$AE242)+IF(OR(AND('Aggregate summary'!$L$3="Yes",'Aggregate summary'!$E$3="POD"),AND('Aggregate summary'!$U$3="Process",'Aggregate summary'!$T$76="Clearance + downstream effects")),SUMIFS(P$406:P$408,$L$406:$L$408,$AE242),0)</f>
        <v>0</v>
      </c>
      <c r="AH282" s="8">
        <f ca="1">SUMIFS(Q$345:Q$347,$L$345:$L$347,$AE242)+IF(OR(AND('Aggregate summary'!$L$3="Yes",'Aggregate summary'!$E$3="POD"),AND('Aggregate summary'!$U$3="Process",'Aggregate summary'!$T$76="Clearance + downstream effects")),SUMIFS(Q$406:Q$408,$L$406:$L$408,$AE242),0)</f>
        <v>0</v>
      </c>
      <c r="AI282" s="8">
        <f ca="1">SUMIFS(R$345:R$347,$L$345:$L$347,$AE242)+IF(OR(AND('Aggregate summary'!$L$3="Yes",'Aggregate summary'!$E$3="POD"),AND('Aggregate summary'!$U$3="Process",'Aggregate summary'!$T$76="Clearance + downstream effects")),SUMIFS(R$406:R$408,$L$406:$L$408,$AE242),0)</f>
        <v>0</v>
      </c>
      <c r="AJ282" s="8">
        <f ca="1">SUMIFS(S$345:S$347,$L$345:$L$347,$AE242)+IF(OR(AND('Aggregate summary'!$L$3="Yes",'Aggregate summary'!$E$3="POD"),AND('Aggregate summary'!$U$3="Process",'Aggregate summary'!$T$76="Clearance + downstream effects")),SUMIFS(S$406:S$408,$L$406:$L$408,$AE242),0)</f>
        <v>0</v>
      </c>
      <c r="AK282" s="8">
        <f ca="1">SUMIFS(T$345:T$347,$L$345:$L$347,$AE242)+IF(OR(AND('Aggregate summary'!$L$3="Yes",'Aggregate summary'!$E$3="POD"),AND('Aggregate summary'!$U$3="Process",'Aggregate summary'!$T$76="Clearance + downstream effects")),SUMIFS(T$406:T$408,$L$406:$L$408,$AE242),0)</f>
        <v>0</v>
      </c>
      <c r="AL282" s="8">
        <f ca="1">SUMIFS(U$345:U$347,$L$345:$L$347,$AE242)+IF(OR(AND('Aggregate summary'!$L$3="Yes",'Aggregate summary'!$E$3="POD"),AND('Aggregate summary'!$U$3="Process",'Aggregate summary'!$T$76="Clearance + downstream effects")),SUMIFS(U$406:U$408,$L$406:$L$408,$AE242),0)</f>
        <v>0</v>
      </c>
      <c r="AM282" s="8">
        <f ca="1">SUMIFS(V$345:V$347,$L$345:$L$347,$AE242)+IF(OR(AND('Aggregate summary'!$L$3="Yes",'Aggregate summary'!$E$3="POD"),AND('Aggregate summary'!$U$3="Process",'Aggregate summary'!$T$76="Clearance + downstream effects")),SUMIFS(V$406:V$408,$L$406:$L$408,$AE242),0)</f>
        <v>0</v>
      </c>
      <c r="AN282" s="8">
        <f ca="1">SUMIFS(W$345:W$347,$L$345:$L$347,$AE242)+IF(OR(AND('Aggregate summary'!$L$3="Yes",'Aggregate summary'!$E$3="POD"),AND('Aggregate summary'!$U$3="Process",'Aggregate summary'!$T$76="Clearance + downstream effects")),SUMIFS(W$406:W$408,$L$406:$L$408,$AE242),0)</f>
        <v>0</v>
      </c>
      <c r="AO282" s="8">
        <f ca="1">SUMIFS(X$345:X$347,$L$345:$L$347,$AE242)+IF(OR(AND('Aggregate summary'!$L$3="Yes",'Aggregate summary'!$E$3="POD"),AND('Aggregate summary'!$U$3="Process",'Aggregate summary'!$T$76="Clearance + downstream effects")),SUMIFS(X$406:X$408,$L$406:$L$408,$AE242),0)</f>
        <v>0</v>
      </c>
      <c r="AP282" s="8">
        <f ca="1">SUMIFS(Y$345:Y$347,$L$345:$L$347,$AE242)+IF(OR(AND('Aggregate summary'!$L$3="Yes",'Aggregate summary'!$E$3="POD"),AND('Aggregate summary'!$U$3="Process",'Aggregate summary'!$T$76="Clearance + downstream effects")),SUMIFS(Y$406:Y$408,$L$406:$L$408,$AE242),0)</f>
        <v>0</v>
      </c>
      <c r="AQ282" s="8">
        <f ca="1">SUMIFS(Z$345:Z$347,$L$345:$L$347,$AE242)+IF(OR(AND('Aggregate summary'!$L$3="Yes",'Aggregate summary'!$E$3="POD"),AND('Aggregate summary'!$U$3="Process",'Aggregate summary'!$T$76="Clearance + downstream effects")),SUMIFS(Z$406:Z$408,$L$406:$L$408,$AE242),0)</f>
        <v>0</v>
      </c>
    </row>
    <row r="283" spans="1:43" x14ac:dyDescent="0.25">
      <c r="A283">
        <f>1</f>
        <v>1</v>
      </c>
      <c r="B283" s="85">
        <f t="shared" si="127"/>
        <v>44071</v>
      </c>
      <c r="C283" s="85">
        <f t="shared" si="123"/>
        <v>44067</v>
      </c>
      <c r="D283">
        <f t="shared" ca="1" si="124"/>
        <v>1</v>
      </c>
      <c r="E283" s="85">
        <f t="shared" si="125"/>
        <v>44044</v>
      </c>
      <c r="F283">
        <f t="shared" si="126"/>
        <v>35</v>
      </c>
      <c r="M283">
        <v>12</v>
      </c>
      <c r="N283">
        <v>3</v>
      </c>
      <c r="O283" s="6">
        <f t="array" aca="1" ref="O283" ca="1">SUM(OFFSET($HQ$43,0,($M283*3)+$N283,53,1)*O$43:O$95)</f>
        <v>0</v>
      </c>
      <c r="P283" s="6">
        <f t="array" aca="1" ref="P283" ca="1">SUM(OFFSET($HQ$43,0,($M283*3)+$N283,53,1)*P$43:P$95)</f>
        <v>0</v>
      </c>
      <c r="Q283" s="6">
        <f t="array" aca="1" ref="Q283" ca="1">SUM(OFFSET($HQ$43,0,($M283*3)+$N283,53,1)*Q$43:Q$95)</f>
        <v>0</v>
      </c>
      <c r="R283" s="6">
        <f t="array" aca="1" ref="R283" ca="1">SUM(OFFSET($HQ$43,0,($M283*3)+$N283,53,1)*R$43:R$95)</f>
        <v>0</v>
      </c>
      <c r="S283" s="6">
        <f t="array" aca="1" ref="S283" ca="1">SUM(OFFSET($HQ$43,0,($M283*3)+$N283,53,1)*S$43:S$95)</f>
        <v>0</v>
      </c>
      <c r="T283" s="6">
        <f t="array" aca="1" ref="T283" ca="1">SUM(OFFSET($HQ$43,0,($M283*3)+$N283,53,1)*T$43:T$95)</f>
        <v>0</v>
      </c>
      <c r="U283" s="6">
        <f t="array" aca="1" ref="U283" ca="1">SUM(OFFSET($HQ$43,0,($M283*3)+$N283,53,1)*U$43:U$95)</f>
        <v>0</v>
      </c>
      <c r="V283" s="6">
        <f t="array" aca="1" ref="V283" ca="1">SUM(OFFSET($HQ$43,0,($M283*3)+$N283,53,1)*V$43:V$95)</f>
        <v>0</v>
      </c>
      <c r="W283" s="6">
        <f t="array" aca="1" ref="W283" ca="1">SUM(OFFSET($HQ$43,0,($M283*3)+$N283,53,1)*W$43:W$95)</f>
        <v>0</v>
      </c>
      <c r="X283" s="6">
        <f t="array" aca="1" ref="X283" ca="1">SUM(OFFSET($HQ$43,0,($M283*3)+$N283,53,1)*X$43:X$95)</f>
        <v>0</v>
      </c>
      <c r="Y283" s="6">
        <f t="array" aca="1" ref="Y283" ca="1">SUM(OFFSET($HQ$43,0,($M283*3)+$N283,53,1)*Y$43:Y$95)</f>
        <v>0</v>
      </c>
      <c r="Z283" s="6">
        <f t="array" aca="1" ref="Z283" ca="1">SUM(OFFSET($HQ$43,0,($M283*3)+$N283,53,1)*Z$43:Z$95)</f>
        <v>0</v>
      </c>
      <c r="AA283" s="6">
        <f t="shared" ca="1" si="131"/>
        <v>0</v>
      </c>
      <c r="AB283" s="6">
        <f t="shared" ca="1" si="130"/>
        <v>0</v>
      </c>
      <c r="AC283" s="6"/>
      <c r="AD283" s="8">
        <v>10</v>
      </c>
      <c r="AE283" t="str">
        <f t="shared" si="128"/>
        <v>New</v>
      </c>
      <c r="AF283" s="8">
        <f ca="1">SUMIFS(O$348:O$350,$L$348:$L$350,$AE238)+IF(OR(AND('Aggregate summary'!$L$3="Yes",'Aggregate summary'!$E$3="POD"),AND('Aggregate summary'!$U$3="Process",'Aggregate summary'!$T$76="Clearance + downstream effects")),SUMIFS(O$409:O$411,$L$409:$L$411,$AE238),0)</f>
        <v>0</v>
      </c>
      <c r="AG283" s="8">
        <f ca="1">SUMIFS(P$348:P$350,$L$348:$L$350,$AE238)+IF(OR(AND('Aggregate summary'!$L$3="Yes",'Aggregate summary'!$E$3="POD"),AND('Aggregate summary'!$U$3="Process",'Aggregate summary'!$T$76="Clearance + downstream effects")),SUMIFS(P$409:P$411,$L$409:$L$411,$AE238),0)</f>
        <v>0</v>
      </c>
      <c r="AH283" s="8">
        <f ca="1">SUMIFS(Q$348:Q$350,$L$348:$L$350,$AE238)+IF(OR(AND('Aggregate summary'!$L$3="Yes",'Aggregate summary'!$E$3="POD"),AND('Aggregate summary'!$U$3="Process",'Aggregate summary'!$T$76="Clearance + downstream effects")),SUMIFS(Q$409:Q$411,$L$409:$L$411,$AE238),0)</f>
        <v>0</v>
      </c>
      <c r="AI283" s="8">
        <f ca="1">SUMIFS(R$348:R$350,$L$348:$L$350,$AE238)+IF(OR(AND('Aggregate summary'!$L$3="Yes",'Aggregate summary'!$E$3="POD"),AND('Aggregate summary'!$U$3="Process",'Aggregate summary'!$T$76="Clearance + downstream effects")),SUMIFS(R$409:R$411,$L$409:$L$411,$AE238),0)</f>
        <v>0</v>
      </c>
      <c r="AJ283" s="8">
        <f ca="1">SUMIFS(S$348:S$350,$L$348:$L$350,$AE238)+IF(OR(AND('Aggregate summary'!$L$3="Yes",'Aggregate summary'!$E$3="POD"),AND('Aggregate summary'!$U$3="Process",'Aggregate summary'!$T$76="Clearance + downstream effects")),SUMIFS(S$409:S$411,$L$409:$L$411,$AE238),0)</f>
        <v>0</v>
      </c>
      <c r="AK283" s="8">
        <f ca="1">SUMIFS(T$348:T$350,$L$348:$L$350,$AE238)+IF(OR(AND('Aggregate summary'!$L$3="Yes",'Aggregate summary'!$E$3="POD"),AND('Aggregate summary'!$U$3="Process",'Aggregate summary'!$T$76="Clearance + downstream effects")),SUMIFS(T$409:T$411,$L$409:$L$411,$AE238),0)</f>
        <v>0</v>
      </c>
      <c r="AL283" s="8">
        <f ca="1">SUMIFS(U$348:U$350,$L$348:$L$350,$AE238)+IF(OR(AND('Aggregate summary'!$L$3="Yes",'Aggregate summary'!$E$3="POD"),AND('Aggregate summary'!$U$3="Process",'Aggregate summary'!$T$76="Clearance + downstream effects")),SUMIFS(U$409:U$411,$L$409:$L$411,$AE238),0)</f>
        <v>0</v>
      </c>
      <c r="AM283" s="8">
        <f ca="1">SUMIFS(V$348:V$350,$L$348:$L$350,$AE238)+IF(OR(AND('Aggregate summary'!$L$3="Yes",'Aggregate summary'!$E$3="POD"),AND('Aggregate summary'!$U$3="Process",'Aggregate summary'!$T$76="Clearance + downstream effects")),SUMIFS(V$409:V$411,$L$409:$L$411,$AE238),0)</f>
        <v>0</v>
      </c>
      <c r="AN283" s="8">
        <f ca="1">SUMIFS(W$348:W$350,$L$348:$L$350,$AE238)+IF(OR(AND('Aggregate summary'!$L$3="Yes",'Aggregate summary'!$E$3="POD"),AND('Aggregate summary'!$U$3="Process",'Aggregate summary'!$T$76="Clearance + downstream effects")),SUMIFS(W$409:W$411,$L$409:$L$411,$AE238),0)</f>
        <v>0</v>
      </c>
      <c r="AO283" s="8">
        <f ca="1">SUMIFS(X$348:X$350,$L$348:$L$350,$AE238)+IF(OR(AND('Aggregate summary'!$L$3="Yes",'Aggregate summary'!$E$3="POD"),AND('Aggregate summary'!$U$3="Process",'Aggregate summary'!$T$76="Clearance + downstream effects")),SUMIFS(X$409:X$411,$L$409:$L$411,$AE238),0)</f>
        <v>0</v>
      </c>
      <c r="AP283" s="8">
        <f ca="1">SUMIFS(Y$348:Y$350,$L$348:$L$350,$AE238)+IF(OR(AND('Aggregate summary'!$L$3="Yes",'Aggregate summary'!$E$3="POD"),AND('Aggregate summary'!$U$3="Process",'Aggregate summary'!$T$76="Clearance + downstream effects")),SUMIFS(Y$409:Y$411,$L$409:$L$411,$AE238),0)</f>
        <v>0</v>
      </c>
      <c r="AQ283" s="8">
        <f ca="1">SUMIFS(Z$348:Z$350,$L$348:$L$350,$AE238)+IF(OR(AND('Aggregate summary'!$L$3="Yes",'Aggregate summary'!$E$3="POD"),AND('Aggregate summary'!$U$3="Process",'Aggregate summary'!$T$76="Clearance + downstream effects")),SUMIFS(Z$409:Z$411,$L$409:$L$411,$AE238),0)</f>
        <v>0</v>
      </c>
    </row>
    <row r="284" spans="1:43" x14ac:dyDescent="0.25">
      <c r="A284">
        <f>1</f>
        <v>1</v>
      </c>
      <c r="B284" s="85">
        <f t="shared" si="127"/>
        <v>44072</v>
      </c>
      <c r="C284" s="85">
        <f t="shared" si="123"/>
        <v>44067</v>
      </c>
      <c r="D284">
        <f t="shared" ca="1" si="124"/>
        <v>0</v>
      </c>
      <c r="E284" s="85">
        <f t="shared" si="125"/>
        <v>44044</v>
      </c>
      <c r="F284">
        <f t="shared" si="126"/>
        <v>35</v>
      </c>
      <c r="M284">
        <v>13</v>
      </c>
      <c r="N284">
        <v>1</v>
      </c>
      <c r="O284" s="6">
        <f t="array" aca="1" ref="O284" ca="1">SUM(OFFSET($HQ$43,0,($M284*3)+$N284,53,1)*O$43:O$95)</f>
        <v>0</v>
      </c>
      <c r="P284" s="6">
        <f t="array" aca="1" ref="P284" ca="1">SUM(OFFSET($HQ$43,0,($M284*3)+$N284,53,1)*P$43:P$95)</f>
        <v>0</v>
      </c>
      <c r="Q284" s="6">
        <f t="array" aca="1" ref="Q284" ca="1">SUM(OFFSET($HQ$43,0,($M284*3)+$N284,53,1)*Q$43:Q$95)</f>
        <v>0</v>
      </c>
      <c r="R284" s="6">
        <f t="array" aca="1" ref="R284" ca="1">SUM(OFFSET($HQ$43,0,($M284*3)+$N284,53,1)*R$43:R$95)</f>
        <v>0</v>
      </c>
      <c r="S284" s="6">
        <f t="array" aca="1" ref="S284" ca="1">SUM(OFFSET($HQ$43,0,($M284*3)+$N284,53,1)*S$43:S$95)</f>
        <v>0</v>
      </c>
      <c r="T284" s="6">
        <f t="array" aca="1" ref="T284" ca="1">SUM(OFFSET($HQ$43,0,($M284*3)+$N284,53,1)*T$43:T$95)</f>
        <v>0</v>
      </c>
      <c r="U284" s="6">
        <f t="array" aca="1" ref="U284" ca="1">SUM(OFFSET($HQ$43,0,($M284*3)+$N284,53,1)*U$43:U$95)</f>
        <v>0</v>
      </c>
      <c r="V284" s="6">
        <f t="array" aca="1" ref="V284" ca="1">SUM(OFFSET($HQ$43,0,($M284*3)+$N284,53,1)*V$43:V$95)</f>
        <v>0</v>
      </c>
      <c r="W284" s="6">
        <f t="array" aca="1" ref="W284" ca="1">SUM(OFFSET($HQ$43,0,($M284*3)+$N284,53,1)*W$43:W$95)</f>
        <v>0</v>
      </c>
      <c r="X284" s="6">
        <f t="array" aca="1" ref="X284" ca="1">SUM(OFFSET($HQ$43,0,($M284*3)+$N284,53,1)*X$43:X$95)</f>
        <v>0</v>
      </c>
      <c r="Y284" s="6">
        <f t="array" aca="1" ref="Y284" ca="1">SUM(OFFSET($HQ$43,0,($M284*3)+$N284,53,1)*Y$43:Y$95)</f>
        <v>0</v>
      </c>
      <c r="Z284" s="6">
        <f t="array" aca="1" ref="Z284" ca="1">SUM(OFFSET($HQ$43,0,($M284*3)+$N284,53,1)*Z$43:Z$95)</f>
        <v>0</v>
      </c>
      <c r="AA284" s="6">
        <f t="shared" ca="1" si="131"/>
        <v>0</v>
      </c>
      <c r="AB284" s="6">
        <f t="shared" ca="1" si="130"/>
        <v>0</v>
      </c>
      <c r="AC284" s="6"/>
      <c r="AD284" s="8" t="s">
        <v>1227</v>
      </c>
      <c r="AE284" t="str">
        <f t="shared" si="128"/>
        <v>Diagnostic (N)</v>
      </c>
      <c r="AF284" s="8">
        <f ca="1">SUMIFS(O$348:O$350,$L$348:$L$350,$AE239)+IF(OR(AND('Aggregate summary'!$L$3="Yes",'Aggregate summary'!$E$3="POD"),AND('Aggregate summary'!$U$3="Process",'Aggregate summary'!$T$76="Clearance + downstream effects")),SUMIFS(O$409:O$411,$L$409:$L$411,$AE239),0)</f>
        <v>0</v>
      </c>
      <c r="AG284" s="8">
        <f ca="1">SUMIFS(P$348:P$350,$L$348:$L$350,$AE239)+IF(OR(AND('Aggregate summary'!$L$3="Yes",'Aggregate summary'!$E$3="POD"),AND('Aggregate summary'!$U$3="Process",'Aggregate summary'!$T$76="Clearance + downstream effects")),SUMIFS(P$409:P$411,$L$409:$L$411,$AE239),0)</f>
        <v>0</v>
      </c>
      <c r="AH284" s="8">
        <f ca="1">SUMIFS(Q$348:Q$350,$L$348:$L$350,$AE239)+IF(OR(AND('Aggregate summary'!$L$3="Yes",'Aggregate summary'!$E$3="POD"),AND('Aggregate summary'!$U$3="Process",'Aggregate summary'!$T$76="Clearance + downstream effects")),SUMIFS(Q$409:Q$411,$L$409:$L$411,$AE239),0)</f>
        <v>0</v>
      </c>
      <c r="AI284" s="8">
        <f ca="1">SUMIFS(R$348:R$350,$L$348:$L$350,$AE239)+IF(OR(AND('Aggregate summary'!$L$3="Yes",'Aggregate summary'!$E$3="POD"),AND('Aggregate summary'!$U$3="Process",'Aggregate summary'!$T$76="Clearance + downstream effects")),SUMIFS(R$409:R$411,$L$409:$L$411,$AE239),0)</f>
        <v>0</v>
      </c>
      <c r="AJ284" s="8">
        <f ca="1">SUMIFS(S$348:S$350,$L$348:$L$350,$AE239)+IF(OR(AND('Aggregate summary'!$L$3="Yes",'Aggregate summary'!$E$3="POD"),AND('Aggregate summary'!$U$3="Process",'Aggregate summary'!$T$76="Clearance + downstream effects")),SUMIFS(S$409:S$411,$L$409:$L$411,$AE239),0)</f>
        <v>0</v>
      </c>
      <c r="AK284" s="8">
        <f ca="1">SUMIFS(T$348:T$350,$L$348:$L$350,$AE239)+IF(OR(AND('Aggregate summary'!$L$3="Yes",'Aggregate summary'!$E$3="POD"),AND('Aggregate summary'!$U$3="Process",'Aggregate summary'!$T$76="Clearance + downstream effects")),SUMIFS(T$409:T$411,$L$409:$L$411,$AE239),0)</f>
        <v>0</v>
      </c>
      <c r="AL284" s="8">
        <f ca="1">SUMIFS(U$348:U$350,$L$348:$L$350,$AE239)+IF(OR(AND('Aggregate summary'!$L$3="Yes",'Aggregate summary'!$E$3="POD"),AND('Aggregate summary'!$U$3="Process",'Aggregate summary'!$T$76="Clearance + downstream effects")),SUMIFS(U$409:U$411,$L$409:$L$411,$AE239),0)</f>
        <v>0</v>
      </c>
      <c r="AM284" s="8">
        <f ca="1">SUMIFS(V$348:V$350,$L$348:$L$350,$AE239)+IF(OR(AND('Aggregate summary'!$L$3="Yes",'Aggregate summary'!$E$3="POD"),AND('Aggregate summary'!$U$3="Process",'Aggregate summary'!$T$76="Clearance + downstream effects")),SUMIFS(V$409:V$411,$L$409:$L$411,$AE239),0)</f>
        <v>0</v>
      </c>
      <c r="AN284" s="8">
        <f ca="1">SUMIFS(W$348:W$350,$L$348:$L$350,$AE239)+IF(OR(AND('Aggregate summary'!$L$3="Yes",'Aggregate summary'!$E$3="POD"),AND('Aggregate summary'!$U$3="Process",'Aggregate summary'!$T$76="Clearance + downstream effects")),SUMIFS(W$409:W$411,$L$409:$L$411,$AE239),0)</f>
        <v>0</v>
      </c>
      <c r="AO284" s="8">
        <f ca="1">SUMIFS(X$348:X$350,$L$348:$L$350,$AE239)+IF(OR(AND('Aggregate summary'!$L$3="Yes",'Aggregate summary'!$E$3="POD"),AND('Aggregate summary'!$U$3="Process",'Aggregate summary'!$T$76="Clearance + downstream effects")),SUMIFS(X$409:X$411,$L$409:$L$411,$AE239),0)</f>
        <v>0</v>
      </c>
      <c r="AP284" s="8">
        <f ca="1">SUMIFS(Y$348:Y$350,$L$348:$L$350,$AE239)+IF(OR(AND('Aggregate summary'!$L$3="Yes",'Aggregate summary'!$E$3="POD"),AND('Aggregate summary'!$U$3="Process",'Aggregate summary'!$T$76="Clearance + downstream effects")),SUMIFS(Y$409:Y$411,$L$409:$L$411,$AE239),0)</f>
        <v>0</v>
      </c>
      <c r="AQ284" s="8">
        <f ca="1">SUMIFS(Z$348:Z$350,$L$348:$L$350,$AE239)+IF(OR(AND('Aggregate summary'!$L$3="Yes",'Aggregate summary'!$E$3="POD"),AND('Aggregate summary'!$U$3="Process",'Aggregate summary'!$T$76="Clearance + downstream effects")),SUMIFS(Z$409:Z$411,$L$409:$L$411,$AE239),0)</f>
        <v>0</v>
      </c>
    </row>
    <row r="285" spans="1:43" x14ac:dyDescent="0.25">
      <c r="A285">
        <f>1</f>
        <v>1</v>
      </c>
      <c r="B285" s="85">
        <f t="shared" si="127"/>
        <v>44073</v>
      </c>
      <c r="C285" s="85">
        <f t="shared" si="123"/>
        <v>44067</v>
      </c>
      <c r="D285">
        <f t="shared" ca="1" si="124"/>
        <v>0</v>
      </c>
      <c r="E285" s="85">
        <f t="shared" si="125"/>
        <v>44044</v>
      </c>
      <c r="F285">
        <f t="shared" si="126"/>
        <v>35</v>
      </c>
      <c r="M285">
        <v>13</v>
      </c>
      <c r="N285">
        <v>2</v>
      </c>
      <c r="O285" s="6">
        <f t="array" aca="1" ref="O285" ca="1">SUM(OFFSET($HQ$43,0,($M285*3)+$N285,53,1)*O$43:O$95)</f>
        <v>0</v>
      </c>
      <c r="P285" s="6">
        <f t="array" aca="1" ref="P285" ca="1">SUM(OFFSET($HQ$43,0,($M285*3)+$N285,53,1)*P$43:P$95)</f>
        <v>0</v>
      </c>
      <c r="Q285" s="6">
        <f t="array" aca="1" ref="Q285" ca="1">SUM(OFFSET($HQ$43,0,($M285*3)+$N285,53,1)*Q$43:Q$95)</f>
        <v>0</v>
      </c>
      <c r="R285" s="6">
        <f t="array" aca="1" ref="R285" ca="1">SUM(OFFSET($HQ$43,0,($M285*3)+$N285,53,1)*R$43:R$95)</f>
        <v>0</v>
      </c>
      <c r="S285" s="6">
        <f t="array" aca="1" ref="S285" ca="1">SUM(OFFSET($HQ$43,0,($M285*3)+$N285,53,1)*S$43:S$95)</f>
        <v>0</v>
      </c>
      <c r="T285" s="6">
        <f t="array" aca="1" ref="T285" ca="1">SUM(OFFSET($HQ$43,0,($M285*3)+$N285,53,1)*T$43:T$95)</f>
        <v>0</v>
      </c>
      <c r="U285" s="6">
        <f t="array" aca="1" ref="U285" ca="1">SUM(OFFSET($HQ$43,0,($M285*3)+$N285,53,1)*U$43:U$95)</f>
        <v>0</v>
      </c>
      <c r="V285" s="6">
        <f t="array" aca="1" ref="V285" ca="1">SUM(OFFSET($HQ$43,0,($M285*3)+$N285,53,1)*V$43:V$95)</f>
        <v>0</v>
      </c>
      <c r="W285" s="6">
        <f t="array" aca="1" ref="W285" ca="1">SUM(OFFSET($HQ$43,0,($M285*3)+$N285,53,1)*W$43:W$95)</f>
        <v>0</v>
      </c>
      <c r="X285" s="6">
        <f t="array" aca="1" ref="X285" ca="1">SUM(OFFSET($HQ$43,0,($M285*3)+$N285,53,1)*X$43:X$95)</f>
        <v>0</v>
      </c>
      <c r="Y285" s="6">
        <f t="array" aca="1" ref="Y285" ca="1">SUM(OFFSET($HQ$43,0,($M285*3)+$N285,53,1)*Y$43:Y$95)</f>
        <v>0</v>
      </c>
      <c r="Z285" s="6">
        <f t="array" aca="1" ref="Z285" ca="1">SUM(OFFSET($HQ$43,0,($M285*3)+$N285,53,1)*Z$43:Z$95)</f>
        <v>0</v>
      </c>
      <c r="AA285" s="6">
        <f t="shared" ca="1" si="131"/>
        <v>0</v>
      </c>
      <c r="AB285" s="6">
        <f t="shared" ca="1" si="130"/>
        <v>0</v>
      </c>
      <c r="AC285" s="6"/>
      <c r="AD285" s="8" t="s">
        <v>1227</v>
      </c>
      <c r="AE285" t="str">
        <f t="shared" si="128"/>
        <v>Follow Up</v>
      </c>
      <c r="AF285" s="8">
        <f ca="1">SUMIFS(O$348:O$350,$L$348:$L$350,$AE240)+IF(OR(AND('Aggregate summary'!$L$3="Yes",'Aggregate summary'!$E$3="POD"),AND('Aggregate summary'!$U$3="Process",'Aggregate summary'!$T$76="Clearance + downstream effects")),SUMIFS(O$409:O$411,$L$409:$L$411,$AE240),0)</f>
        <v>0</v>
      </c>
      <c r="AG285" s="8">
        <f ca="1">SUMIFS(P$348:P$350,$L$348:$L$350,$AE240)+IF(OR(AND('Aggregate summary'!$L$3="Yes",'Aggregate summary'!$E$3="POD"),AND('Aggregate summary'!$U$3="Process",'Aggregate summary'!$T$76="Clearance + downstream effects")),SUMIFS(P$409:P$411,$L$409:$L$411,$AE240),0)</f>
        <v>0</v>
      </c>
      <c r="AH285" s="8">
        <f ca="1">SUMIFS(Q$348:Q$350,$L$348:$L$350,$AE240)+IF(OR(AND('Aggregate summary'!$L$3="Yes",'Aggregate summary'!$E$3="POD"),AND('Aggregate summary'!$U$3="Process",'Aggregate summary'!$T$76="Clearance + downstream effects")),SUMIFS(Q$409:Q$411,$L$409:$L$411,$AE240),0)</f>
        <v>0</v>
      </c>
      <c r="AI285" s="8">
        <f ca="1">SUMIFS(R$348:R$350,$L$348:$L$350,$AE240)+IF(OR(AND('Aggregate summary'!$L$3="Yes",'Aggregate summary'!$E$3="POD"),AND('Aggregate summary'!$U$3="Process",'Aggregate summary'!$T$76="Clearance + downstream effects")),SUMIFS(R$409:R$411,$L$409:$L$411,$AE240),0)</f>
        <v>0</v>
      </c>
      <c r="AJ285" s="8">
        <f ca="1">SUMIFS(S$348:S$350,$L$348:$L$350,$AE240)+IF(OR(AND('Aggregate summary'!$L$3="Yes",'Aggregate summary'!$E$3="POD"),AND('Aggregate summary'!$U$3="Process",'Aggregate summary'!$T$76="Clearance + downstream effects")),SUMIFS(S$409:S$411,$L$409:$L$411,$AE240),0)</f>
        <v>0</v>
      </c>
      <c r="AK285" s="8">
        <f ca="1">SUMIFS(T$348:T$350,$L$348:$L$350,$AE240)+IF(OR(AND('Aggregate summary'!$L$3="Yes",'Aggregate summary'!$E$3="POD"),AND('Aggregate summary'!$U$3="Process",'Aggregate summary'!$T$76="Clearance + downstream effects")),SUMIFS(T$409:T$411,$L$409:$L$411,$AE240),0)</f>
        <v>0</v>
      </c>
      <c r="AL285" s="8">
        <f ca="1">SUMIFS(U$348:U$350,$L$348:$L$350,$AE240)+IF(OR(AND('Aggregate summary'!$L$3="Yes",'Aggregate summary'!$E$3="POD"),AND('Aggregate summary'!$U$3="Process",'Aggregate summary'!$T$76="Clearance + downstream effects")),SUMIFS(U$409:U$411,$L$409:$L$411,$AE240),0)</f>
        <v>0</v>
      </c>
      <c r="AM285" s="8">
        <f ca="1">SUMIFS(V$348:V$350,$L$348:$L$350,$AE240)+IF(OR(AND('Aggregate summary'!$L$3="Yes",'Aggregate summary'!$E$3="POD"),AND('Aggregate summary'!$U$3="Process",'Aggregate summary'!$T$76="Clearance + downstream effects")),SUMIFS(V$409:V$411,$L$409:$L$411,$AE240),0)</f>
        <v>0</v>
      </c>
      <c r="AN285" s="8">
        <f ca="1">SUMIFS(W$348:W$350,$L$348:$L$350,$AE240)+IF(OR(AND('Aggregate summary'!$L$3="Yes",'Aggregate summary'!$E$3="POD"),AND('Aggregate summary'!$U$3="Process",'Aggregate summary'!$T$76="Clearance + downstream effects")),SUMIFS(W$409:W$411,$L$409:$L$411,$AE240),0)</f>
        <v>0</v>
      </c>
      <c r="AO285" s="8">
        <f ca="1">SUMIFS(X$348:X$350,$L$348:$L$350,$AE240)+IF(OR(AND('Aggregate summary'!$L$3="Yes",'Aggregate summary'!$E$3="POD"),AND('Aggregate summary'!$U$3="Process",'Aggregate summary'!$T$76="Clearance + downstream effects")),SUMIFS(X$409:X$411,$L$409:$L$411,$AE240),0)</f>
        <v>0</v>
      </c>
      <c r="AP285" s="8">
        <f ca="1">SUMIFS(Y$348:Y$350,$L$348:$L$350,$AE240)+IF(OR(AND('Aggregate summary'!$L$3="Yes",'Aggregate summary'!$E$3="POD"),AND('Aggregate summary'!$U$3="Process",'Aggregate summary'!$T$76="Clearance + downstream effects")),SUMIFS(Y$409:Y$411,$L$409:$L$411,$AE240),0)</f>
        <v>0</v>
      </c>
      <c r="AQ285" s="8">
        <f ca="1">SUMIFS(Z$348:Z$350,$L$348:$L$350,$AE240)+IF(OR(AND('Aggregate summary'!$L$3="Yes",'Aggregate summary'!$E$3="POD"),AND('Aggregate summary'!$U$3="Process",'Aggregate summary'!$T$76="Clearance + downstream effects")),SUMIFS(Z$409:Z$411,$L$409:$L$411,$AE240),0)</f>
        <v>0</v>
      </c>
    </row>
    <row r="286" spans="1:43" x14ac:dyDescent="0.25">
      <c r="A286">
        <f>1</f>
        <v>1</v>
      </c>
      <c r="B286" s="85">
        <f t="shared" si="127"/>
        <v>44074</v>
      </c>
      <c r="C286" s="85">
        <f t="shared" si="123"/>
        <v>44074</v>
      </c>
      <c r="D286">
        <f t="shared" ca="1" si="124"/>
        <v>0</v>
      </c>
      <c r="E286" s="85">
        <f t="shared" si="125"/>
        <v>44044</v>
      </c>
      <c r="F286">
        <f t="shared" si="126"/>
        <v>36</v>
      </c>
      <c r="M286">
        <v>13</v>
      </c>
      <c r="N286">
        <v>3</v>
      </c>
      <c r="O286" s="6">
        <f t="array" aca="1" ref="O286" ca="1">SUM(OFFSET($HQ$43,0,($M286*3)+$N286,53,1)*O$43:O$95)</f>
        <v>0</v>
      </c>
      <c r="P286" s="6">
        <f t="array" aca="1" ref="P286" ca="1">SUM(OFFSET($HQ$43,0,($M286*3)+$N286,53,1)*P$43:P$95)</f>
        <v>0</v>
      </c>
      <c r="Q286" s="6">
        <f t="array" aca="1" ref="Q286" ca="1">SUM(OFFSET($HQ$43,0,($M286*3)+$N286,53,1)*Q$43:Q$95)</f>
        <v>0</v>
      </c>
      <c r="R286" s="6">
        <f t="array" aca="1" ref="R286" ca="1">SUM(OFFSET($HQ$43,0,($M286*3)+$N286,53,1)*R$43:R$95)</f>
        <v>0</v>
      </c>
      <c r="S286" s="6">
        <f t="array" aca="1" ref="S286" ca="1">SUM(OFFSET($HQ$43,0,($M286*3)+$N286,53,1)*S$43:S$95)</f>
        <v>0</v>
      </c>
      <c r="T286" s="6">
        <f t="array" aca="1" ref="T286" ca="1">SUM(OFFSET($HQ$43,0,($M286*3)+$N286,53,1)*T$43:T$95)</f>
        <v>0</v>
      </c>
      <c r="U286" s="6">
        <f t="array" aca="1" ref="U286" ca="1">SUM(OFFSET($HQ$43,0,($M286*3)+$N286,53,1)*U$43:U$95)</f>
        <v>0</v>
      </c>
      <c r="V286" s="6">
        <f t="array" aca="1" ref="V286" ca="1">SUM(OFFSET($HQ$43,0,($M286*3)+$N286,53,1)*V$43:V$95)</f>
        <v>0</v>
      </c>
      <c r="W286" s="6">
        <f t="array" aca="1" ref="W286" ca="1">SUM(OFFSET($HQ$43,0,($M286*3)+$N286,53,1)*W$43:W$95)</f>
        <v>0</v>
      </c>
      <c r="X286" s="6">
        <f t="array" aca="1" ref="X286" ca="1">SUM(OFFSET($HQ$43,0,($M286*3)+$N286,53,1)*X$43:X$95)</f>
        <v>0</v>
      </c>
      <c r="Y286" s="6">
        <f t="array" aca="1" ref="Y286" ca="1">SUM(OFFSET($HQ$43,0,($M286*3)+$N286,53,1)*Y$43:Y$95)</f>
        <v>0</v>
      </c>
      <c r="Z286" s="6">
        <f t="array" aca="1" ref="Z286" ca="1">SUM(OFFSET($HQ$43,0,($M286*3)+$N286,53,1)*Z$43:Z$95)</f>
        <v>0</v>
      </c>
      <c r="AA286" s="6">
        <f t="shared" ca="1" si="131"/>
        <v>0</v>
      </c>
      <c r="AB286" s="6">
        <f t="shared" ca="1" si="130"/>
        <v>0</v>
      </c>
      <c r="AC286" s="6"/>
      <c r="AD286" s="8" t="s">
        <v>1227</v>
      </c>
      <c r="AE286" t="str">
        <f t="shared" si="128"/>
        <v>Diagnostic (FU)</v>
      </c>
      <c r="AF286" s="8">
        <f ca="1">SUMIFS(O$348:O$350,$L$348:$L$350,$AE241)+IF(OR(AND('Aggregate summary'!$L$3="Yes",'Aggregate summary'!$E$3="POD"),AND('Aggregate summary'!$U$3="Process",'Aggregate summary'!$T$76="Clearance + downstream effects")),SUMIFS(O$409:O$411,$L$409:$L$411,$AE241),0)</f>
        <v>0</v>
      </c>
      <c r="AG286" s="8">
        <f ca="1">SUMIFS(P$348:P$350,$L$348:$L$350,$AE241)+IF(OR(AND('Aggregate summary'!$L$3="Yes",'Aggregate summary'!$E$3="POD"),AND('Aggregate summary'!$U$3="Process",'Aggregate summary'!$T$76="Clearance + downstream effects")),SUMIFS(P$409:P$411,$L$409:$L$411,$AE241),0)</f>
        <v>0</v>
      </c>
      <c r="AH286" s="8">
        <f ca="1">SUMIFS(Q$348:Q$350,$L$348:$L$350,$AE241)+IF(OR(AND('Aggregate summary'!$L$3="Yes",'Aggregate summary'!$E$3="POD"),AND('Aggregate summary'!$U$3="Process",'Aggregate summary'!$T$76="Clearance + downstream effects")),SUMIFS(Q$409:Q$411,$L$409:$L$411,$AE241),0)</f>
        <v>0</v>
      </c>
      <c r="AI286" s="8">
        <f ca="1">SUMIFS(R$348:R$350,$L$348:$L$350,$AE241)+IF(OR(AND('Aggregate summary'!$L$3="Yes",'Aggregate summary'!$E$3="POD"),AND('Aggregate summary'!$U$3="Process",'Aggregate summary'!$T$76="Clearance + downstream effects")),SUMIFS(R$409:R$411,$L$409:$L$411,$AE241),0)</f>
        <v>0</v>
      </c>
      <c r="AJ286" s="8">
        <f ca="1">SUMIFS(S$348:S$350,$L$348:$L$350,$AE241)+IF(OR(AND('Aggregate summary'!$L$3="Yes",'Aggregate summary'!$E$3="POD"),AND('Aggregate summary'!$U$3="Process",'Aggregate summary'!$T$76="Clearance + downstream effects")),SUMIFS(S$409:S$411,$L$409:$L$411,$AE241),0)</f>
        <v>0</v>
      </c>
      <c r="AK286" s="8">
        <f ca="1">SUMIFS(T$348:T$350,$L$348:$L$350,$AE241)+IF(OR(AND('Aggregate summary'!$L$3="Yes",'Aggregate summary'!$E$3="POD"),AND('Aggregate summary'!$U$3="Process",'Aggregate summary'!$T$76="Clearance + downstream effects")),SUMIFS(T$409:T$411,$L$409:$L$411,$AE241),0)</f>
        <v>0</v>
      </c>
      <c r="AL286" s="8">
        <f ca="1">SUMIFS(U$348:U$350,$L$348:$L$350,$AE241)+IF(OR(AND('Aggregate summary'!$L$3="Yes",'Aggregate summary'!$E$3="POD"),AND('Aggregate summary'!$U$3="Process",'Aggregate summary'!$T$76="Clearance + downstream effects")),SUMIFS(U$409:U$411,$L$409:$L$411,$AE241),0)</f>
        <v>0</v>
      </c>
      <c r="AM286" s="8">
        <f ca="1">SUMIFS(V$348:V$350,$L$348:$L$350,$AE241)+IF(OR(AND('Aggregate summary'!$L$3="Yes",'Aggregate summary'!$E$3="POD"),AND('Aggregate summary'!$U$3="Process",'Aggregate summary'!$T$76="Clearance + downstream effects")),SUMIFS(V$409:V$411,$L$409:$L$411,$AE241),0)</f>
        <v>0</v>
      </c>
      <c r="AN286" s="8">
        <f ca="1">SUMIFS(W$348:W$350,$L$348:$L$350,$AE241)+IF(OR(AND('Aggregate summary'!$L$3="Yes",'Aggregate summary'!$E$3="POD"),AND('Aggregate summary'!$U$3="Process",'Aggregate summary'!$T$76="Clearance + downstream effects")),SUMIFS(W$409:W$411,$L$409:$L$411,$AE241),0)</f>
        <v>0</v>
      </c>
      <c r="AO286" s="8">
        <f ca="1">SUMIFS(X$348:X$350,$L$348:$L$350,$AE241)+IF(OR(AND('Aggregate summary'!$L$3="Yes",'Aggregate summary'!$E$3="POD"),AND('Aggregate summary'!$U$3="Process",'Aggregate summary'!$T$76="Clearance + downstream effects")),SUMIFS(X$409:X$411,$L$409:$L$411,$AE241),0)</f>
        <v>0</v>
      </c>
      <c r="AP286" s="8">
        <f ca="1">SUMIFS(Y$348:Y$350,$L$348:$L$350,$AE241)+IF(OR(AND('Aggregate summary'!$L$3="Yes",'Aggregate summary'!$E$3="POD"),AND('Aggregate summary'!$U$3="Process",'Aggregate summary'!$T$76="Clearance + downstream effects")),SUMIFS(Y$409:Y$411,$L$409:$L$411,$AE241),0)</f>
        <v>0</v>
      </c>
      <c r="AQ286" s="8">
        <f ca="1">SUMIFS(Z$348:Z$350,$L$348:$L$350,$AE241)+IF(OR(AND('Aggregate summary'!$L$3="Yes",'Aggregate summary'!$E$3="POD"),AND('Aggregate summary'!$U$3="Process",'Aggregate summary'!$T$76="Clearance + downstream effects")),SUMIFS(Z$409:Z$411,$L$409:$L$411,$AE241),0)</f>
        <v>0</v>
      </c>
    </row>
    <row r="287" spans="1:43" x14ac:dyDescent="0.25">
      <c r="A287">
        <f>1</f>
        <v>1</v>
      </c>
      <c r="B287" s="85">
        <f t="shared" si="127"/>
        <v>44075</v>
      </c>
      <c r="C287" s="85">
        <f t="shared" si="123"/>
        <v>44074</v>
      </c>
      <c r="D287">
        <f t="shared" ca="1" si="124"/>
        <v>1</v>
      </c>
      <c r="E287" s="85">
        <f t="shared" si="125"/>
        <v>44075</v>
      </c>
      <c r="F287">
        <f t="shared" si="126"/>
        <v>36</v>
      </c>
      <c r="M287">
        <v>14</v>
      </c>
      <c r="N287">
        <v>1</v>
      </c>
      <c r="O287" s="6">
        <f t="array" aca="1" ref="O287" ca="1">SUM(OFFSET($HQ$43,0,($M287*3)+$N287,53,1)*O$43:O$95)</f>
        <v>0</v>
      </c>
      <c r="P287" s="6">
        <f t="array" aca="1" ref="P287" ca="1">SUM(OFFSET($HQ$43,0,($M287*3)+$N287,53,1)*P$43:P$95)</f>
        <v>0</v>
      </c>
      <c r="Q287" s="6">
        <f t="array" aca="1" ref="Q287" ca="1">SUM(OFFSET($HQ$43,0,($M287*3)+$N287,53,1)*Q$43:Q$95)</f>
        <v>0</v>
      </c>
      <c r="R287" s="6">
        <f t="array" aca="1" ref="R287" ca="1">SUM(OFFSET($HQ$43,0,($M287*3)+$N287,53,1)*R$43:R$95)</f>
        <v>0</v>
      </c>
      <c r="S287" s="6">
        <f t="array" aca="1" ref="S287" ca="1">SUM(OFFSET($HQ$43,0,($M287*3)+$N287,53,1)*S$43:S$95)</f>
        <v>0</v>
      </c>
      <c r="T287" s="6">
        <f t="array" aca="1" ref="T287" ca="1">SUM(OFFSET($HQ$43,0,($M287*3)+$N287,53,1)*T$43:T$95)</f>
        <v>0</v>
      </c>
      <c r="U287" s="6">
        <f t="array" aca="1" ref="U287" ca="1">SUM(OFFSET($HQ$43,0,($M287*3)+$N287,53,1)*U$43:U$95)</f>
        <v>0</v>
      </c>
      <c r="V287" s="6">
        <f t="array" aca="1" ref="V287" ca="1">SUM(OFFSET($HQ$43,0,($M287*3)+$N287,53,1)*V$43:V$95)</f>
        <v>0</v>
      </c>
      <c r="W287" s="6">
        <f t="array" aca="1" ref="W287" ca="1">SUM(OFFSET($HQ$43,0,($M287*3)+$N287,53,1)*W$43:W$95)</f>
        <v>0</v>
      </c>
      <c r="X287" s="6">
        <f t="array" aca="1" ref="X287" ca="1">SUM(OFFSET($HQ$43,0,($M287*3)+$N287,53,1)*X$43:X$95)</f>
        <v>0</v>
      </c>
      <c r="Y287" s="6">
        <f t="array" aca="1" ref="Y287" ca="1">SUM(OFFSET($HQ$43,0,($M287*3)+$N287,53,1)*Y$43:Y$95)</f>
        <v>0</v>
      </c>
      <c r="Z287" s="6">
        <f t="array" aca="1" ref="Z287" ca="1">SUM(OFFSET($HQ$43,0,($M287*3)+$N287,53,1)*Z$43:Z$95)</f>
        <v>0</v>
      </c>
      <c r="AA287" s="6">
        <f t="shared" ca="1" si="131"/>
        <v>0</v>
      </c>
      <c r="AB287" s="6">
        <f t="shared" ca="1" si="130"/>
        <v>0</v>
      </c>
      <c r="AC287" s="6"/>
      <c r="AD287" s="8" t="s">
        <v>1227</v>
      </c>
      <c r="AE287" t="str">
        <f t="shared" si="128"/>
        <v>Admission</v>
      </c>
      <c r="AF287" s="8">
        <f ca="1">SUMIFS(O$348:O$350,$L$348:$L$350,$AE242)+IF(OR(AND('Aggregate summary'!$L$3="Yes",'Aggregate summary'!$E$3="POD"),AND('Aggregate summary'!$U$3="Process",'Aggregate summary'!$T$76="Clearance + downstream effects")),SUMIFS(O$409:O$411,$L$409:$L$411,$AE242),0)</f>
        <v>0</v>
      </c>
      <c r="AG287" s="8">
        <f ca="1">SUMIFS(P$348:P$350,$L$348:$L$350,$AE242)+IF(OR(AND('Aggregate summary'!$L$3="Yes",'Aggregate summary'!$E$3="POD"),AND('Aggregate summary'!$U$3="Process",'Aggregate summary'!$T$76="Clearance + downstream effects")),SUMIFS(P$409:P$411,$L$409:$L$411,$AE242),0)</f>
        <v>0</v>
      </c>
      <c r="AH287" s="8">
        <f ca="1">SUMIFS(Q$348:Q$350,$L$348:$L$350,$AE242)+IF(OR(AND('Aggregate summary'!$L$3="Yes",'Aggregate summary'!$E$3="POD"),AND('Aggregate summary'!$U$3="Process",'Aggregate summary'!$T$76="Clearance + downstream effects")),SUMIFS(Q$409:Q$411,$L$409:$L$411,$AE242),0)</f>
        <v>0</v>
      </c>
      <c r="AI287" s="8">
        <f ca="1">SUMIFS(R$348:R$350,$L$348:$L$350,$AE242)+IF(OR(AND('Aggregate summary'!$L$3="Yes",'Aggregate summary'!$E$3="POD"),AND('Aggregate summary'!$U$3="Process",'Aggregate summary'!$T$76="Clearance + downstream effects")),SUMIFS(R$409:R$411,$L$409:$L$411,$AE242),0)</f>
        <v>0</v>
      </c>
      <c r="AJ287" s="8">
        <f ca="1">SUMIFS(S$348:S$350,$L$348:$L$350,$AE242)+IF(OR(AND('Aggregate summary'!$L$3="Yes",'Aggregate summary'!$E$3="POD"),AND('Aggregate summary'!$U$3="Process",'Aggregate summary'!$T$76="Clearance + downstream effects")),SUMIFS(S$409:S$411,$L$409:$L$411,$AE242),0)</f>
        <v>0</v>
      </c>
      <c r="AK287" s="8">
        <f ca="1">SUMIFS(T$348:T$350,$L$348:$L$350,$AE242)+IF(OR(AND('Aggregate summary'!$L$3="Yes",'Aggregate summary'!$E$3="POD"),AND('Aggregate summary'!$U$3="Process",'Aggregate summary'!$T$76="Clearance + downstream effects")),SUMIFS(T$409:T$411,$L$409:$L$411,$AE242),0)</f>
        <v>0</v>
      </c>
      <c r="AL287" s="8">
        <f ca="1">SUMIFS(U$348:U$350,$L$348:$L$350,$AE242)+IF(OR(AND('Aggregate summary'!$L$3="Yes",'Aggregate summary'!$E$3="POD"),AND('Aggregate summary'!$U$3="Process",'Aggregate summary'!$T$76="Clearance + downstream effects")),SUMIFS(U$409:U$411,$L$409:$L$411,$AE242),0)</f>
        <v>0</v>
      </c>
      <c r="AM287" s="8">
        <f ca="1">SUMIFS(V$348:V$350,$L$348:$L$350,$AE242)+IF(OR(AND('Aggregate summary'!$L$3="Yes",'Aggregate summary'!$E$3="POD"),AND('Aggregate summary'!$U$3="Process",'Aggregate summary'!$T$76="Clearance + downstream effects")),SUMIFS(V$409:V$411,$L$409:$L$411,$AE242),0)</f>
        <v>0</v>
      </c>
      <c r="AN287" s="8">
        <f ca="1">SUMIFS(W$348:W$350,$L$348:$L$350,$AE242)+IF(OR(AND('Aggregate summary'!$L$3="Yes",'Aggregate summary'!$E$3="POD"),AND('Aggregate summary'!$U$3="Process",'Aggregate summary'!$T$76="Clearance + downstream effects")),SUMIFS(W$409:W$411,$L$409:$L$411,$AE242),0)</f>
        <v>0</v>
      </c>
      <c r="AO287" s="8">
        <f ca="1">SUMIFS(X$348:X$350,$L$348:$L$350,$AE242)+IF(OR(AND('Aggregate summary'!$L$3="Yes",'Aggregate summary'!$E$3="POD"),AND('Aggregate summary'!$U$3="Process",'Aggregate summary'!$T$76="Clearance + downstream effects")),SUMIFS(X$409:X$411,$L$409:$L$411,$AE242),0)</f>
        <v>0</v>
      </c>
      <c r="AP287" s="8">
        <f ca="1">SUMIFS(Y$348:Y$350,$L$348:$L$350,$AE242)+IF(OR(AND('Aggregate summary'!$L$3="Yes",'Aggregate summary'!$E$3="POD"),AND('Aggregate summary'!$U$3="Process",'Aggregate summary'!$T$76="Clearance + downstream effects")),SUMIFS(Y$409:Y$411,$L$409:$L$411,$AE242),0)</f>
        <v>0</v>
      </c>
      <c r="AQ287" s="8">
        <f ca="1">SUMIFS(Z$348:Z$350,$L$348:$L$350,$AE242)+IF(OR(AND('Aggregate summary'!$L$3="Yes",'Aggregate summary'!$E$3="POD"),AND('Aggregate summary'!$U$3="Process",'Aggregate summary'!$T$76="Clearance + downstream effects")),SUMIFS(Z$409:Z$411,$L$409:$L$411,$AE242),0)</f>
        <v>0</v>
      </c>
    </row>
    <row r="288" spans="1:43" x14ac:dyDescent="0.25">
      <c r="A288">
        <f>1</f>
        <v>1</v>
      </c>
      <c r="B288" s="85">
        <f t="shared" si="127"/>
        <v>44076</v>
      </c>
      <c r="C288" s="85">
        <f t="shared" si="123"/>
        <v>44074</v>
      </c>
      <c r="D288">
        <f t="shared" ca="1" si="124"/>
        <v>1</v>
      </c>
      <c r="E288" s="85">
        <f t="shared" si="125"/>
        <v>44075</v>
      </c>
      <c r="F288">
        <f t="shared" si="126"/>
        <v>36</v>
      </c>
      <c r="M288">
        <v>14</v>
      </c>
      <c r="N288">
        <v>2</v>
      </c>
      <c r="O288" s="6">
        <f t="array" aca="1" ref="O288" ca="1">SUM(OFFSET($HQ$43,0,($M288*3)+$N288,53,1)*O$43:O$95)</f>
        <v>0</v>
      </c>
      <c r="P288" s="6">
        <f t="array" aca="1" ref="P288" ca="1">SUM(OFFSET($HQ$43,0,($M288*3)+$N288,53,1)*P$43:P$95)</f>
        <v>0</v>
      </c>
      <c r="Q288" s="6">
        <f t="array" aca="1" ref="Q288" ca="1">SUM(OFFSET($HQ$43,0,($M288*3)+$N288,53,1)*Q$43:Q$95)</f>
        <v>0</v>
      </c>
      <c r="R288" s="6">
        <f t="array" aca="1" ref="R288" ca="1">SUM(OFFSET($HQ$43,0,($M288*3)+$N288,53,1)*R$43:R$95)</f>
        <v>0</v>
      </c>
      <c r="S288" s="6">
        <f t="array" aca="1" ref="S288" ca="1">SUM(OFFSET($HQ$43,0,($M288*3)+$N288,53,1)*S$43:S$95)</f>
        <v>0</v>
      </c>
      <c r="T288" s="6">
        <f t="array" aca="1" ref="T288" ca="1">SUM(OFFSET($HQ$43,0,($M288*3)+$N288,53,1)*T$43:T$95)</f>
        <v>0</v>
      </c>
      <c r="U288" s="6">
        <f t="array" aca="1" ref="U288" ca="1">SUM(OFFSET($HQ$43,0,($M288*3)+$N288,53,1)*U$43:U$95)</f>
        <v>0</v>
      </c>
      <c r="V288" s="6">
        <f t="array" aca="1" ref="V288" ca="1">SUM(OFFSET($HQ$43,0,($M288*3)+$N288,53,1)*V$43:V$95)</f>
        <v>0</v>
      </c>
      <c r="W288" s="6">
        <f t="array" aca="1" ref="W288" ca="1">SUM(OFFSET($HQ$43,0,($M288*3)+$N288,53,1)*W$43:W$95)</f>
        <v>0</v>
      </c>
      <c r="X288" s="6">
        <f t="array" aca="1" ref="X288" ca="1">SUM(OFFSET($HQ$43,0,($M288*3)+$N288,53,1)*X$43:X$95)</f>
        <v>0</v>
      </c>
      <c r="Y288" s="6">
        <f t="array" aca="1" ref="Y288" ca="1">SUM(OFFSET($HQ$43,0,($M288*3)+$N288,53,1)*Y$43:Y$95)</f>
        <v>0</v>
      </c>
      <c r="Z288" s="6">
        <f t="array" aca="1" ref="Z288" ca="1">SUM(OFFSET($HQ$43,0,($M288*3)+$N288,53,1)*Z$43:Z$95)</f>
        <v>0</v>
      </c>
      <c r="AA288" s="6">
        <f t="shared" ca="1" si="131"/>
        <v>0</v>
      </c>
      <c r="AB288" s="6">
        <f t="shared" ca="1" si="130"/>
        <v>0</v>
      </c>
      <c r="AC288" s="6"/>
      <c r="AD288" s="8">
        <v>11</v>
      </c>
      <c r="AE288" t="str">
        <f t="shared" si="128"/>
        <v>New</v>
      </c>
      <c r="AF288" s="8">
        <f ca="1">SUMIFS(O$351:O$353,$L$351:$L$353,$AE238)+IF(OR(AND('Aggregate summary'!$L$3="Yes",'Aggregate summary'!$E$3="POD"),AND('Aggregate summary'!$U$3="Process",'Aggregate summary'!$T$76="Clearance + downstream effects")),SUMIFS(O$412:O$414,$L$412:$L$414,$AE238),0)</f>
        <v>0</v>
      </c>
      <c r="AG288" s="8">
        <f ca="1">SUMIFS(P$351:P$353,$L$351:$L$353,$AE238)+IF(OR(AND('Aggregate summary'!$L$3="Yes",'Aggregate summary'!$E$3="POD"),AND('Aggregate summary'!$U$3="Process",'Aggregate summary'!$T$76="Clearance + downstream effects")),SUMIFS(P$412:P$414,$L$412:$L$414,$AE238),0)</f>
        <v>0</v>
      </c>
      <c r="AH288" s="8">
        <f ca="1">SUMIFS(Q$351:Q$353,$L$351:$L$353,$AE238)+IF(OR(AND('Aggregate summary'!$L$3="Yes",'Aggregate summary'!$E$3="POD"),AND('Aggregate summary'!$U$3="Process",'Aggregate summary'!$T$76="Clearance + downstream effects")),SUMIFS(Q$412:Q$414,$L$412:$L$414,$AE238),0)</f>
        <v>0</v>
      </c>
      <c r="AI288" s="8">
        <f ca="1">SUMIFS(R$351:R$353,$L$351:$L$353,$AE238)+IF(OR(AND('Aggregate summary'!$L$3="Yes",'Aggregate summary'!$E$3="POD"),AND('Aggregate summary'!$U$3="Process",'Aggregate summary'!$T$76="Clearance + downstream effects")),SUMIFS(R$412:R$414,$L$412:$L$414,$AE238),0)</f>
        <v>0</v>
      </c>
      <c r="AJ288" s="8">
        <f ca="1">SUMIFS(S$351:S$353,$L$351:$L$353,$AE238)+IF(OR(AND('Aggregate summary'!$L$3="Yes",'Aggregate summary'!$E$3="POD"),AND('Aggregate summary'!$U$3="Process",'Aggregate summary'!$T$76="Clearance + downstream effects")),SUMIFS(S$412:S$414,$L$412:$L$414,$AE238),0)</f>
        <v>0</v>
      </c>
      <c r="AK288" s="8">
        <f ca="1">SUMIFS(T$351:T$353,$L$351:$L$353,$AE238)+IF(OR(AND('Aggregate summary'!$L$3="Yes",'Aggregate summary'!$E$3="POD"),AND('Aggregate summary'!$U$3="Process",'Aggregate summary'!$T$76="Clearance + downstream effects")),SUMIFS(T$412:T$414,$L$412:$L$414,$AE238),0)</f>
        <v>0</v>
      </c>
      <c r="AL288" s="8">
        <f ca="1">SUMIFS(U$351:U$353,$L$351:$L$353,$AE238)+IF(OR(AND('Aggregate summary'!$L$3="Yes",'Aggregate summary'!$E$3="POD"),AND('Aggregate summary'!$U$3="Process",'Aggregate summary'!$T$76="Clearance + downstream effects")),SUMIFS(U$412:U$414,$L$412:$L$414,$AE238),0)</f>
        <v>0</v>
      </c>
      <c r="AM288" s="8">
        <f ca="1">SUMIFS(V$351:V$353,$L$351:$L$353,$AE238)+IF(OR(AND('Aggregate summary'!$L$3="Yes",'Aggregate summary'!$E$3="POD"),AND('Aggregate summary'!$U$3="Process",'Aggregate summary'!$T$76="Clearance + downstream effects")),SUMIFS(V$412:V$414,$L$412:$L$414,$AE238),0)</f>
        <v>0</v>
      </c>
      <c r="AN288" s="8">
        <f ca="1">SUMIFS(W$351:W$353,$L$351:$L$353,$AE238)+IF(OR(AND('Aggregate summary'!$L$3="Yes",'Aggregate summary'!$E$3="POD"),AND('Aggregate summary'!$U$3="Process",'Aggregate summary'!$T$76="Clearance + downstream effects")),SUMIFS(W$412:W$414,$L$412:$L$414,$AE238),0)</f>
        <v>0</v>
      </c>
      <c r="AO288" s="8">
        <f ca="1">SUMIFS(X$351:X$353,$L$351:$L$353,$AE238)+IF(OR(AND('Aggregate summary'!$L$3="Yes",'Aggregate summary'!$E$3="POD"),AND('Aggregate summary'!$U$3="Process",'Aggregate summary'!$T$76="Clearance + downstream effects")),SUMIFS(X$412:X$414,$L$412:$L$414,$AE238),0)</f>
        <v>0</v>
      </c>
      <c r="AP288" s="8">
        <f ca="1">SUMIFS(Y$351:Y$353,$L$351:$L$353,$AE238)+IF(OR(AND('Aggregate summary'!$L$3="Yes",'Aggregate summary'!$E$3="POD"),AND('Aggregate summary'!$U$3="Process",'Aggregate summary'!$T$76="Clearance + downstream effects")),SUMIFS(Y$412:Y$414,$L$412:$L$414,$AE238),0)</f>
        <v>0</v>
      </c>
      <c r="AQ288" s="8">
        <f ca="1">SUMIFS(Z$351:Z$353,$L$351:$L$353,$AE238)+IF(OR(AND('Aggregate summary'!$L$3="Yes",'Aggregate summary'!$E$3="POD"),AND('Aggregate summary'!$U$3="Process",'Aggregate summary'!$T$76="Clearance + downstream effects")),SUMIFS(Z$412:Z$414,$L$412:$L$414,$AE238),0)</f>
        <v>0</v>
      </c>
    </row>
    <row r="289" spans="1:43" x14ac:dyDescent="0.25">
      <c r="A289">
        <f>1</f>
        <v>1</v>
      </c>
      <c r="B289" s="85">
        <f t="shared" si="127"/>
        <v>44077</v>
      </c>
      <c r="C289" s="85">
        <f t="shared" si="123"/>
        <v>44074</v>
      </c>
      <c r="D289">
        <f t="shared" ca="1" si="124"/>
        <v>1</v>
      </c>
      <c r="E289" s="85">
        <f t="shared" si="125"/>
        <v>44075</v>
      </c>
      <c r="F289">
        <f t="shared" si="126"/>
        <v>36</v>
      </c>
      <c r="M289">
        <v>14</v>
      </c>
      <c r="N289">
        <v>3</v>
      </c>
      <c r="O289" s="6">
        <f t="array" aca="1" ref="O289" ca="1">SUM(OFFSET($HQ$43,0,($M289*3)+$N289,53,1)*O$43:O$95)</f>
        <v>0</v>
      </c>
      <c r="P289" s="6">
        <f t="array" aca="1" ref="P289" ca="1">SUM(OFFSET($HQ$43,0,($M289*3)+$N289,53,1)*P$43:P$95)</f>
        <v>0</v>
      </c>
      <c r="Q289" s="6">
        <f t="array" aca="1" ref="Q289" ca="1">SUM(OFFSET($HQ$43,0,($M289*3)+$N289,53,1)*Q$43:Q$95)</f>
        <v>0</v>
      </c>
      <c r="R289" s="6">
        <f t="array" aca="1" ref="R289" ca="1">SUM(OFFSET($HQ$43,0,($M289*3)+$N289,53,1)*R$43:R$95)</f>
        <v>0</v>
      </c>
      <c r="S289" s="6">
        <f t="array" aca="1" ref="S289" ca="1">SUM(OFFSET($HQ$43,0,($M289*3)+$N289,53,1)*S$43:S$95)</f>
        <v>0</v>
      </c>
      <c r="T289" s="6">
        <f t="array" aca="1" ref="T289" ca="1">SUM(OFFSET($HQ$43,0,($M289*3)+$N289,53,1)*T$43:T$95)</f>
        <v>0</v>
      </c>
      <c r="U289" s="6">
        <f t="array" aca="1" ref="U289" ca="1">SUM(OFFSET($HQ$43,0,($M289*3)+$N289,53,1)*U$43:U$95)</f>
        <v>0</v>
      </c>
      <c r="V289" s="6">
        <f t="array" aca="1" ref="V289" ca="1">SUM(OFFSET($HQ$43,0,($M289*3)+$N289,53,1)*V$43:V$95)</f>
        <v>0</v>
      </c>
      <c r="W289" s="6">
        <f t="array" aca="1" ref="W289" ca="1">SUM(OFFSET($HQ$43,0,($M289*3)+$N289,53,1)*W$43:W$95)</f>
        <v>0</v>
      </c>
      <c r="X289" s="6">
        <f t="array" aca="1" ref="X289" ca="1">SUM(OFFSET($HQ$43,0,($M289*3)+$N289,53,1)*X$43:X$95)</f>
        <v>0</v>
      </c>
      <c r="Y289" s="6">
        <f t="array" aca="1" ref="Y289" ca="1">SUM(OFFSET($HQ$43,0,($M289*3)+$N289,53,1)*Y$43:Y$95)</f>
        <v>0</v>
      </c>
      <c r="Z289" s="6">
        <f t="array" aca="1" ref="Z289" ca="1">SUM(OFFSET($HQ$43,0,($M289*3)+$N289,53,1)*Z$43:Z$95)</f>
        <v>0</v>
      </c>
      <c r="AA289" s="6">
        <f t="shared" ca="1" si="131"/>
        <v>0</v>
      </c>
      <c r="AB289" s="6">
        <f t="shared" ca="1" si="130"/>
        <v>0</v>
      </c>
      <c r="AC289" s="6"/>
      <c r="AD289" s="8" t="s">
        <v>1227</v>
      </c>
      <c r="AE289" t="str">
        <f t="shared" si="128"/>
        <v>Diagnostic (N)</v>
      </c>
      <c r="AF289" s="8">
        <f ca="1">SUMIFS(O$351:O$353,$L$351:$L$353,$AE239)+IF(OR(AND('Aggregate summary'!$L$3="Yes",'Aggregate summary'!$E$3="POD"),AND('Aggregate summary'!$U$3="Process",'Aggregate summary'!$T$76="Clearance + downstream effects")),SUMIFS(O$412:O$414,$L$412:$L$414,$AE239),0)</f>
        <v>0</v>
      </c>
      <c r="AG289" s="8">
        <f ca="1">SUMIFS(P$351:P$353,$L$351:$L$353,$AE239)+IF(OR(AND('Aggregate summary'!$L$3="Yes",'Aggregate summary'!$E$3="POD"),AND('Aggregate summary'!$U$3="Process",'Aggregate summary'!$T$76="Clearance + downstream effects")),SUMIFS(P$412:P$414,$L$412:$L$414,$AE239),0)</f>
        <v>0</v>
      </c>
      <c r="AH289" s="8">
        <f ca="1">SUMIFS(Q$351:Q$353,$L$351:$L$353,$AE239)+IF(OR(AND('Aggregate summary'!$L$3="Yes",'Aggregate summary'!$E$3="POD"),AND('Aggregate summary'!$U$3="Process",'Aggregate summary'!$T$76="Clearance + downstream effects")),SUMIFS(Q$412:Q$414,$L$412:$L$414,$AE239),0)</f>
        <v>0</v>
      </c>
      <c r="AI289" s="8">
        <f ca="1">SUMIFS(R$351:R$353,$L$351:$L$353,$AE239)+IF(OR(AND('Aggregate summary'!$L$3="Yes",'Aggregate summary'!$E$3="POD"),AND('Aggregate summary'!$U$3="Process",'Aggregate summary'!$T$76="Clearance + downstream effects")),SUMIFS(R$412:R$414,$L$412:$L$414,$AE239),0)</f>
        <v>0</v>
      </c>
      <c r="AJ289" s="8">
        <f ca="1">SUMIFS(S$351:S$353,$L$351:$L$353,$AE239)+IF(OR(AND('Aggregate summary'!$L$3="Yes",'Aggregate summary'!$E$3="POD"),AND('Aggregate summary'!$U$3="Process",'Aggregate summary'!$T$76="Clearance + downstream effects")),SUMIFS(S$412:S$414,$L$412:$L$414,$AE239),0)</f>
        <v>0</v>
      </c>
      <c r="AK289" s="8">
        <f ca="1">SUMIFS(T$351:T$353,$L$351:$L$353,$AE239)+IF(OR(AND('Aggregate summary'!$L$3="Yes",'Aggregate summary'!$E$3="POD"),AND('Aggregate summary'!$U$3="Process",'Aggregate summary'!$T$76="Clearance + downstream effects")),SUMIFS(T$412:T$414,$L$412:$L$414,$AE239),0)</f>
        <v>0</v>
      </c>
      <c r="AL289" s="8">
        <f ca="1">SUMIFS(U$351:U$353,$L$351:$L$353,$AE239)+IF(OR(AND('Aggregate summary'!$L$3="Yes",'Aggregate summary'!$E$3="POD"),AND('Aggregate summary'!$U$3="Process",'Aggregate summary'!$T$76="Clearance + downstream effects")),SUMIFS(U$412:U$414,$L$412:$L$414,$AE239),0)</f>
        <v>0</v>
      </c>
      <c r="AM289" s="8">
        <f ca="1">SUMIFS(V$351:V$353,$L$351:$L$353,$AE239)+IF(OR(AND('Aggregate summary'!$L$3="Yes",'Aggregate summary'!$E$3="POD"),AND('Aggregate summary'!$U$3="Process",'Aggregate summary'!$T$76="Clearance + downstream effects")),SUMIFS(V$412:V$414,$L$412:$L$414,$AE239),0)</f>
        <v>0</v>
      </c>
      <c r="AN289" s="8">
        <f ca="1">SUMIFS(W$351:W$353,$L$351:$L$353,$AE239)+IF(OR(AND('Aggregate summary'!$L$3="Yes",'Aggregate summary'!$E$3="POD"),AND('Aggregate summary'!$U$3="Process",'Aggregate summary'!$T$76="Clearance + downstream effects")),SUMIFS(W$412:W$414,$L$412:$L$414,$AE239),0)</f>
        <v>0</v>
      </c>
      <c r="AO289" s="8">
        <f ca="1">SUMIFS(X$351:X$353,$L$351:$L$353,$AE239)+IF(OR(AND('Aggregate summary'!$L$3="Yes",'Aggregate summary'!$E$3="POD"),AND('Aggregate summary'!$U$3="Process",'Aggregate summary'!$T$76="Clearance + downstream effects")),SUMIFS(X$412:X$414,$L$412:$L$414,$AE239),0)</f>
        <v>0</v>
      </c>
      <c r="AP289" s="8">
        <f ca="1">SUMIFS(Y$351:Y$353,$L$351:$L$353,$AE239)+IF(OR(AND('Aggregate summary'!$L$3="Yes",'Aggregate summary'!$E$3="POD"),AND('Aggregate summary'!$U$3="Process",'Aggregate summary'!$T$76="Clearance + downstream effects")),SUMIFS(Y$412:Y$414,$L$412:$L$414,$AE239),0)</f>
        <v>0</v>
      </c>
      <c r="AQ289" s="8">
        <f ca="1">SUMIFS(Z$351:Z$353,$L$351:$L$353,$AE239)+IF(OR(AND('Aggregate summary'!$L$3="Yes",'Aggregate summary'!$E$3="POD"),AND('Aggregate summary'!$U$3="Process",'Aggregate summary'!$T$76="Clearance + downstream effects")),SUMIFS(Z$412:Z$414,$L$412:$L$414,$AE239),0)</f>
        <v>0</v>
      </c>
    </row>
    <row r="290" spans="1:43" x14ac:dyDescent="0.25">
      <c r="A290">
        <f>1</f>
        <v>1</v>
      </c>
      <c r="B290" s="85">
        <f t="shared" si="127"/>
        <v>44078</v>
      </c>
      <c r="C290" s="85">
        <f t="shared" si="123"/>
        <v>44074</v>
      </c>
      <c r="D290">
        <f t="shared" ca="1" si="124"/>
        <v>1</v>
      </c>
      <c r="E290" s="85">
        <f t="shared" si="125"/>
        <v>44075</v>
      </c>
      <c r="F290">
        <f t="shared" si="126"/>
        <v>36</v>
      </c>
      <c r="M290">
        <v>15</v>
      </c>
      <c r="N290">
        <v>1</v>
      </c>
      <c r="O290" s="6">
        <f t="array" aca="1" ref="O290" ca="1">SUM(OFFSET($HQ$43,0,($M290*3)+$N290,53,1)*O$43:O$95)</f>
        <v>0</v>
      </c>
      <c r="P290" s="6">
        <f t="array" aca="1" ref="P290" ca="1">SUM(OFFSET($HQ$43,0,($M290*3)+$N290,53,1)*P$43:P$95)</f>
        <v>0</v>
      </c>
      <c r="Q290" s="6">
        <f t="array" aca="1" ref="Q290" ca="1">SUM(OFFSET($HQ$43,0,($M290*3)+$N290,53,1)*Q$43:Q$95)</f>
        <v>0</v>
      </c>
      <c r="R290" s="6">
        <f t="array" aca="1" ref="R290" ca="1">SUM(OFFSET($HQ$43,0,($M290*3)+$N290,53,1)*R$43:R$95)</f>
        <v>0</v>
      </c>
      <c r="S290" s="6">
        <f t="array" aca="1" ref="S290" ca="1">SUM(OFFSET($HQ$43,0,($M290*3)+$N290,53,1)*S$43:S$95)</f>
        <v>0</v>
      </c>
      <c r="T290" s="6">
        <f t="array" aca="1" ref="T290" ca="1">SUM(OFFSET($HQ$43,0,($M290*3)+$N290,53,1)*T$43:T$95)</f>
        <v>0</v>
      </c>
      <c r="U290" s="6">
        <f t="array" aca="1" ref="U290" ca="1">SUM(OFFSET($HQ$43,0,($M290*3)+$N290,53,1)*U$43:U$95)</f>
        <v>0</v>
      </c>
      <c r="V290" s="6">
        <f t="array" aca="1" ref="V290" ca="1">SUM(OFFSET($HQ$43,0,($M290*3)+$N290,53,1)*V$43:V$95)</f>
        <v>0</v>
      </c>
      <c r="W290" s="6">
        <f t="array" aca="1" ref="W290" ca="1">SUM(OFFSET($HQ$43,0,($M290*3)+$N290,53,1)*W$43:W$95)</f>
        <v>0</v>
      </c>
      <c r="X290" s="6">
        <f t="array" aca="1" ref="X290" ca="1">SUM(OFFSET($HQ$43,0,($M290*3)+$N290,53,1)*X$43:X$95)</f>
        <v>0</v>
      </c>
      <c r="Y290" s="6">
        <f t="array" aca="1" ref="Y290" ca="1">SUM(OFFSET($HQ$43,0,($M290*3)+$N290,53,1)*Y$43:Y$95)</f>
        <v>0</v>
      </c>
      <c r="Z290" s="6">
        <f t="array" aca="1" ref="Z290" ca="1">SUM(OFFSET($HQ$43,0,($M290*3)+$N290,53,1)*Z$43:Z$95)</f>
        <v>0</v>
      </c>
      <c r="AA290" s="6">
        <f t="shared" ca="1" si="131"/>
        <v>0</v>
      </c>
      <c r="AB290" s="6">
        <f t="shared" ca="1" si="130"/>
        <v>0</v>
      </c>
      <c r="AC290" s="6"/>
      <c r="AD290" s="8" t="s">
        <v>1227</v>
      </c>
      <c r="AE290" t="str">
        <f t="shared" si="128"/>
        <v>Follow Up</v>
      </c>
      <c r="AF290" s="8">
        <f ca="1">SUMIFS(O$351:O$353,$L$351:$L$353,$AE240)+IF(OR(AND('Aggregate summary'!$L$3="Yes",'Aggregate summary'!$E$3="POD"),AND('Aggregate summary'!$U$3="Process",'Aggregate summary'!$T$76="Clearance + downstream effects")),SUMIFS(O$412:O$414,$L$412:$L$414,$AE240),0)</f>
        <v>0</v>
      </c>
      <c r="AG290" s="8">
        <f ca="1">SUMIFS(P$351:P$353,$L$351:$L$353,$AE240)+IF(OR(AND('Aggregate summary'!$L$3="Yes",'Aggregate summary'!$E$3="POD"),AND('Aggregate summary'!$U$3="Process",'Aggregate summary'!$T$76="Clearance + downstream effects")),SUMIFS(P$412:P$414,$L$412:$L$414,$AE240),0)</f>
        <v>0</v>
      </c>
      <c r="AH290" s="8">
        <f ca="1">SUMIFS(Q$351:Q$353,$L$351:$L$353,$AE240)+IF(OR(AND('Aggregate summary'!$L$3="Yes",'Aggregate summary'!$E$3="POD"),AND('Aggregate summary'!$U$3="Process",'Aggregate summary'!$T$76="Clearance + downstream effects")),SUMIFS(Q$412:Q$414,$L$412:$L$414,$AE240),0)</f>
        <v>0</v>
      </c>
      <c r="AI290" s="8">
        <f ca="1">SUMIFS(R$351:R$353,$L$351:$L$353,$AE240)+IF(OR(AND('Aggregate summary'!$L$3="Yes",'Aggregate summary'!$E$3="POD"),AND('Aggregate summary'!$U$3="Process",'Aggregate summary'!$T$76="Clearance + downstream effects")),SUMIFS(R$412:R$414,$L$412:$L$414,$AE240),0)</f>
        <v>0</v>
      </c>
      <c r="AJ290" s="8">
        <f ca="1">SUMIFS(S$351:S$353,$L$351:$L$353,$AE240)+IF(OR(AND('Aggregate summary'!$L$3="Yes",'Aggregate summary'!$E$3="POD"),AND('Aggregate summary'!$U$3="Process",'Aggregate summary'!$T$76="Clearance + downstream effects")),SUMIFS(S$412:S$414,$L$412:$L$414,$AE240),0)</f>
        <v>0</v>
      </c>
      <c r="AK290" s="8">
        <f ca="1">SUMIFS(T$351:T$353,$L$351:$L$353,$AE240)+IF(OR(AND('Aggregate summary'!$L$3="Yes",'Aggregate summary'!$E$3="POD"),AND('Aggregate summary'!$U$3="Process",'Aggregate summary'!$T$76="Clearance + downstream effects")),SUMIFS(T$412:T$414,$L$412:$L$414,$AE240),0)</f>
        <v>0</v>
      </c>
      <c r="AL290" s="8">
        <f ca="1">SUMIFS(U$351:U$353,$L$351:$L$353,$AE240)+IF(OR(AND('Aggregate summary'!$L$3="Yes",'Aggregate summary'!$E$3="POD"),AND('Aggregate summary'!$U$3="Process",'Aggregate summary'!$T$76="Clearance + downstream effects")),SUMIFS(U$412:U$414,$L$412:$L$414,$AE240),0)</f>
        <v>0</v>
      </c>
      <c r="AM290" s="8">
        <f ca="1">SUMIFS(V$351:V$353,$L$351:$L$353,$AE240)+IF(OR(AND('Aggregate summary'!$L$3="Yes",'Aggregate summary'!$E$3="POD"),AND('Aggregate summary'!$U$3="Process",'Aggregate summary'!$T$76="Clearance + downstream effects")),SUMIFS(V$412:V$414,$L$412:$L$414,$AE240),0)</f>
        <v>0</v>
      </c>
      <c r="AN290" s="8">
        <f ca="1">SUMIFS(W$351:W$353,$L$351:$L$353,$AE240)+IF(OR(AND('Aggregate summary'!$L$3="Yes",'Aggregate summary'!$E$3="POD"),AND('Aggregate summary'!$U$3="Process",'Aggregate summary'!$T$76="Clearance + downstream effects")),SUMIFS(W$412:W$414,$L$412:$L$414,$AE240),0)</f>
        <v>0</v>
      </c>
      <c r="AO290" s="8">
        <f ca="1">SUMIFS(X$351:X$353,$L$351:$L$353,$AE240)+IF(OR(AND('Aggregate summary'!$L$3="Yes",'Aggregate summary'!$E$3="POD"),AND('Aggregate summary'!$U$3="Process",'Aggregate summary'!$T$76="Clearance + downstream effects")),SUMIFS(X$412:X$414,$L$412:$L$414,$AE240),0)</f>
        <v>0</v>
      </c>
      <c r="AP290" s="8">
        <f ca="1">SUMIFS(Y$351:Y$353,$L$351:$L$353,$AE240)+IF(OR(AND('Aggregate summary'!$L$3="Yes",'Aggregate summary'!$E$3="POD"),AND('Aggregate summary'!$U$3="Process",'Aggregate summary'!$T$76="Clearance + downstream effects")),SUMIFS(Y$412:Y$414,$L$412:$L$414,$AE240),0)</f>
        <v>0</v>
      </c>
      <c r="AQ290" s="8">
        <f ca="1">SUMIFS(Z$351:Z$353,$L$351:$L$353,$AE240)+IF(OR(AND('Aggregate summary'!$L$3="Yes",'Aggregate summary'!$E$3="POD"),AND('Aggregate summary'!$U$3="Process",'Aggregate summary'!$T$76="Clearance + downstream effects")),SUMIFS(Z$412:Z$414,$L$412:$L$414,$AE240),0)</f>
        <v>0</v>
      </c>
    </row>
    <row r="291" spans="1:43" x14ac:dyDescent="0.25">
      <c r="A291">
        <f>1</f>
        <v>1</v>
      </c>
      <c r="B291" s="85">
        <f t="shared" si="127"/>
        <v>44079</v>
      </c>
      <c r="C291" s="85">
        <f t="shared" si="123"/>
        <v>44074</v>
      </c>
      <c r="D291">
        <f t="shared" ca="1" si="124"/>
        <v>0</v>
      </c>
      <c r="E291" s="85">
        <f t="shared" si="125"/>
        <v>44075</v>
      </c>
      <c r="F291">
        <f t="shared" si="126"/>
        <v>36</v>
      </c>
      <c r="M291">
        <v>15</v>
      </c>
      <c r="N291">
        <v>2</v>
      </c>
      <c r="O291" s="6">
        <f t="array" aca="1" ref="O291" ca="1">SUM(OFFSET($HQ$43,0,($M291*3)+$N291,53,1)*O$43:O$95)</f>
        <v>0</v>
      </c>
      <c r="P291" s="6">
        <f t="array" aca="1" ref="P291" ca="1">SUM(OFFSET($HQ$43,0,($M291*3)+$N291,53,1)*P$43:P$95)</f>
        <v>0</v>
      </c>
      <c r="Q291" s="6">
        <f t="array" aca="1" ref="Q291" ca="1">SUM(OFFSET($HQ$43,0,($M291*3)+$N291,53,1)*Q$43:Q$95)</f>
        <v>0</v>
      </c>
      <c r="R291" s="6">
        <f t="array" aca="1" ref="R291" ca="1">SUM(OFFSET($HQ$43,0,($M291*3)+$N291,53,1)*R$43:R$95)</f>
        <v>0</v>
      </c>
      <c r="S291" s="6">
        <f t="array" aca="1" ref="S291" ca="1">SUM(OFFSET($HQ$43,0,($M291*3)+$N291,53,1)*S$43:S$95)</f>
        <v>0</v>
      </c>
      <c r="T291" s="6">
        <f t="array" aca="1" ref="T291" ca="1">SUM(OFFSET($HQ$43,0,($M291*3)+$N291,53,1)*T$43:T$95)</f>
        <v>0</v>
      </c>
      <c r="U291" s="6">
        <f t="array" aca="1" ref="U291" ca="1">SUM(OFFSET($HQ$43,0,($M291*3)+$N291,53,1)*U$43:U$95)</f>
        <v>0</v>
      </c>
      <c r="V291" s="6">
        <f t="array" aca="1" ref="V291" ca="1">SUM(OFFSET($HQ$43,0,($M291*3)+$N291,53,1)*V$43:V$95)</f>
        <v>0</v>
      </c>
      <c r="W291" s="6">
        <f t="array" aca="1" ref="W291" ca="1">SUM(OFFSET($HQ$43,0,($M291*3)+$N291,53,1)*W$43:W$95)</f>
        <v>0</v>
      </c>
      <c r="X291" s="6">
        <f t="array" aca="1" ref="X291" ca="1">SUM(OFFSET($HQ$43,0,($M291*3)+$N291,53,1)*X$43:X$95)</f>
        <v>0</v>
      </c>
      <c r="Y291" s="6">
        <f t="array" aca="1" ref="Y291" ca="1">SUM(OFFSET($HQ$43,0,($M291*3)+$N291,53,1)*Y$43:Y$95)</f>
        <v>0</v>
      </c>
      <c r="Z291" s="6">
        <f t="array" aca="1" ref="Z291" ca="1">SUM(OFFSET($HQ$43,0,($M291*3)+$N291,53,1)*Z$43:Z$95)</f>
        <v>0</v>
      </c>
      <c r="AA291" s="6">
        <f t="shared" ca="1" si="131"/>
        <v>0</v>
      </c>
      <c r="AB291" s="6">
        <f t="shared" ca="1" si="130"/>
        <v>0</v>
      </c>
      <c r="AC291" s="6"/>
      <c r="AD291" s="8" t="s">
        <v>1227</v>
      </c>
      <c r="AE291" t="str">
        <f t="shared" si="128"/>
        <v>Diagnostic (FU)</v>
      </c>
      <c r="AF291" s="8">
        <f ca="1">SUMIFS(O$351:O$353,$L$351:$L$353,$AE241)+IF(OR(AND('Aggregate summary'!$L$3="Yes",'Aggregate summary'!$E$3="POD"),AND('Aggregate summary'!$U$3="Process",'Aggregate summary'!$T$76="Clearance + downstream effects")),SUMIFS(O$412:O$414,$L$412:$L$414,$AE241),0)</f>
        <v>0</v>
      </c>
      <c r="AG291" s="8">
        <f ca="1">SUMIFS(P$351:P$353,$L$351:$L$353,$AE241)+IF(OR(AND('Aggregate summary'!$L$3="Yes",'Aggregate summary'!$E$3="POD"),AND('Aggregate summary'!$U$3="Process",'Aggregate summary'!$T$76="Clearance + downstream effects")),SUMIFS(P$412:P$414,$L$412:$L$414,$AE241),0)</f>
        <v>0</v>
      </c>
      <c r="AH291" s="8">
        <f ca="1">SUMIFS(Q$351:Q$353,$L$351:$L$353,$AE241)+IF(OR(AND('Aggregate summary'!$L$3="Yes",'Aggregate summary'!$E$3="POD"),AND('Aggregate summary'!$U$3="Process",'Aggregate summary'!$T$76="Clearance + downstream effects")),SUMIFS(Q$412:Q$414,$L$412:$L$414,$AE241),0)</f>
        <v>0</v>
      </c>
      <c r="AI291" s="8">
        <f ca="1">SUMIFS(R$351:R$353,$L$351:$L$353,$AE241)+IF(OR(AND('Aggregate summary'!$L$3="Yes",'Aggregate summary'!$E$3="POD"),AND('Aggregate summary'!$U$3="Process",'Aggregate summary'!$T$76="Clearance + downstream effects")),SUMIFS(R$412:R$414,$L$412:$L$414,$AE241),0)</f>
        <v>0</v>
      </c>
      <c r="AJ291" s="8">
        <f ca="1">SUMIFS(S$351:S$353,$L$351:$L$353,$AE241)+IF(OR(AND('Aggregate summary'!$L$3="Yes",'Aggregate summary'!$E$3="POD"),AND('Aggregate summary'!$U$3="Process",'Aggregate summary'!$T$76="Clearance + downstream effects")),SUMIFS(S$412:S$414,$L$412:$L$414,$AE241),0)</f>
        <v>0</v>
      </c>
      <c r="AK291" s="8">
        <f ca="1">SUMIFS(T$351:T$353,$L$351:$L$353,$AE241)+IF(OR(AND('Aggregate summary'!$L$3="Yes",'Aggregate summary'!$E$3="POD"),AND('Aggregate summary'!$U$3="Process",'Aggregate summary'!$T$76="Clearance + downstream effects")),SUMIFS(T$412:T$414,$L$412:$L$414,$AE241),0)</f>
        <v>0</v>
      </c>
      <c r="AL291" s="8">
        <f ca="1">SUMIFS(U$351:U$353,$L$351:$L$353,$AE241)+IF(OR(AND('Aggregate summary'!$L$3="Yes",'Aggregate summary'!$E$3="POD"),AND('Aggregate summary'!$U$3="Process",'Aggregate summary'!$T$76="Clearance + downstream effects")),SUMIFS(U$412:U$414,$L$412:$L$414,$AE241),0)</f>
        <v>0</v>
      </c>
      <c r="AM291" s="8">
        <f ca="1">SUMIFS(V$351:V$353,$L$351:$L$353,$AE241)+IF(OR(AND('Aggregate summary'!$L$3="Yes",'Aggregate summary'!$E$3="POD"),AND('Aggregate summary'!$U$3="Process",'Aggregate summary'!$T$76="Clearance + downstream effects")),SUMIFS(V$412:V$414,$L$412:$L$414,$AE241),0)</f>
        <v>0</v>
      </c>
      <c r="AN291" s="8">
        <f ca="1">SUMIFS(W$351:W$353,$L$351:$L$353,$AE241)+IF(OR(AND('Aggregate summary'!$L$3="Yes",'Aggregate summary'!$E$3="POD"),AND('Aggregate summary'!$U$3="Process",'Aggregate summary'!$T$76="Clearance + downstream effects")),SUMIFS(W$412:W$414,$L$412:$L$414,$AE241),0)</f>
        <v>0</v>
      </c>
      <c r="AO291" s="8">
        <f ca="1">SUMIFS(X$351:X$353,$L$351:$L$353,$AE241)+IF(OR(AND('Aggregate summary'!$L$3="Yes",'Aggregate summary'!$E$3="POD"),AND('Aggregate summary'!$U$3="Process",'Aggregate summary'!$T$76="Clearance + downstream effects")),SUMIFS(X$412:X$414,$L$412:$L$414,$AE241),0)</f>
        <v>0</v>
      </c>
      <c r="AP291" s="8">
        <f ca="1">SUMIFS(Y$351:Y$353,$L$351:$L$353,$AE241)+IF(OR(AND('Aggregate summary'!$L$3="Yes",'Aggregate summary'!$E$3="POD"),AND('Aggregate summary'!$U$3="Process",'Aggregate summary'!$T$76="Clearance + downstream effects")),SUMIFS(Y$412:Y$414,$L$412:$L$414,$AE241),0)</f>
        <v>0</v>
      </c>
      <c r="AQ291" s="8">
        <f ca="1">SUMIFS(Z$351:Z$353,$L$351:$L$353,$AE241)+IF(OR(AND('Aggregate summary'!$L$3="Yes",'Aggregate summary'!$E$3="POD"),AND('Aggregate summary'!$U$3="Process",'Aggregate summary'!$T$76="Clearance + downstream effects")),SUMIFS(Z$412:Z$414,$L$412:$L$414,$AE241),0)</f>
        <v>0</v>
      </c>
    </row>
    <row r="292" spans="1:43" x14ac:dyDescent="0.25">
      <c r="A292">
        <f>1</f>
        <v>1</v>
      </c>
      <c r="B292" s="85">
        <f t="shared" si="127"/>
        <v>44080</v>
      </c>
      <c r="C292" s="85">
        <f t="shared" si="123"/>
        <v>44074</v>
      </c>
      <c r="D292">
        <f t="shared" ca="1" si="124"/>
        <v>0</v>
      </c>
      <c r="E292" s="85">
        <f t="shared" si="125"/>
        <v>44075</v>
      </c>
      <c r="F292">
        <f t="shared" si="126"/>
        <v>36</v>
      </c>
      <c r="M292">
        <v>15</v>
      </c>
      <c r="N292">
        <v>3</v>
      </c>
      <c r="O292" s="6">
        <f t="array" aca="1" ref="O292" ca="1">SUM(OFFSET($HQ$43,0,($M292*3)+$N292,53,1)*O$43:O$95)</f>
        <v>0</v>
      </c>
      <c r="P292" s="6">
        <f t="array" aca="1" ref="P292" ca="1">SUM(OFFSET($HQ$43,0,($M292*3)+$N292,53,1)*P$43:P$95)</f>
        <v>0</v>
      </c>
      <c r="Q292" s="6">
        <f t="array" aca="1" ref="Q292" ca="1">SUM(OFFSET($HQ$43,0,($M292*3)+$N292,53,1)*Q$43:Q$95)</f>
        <v>0</v>
      </c>
      <c r="R292" s="6">
        <f t="array" aca="1" ref="R292" ca="1">SUM(OFFSET($HQ$43,0,($M292*3)+$N292,53,1)*R$43:R$95)</f>
        <v>0</v>
      </c>
      <c r="S292" s="6">
        <f t="array" aca="1" ref="S292" ca="1">SUM(OFFSET($HQ$43,0,($M292*3)+$N292,53,1)*S$43:S$95)</f>
        <v>0</v>
      </c>
      <c r="T292" s="6">
        <f t="array" aca="1" ref="T292" ca="1">SUM(OFFSET($HQ$43,0,($M292*3)+$N292,53,1)*T$43:T$95)</f>
        <v>0</v>
      </c>
      <c r="U292" s="6">
        <f t="array" aca="1" ref="U292" ca="1">SUM(OFFSET($HQ$43,0,($M292*3)+$N292,53,1)*U$43:U$95)</f>
        <v>0</v>
      </c>
      <c r="V292" s="6">
        <f t="array" aca="1" ref="V292" ca="1">SUM(OFFSET($HQ$43,0,($M292*3)+$N292,53,1)*V$43:V$95)</f>
        <v>0</v>
      </c>
      <c r="W292" s="6">
        <f t="array" aca="1" ref="W292" ca="1">SUM(OFFSET($HQ$43,0,($M292*3)+$N292,53,1)*W$43:W$95)</f>
        <v>0</v>
      </c>
      <c r="X292" s="6">
        <f t="array" aca="1" ref="X292" ca="1">SUM(OFFSET($HQ$43,0,($M292*3)+$N292,53,1)*X$43:X$95)</f>
        <v>0</v>
      </c>
      <c r="Y292" s="6">
        <f t="array" aca="1" ref="Y292" ca="1">SUM(OFFSET($HQ$43,0,($M292*3)+$N292,53,1)*Y$43:Y$95)</f>
        <v>0</v>
      </c>
      <c r="Z292" s="6">
        <f t="array" aca="1" ref="Z292" ca="1">SUM(OFFSET($HQ$43,0,($M292*3)+$N292,53,1)*Z$43:Z$95)</f>
        <v>0</v>
      </c>
      <c r="AA292" s="6">
        <f t="shared" ca="1" si="131"/>
        <v>0</v>
      </c>
      <c r="AB292" s="6">
        <f t="shared" ca="1" si="130"/>
        <v>0</v>
      </c>
      <c r="AC292" s="6"/>
      <c r="AD292" s="8" t="s">
        <v>1227</v>
      </c>
      <c r="AE292" t="str">
        <f t="shared" si="128"/>
        <v>Admission</v>
      </c>
      <c r="AF292" s="8">
        <f ca="1">SUMIFS(O$351:O$353,$L$351:$L$353,$AE242)+IF(OR(AND('Aggregate summary'!$L$3="Yes",'Aggregate summary'!$E$3="POD"),AND('Aggregate summary'!$U$3="Process",'Aggregate summary'!$T$76="Clearance + downstream effects")),SUMIFS(O$412:O$414,$L$412:$L$414,$AE242),0)</f>
        <v>0</v>
      </c>
      <c r="AG292" s="8">
        <f ca="1">SUMIFS(P$351:P$353,$L$351:$L$353,$AE242)+IF(OR(AND('Aggregate summary'!$L$3="Yes",'Aggregate summary'!$E$3="POD"),AND('Aggregate summary'!$U$3="Process",'Aggregate summary'!$T$76="Clearance + downstream effects")),SUMIFS(P$412:P$414,$L$412:$L$414,$AE242),0)</f>
        <v>0</v>
      </c>
      <c r="AH292" s="8">
        <f ca="1">SUMIFS(Q$351:Q$353,$L$351:$L$353,$AE242)+IF(OR(AND('Aggregate summary'!$L$3="Yes",'Aggregate summary'!$E$3="POD"),AND('Aggregate summary'!$U$3="Process",'Aggregate summary'!$T$76="Clearance + downstream effects")),SUMIFS(Q$412:Q$414,$L$412:$L$414,$AE242),0)</f>
        <v>0</v>
      </c>
      <c r="AI292" s="8">
        <f ca="1">SUMIFS(R$351:R$353,$L$351:$L$353,$AE242)+IF(OR(AND('Aggregate summary'!$L$3="Yes",'Aggregate summary'!$E$3="POD"),AND('Aggregate summary'!$U$3="Process",'Aggregate summary'!$T$76="Clearance + downstream effects")),SUMIFS(R$412:R$414,$L$412:$L$414,$AE242),0)</f>
        <v>0</v>
      </c>
      <c r="AJ292" s="8">
        <f ca="1">SUMIFS(S$351:S$353,$L$351:$L$353,$AE242)+IF(OR(AND('Aggregate summary'!$L$3="Yes",'Aggregate summary'!$E$3="POD"),AND('Aggregate summary'!$U$3="Process",'Aggregate summary'!$T$76="Clearance + downstream effects")),SUMIFS(S$412:S$414,$L$412:$L$414,$AE242),0)</f>
        <v>0</v>
      </c>
      <c r="AK292" s="8">
        <f ca="1">SUMIFS(T$351:T$353,$L$351:$L$353,$AE242)+IF(OR(AND('Aggregate summary'!$L$3="Yes",'Aggregate summary'!$E$3="POD"),AND('Aggregate summary'!$U$3="Process",'Aggregate summary'!$T$76="Clearance + downstream effects")),SUMIFS(T$412:T$414,$L$412:$L$414,$AE242),0)</f>
        <v>0</v>
      </c>
      <c r="AL292" s="8">
        <f ca="1">SUMIFS(U$351:U$353,$L$351:$L$353,$AE242)+IF(OR(AND('Aggregate summary'!$L$3="Yes",'Aggregate summary'!$E$3="POD"),AND('Aggregate summary'!$U$3="Process",'Aggregate summary'!$T$76="Clearance + downstream effects")),SUMIFS(U$412:U$414,$L$412:$L$414,$AE242),0)</f>
        <v>0</v>
      </c>
      <c r="AM292" s="8">
        <f ca="1">SUMIFS(V$351:V$353,$L$351:$L$353,$AE242)+IF(OR(AND('Aggregate summary'!$L$3="Yes",'Aggregate summary'!$E$3="POD"),AND('Aggregate summary'!$U$3="Process",'Aggregate summary'!$T$76="Clearance + downstream effects")),SUMIFS(V$412:V$414,$L$412:$L$414,$AE242),0)</f>
        <v>0</v>
      </c>
      <c r="AN292" s="8">
        <f ca="1">SUMIFS(W$351:W$353,$L$351:$L$353,$AE242)+IF(OR(AND('Aggregate summary'!$L$3="Yes",'Aggregate summary'!$E$3="POD"),AND('Aggregate summary'!$U$3="Process",'Aggregate summary'!$T$76="Clearance + downstream effects")),SUMIFS(W$412:W$414,$L$412:$L$414,$AE242),0)</f>
        <v>0</v>
      </c>
      <c r="AO292" s="8">
        <f ca="1">SUMIFS(X$351:X$353,$L$351:$L$353,$AE242)+IF(OR(AND('Aggregate summary'!$L$3="Yes",'Aggregate summary'!$E$3="POD"),AND('Aggregate summary'!$U$3="Process",'Aggregate summary'!$T$76="Clearance + downstream effects")),SUMIFS(X$412:X$414,$L$412:$L$414,$AE242),0)</f>
        <v>0</v>
      </c>
      <c r="AP292" s="8">
        <f ca="1">SUMIFS(Y$351:Y$353,$L$351:$L$353,$AE242)+IF(OR(AND('Aggregate summary'!$L$3="Yes",'Aggregate summary'!$E$3="POD"),AND('Aggregate summary'!$U$3="Process",'Aggregate summary'!$T$76="Clearance + downstream effects")),SUMIFS(Y$412:Y$414,$L$412:$L$414,$AE242),0)</f>
        <v>0</v>
      </c>
      <c r="AQ292" s="8">
        <f ca="1">SUMIFS(Z$351:Z$353,$L$351:$L$353,$AE242)+IF(OR(AND('Aggregate summary'!$L$3="Yes",'Aggregate summary'!$E$3="POD"),AND('Aggregate summary'!$U$3="Process",'Aggregate summary'!$T$76="Clearance + downstream effects")),SUMIFS(Z$412:Z$414,$L$412:$L$414,$AE242),0)</f>
        <v>0</v>
      </c>
    </row>
    <row r="293" spans="1:43" x14ac:dyDescent="0.25">
      <c r="A293">
        <f>1</f>
        <v>1</v>
      </c>
      <c r="B293" s="85">
        <f t="shared" si="127"/>
        <v>44081</v>
      </c>
      <c r="C293" s="85">
        <f t="shared" si="123"/>
        <v>44081</v>
      </c>
      <c r="D293">
        <f t="shared" ca="1" si="124"/>
        <v>1</v>
      </c>
      <c r="E293" s="85">
        <f t="shared" si="125"/>
        <v>44075</v>
      </c>
      <c r="F293">
        <f t="shared" si="126"/>
        <v>37</v>
      </c>
      <c r="M293">
        <v>16</v>
      </c>
      <c r="N293">
        <v>1</v>
      </c>
      <c r="O293" s="6">
        <f t="array" aca="1" ref="O293" ca="1">SUM(OFFSET($HQ$43,0,($M293*3)+$N293,53,1)*O$43:O$95)</f>
        <v>0</v>
      </c>
      <c r="P293" s="6">
        <f t="array" aca="1" ref="P293" ca="1">SUM(OFFSET($HQ$43,0,($M293*3)+$N293,53,1)*P$43:P$95)</f>
        <v>0</v>
      </c>
      <c r="Q293" s="6">
        <f t="array" aca="1" ref="Q293" ca="1">SUM(OFFSET($HQ$43,0,($M293*3)+$N293,53,1)*Q$43:Q$95)</f>
        <v>0</v>
      </c>
      <c r="R293" s="6">
        <f t="array" aca="1" ref="R293" ca="1">SUM(OFFSET($HQ$43,0,($M293*3)+$N293,53,1)*R$43:R$95)</f>
        <v>0</v>
      </c>
      <c r="S293" s="6">
        <f t="array" aca="1" ref="S293" ca="1">SUM(OFFSET($HQ$43,0,($M293*3)+$N293,53,1)*S$43:S$95)</f>
        <v>0</v>
      </c>
      <c r="T293" s="6">
        <f t="array" aca="1" ref="T293" ca="1">SUM(OFFSET($HQ$43,0,($M293*3)+$N293,53,1)*T$43:T$95)</f>
        <v>0</v>
      </c>
      <c r="U293" s="6">
        <f t="array" aca="1" ref="U293" ca="1">SUM(OFFSET($HQ$43,0,($M293*3)+$N293,53,1)*U$43:U$95)</f>
        <v>0</v>
      </c>
      <c r="V293" s="6">
        <f t="array" aca="1" ref="V293" ca="1">SUM(OFFSET($HQ$43,0,($M293*3)+$N293,53,1)*V$43:V$95)</f>
        <v>0</v>
      </c>
      <c r="W293" s="6">
        <f t="array" aca="1" ref="W293" ca="1">SUM(OFFSET($HQ$43,0,($M293*3)+$N293,53,1)*W$43:W$95)</f>
        <v>0</v>
      </c>
      <c r="X293" s="6">
        <f t="array" aca="1" ref="X293" ca="1">SUM(OFFSET($HQ$43,0,($M293*3)+$N293,53,1)*X$43:X$95)</f>
        <v>0</v>
      </c>
      <c r="Y293" s="6">
        <f t="array" aca="1" ref="Y293" ca="1">SUM(OFFSET($HQ$43,0,($M293*3)+$N293,53,1)*Y$43:Y$95)</f>
        <v>0</v>
      </c>
      <c r="Z293" s="6">
        <f t="array" aca="1" ref="Z293" ca="1">SUM(OFFSET($HQ$43,0,($M293*3)+$N293,53,1)*Z$43:Z$95)</f>
        <v>0</v>
      </c>
      <c r="AA293" s="6">
        <f t="shared" ca="1" si="131"/>
        <v>0</v>
      </c>
      <c r="AB293" s="6">
        <f t="shared" ca="1" si="130"/>
        <v>0</v>
      </c>
      <c r="AC293" s="6"/>
      <c r="AD293" s="8">
        <v>12</v>
      </c>
      <c r="AE293" t="str">
        <f t="shared" si="128"/>
        <v>New</v>
      </c>
      <c r="AF293" s="8">
        <f ca="1">SUMIFS(O$354:O$356,$L$354:$L$356,$AE238)+IF(OR(AND('Aggregate summary'!$L$3="Yes",'Aggregate summary'!$E$3="POD"),AND('Aggregate summary'!$U$3="Process",'Aggregate summary'!$T$76="Clearance + downstream effects")),SUMIFS(O$415:O$417,$L$415:$L$417,$AE238),0)</f>
        <v>0</v>
      </c>
      <c r="AG293" s="8">
        <f ca="1">SUMIFS(P$354:P$356,$L$354:$L$356,$AE238)+IF(OR(AND('Aggregate summary'!$L$3="Yes",'Aggregate summary'!$E$3="POD"),AND('Aggregate summary'!$U$3="Process",'Aggregate summary'!$T$76="Clearance + downstream effects")),SUMIFS(P$415:P$417,$L$415:$L$417,$AE238),0)</f>
        <v>0</v>
      </c>
      <c r="AH293" s="8">
        <f ca="1">SUMIFS(Q$354:Q$356,$L$354:$L$356,$AE238)+IF(OR(AND('Aggregate summary'!$L$3="Yes",'Aggregate summary'!$E$3="POD"),AND('Aggregate summary'!$U$3="Process",'Aggregate summary'!$T$76="Clearance + downstream effects")),SUMIFS(Q$415:Q$417,$L$415:$L$417,$AE238),0)</f>
        <v>0</v>
      </c>
      <c r="AI293" s="8">
        <f ca="1">SUMIFS(R$354:R$356,$L$354:$L$356,$AE238)+IF(OR(AND('Aggregate summary'!$L$3="Yes",'Aggregate summary'!$E$3="POD"),AND('Aggregate summary'!$U$3="Process",'Aggregate summary'!$T$76="Clearance + downstream effects")),SUMIFS(R$415:R$417,$L$415:$L$417,$AE238),0)</f>
        <v>0</v>
      </c>
      <c r="AJ293" s="8">
        <f ca="1">SUMIFS(S$354:S$356,$L$354:$L$356,$AE238)+IF(OR(AND('Aggregate summary'!$L$3="Yes",'Aggregate summary'!$E$3="POD"),AND('Aggregate summary'!$U$3="Process",'Aggregate summary'!$T$76="Clearance + downstream effects")),SUMIFS(S$415:S$417,$L$415:$L$417,$AE238),0)</f>
        <v>0</v>
      </c>
      <c r="AK293" s="8">
        <f ca="1">SUMIFS(T$354:T$356,$L$354:$L$356,$AE238)+IF(OR(AND('Aggregate summary'!$L$3="Yes",'Aggregate summary'!$E$3="POD"),AND('Aggregate summary'!$U$3="Process",'Aggregate summary'!$T$76="Clearance + downstream effects")),SUMIFS(T$415:T$417,$L$415:$L$417,$AE238),0)</f>
        <v>0</v>
      </c>
      <c r="AL293" s="8">
        <f ca="1">SUMIFS(U$354:U$356,$L$354:$L$356,$AE238)+IF(OR(AND('Aggregate summary'!$L$3="Yes",'Aggregate summary'!$E$3="POD"),AND('Aggregate summary'!$U$3="Process",'Aggregate summary'!$T$76="Clearance + downstream effects")),SUMIFS(U$415:U$417,$L$415:$L$417,$AE238),0)</f>
        <v>0</v>
      </c>
      <c r="AM293" s="8">
        <f ca="1">SUMIFS(V$354:V$356,$L$354:$L$356,$AE238)+IF(OR(AND('Aggregate summary'!$L$3="Yes",'Aggregate summary'!$E$3="POD"),AND('Aggregate summary'!$U$3="Process",'Aggregate summary'!$T$76="Clearance + downstream effects")),SUMIFS(V$415:V$417,$L$415:$L$417,$AE238),0)</f>
        <v>0</v>
      </c>
      <c r="AN293" s="8">
        <f ca="1">SUMIFS(W$354:W$356,$L$354:$L$356,$AE238)+IF(OR(AND('Aggregate summary'!$L$3="Yes",'Aggregate summary'!$E$3="POD"),AND('Aggregate summary'!$U$3="Process",'Aggregate summary'!$T$76="Clearance + downstream effects")),SUMIFS(W$415:W$417,$L$415:$L$417,$AE238),0)</f>
        <v>0</v>
      </c>
      <c r="AO293" s="8">
        <f ca="1">SUMIFS(X$354:X$356,$L$354:$L$356,$AE238)+IF(OR(AND('Aggregate summary'!$L$3="Yes",'Aggregate summary'!$E$3="POD"),AND('Aggregate summary'!$U$3="Process",'Aggregate summary'!$T$76="Clearance + downstream effects")),SUMIFS(X$415:X$417,$L$415:$L$417,$AE238),0)</f>
        <v>0</v>
      </c>
      <c r="AP293" s="8">
        <f ca="1">SUMIFS(Y$354:Y$356,$L$354:$L$356,$AE238)+IF(OR(AND('Aggregate summary'!$L$3="Yes",'Aggregate summary'!$E$3="POD"),AND('Aggregate summary'!$U$3="Process",'Aggregate summary'!$T$76="Clearance + downstream effects")),SUMIFS(Y$415:Y$417,$L$415:$L$417,$AE238),0)</f>
        <v>0</v>
      </c>
      <c r="AQ293" s="8">
        <f ca="1">SUMIFS(Z$354:Z$356,$L$354:$L$356,$AE238)+IF(OR(AND('Aggregate summary'!$L$3="Yes",'Aggregate summary'!$E$3="POD"),AND('Aggregate summary'!$U$3="Process",'Aggregate summary'!$T$76="Clearance + downstream effects")),SUMIFS(Z$415:Z$417,$L$415:$L$417,$AE238),0)</f>
        <v>0</v>
      </c>
    </row>
    <row r="294" spans="1:43" x14ac:dyDescent="0.25">
      <c r="A294">
        <f>1</f>
        <v>1</v>
      </c>
      <c r="B294" s="85">
        <f t="shared" si="127"/>
        <v>44082</v>
      </c>
      <c r="C294" s="85">
        <f t="shared" si="123"/>
        <v>44081</v>
      </c>
      <c r="D294">
        <f t="shared" ca="1" si="124"/>
        <v>1</v>
      </c>
      <c r="E294" s="85">
        <f t="shared" si="125"/>
        <v>44075</v>
      </c>
      <c r="F294">
        <f t="shared" si="126"/>
        <v>37</v>
      </c>
      <c r="M294">
        <v>16</v>
      </c>
      <c r="N294">
        <v>2</v>
      </c>
      <c r="O294" s="6">
        <f t="array" aca="1" ref="O294" ca="1">SUM(OFFSET($HQ$43,0,($M294*3)+$N294,53,1)*O$43:O$95)</f>
        <v>0</v>
      </c>
      <c r="P294" s="6">
        <f t="array" aca="1" ref="P294" ca="1">SUM(OFFSET($HQ$43,0,($M294*3)+$N294,53,1)*P$43:P$95)</f>
        <v>0</v>
      </c>
      <c r="Q294" s="6">
        <f t="array" aca="1" ref="Q294" ca="1">SUM(OFFSET($HQ$43,0,($M294*3)+$N294,53,1)*Q$43:Q$95)</f>
        <v>0</v>
      </c>
      <c r="R294" s="6">
        <f t="array" aca="1" ref="R294" ca="1">SUM(OFFSET($HQ$43,0,($M294*3)+$N294,53,1)*R$43:R$95)</f>
        <v>0</v>
      </c>
      <c r="S294" s="6">
        <f t="array" aca="1" ref="S294" ca="1">SUM(OFFSET($HQ$43,0,($M294*3)+$N294,53,1)*S$43:S$95)</f>
        <v>0</v>
      </c>
      <c r="T294" s="6">
        <f t="array" aca="1" ref="T294" ca="1">SUM(OFFSET($HQ$43,0,($M294*3)+$N294,53,1)*T$43:T$95)</f>
        <v>0</v>
      </c>
      <c r="U294" s="6">
        <f t="array" aca="1" ref="U294" ca="1">SUM(OFFSET($HQ$43,0,($M294*3)+$N294,53,1)*U$43:U$95)</f>
        <v>0</v>
      </c>
      <c r="V294" s="6">
        <f t="array" aca="1" ref="V294" ca="1">SUM(OFFSET($HQ$43,0,($M294*3)+$N294,53,1)*V$43:V$95)</f>
        <v>0</v>
      </c>
      <c r="W294" s="6">
        <f t="array" aca="1" ref="W294" ca="1">SUM(OFFSET($HQ$43,0,($M294*3)+$N294,53,1)*W$43:W$95)</f>
        <v>0</v>
      </c>
      <c r="X294" s="6">
        <f t="array" aca="1" ref="X294" ca="1">SUM(OFFSET($HQ$43,0,($M294*3)+$N294,53,1)*X$43:X$95)</f>
        <v>0</v>
      </c>
      <c r="Y294" s="6">
        <f t="array" aca="1" ref="Y294" ca="1">SUM(OFFSET($HQ$43,0,($M294*3)+$N294,53,1)*Y$43:Y$95)</f>
        <v>0</v>
      </c>
      <c r="Z294" s="6">
        <f t="array" aca="1" ref="Z294" ca="1">SUM(OFFSET($HQ$43,0,($M294*3)+$N294,53,1)*Z$43:Z$95)</f>
        <v>0</v>
      </c>
      <c r="AA294" s="6">
        <f t="shared" ca="1" si="131"/>
        <v>0</v>
      </c>
      <c r="AB294" s="6">
        <f t="shared" ca="1" si="130"/>
        <v>0</v>
      </c>
      <c r="AC294" s="6"/>
      <c r="AD294" s="8" t="s">
        <v>1227</v>
      </c>
      <c r="AE294" t="str">
        <f t="shared" si="128"/>
        <v>Diagnostic (N)</v>
      </c>
      <c r="AF294" s="8">
        <f ca="1">SUMIFS(O$354:O$356,$L$354:$L$356,$AE239)+IF(OR(AND('Aggregate summary'!$L$3="Yes",'Aggregate summary'!$E$3="POD"),AND('Aggregate summary'!$U$3="Process",'Aggregate summary'!$T$76="Clearance + downstream effects")),SUMIFS(O$415:O$417,$L$415:$L$417,$AE239),0)</f>
        <v>0</v>
      </c>
      <c r="AG294" s="8">
        <f ca="1">SUMIFS(P$354:P$356,$L$354:$L$356,$AE239)+IF(OR(AND('Aggregate summary'!$L$3="Yes",'Aggregate summary'!$E$3="POD"),AND('Aggregate summary'!$U$3="Process",'Aggregate summary'!$T$76="Clearance + downstream effects")),SUMIFS(P$415:P$417,$L$415:$L$417,$AE239),0)</f>
        <v>0</v>
      </c>
      <c r="AH294" s="8">
        <f ca="1">SUMIFS(Q$354:Q$356,$L$354:$L$356,$AE239)+IF(OR(AND('Aggregate summary'!$L$3="Yes",'Aggregate summary'!$E$3="POD"),AND('Aggregate summary'!$U$3="Process",'Aggregate summary'!$T$76="Clearance + downstream effects")),SUMIFS(Q$415:Q$417,$L$415:$L$417,$AE239),0)</f>
        <v>0</v>
      </c>
      <c r="AI294" s="8">
        <f ca="1">SUMIFS(R$354:R$356,$L$354:$L$356,$AE239)+IF(OR(AND('Aggregate summary'!$L$3="Yes",'Aggregate summary'!$E$3="POD"),AND('Aggregate summary'!$U$3="Process",'Aggregate summary'!$T$76="Clearance + downstream effects")),SUMIFS(R$415:R$417,$L$415:$L$417,$AE239),0)</f>
        <v>0</v>
      </c>
      <c r="AJ294" s="8">
        <f ca="1">SUMIFS(S$354:S$356,$L$354:$L$356,$AE239)+IF(OR(AND('Aggregate summary'!$L$3="Yes",'Aggregate summary'!$E$3="POD"),AND('Aggregate summary'!$U$3="Process",'Aggregate summary'!$T$76="Clearance + downstream effects")),SUMIFS(S$415:S$417,$L$415:$L$417,$AE239),0)</f>
        <v>0</v>
      </c>
      <c r="AK294" s="8">
        <f ca="1">SUMIFS(T$354:T$356,$L$354:$L$356,$AE239)+IF(OR(AND('Aggregate summary'!$L$3="Yes",'Aggregate summary'!$E$3="POD"),AND('Aggregate summary'!$U$3="Process",'Aggregate summary'!$T$76="Clearance + downstream effects")),SUMIFS(T$415:T$417,$L$415:$L$417,$AE239),0)</f>
        <v>0</v>
      </c>
      <c r="AL294" s="8">
        <f ca="1">SUMIFS(U$354:U$356,$L$354:$L$356,$AE239)+IF(OR(AND('Aggregate summary'!$L$3="Yes",'Aggregate summary'!$E$3="POD"),AND('Aggregate summary'!$U$3="Process",'Aggregate summary'!$T$76="Clearance + downstream effects")),SUMIFS(U$415:U$417,$L$415:$L$417,$AE239),0)</f>
        <v>0</v>
      </c>
      <c r="AM294" s="8">
        <f ca="1">SUMIFS(V$354:V$356,$L$354:$L$356,$AE239)+IF(OR(AND('Aggregate summary'!$L$3="Yes",'Aggregate summary'!$E$3="POD"),AND('Aggregate summary'!$U$3="Process",'Aggregate summary'!$T$76="Clearance + downstream effects")),SUMIFS(V$415:V$417,$L$415:$L$417,$AE239),0)</f>
        <v>0</v>
      </c>
      <c r="AN294" s="8">
        <f ca="1">SUMIFS(W$354:W$356,$L$354:$L$356,$AE239)+IF(OR(AND('Aggregate summary'!$L$3="Yes",'Aggregate summary'!$E$3="POD"),AND('Aggregate summary'!$U$3="Process",'Aggregate summary'!$T$76="Clearance + downstream effects")),SUMIFS(W$415:W$417,$L$415:$L$417,$AE239),0)</f>
        <v>0</v>
      </c>
      <c r="AO294" s="8">
        <f ca="1">SUMIFS(X$354:X$356,$L$354:$L$356,$AE239)+IF(OR(AND('Aggregate summary'!$L$3="Yes",'Aggregate summary'!$E$3="POD"),AND('Aggregate summary'!$U$3="Process",'Aggregate summary'!$T$76="Clearance + downstream effects")),SUMIFS(X$415:X$417,$L$415:$L$417,$AE239),0)</f>
        <v>0</v>
      </c>
      <c r="AP294" s="8">
        <f ca="1">SUMIFS(Y$354:Y$356,$L$354:$L$356,$AE239)+IF(OR(AND('Aggregate summary'!$L$3="Yes",'Aggregate summary'!$E$3="POD"),AND('Aggregate summary'!$U$3="Process",'Aggregate summary'!$T$76="Clearance + downstream effects")),SUMIFS(Y$415:Y$417,$L$415:$L$417,$AE239),0)</f>
        <v>0</v>
      </c>
      <c r="AQ294" s="8">
        <f ca="1">SUMIFS(Z$354:Z$356,$L$354:$L$356,$AE239)+IF(OR(AND('Aggregate summary'!$L$3="Yes",'Aggregate summary'!$E$3="POD"),AND('Aggregate summary'!$U$3="Process",'Aggregate summary'!$T$76="Clearance + downstream effects")),SUMIFS(Z$415:Z$417,$L$415:$L$417,$AE239),0)</f>
        <v>0</v>
      </c>
    </row>
    <row r="295" spans="1:43" x14ac:dyDescent="0.25">
      <c r="A295">
        <f>1</f>
        <v>1</v>
      </c>
      <c r="B295" s="85">
        <f t="shared" si="127"/>
        <v>44083</v>
      </c>
      <c r="C295" s="85">
        <f t="shared" si="123"/>
        <v>44081</v>
      </c>
      <c r="D295">
        <f t="shared" ca="1" si="124"/>
        <v>1</v>
      </c>
      <c r="E295" s="85">
        <f t="shared" si="125"/>
        <v>44075</v>
      </c>
      <c r="F295">
        <f t="shared" si="126"/>
        <v>37</v>
      </c>
      <c r="M295">
        <v>16</v>
      </c>
      <c r="N295">
        <v>3</v>
      </c>
      <c r="O295" s="6">
        <f t="array" aca="1" ref="O295" ca="1">SUM(OFFSET($HQ$43,0,($M295*3)+$N295,53,1)*O$43:O$95)</f>
        <v>0</v>
      </c>
      <c r="P295" s="6">
        <f t="array" aca="1" ref="P295" ca="1">SUM(OFFSET($HQ$43,0,($M295*3)+$N295,53,1)*P$43:P$95)</f>
        <v>0</v>
      </c>
      <c r="Q295" s="6">
        <f t="array" aca="1" ref="Q295" ca="1">SUM(OFFSET($HQ$43,0,($M295*3)+$N295,53,1)*Q$43:Q$95)</f>
        <v>0</v>
      </c>
      <c r="R295" s="6">
        <f t="array" aca="1" ref="R295" ca="1">SUM(OFFSET($HQ$43,0,($M295*3)+$N295,53,1)*R$43:R$95)</f>
        <v>0</v>
      </c>
      <c r="S295" s="6">
        <f t="array" aca="1" ref="S295" ca="1">SUM(OFFSET($HQ$43,0,($M295*3)+$N295,53,1)*S$43:S$95)</f>
        <v>0</v>
      </c>
      <c r="T295" s="6">
        <f t="array" aca="1" ref="T295" ca="1">SUM(OFFSET($HQ$43,0,($M295*3)+$N295,53,1)*T$43:T$95)</f>
        <v>0</v>
      </c>
      <c r="U295" s="6">
        <f t="array" aca="1" ref="U295" ca="1">SUM(OFFSET($HQ$43,0,($M295*3)+$N295,53,1)*U$43:U$95)</f>
        <v>0</v>
      </c>
      <c r="V295" s="6">
        <f t="array" aca="1" ref="V295" ca="1">SUM(OFFSET($HQ$43,0,($M295*3)+$N295,53,1)*V$43:V$95)</f>
        <v>0</v>
      </c>
      <c r="W295" s="6">
        <f t="array" aca="1" ref="W295" ca="1">SUM(OFFSET($HQ$43,0,($M295*3)+$N295,53,1)*W$43:W$95)</f>
        <v>0</v>
      </c>
      <c r="X295" s="6">
        <f t="array" aca="1" ref="X295" ca="1">SUM(OFFSET($HQ$43,0,($M295*3)+$N295,53,1)*X$43:X$95)</f>
        <v>0</v>
      </c>
      <c r="Y295" s="6">
        <f t="array" aca="1" ref="Y295" ca="1">SUM(OFFSET($HQ$43,0,($M295*3)+$N295,53,1)*Y$43:Y$95)</f>
        <v>0</v>
      </c>
      <c r="Z295" s="6">
        <f t="array" aca="1" ref="Z295" ca="1">SUM(OFFSET($HQ$43,0,($M295*3)+$N295,53,1)*Z$43:Z$95)</f>
        <v>0</v>
      </c>
      <c r="AA295" s="6">
        <f t="shared" ca="1" si="131"/>
        <v>0</v>
      </c>
      <c r="AB295" s="6">
        <f t="shared" ca="1" si="130"/>
        <v>0</v>
      </c>
      <c r="AC295" s="6"/>
      <c r="AD295" s="8" t="s">
        <v>1227</v>
      </c>
      <c r="AE295" t="str">
        <f t="shared" si="128"/>
        <v>Follow Up</v>
      </c>
      <c r="AF295" s="8">
        <f ca="1">SUMIFS(O$354:O$356,$L$354:$L$356,$AE240)+IF(OR(AND('Aggregate summary'!$L$3="Yes",'Aggregate summary'!$E$3="POD"),AND('Aggregate summary'!$U$3="Process",'Aggregate summary'!$T$76="Clearance + downstream effects")),SUMIFS(O$415:O$417,$L$415:$L$417,$AE240),0)</f>
        <v>0</v>
      </c>
      <c r="AG295" s="8">
        <f ca="1">SUMIFS(P$354:P$356,$L$354:$L$356,$AE240)+IF(OR(AND('Aggregate summary'!$L$3="Yes",'Aggregate summary'!$E$3="POD"),AND('Aggregate summary'!$U$3="Process",'Aggregate summary'!$T$76="Clearance + downstream effects")),SUMIFS(P$415:P$417,$L$415:$L$417,$AE240),0)</f>
        <v>0</v>
      </c>
      <c r="AH295" s="8">
        <f ca="1">SUMIFS(Q$354:Q$356,$L$354:$L$356,$AE240)+IF(OR(AND('Aggregate summary'!$L$3="Yes",'Aggregate summary'!$E$3="POD"),AND('Aggregate summary'!$U$3="Process",'Aggregate summary'!$T$76="Clearance + downstream effects")),SUMIFS(Q$415:Q$417,$L$415:$L$417,$AE240),0)</f>
        <v>0</v>
      </c>
      <c r="AI295" s="8">
        <f ca="1">SUMIFS(R$354:R$356,$L$354:$L$356,$AE240)+IF(OR(AND('Aggregate summary'!$L$3="Yes",'Aggregate summary'!$E$3="POD"),AND('Aggregate summary'!$U$3="Process",'Aggregate summary'!$T$76="Clearance + downstream effects")),SUMIFS(R$415:R$417,$L$415:$L$417,$AE240),0)</f>
        <v>0</v>
      </c>
      <c r="AJ295" s="8">
        <f ca="1">SUMIFS(S$354:S$356,$L$354:$L$356,$AE240)+IF(OR(AND('Aggregate summary'!$L$3="Yes",'Aggregate summary'!$E$3="POD"),AND('Aggregate summary'!$U$3="Process",'Aggregate summary'!$T$76="Clearance + downstream effects")),SUMIFS(S$415:S$417,$L$415:$L$417,$AE240),0)</f>
        <v>0</v>
      </c>
      <c r="AK295" s="8">
        <f ca="1">SUMIFS(T$354:T$356,$L$354:$L$356,$AE240)+IF(OR(AND('Aggregate summary'!$L$3="Yes",'Aggregate summary'!$E$3="POD"),AND('Aggregate summary'!$U$3="Process",'Aggregate summary'!$T$76="Clearance + downstream effects")),SUMIFS(T$415:T$417,$L$415:$L$417,$AE240),0)</f>
        <v>0</v>
      </c>
      <c r="AL295" s="8">
        <f ca="1">SUMIFS(U$354:U$356,$L$354:$L$356,$AE240)+IF(OR(AND('Aggregate summary'!$L$3="Yes",'Aggregate summary'!$E$3="POD"),AND('Aggregate summary'!$U$3="Process",'Aggregate summary'!$T$76="Clearance + downstream effects")),SUMIFS(U$415:U$417,$L$415:$L$417,$AE240),0)</f>
        <v>0</v>
      </c>
      <c r="AM295" s="8">
        <f ca="1">SUMIFS(V$354:V$356,$L$354:$L$356,$AE240)+IF(OR(AND('Aggregate summary'!$L$3="Yes",'Aggregate summary'!$E$3="POD"),AND('Aggregate summary'!$U$3="Process",'Aggregate summary'!$T$76="Clearance + downstream effects")),SUMIFS(V$415:V$417,$L$415:$L$417,$AE240),0)</f>
        <v>0</v>
      </c>
      <c r="AN295" s="8">
        <f ca="1">SUMIFS(W$354:W$356,$L$354:$L$356,$AE240)+IF(OR(AND('Aggregate summary'!$L$3="Yes",'Aggregate summary'!$E$3="POD"),AND('Aggregate summary'!$U$3="Process",'Aggregate summary'!$T$76="Clearance + downstream effects")),SUMIFS(W$415:W$417,$L$415:$L$417,$AE240),0)</f>
        <v>0</v>
      </c>
      <c r="AO295" s="8">
        <f ca="1">SUMIFS(X$354:X$356,$L$354:$L$356,$AE240)+IF(OR(AND('Aggregate summary'!$L$3="Yes",'Aggregate summary'!$E$3="POD"),AND('Aggregate summary'!$U$3="Process",'Aggregate summary'!$T$76="Clearance + downstream effects")),SUMIFS(X$415:X$417,$L$415:$L$417,$AE240),0)</f>
        <v>0</v>
      </c>
      <c r="AP295" s="8">
        <f ca="1">SUMIFS(Y$354:Y$356,$L$354:$L$356,$AE240)+IF(OR(AND('Aggregate summary'!$L$3="Yes",'Aggregate summary'!$E$3="POD"),AND('Aggregate summary'!$U$3="Process",'Aggregate summary'!$T$76="Clearance + downstream effects")),SUMIFS(Y$415:Y$417,$L$415:$L$417,$AE240),0)</f>
        <v>0</v>
      </c>
      <c r="AQ295" s="8">
        <f ca="1">SUMIFS(Z$354:Z$356,$L$354:$L$356,$AE240)+IF(OR(AND('Aggregate summary'!$L$3="Yes",'Aggregate summary'!$E$3="POD"),AND('Aggregate summary'!$U$3="Process",'Aggregate summary'!$T$76="Clearance + downstream effects")),SUMIFS(Z$415:Z$417,$L$415:$L$417,$AE240),0)</f>
        <v>0</v>
      </c>
    </row>
    <row r="296" spans="1:43" x14ac:dyDescent="0.25">
      <c r="A296">
        <f>1</f>
        <v>1</v>
      </c>
      <c r="B296" s="85">
        <f t="shared" si="127"/>
        <v>44084</v>
      </c>
      <c r="C296" s="85">
        <f t="shared" si="123"/>
        <v>44081</v>
      </c>
      <c r="D296">
        <f t="shared" ca="1" si="124"/>
        <v>1</v>
      </c>
      <c r="E296" s="85">
        <f t="shared" si="125"/>
        <v>44075</v>
      </c>
      <c r="F296">
        <f t="shared" si="126"/>
        <v>37</v>
      </c>
      <c r="M296">
        <v>17</v>
      </c>
      <c r="N296">
        <v>1</v>
      </c>
      <c r="O296" s="6">
        <f t="array" aca="1" ref="O296" ca="1">SUM(OFFSET($HQ$43,0,($M296*3)+$N296,53,1)*O$43:O$95)</f>
        <v>0</v>
      </c>
      <c r="P296" s="6">
        <f t="array" aca="1" ref="P296" ca="1">SUM(OFFSET($HQ$43,0,($M296*3)+$N296,53,1)*P$43:P$95)</f>
        <v>0</v>
      </c>
      <c r="Q296" s="6">
        <f t="array" aca="1" ref="Q296" ca="1">SUM(OFFSET($HQ$43,0,($M296*3)+$N296,53,1)*Q$43:Q$95)</f>
        <v>0</v>
      </c>
      <c r="R296" s="6">
        <f t="array" aca="1" ref="R296" ca="1">SUM(OFFSET($HQ$43,0,($M296*3)+$N296,53,1)*R$43:R$95)</f>
        <v>0</v>
      </c>
      <c r="S296" s="6">
        <f t="array" aca="1" ref="S296" ca="1">SUM(OFFSET($HQ$43,0,($M296*3)+$N296,53,1)*S$43:S$95)</f>
        <v>0</v>
      </c>
      <c r="T296" s="6">
        <f t="array" aca="1" ref="T296" ca="1">SUM(OFFSET($HQ$43,0,($M296*3)+$N296,53,1)*T$43:T$95)</f>
        <v>0</v>
      </c>
      <c r="U296" s="6">
        <f t="array" aca="1" ref="U296" ca="1">SUM(OFFSET($HQ$43,0,($M296*3)+$N296,53,1)*U$43:U$95)</f>
        <v>0</v>
      </c>
      <c r="V296" s="6">
        <f t="array" aca="1" ref="V296" ca="1">SUM(OFFSET($HQ$43,0,($M296*3)+$N296,53,1)*V$43:V$95)</f>
        <v>0</v>
      </c>
      <c r="W296" s="6">
        <f t="array" aca="1" ref="W296" ca="1">SUM(OFFSET($HQ$43,0,($M296*3)+$N296,53,1)*W$43:W$95)</f>
        <v>0</v>
      </c>
      <c r="X296" s="6">
        <f t="array" aca="1" ref="X296" ca="1">SUM(OFFSET($HQ$43,0,($M296*3)+$N296,53,1)*X$43:X$95)</f>
        <v>0</v>
      </c>
      <c r="Y296" s="6">
        <f t="array" aca="1" ref="Y296" ca="1">SUM(OFFSET($HQ$43,0,($M296*3)+$N296,53,1)*Y$43:Y$95)</f>
        <v>0</v>
      </c>
      <c r="Z296" s="6">
        <f t="array" aca="1" ref="Z296" ca="1">SUM(OFFSET($HQ$43,0,($M296*3)+$N296,53,1)*Z$43:Z$95)</f>
        <v>0</v>
      </c>
      <c r="AA296" s="6">
        <f t="shared" ca="1" si="131"/>
        <v>0</v>
      </c>
      <c r="AB296" s="6">
        <f t="shared" ca="1" si="130"/>
        <v>0</v>
      </c>
      <c r="AC296" s="6"/>
      <c r="AD296" s="8" t="s">
        <v>1227</v>
      </c>
      <c r="AE296" t="str">
        <f t="shared" si="128"/>
        <v>Diagnostic (FU)</v>
      </c>
      <c r="AF296" s="8">
        <f ca="1">SUMIFS(O$354:O$356,$L$354:$L$356,$AE241)+IF(OR(AND('Aggregate summary'!$L$3="Yes",'Aggregate summary'!$E$3="POD"),AND('Aggregate summary'!$U$3="Process",'Aggregate summary'!$T$76="Clearance + downstream effects")),SUMIFS(O$415:O$417,$L$415:$L$417,$AE241),0)</f>
        <v>0</v>
      </c>
      <c r="AG296" s="8">
        <f ca="1">SUMIFS(P$354:P$356,$L$354:$L$356,$AE241)+IF(OR(AND('Aggregate summary'!$L$3="Yes",'Aggregate summary'!$E$3="POD"),AND('Aggregate summary'!$U$3="Process",'Aggregate summary'!$T$76="Clearance + downstream effects")),SUMIFS(P$415:P$417,$L$415:$L$417,$AE241),0)</f>
        <v>0</v>
      </c>
      <c r="AH296" s="8">
        <f ca="1">SUMIFS(Q$354:Q$356,$L$354:$L$356,$AE241)+IF(OR(AND('Aggregate summary'!$L$3="Yes",'Aggregate summary'!$E$3="POD"),AND('Aggregate summary'!$U$3="Process",'Aggregate summary'!$T$76="Clearance + downstream effects")),SUMIFS(Q$415:Q$417,$L$415:$L$417,$AE241),0)</f>
        <v>0</v>
      </c>
      <c r="AI296" s="8">
        <f ca="1">SUMIFS(R$354:R$356,$L$354:$L$356,$AE241)+IF(OR(AND('Aggregate summary'!$L$3="Yes",'Aggregate summary'!$E$3="POD"),AND('Aggregate summary'!$U$3="Process",'Aggregate summary'!$T$76="Clearance + downstream effects")),SUMIFS(R$415:R$417,$L$415:$L$417,$AE241),0)</f>
        <v>0</v>
      </c>
      <c r="AJ296" s="8">
        <f ca="1">SUMIFS(S$354:S$356,$L$354:$L$356,$AE241)+IF(OR(AND('Aggregate summary'!$L$3="Yes",'Aggregate summary'!$E$3="POD"),AND('Aggregate summary'!$U$3="Process",'Aggregate summary'!$T$76="Clearance + downstream effects")),SUMIFS(S$415:S$417,$L$415:$L$417,$AE241),0)</f>
        <v>0</v>
      </c>
      <c r="AK296" s="8">
        <f ca="1">SUMIFS(T$354:T$356,$L$354:$L$356,$AE241)+IF(OR(AND('Aggregate summary'!$L$3="Yes",'Aggregate summary'!$E$3="POD"),AND('Aggregate summary'!$U$3="Process",'Aggregate summary'!$T$76="Clearance + downstream effects")),SUMIFS(T$415:T$417,$L$415:$L$417,$AE241),0)</f>
        <v>0</v>
      </c>
      <c r="AL296" s="8">
        <f ca="1">SUMIFS(U$354:U$356,$L$354:$L$356,$AE241)+IF(OR(AND('Aggregate summary'!$L$3="Yes",'Aggregate summary'!$E$3="POD"),AND('Aggregate summary'!$U$3="Process",'Aggregate summary'!$T$76="Clearance + downstream effects")),SUMIFS(U$415:U$417,$L$415:$L$417,$AE241),0)</f>
        <v>0</v>
      </c>
      <c r="AM296" s="8">
        <f ca="1">SUMIFS(V$354:V$356,$L$354:$L$356,$AE241)+IF(OR(AND('Aggregate summary'!$L$3="Yes",'Aggregate summary'!$E$3="POD"),AND('Aggregate summary'!$U$3="Process",'Aggregate summary'!$T$76="Clearance + downstream effects")),SUMIFS(V$415:V$417,$L$415:$L$417,$AE241),0)</f>
        <v>0</v>
      </c>
      <c r="AN296" s="8">
        <f ca="1">SUMIFS(W$354:W$356,$L$354:$L$356,$AE241)+IF(OR(AND('Aggregate summary'!$L$3="Yes",'Aggregate summary'!$E$3="POD"),AND('Aggregate summary'!$U$3="Process",'Aggregate summary'!$T$76="Clearance + downstream effects")),SUMIFS(W$415:W$417,$L$415:$L$417,$AE241),0)</f>
        <v>0</v>
      </c>
      <c r="AO296" s="8">
        <f ca="1">SUMIFS(X$354:X$356,$L$354:$L$356,$AE241)+IF(OR(AND('Aggregate summary'!$L$3="Yes",'Aggregate summary'!$E$3="POD"),AND('Aggregate summary'!$U$3="Process",'Aggregate summary'!$T$76="Clearance + downstream effects")),SUMIFS(X$415:X$417,$L$415:$L$417,$AE241),0)</f>
        <v>0</v>
      </c>
      <c r="AP296" s="8">
        <f ca="1">SUMIFS(Y$354:Y$356,$L$354:$L$356,$AE241)+IF(OR(AND('Aggregate summary'!$L$3="Yes",'Aggregate summary'!$E$3="POD"),AND('Aggregate summary'!$U$3="Process",'Aggregate summary'!$T$76="Clearance + downstream effects")),SUMIFS(Y$415:Y$417,$L$415:$L$417,$AE241),0)</f>
        <v>0</v>
      </c>
      <c r="AQ296" s="8">
        <f ca="1">SUMIFS(Z$354:Z$356,$L$354:$L$356,$AE241)+IF(OR(AND('Aggregate summary'!$L$3="Yes",'Aggregate summary'!$E$3="POD"),AND('Aggregate summary'!$U$3="Process",'Aggregate summary'!$T$76="Clearance + downstream effects")),SUMIFS(Z$415:Z$417,$L$415:$L$417,$AE241),0)</f>
        <v>0</v>
      </c>
    </row>
    <row r="297" spans="1:43" x14ac:dyDescent="0.25">
      <c r="A297">
        <f>1</f>
        <v>1</v>
      </c>
      <c r="B297" s="85">
        <f t="shared" si="127"/>
        <v>44085</v>
      </c>
      <c r="C297" s="85">
        <f t="shared" si="123"/>
        <v>44081</v>
      </c>
      <c r="D297">
        <f t="shared" ca="1" si="124"/>
        <v>1</v>
      </c>
      <c r="E297" s="85">
        <f t="shared" si="125"/>
        <v>44075</v>
      </c>
      <c r="F297">
        <f t="shared" si="126"/>
        <v>37</v>
      </c>
      <c r="M297">
        <v>17</v>
      </c>
      <c r="N297">
        <v>2</v>
      </c>
      <c r="O297" s="6">
        <f t="array" aca="1" ref="O297" ca="1">SUM(OFFSET($HQ$43,0,($M297*3)+$N297,53,1)*O$43:O$95)</f>
        <v>0</v>
      </c>
      <c r="P297" s="6">
        <f t="array" aca="1" ref="P297" ca="1">SUM(OFFSET($HQ$43,0,($M297*3)+$N297,53,1)*P$43:P$95)</f>
        <v>0</v>
      </c>
      <c r="Q297" s="6">
        <f t="array" aca="1" ref="Q297" ca="1">SUM(OFFSET($HQ$43,0,($M297*3)+$N297,53,1)*Q$43:Q$95)</f>
        <v>0</v>
      </c>
      <c r="R297" s="6">
        <f t="array" aca="1" ref="R297" ca="1">SUM(OFFSET($HQ$43,0,($M297*3)+$N297,53,1)*R$43:R$95)</f>
        <v>0</v>
      </c>
      <c r="S297" s="6">
        <f t="array" aca="1" ref="S297" ca="1">SUM(OFFSET($HQ$43,0,($M297*3)+$N297,53,1)*S$43:S$95)</f>
        <v>0</v>
      </c>
      <c r="T297" s="6">
        <f t="array" aca="1" ref="T297" ca="1">SUM(OFFSET($HQ$43,0,($M297*3)+$N297,53,1)*T$43:T$95)</f>
        <v>0</v>
      </c>
      <c r="U297" s="6">
        <f t="array" aca="1" ref="U297" ca="1">SUM(OFFSET($HQ$43,0,($M297*3)+$N297,53,1)*U$43:U$95)</f>
        <v>0</v>
      </c>
      <c r="V297" s="6">
        <f t="array" aca="1" ref="V297" ca="1">SUM(OFFSET($HQ$43,0,($M297*3)+$N297,53,1)*V$43:V$95)</f>
        <v>0</v>
      </c>
      <c r="W297" s="6">
        <f t="array" aca="1" ref="W297" ca="1">SUM(OFFSET($HQ$43,0,($M297*3)+$N297,53,1)*W$43:W$95)</f>
        <v>0</v>
      </c>
      <c r="X297" s="6">
        <f t="array" aca="1" ref="X297" ca="1">SUM(OFFSET($HQ$43,0,($M297*3)+$N297,53,1)*X$43:X$95)</f>
        <v>0</v>
      </c>
      <c r="Y297" s="6">
        <f t="array" aca="1" ref="Y297" ca="1">SUM(OFFSET($HQ$43,0,($M297*3)+$N297,53,1)*Y$43:Y$95)</f>
        <v>0</v>
      </c>
      <c r="Z297" s="6">
        <f t="array" aca="1" ref="Z297" ca="1">SUM(OFFSET($HQ$43,0,($M297*3)+$N297,53,1)*Z$43:Z$95)</f>
        <v>0</v>
      </c>
      <c r="AA297" s="6">
        <f t="shared" ca="1" si="131"/>
        <v>0</v>
      </c>
      <c r="AB297" s="6">
        <f t="shared" ca="1" si="130"/>
        <v>0</v>
      </c>
      <c r="AC297" s="6"/>
      <c r="AD297" s="8" t="s">
        <v>1227</v>
      </c>
      <c r="AE297" t="str">
        <f t="shared" si="128"/>
        <v>Admission</v>
      </c>
      <c r="AF297" s="8">
        <f ca="1">SUMIFS(O$354:O$356,$L$354:$L$356,$AE242)+IF(OR(AND('Aggregate summary'!$L$3="Yes",'Aggregate summary'!$E$3="POD"),AND('Aggregate summary'!$U$3="Process",'Aggregate summary'!$T$76="Clearance + downstream effects")),SUMIFS(O$415:O$417,$L$415:$L$417,$AE242),0)</f>
        <v>0</v>
      </c>
      <c r="AG297" s="8">
        <f ca="1">SUMIFS(P$354:P$356,$L$354:$L$356,$AE242)+IF(OR(AND('Aggregate summary'!$L$3="Yes",'Aggregate summary'!$E$3="POD"),AND('Aggregate summary'!$U$3="Process",'Aggregate summary'!$T$76="Clearance + downstream effects")),SUMIFS(P$415:P$417,$L$415:$L$417,$AE242),0)</f>
        <v>0</v>
      </c>
      <c r="AH297" s="8">
        <f ca="1">SUMIFS(Q$354:Q$356,$L$354:$L$356,$AE242)+IF(OR(AND('Aggregate summary'!$L$3="Yes",'Aggregate summary'!$E$3="POD"),AND('Aggregate summary'!$U$3="Process",'Aggregate summary'!$T$76="Clearance + downstream effects")),SUMIFS(Q$415:Q$417,$L$415:$L$417,$AE242),0)</f>
        <v>0</v>
      </c>
      <c r="AI297" s="8">
        <f ca="1">SUMIFS(R$354:R$356,$L$354:$L$356,$AE242)+IF(OR(AND('Aggregate summary'!$L$3="Yes",'Aggregate summary'!$E$3="POD"),AND('Aggregate summary'!$U$3="Process",'Aggregate summary'!$T$76="Clearance + downstream effects")),SUMIFS(R$415:R$417,$L$415:$L$417,$AE242),0)</f>
        <v>0</v>
      </c>
      <c r="AJ297" s="8">
        <f ca="1">SUMIFS(S$354:S$356,$L$354:$L$356,$AE242)+IF(OR(AND('Aggregate summary'!$L$3="Yes",'Aggregate summary'!$E$3="POD"),AND('Aggregate summary'!$U$3="Process",'Aggregate summary'!$T$76="Clearance + downstream effects")),SUMIFS(S$415:S$417,$L$415:$L$417,$AE242),0)</f>
        <v>0</v>
      </c>
      <c r="AK297" s="8">
        <f ca="1">SUMIFS(T$354:T$356,$L$354:$L$356,$AE242)+IF(OR(AND('Aggregate summary'!$L$3="Yes",'Aggregate summary'!$E$3="POD"),AND('Aggregate summary'!$U$3="Process",'Aggregate summary'!$T$76="Clearance + downstream effects")),SUMIFS(T$415:T$417,$L$415:$L$417,$AE242),0)</f>
        <v>0</v>
      </c>
      <c r="AL297" s="8">
        <f ca="1">SUMIFS(U$354:U$356,$L$354:$L$356,$AE242)+IF(OR(AND('Aggregate summary'!$L$3="Yes",'Aggregate summary'!$E$3="POD"),AND('Aggregate summary'!$U$3="Process",'Aggregate summary'!$T$76="Clearance + downstream effects")),SUMIFS(U$415:U$417,$L$415:$L$417,$AE242),0)</f>
        <v>0</v>
      </c>
      <c r="AM297" s="8">
        <f ca="1">SUMIFS(V$354:V$356,$L$354:$L$356,$AE242)+IF(OR(AND('Aggregate summary'!$L$3="Yes",'Aggregate summary'!$E$3="POD"),AND('Aggregate summary'!$U$3="Process",'Aggregate summary'!$T$76="Clearance + downstream effects")),SUMIFS(V$415:V$417,$L$415:$L$417,$AE242),0)</f>
        <v>0</v>
      </c>
      <c r="AN297" s="8">
        <f ca="1">SUMIFS(W$354:W$356,$L$354:$L$356,$AE242)+IF(OR(AND('Aggregate summary'!$L$3="Yes",'Aggregate summary'!$E$3="POD"),AND('Aggregate summary'!$U$3="Process",'Aggregate summary'!$T$76="Clearance + downstream effects")),SUMIFS(W$415:W$417,$L$415:$L$417,$AE242),0)</f>
        <v>0</v>
      </c>
      <c r="AO297" s="8">
        <f ca="1">SUMIFS(X$354:X$356,$L$354:$L$356,$AE242)+IF(OR(AND('Aggregate summary'!$L$3="Yes",'Aggregate summary'!$E$3="POD"),AND('Aggregate summary'!$U$3="Process",'Aggregate summary'!$T$76="Clearance + downstream effects")),SUMIFS(X$415:X$417,$L$415:$L$417,$AE242),0)</f>
        <v>0</v>
      </c>
      <c r="AP297" s="8">
        <f ca="1">SUMIFS(Y$354:Y$356,$L$354:$L$356,$AE242)+IF(OR(AND('Aggregate summary'!$L$3="Yes",'Aggregate summary'!$E$3="POD"),AND('Aggregate summary'!$U$3="Process",'Aggregate summary'!$T$76="Clearance + downstream effects")),SUMIFS(Y$415:Y$417,$L$415:$L$417,$AE242),0)</f>
        <v>0</v>
      </c>
      <c r="AQ297" s="8">
        <f ca="1">SUMIFS(Z$354:Z$356,$L$354:$L$356,$AE242)+IF(OR(AND('Aggregate summary'!$L$3="Yes",'Aggregate summary'!$E$3="POD"),AND('Aggregate summary'!$U$3="Process",'Aggregate summary'!$T$76="Clearance + downstream effects")),SUMIFS(Z$415:Z$417,$L$415:$L$417,$AE242),0)</f>
        <v>0</v>
      </c>
    </row>
    <row r="298" spans="1:43" x14ac:dyDescent="0.25">
      <c r="A298">
        <f>1</f>
        <v>1</v>
      </c>
      <c r="B298" s="85">
        <f t="shared" si="127"/>
        <v>44086</v>
      </c>
      <c r="C298" s="85">
        <f t="shared" si="123"/>
        <v>44081</v>
      </c>
      <c r="D298">
        <f t="shared" ca="1" si="124"/>
        <v>0</v>
      </c>
      <c r="E298" s="85">
        <f t="shared" si="125"/>
        <v>44075</v>
      </c>
      <c r="F298">
        <f t="shared" si="126"/>
        <v>37</v>
      </c>
      <c r="M298">
        <v>17</v>
      </c>
      <c r="N298">
        <v>3</v>
      </c>
      <c r="O298" s="6">
        <f t="array" aca="1" ref="O298" ca="1">SUM(OFFSET($HQ$43,0,($M298*3)+$N298,53,1)*O$43:O$95)</f>
        <v>0</v>
      </c>
      <c r="P298" s="6">
        <f t="array" aca="1" ref="P298" ca="1">SUM(OFFSET($HQ$43,0,($M298*3)+$N298,53,1)*P$43:P$95)</f>
        <v>0</v>
      </c>
      <c r="Q298" s="6">
        <f t="array" aca="1" ref="Q298" ca="1">SUM(OFFSET($HQ$43,0,($M298*3)+$N298,53,1)*Q$43:Q$95)</f>
        <v>0</v>
      </c>
      <c r="R298" s="6">
        <f t="array" aca="1" ref="R298" ca="1">SUM(OFFSET($HQ$43,0,($M298*3)+$N298,53,1)*R$43:R$95)</f>
        <v>0</v>
      </c>
      <c r="S298" s="6">
        <f t="array" aca="1" ref="S298" ca="1">SUM(OFFSET($HQ$43,0,($M298*3)+$N298,53,1)*S$43:S$95)</f>
        <v>0</v>
      </c>
      <c r="T298" s="6">
        <f t="array" aca="1" ref="T298" ca="1">SUM(OFFSET($HQ$43,0,($M298*3)+$N298,53,1)*T$43:T$95)</f>
        <v>0</v>
      </c>
      <c r="U298" s="6">
        <f t="array" aca="1" ref="U298" ca="1">SUM(OFFSET($HQ$43,0,($M298*3)+$N298,53,1)*U$43:U$95)</f>
        <v>0</v>
      </c>
      <c r="V298" s="6">
        <f t="array" aca="1" ref="V298" ca="1">SUM(OFFSET($HQ$43,0,($M298*3)+$N298,53,1)*V$43:V$95)</f>
        <v>0</v>
      </c>
      <c r="W298" s="6">
        <f t="array" aca="1" ref="W298" ca="1">SUM(OFFSET($HQ$43,0,($M298*3)+$N298,53,1)*W$43:W$95)</f>
        <v>0</v>
      </c>
      <c r="X298" s="6">
        <f t="array" aca="1" ref="X298" ca="1">SUM(OFFSET($HQ$43,0,($M298*3)+$N298,53,1)*X$43:X$95)</f>
        <v>0</v>
      </c>
      <c r="Y298" s="6">
        <f t="array" aca="1" ref="Y298" ca="1">SUM(OFFSET($HQ$43,0,($M298*3)+$N298,53,1)*Y$43:Y$95)</f>
        <v>0</v>
      </c>
      <c r="Z298" s="6">
        <f t="array" aca="1" ref="Z298" ca="1">SUM(OFFSET($HQ$43,0,($M298*3)+$N298,53,1)*Z$43:Z$95)</f>
        <v>0</v>
      </c>
      <c r="AA298" s="6">
        <f t="shared" ca="1" si="131"/>
        <v>0</v>
      </c>
      <c r="AB298" s="6">
        <f t="shared" ca="1" si="130"/>
        <v>0</v>
      </c>
      <c r="AC298" s="6"/>
      <c r="AD298" s="8">
        <v>13</v>
      </c>
      <c r="AE298" t="str">
        <f t="shared" si="128"/>
        <v>New</v>
      </c>
      <c r="AF298" s="8">
        <f ca="1">SUMIFS(O$357:O$359,$L$357:$L$359,$AE238)+IF(OR(AND('Aggregate summary'!$L$3="Yes",'Aggregate summary'!$E$3="POD"),AND('Aggregate summary'!$U$3="Process",'Aggregate summary'!$T$76="Clearance + downstream effects")),SUMIFS(O$418:O$420,$L$418:$L$420,$AE238),0)</f>
        <v>0</v>
      </c>
      <c r="AG298" s="8">
        <f ca="1">SUMIFS(P$357:P$359,$L$357:$L$359,$AE238)+IF(OR(AND('Aggregate summary'!$L$3="Yes",'Aggregate summary'!$E$3="POD"),AND('Aggregate summary'!$U$3="Process",'Aggregate summary'!$T$76="Clearance + downstream effects")),SUMIFS(P$418:P$420,$L$418:$L$420,$AE238),0)</f>
        <v>0</v>
      </c>
      <c r="AH298" s="8">
        <f ca="1">SUMIFS(Q$357:Q$359,$L$357:$L$359,$AE238)+IF(OR(AND('Aggregate summary'!$L$3="Yes",'Aggregate summary'!$E$3="POD"),AND('Aggregate summary'!$U$3="Process",'Aggregate summary'!$T$76="Clearance + downstream effects")),SUMIFS(Q$418:Q$420,$L$418:$L$420,$AE238),0)</f>
        <v>0</v>
      </c>
      <c r="AI298" s="8">
        <f ca="1">SUMIFS(R$357:R$359,$L$357:$L$359,$AE238)+IF(OR(AND('Aggregate summary'!$L$3="Yes",'Aggregate summary'!$E$3="POD"),AND('Aggregate summary'!$U$3="Process",'Aggregate summary'!$T$76="Clearance + downstream effects")),SUMIFS(R$418:R$420,$L$418:$L$420,$AE238),0)</f>
        <v>0</v>
      </c>
      <c r="AJ298" s="8">
        <f ca="1">SUMIFS(S$357:S$359,$L$357:$L$359,$AE238)+IF(OR(AND('Aggregate summary'!$L$3="Yes",'Aggregate summary'!$E$3="POD"),AND('Aggregate summary'!$U$3="Process",'Aggregate summary'!$T$76="Clearance + downstream effects")),SUMIFS(S$418:S$420,$L$418:$L$420,$AE238),0)</f>
        <v>0</v>
      </c>
      <c r="AK298" s="8">
        <f ca="1">SUMIFS(T$357:T$359,$L$357:$L$359,$AE238)+IF(OR(AND('Aggregate summary'!$L$3="Yes",'Aggregate summary'!$E$3="POD"),AND('Aggregate summary'!$U$3="Process",'Aggregate summary'!$T$76="Clearance + downstream effects")),SUMIFS(T$418:T$420,$L$418:$L$420,$AE238),0)</f>
        <v>0</v>
      </c>
      <c r="AL298" s="8">
        <f ca="1">SUMIFS(U$357:U$359,$L$357:$L$359,$AE238)+IF(OR(AND('Aggregate summary'!$L$3="Yes",'Aggregate summary'!$E$3="POD"),AND('Aggregate summary'!$U$3="Process",'Aggregate summary'!$T$76="Clearance + downstream effects")),SUMIFS(U$418:U$420,$L$418:$L$420,$AE238),0)</f>
        <v>0</v>
      </c>
      <c r="AM298" s="8">
        <f ca="1">SUMIFS(V$357:V$359,$L$357:$L$359,$AE238)+IF(OR(AND('Aggregate summary'!$L$3="Yes",'Aggregate summary'!$E$3="POD"),AND('Aggregate summary'!$U$3="Process",'Aggregate summary'!$T$76="Clearance + downstream effects")),SUMIFS(V$418:V$420,$L$418:$L$420,$AE238),0)</f>
        <v>0</v>
      </c>
      <c r="AN298" s="8">
        <f ca="1">SUMIFS(W$357:W$359,$L$357:$L$359,$AE238)+IF(OR(AND('Aggregate summary'!$L$3="Yes",'Aggregate summary'!$E$3="POD"),AND('Aggregate summary'!$U$3="Process",'Aggregate summary'!$T$76="Clearance + downstream effects")),SUMIFS(W$418:W$420,$L$418:$L$420,$AE238),0)</f>
        <v>0</v>
      </c>
      <c r="AO298" s="8">
        <f ca="1">SUMIFS(X$357:X$359,$L$357:$L$359,$AE238)+IF(OR(AND('Aggregate summary'!$L$3="Yes",'Aggregate summary'!$E$3="POD"),AND('Aggregate summary'!$U$3="Process",'Aggregate summary'!$T$76="Clearance + downstream effects")),SUMIFS(X$418:X$420,$L$418:$L$420,$AE238),0)</f>
        <v>0</v>
      </c>
      <c r="AP298" s="8">
        <f ca="1">SUMIFS(Y$357:Y$359,$L$357:$L$359,$AE238)+IF(OR(AND('Aggregate summary'!$L$3="Yes",'Aggregate summary'!$E$3="POD"),AND('Aggregate summary'!$U$3="Process",'Aggregate summary'!$T$76="Clearance + downstream effects")),SUMIFS(Y$418:Y$420,$L$418:$L$420,$AE238),0)</f>
        <v>0</v>
      </c>
      <c r="AQ298" s="8">
        <f ca="1">SUMIFS(Z$357:Z$359,$L$357:$L$359,$AE238)+IF(OR(AND('Aggregate summary'!$L$3="Yes",'Aggregate summary'!$E$3="POD"),AND('Aggregate summary'!$U$3="Process",'Aggregate summary'!$T$76="Clearance + downstream effects")),SUMIFS(Z$418:Z$420,$L$418:$L$420,$AE238),0)</f>
        <v>0</v>
      </c>
    </row>
    <row r="299" spans="1:43" x14ac:dyDescent="0.25">
      <c r="A299">
        <f>1</f>
        <v>1</v>
      </c>
      <c r="B299" s="85">
        <f t="shared" si="127"/>
        <v>44087</v>
      </c>
      <c r="C299" s="85">
        <f t="shared" ref="C299:C362" si="132">B299-WEEKDAY(B299,3)</f>
        <v>44081</v>
      </c>
      <c r="D299">
        <f t="shared" ref="D299:D362" ca="1" si="133">IF(WEEKDAY(B299,3)&gt;=5,0,IF(ISNA(MATCH(B299,OFFSET($A$6,$C$40,1,1,13),0))=FALSE,0,1))</f>
        <v>0</v>
      </c>
      <c r="E299" s="85">
        <f t="shared" ref="E299:E362" si="134">DATE(YEAR(B299),MONTH(B299),1)</f>
        <v>44075</v>
      </c>
      <c r="F299">
        <f t="shared" si="126"/>
        <v>37</v>
      </c>
      <c r="M299">
        <v>18</v>
      </c>
      <c r="N299">
        <v>1</v>
      </c>
      <c r="O299" s="6">
        <f t="array" aca="1" ref="O299" ca="1">SUM(OFFSET($HQ$43,0,($M299*3)+$N299,53,1)*O$43:O$95)</f>
        <v>0</v>
      </c>
      <c r="P299" s="6">
        <f t="array" aca="1" ref="P299" ca="1">SUM(OFFSET($HQ$43,0,($M299*3)+$N299,53,1)*P$43:P$95)</f>
        <v>0</v>
      </c>
      <c r="Q299" s="6">
        <f t="array" aca="1" ref="Q299" ca="1">SUM(OFFSET($HQ$43,0,($M299*3)+$N299,53,1)*Q$43:Q$95)</f>
        <v>0</v>
      </c>
      <c r="R299" s="6">
        <f t="array" aca="1" ref="R299" ca="1">SUM(OFFSET($HQ$43,0,($M299*3)+$N299,53,1)*R$43:R$95)</f>
        <v>0</v>
      </c>
      <c r="S299" s="6">
        <f t="array" aca="1" ref="S299" ca="1">SUM(OFFSET($HQ$43,0,($M299*3)+$N299,53,1)*S$43:S$95)</f>
        <v>0</v>
      </c>
      <c r="T299" s="6">
        <f t="array" aca="1" ref="T299" ca="1">SUM(OFFSET($HQ$43,0,($M299*3)+$N299,53,1)*T$43:T$95)</f>
        <v>0</v>
      </c>
      <c r="U299" s="6">
        <f t="array" aca="1" ref="U299" ca="1">SUM(OFFSET($HQ$43,0,($M299*3)+$N299,53,1)*U$43:U$95)</f>
        <v>0</v>
      </c>
      <c r="V299" s="6">
        <f t="array" aca="1" ref="V299" ca="1">SUM(OFFSET($HQ$43,0,($M299*3)+$N299,53,1)*V$43:V$95)</f>
        <v>0</v>
      </c>
      <c r="W299" s="6">
        <f t="array" aca="1" ref="W299" ca="1">SUM(OFFSET($HQ$43,0,($M299*3)+$N299,53,1)*W$43:W$95)</f>
        <v>0</v>
      </c>
      <c r="X299" s="6">
        <f t="array" aca="1" ref="X299" ca="1">SUM(OFFSET($HQ$43,0,($M299*3)+$N299,53,1)*X$43:X$95)</f>
        <v>0</v>
      </c>
      <c r="Y299" s="6">
        <f t="array" aca="1" ref="Y299" ca="1">SUM(OFFSET($HQ$43,0,($M299*3)+$N299,53,1)*Y$43:Y$95)</f>
        <v>0</v>
      </c>
      <c r="Z299" s="6">
        <f t="array" aca="1" ref="Z299" ca="1">SUM(OFFSET($HQ$43,0,($M299*3)+$N299,53,1)*Z$43:Z$95)</f>
        <v>0</v>
      </c>
      <c r="AA299" s="6">
        <f t="shared" ca="1" si="131"/>
        <v>0</v>
      </c>
      <c r="AB299" s="6">
        <f t="shared" ca="1" si="130"/>
        <v>0</v>
      </c>
      <c r="AC299" s="6"/>
      <c r="AD299" s="8" t="s">
        <v>1227</v>
      </c>
      <c r="AE299" t="str">
        <f t="shared" si="128"/>
        <v>Diagnostic (N)</v>
      </c>
      <c r="AF299" s="8">
        <f ca="1">SUMIFS(O$357:O$359,$L$357:$L$359,$AE239)+IF(OR(AND('Aggregate summary'!$L$3="Yes",'Aggregate summary'!$E$3="POD"),AND('Aggregate summary'!$U$3="Process",'Aggregate summary'!$T$76="Clearance + downstream effects")),SUMIFS(O$418:O$420,$L$418:$L$420,$AE239),0)</f>
        <v>0</v>
      </c>
      <c r="AG299" s="8">
        <f ca="1">SUMIFS(P$357:P$359,$L$357:$L$359,$AE239)+IF(OR(AND('Aggregate summary'!$L$3="Yes",'Aggregate summary'!$E$3="POD"),AND('Aggregate summary'!$U$3="Process",'Aggregate summary'!$T$76="Clearance + downstream effects")),SUMIFS(P$418:P$420,$L$418:$L$420,$AE239),0)</f>
        <v>0</v>
      </c>
      <c r="AH299" s="8">
        <f ca="1">SUMIFS(Q$357:Q$359,$L$357:$L$359,$AE239)+IF(OR(AND('Aggregate summary'!$L$3="Yes",'Aggregate summary'!$E$3="POD"),AND('Aggregate summary'!$U$3="Process",'Aggregate summary'!$T$76="Clearance + downstream effects")),SUMIFS(Q$418:Q$420,$L$418:$L$420,$AE239),0)</f>
        <v>0</v>
      </c>
      <c r="AI299" s="8">
        <f ca="1">SUMIFS(R$357:R$359,$L$357:$L$359,$AE239)+IF(OR(AND('Aggregate summary'!$L$3="Yes",'Aggregate summary'!$E$3="POD"),AND('Aggregate summary'!$U$3="Process",'Aggregate summary'!$T$76="Clearance + downstream effects")),SUMIFS(R$418:R$420,$L$418:$L$420,$AE239),0)</f>
        <v>0</v>
      </c>
      <c r="AJ299" s="8">
        <f ca="1">SUMIFS(S$357:S$359,$L$357:$L$359,$AE239)+IF(OR(AND('Aggregate summary'!$L$3="Yes",'Aggregate summary'!$E$3="POD"),AND('Aggregate summary'!$U$3="Process",'Aggregate summary'!$T$76="Clearance + downstream effects")),SUMIFS(S$418:S$420,$L$418:$L$420,$AE239),0)</f>
        <v>0</v>
      </c>
      <c r="AK299" s="8">
        <f ca="1">SUMIFS(T$357:T$359,$L$357:$L$359,$AE239)+IF(OR(AND('Aggregate summary'!$L$3="Yes",'Aggregate summary'!$E$3="POD"),AND('Aggregate summary'!$U$3="Process",'Aggregate summary'!$T$76="Clearance + downstream effects")),SUMIFS(T$418:T$420,$L$418:$L$420,$AE239),0)</f>
        <v>0</v>
      </c>
      <c r="AL299" s="8">
        <f ca="1">SUMIFS(U$357:U$359,$L$357:$L$359,$AE239)+IF(OR(AND('Aggregate summary'!$L$3="Yes",'Aggregate summary'!$E$3="POD"),AND('Aggregate summary'!$U$3="Process",'Aggregate summary'!$T$76="Clearance + downstream effects")),SUMIFS(U$418:U$420,$L$418:$L$420,$AE239),0)</f>
        <v>0</v>
      </c>
      <c r="AM299" s="8">
        <f ca="1">SUMIFS(V$357:V$359,$L$357:$L$359,$AE239)+IF(OR(AND('Aggregate summary'!$L$3="Yes",'Aggregate summary'!$E$3="POD"),AND('Aggregate summary'!$U$3="Process",'Aggregate summary'!$T$76="Clearance + downstream effects")),SUMIFS(V$418:V$420,$L$418:$L$420,$AE239),0)</f>
        <v>0</v>
      </c>
      <c r="AN299" s="8">
        <f ca="1">SUMIFS(W$357:W$359,$L$357:$L$359,$AE239)+IF(OR(AND('Aggregate summary'!$L$3="Yes",'Aggregate summary'!$E$3="POD"),AND('Aggregate summary'!$U$3="Process",'Aggregate summary'!$T$76="Clearance + downstream effects")),SUMIFS(W$418:W$420,$L$418:$L$420,$AE239),0)</f>
        <v>0</v>
      </c>
      <c r="AO299" s="8">
        <f ca="1">SUMIFS(X$357:X$359,$L$357:$L$359,$AE239)+IF(OR(AND('Aggregate summary'!$L$3="Yes",'Aggregate summary'!$E$3="POD"),AND('Aggregate summary'!$U$3="Process",'Aggregate summary'!$T$76="Clearance + downstream effects")),SUMIFS(X$418:X$420,$L$418:$L$420,$AE239),0)</f>
        <v>0</v>
      </c>
      <c r="AP299" s="8">
        <f ca="1">SUMIFS(Y$357:Y$359,$L$357:$L$359,$AE239)+IF(OR(AND('Aggregate summary'!$L$3="Yes",'Aggregate summary'!$E$3="POD"),AND('Aggregate summary'!$U$3="Process",'Aggregate summary'!$T$76="Clearance + downstream effects")),SUMIFS(Y$418:Y$420,$L$418:$L$420,$AE239),0)</f>
        <v>0</v>
      </c>
      <c r="AQ299" s="8">
        <f ca="1">SUMIFS(Z$357:Z$359,$L$357:$L$359,$AE239)+IF(OR(AND('Aggregate summary'!$L$3="Yes",'Aggregate summary'!$E$3="POD"),AND('Aggregate summary'!$U$3="Process",'Aggregate summary'!$T$76="Clearance + downstream effects")),SUMIFS(Z$418:Z$420,$L$418:$L$420,$AE239),0)</f>
        <v>0</v>
      </c>
    </row>
    <row r="300" spans="1:43" x14ac:dyDescent="0.25">
      <c r="A300">
        <f>1</f>
        <v>1</v>
      </c>
      <c r="B300" s="85">
        <f t="shared" si="127"/>
        <v>44088</v>
      </c>
      <c r="C300" s="85">
        <f t="shared" si="132"/>
        <v>44088</v>
      </c>
      <c r="D300">
        <f t="shared" ca="1" si="133"/>
        <v>1</v>
      </c>
      <c r="E300" s="85">
        <f t="shared" si="134"/>
        <v>44075</v>
      </c>
      <c r="F300">
        <f t="shared" ref="F300:F363" si="135">WEEKNUM(B300,21)</f>
        <v>38</v>
      </c>
      <c r="M300">
        <v>18</v>
      </c>
      <c r="N300">
        <v>2</v>
      </c>
      <c r="O300" s="6">
        <f t="array" aca="1" ref="O300" ca="1">SUM(OFFSET($HQ$43,0,($M300*3)+$N300,53,1)*O$43:O$95)</f>
        <v>0</v>
      </c>
      <c r="P300" s="6">
        <f t="array" aca="1" ref="P300" ca="1">SUM(OFFSET($HQ$43,0,($M300*3)+$N300,53,1)*P$43:P$95)</f>
        <v>0</v>
      </c>
      <c r="Q300" s="6">
        <f t="array" aca="1" ref="Q300" ca="1">SUM(OFFSET($HQ$43,0,($M300*3)+$N300,53,1)*Q$43:Q$95)</f>
        <v>0</v>
      </c>
      <c r="R300" s="6">
        <f t="array" aca="1" ref="R300" ca="1">SUM(OFFSET($HQ$43,0,($M300*3)+$N300,53,1)*R$43:R$95)</f>
        <v>0</v>
      </c>
      <c r="S300" s="6">
        <f t="array" aca="1" ref="S300" ca="1">SUM(OFFSET($HQ$43,0,($M300*3)+$N300,53,1)*S$43:S$95)</f>
        <v>0</v>
      </c>
      <c r="T300" s="6">
        <f t="array" aca="1" ref="T300" ca="1">SUM(OFFSET($HQ$43,0,($M300*3)+$N300,53,1)*T$43:T$95)</f>
        <v>0</v>
      </c>
      <c r="U300" s="6">
        <f t="array" aca="1" ref="U300" ca="1">SUM(OFFSET($HQ$43,0,($M300*3)+$N300,53,1)*U$43:U$95)</f>
        <v>0</v>
      </c>
      <c r="V300" s="6">
        <f t="array" aca="1" ref="V300" ca="1">SUM(OFFSET($HQ$43,0,($M300*3)+$N300,53,1)*V$43:V$95)</f>
        <v>0</v>
      </c>
      <c r="W300" s="6">
        <f t="array" aca="1" ref="W300" ca="1">SUM(OFFSET($HQ$43,0,($M300*3)+$N300,53,1)*W$43:W$95)</f>
        <v>0</v>
      </c>
      <c r="X300" s="6">
        <f t="array" aca="1" ref="X300" ca="1">SUM(OFFSET($HQ$43,0,($M300*3)+$N300,53,1)*X$43:X$95)</f>
        <v>0</v>
      </c>
      <c r="Y300" s="6">
        <f t="array" aca="1" ref="Y300" ca="1">SUM(OFFSET($HQ$43,0,($M300*3)+$N300,53,1)*Y$43:Y$95)</f>
        <v>0</v>
      </c>
      <c r="Z300" s="6">
        <f t="array" aca="1" ref="Z300" ca="1">SUM(OFFSET($HQ$43,0,($M300*3)+$N300,53,1)*Z$43:Z$95)</f>
        <v>0</v>
      </c>
      <c r="AA300" s="6">
        <f t="shared" ca="1" si="131"/>
        <v>0</v>
      </c>
      <c r="AB300" s="6">
        <f t="shared" ca="1" si="130"/>
        <v>0</v>
      </c>
      <c r="AC300" s="6"/>
      <c r="AD300" s="8" t="s">
        <v>1227</v>
      </c>
      <c r="AE300" t="str">
        <f t="shared" si="128"/>
        <v>Follow Up</v>
      </c>
      <c r="AF300" s="8">
        <f ca="1">SUMIFS(O$357:O$359,$L$357:$L$359,$AE240)+IF(OR(AND('Aggregate summary'!$L$3="Yes",'Aggregate summary'!$E$3="POD"),AND('Aggregate summary'!$U$3="Process",'Aggregate summary'!$T$76="Clearance + downstream effects")),SUMIFS(O$418:O$420,$L$418:$L$420,$AE240),0)</f>
        <v>0</v>
      </c>
      <c r="AG300" s="8">
        <f ca="1">SUMIFS(P$357:P$359,$L$357:$L$359,$AE240)+IF(OR(AND('Aggregate summary'!$L$3="Yes",'Aggregate summary'!$E$3="POD"),AND('Aggregate summary'!$U$3="Process",'Aggregate summary'!$T$76="Clearance + downstream effects")),SUMIFS(P$418:P$420,$L$418:$L$420,$AE240),0)</f>
        <v>0</v>
      </c>
      <c r="AH300" s="8">
        <f ca="1">SUMIFS(Q$357:Q$359,$L$357:$L$359,$AE240)+IF(OR(AND('Aggregate summary'!$L$3="Yes",'Aggregate summary'!$E$3="POD"),AND('Aggregate summary'!$U$3="Process",'Aggregate summary'!$T$76="Clearance + downstream effects")),SUMIFS(Q$418:Q$420,$L$418:$L$420,$AE240),0)</f>
        <v>0</v>
      </c>
      <c r="AI300" s="8">
        <f ca="1">SUMIFS(R$357:R$359,$L$357:$L$359,$AE240)+IF(OR(AND('Aggregate summary'!$L$3="Yes",'Aggregate summary'!$E$3="POD"),AND('Aggregate summary'!$U$3="Process",'Aggregate summary'!$T$76="Clearance + downstream effects")),SUMIFS(R$418:R$420,$L$418:$L$420,$AE240),0)</f>
        <v>0</v>
      </c>
      <c r="AJ300" s="8">
        <f ca="1">SUMIFS(S$357:S$359,$L$357:$L$359,$AE240)+IF(OR(AND('Aggregate summary'!$L$3="Yes",'Aggregate summary'!$E$3="POD"),AND('Aggregate summary'!$U$3="Process",'Aggregate summary'!$T$76="Clearance + downstream effects")),SUMIFS(S$418:S$420,$L$418:$L$420,$AE240),0)</f>
        <v>0</v>
      </c>
      <c r="AK300" s="8">
        <f ca="1">SUMIFS(T$357:T$359,$L$357:$L$359,$AE240)+IF(OR(AND('Aggregate summary'!$L$3="Yes",'Aggregate summary'!$E$3="POD"),AND('Aggregate summary'!$U$3="Process",'Aggregate summary'!$T$76="Clearance + downstream effects")),SUMIFS(T$418:T$420,$L$418:$L$420,$AE240),0)</f>
        <v>0</v>
      </c>
      <c r="AL300" s="8">
        <f ca="1">SUMIFS(U$357:U$359,$L$357:$L$359,$AE240)+IF(OR(AND('Aggregate summary'!$L$3="Yes",'Aggregate summary'!$E$3="POD"),AND('Aggregate summary'!$U$3="Process",'Aggregate summary'!$T$76="Clearance + downstream effects")),SUMIFS(U$418:U$420,$L$418:$L$420,$AE240),0)</f>
        <v>0</v>
      </c>
      <c r="AM300" s="8">
        <f ca="1">SUMIFS(V$357:V$359,$L$357:$L$359,$AE240)+IF(OR(AND('Aggregate summary'!$L$3="Yes",'Aggregate summary'!$E$3="POD"),AND('Aggregate summary'!$U$3="Process",'Aggregate summary'!$T$76="Clearance + downstream effects")),SUMIFS(V$418:V$420,$L$418:$L$420,$AE240),0)</f>
        <v>0</v>
      </c>
      <c r="AN300" s="8">
        <f ca="1">SUMIFS(W$357:W$359,$L$357:$L$359,$AE240)+IF(OR(AND('Aggregate summary'!$L$3="Yes",'Aggregate summary'!$E$3="POD"),AND('Aggregate summary'!$U$3="Process",'Aggregate summary'!$T$76="Clearance + downstream effects")),SUMIFS(W$418:W$420,$L$418:$L$420,$AE240),0)</f>
        <v>0</v>
      </c>
      <c r="AO300" s="8">
        <f ca="1">SUMIFS(X$357:X$359,$L$357:$L$359,$AE240)+IF(OR(AND('Aggregate summary'!$L$3="Yes",'Aggregate summary'!$E$3="POD"),AND('Aggregate summary'!$U$3="Process",'Aggregate summary'!$T$76="Clearance + downstream effects")),SUMIFS(X$418:X$420,$L$418:$L$420,$AE240),0)</f>
        <v>0</v>
      </c>
      <c r="AP300" s="8">
        <f ca="1">SUMIFS(Y$357:Y$359,$L$357:$L$359,$AE240)+IF(OR(AND('Aggregate summary'!$L$3="Yes",'Aggregate summary'!$E$3="POD"),AND('Aggregate summary'!$U$3="Process",'Aggregate summary'!$T$76="Clearance + downstream effects")),SUMIFS(Y$418:Y$420,$L$418:$L$420,$AE240),0)</f>
        <v>0</v>
      </c>
      <c r="AQ300" s="8">
        <f ca="1">SUMIFS(Z$357:Z$359,$L$357:$L$359,$AE240)+IF(OR(AND('Aggregate summary'!$L$3="Yes",'Aggregate summary'!$E$3="POD"),AND('Aggregate summary'!$U$3="Process",'Aggregate summary'!$T$76="Clearance + downstream effects")),SUMIFS(Z$418:Z$420,$L$418:$L$420,$AE240),0)</f>
        <v>0</v>
      </c>
    </row>
    <row r="301" spans="1:43" x14ac:dyDescent="0.25">
      <c r="A301">
        <f>1</f>
        <v>1</v>
      </c>
      <c r="B301" s="85">
        <f t="shared" ref="B301:B364" si="136">B300+1</f>
        <v>44089</v>
      </c>
      <c r="C301" s="85">
        <f t="shared" si="132"/>
        <v>44088</v>
      </c>
      <c r="D301">
        <f t="shared" ca="1" si="133"/>
        <v>1</v>
      </c>
      <c r="E301" s="85">
        <f t="shared" si="134"/>
        <v>44075</v>
      </c>
      <c r="F301">
        <f t="shared" si="135"/>
        <v>38</v>
      </c>
      <c r="M301">
        <v>18</v>
      </c>
      <c r="N301">
        <v>3</v>
      </c>
      <c r="O301" s="6">
        <f t="array" aca="1" ref="O301" ca="1">SUM(OFFSET($HQ$43,0,($M301*3)+$N301,53,1)*O$43:O$95)</f>
        <v>0</v>
      </c>
      <c r="P301" s="6">
        <f t="array" aca="1" ref="P301" ca="1">SUM(OFFSET($HQ$43,0,($M301*3)+$N301,53,1)*P$43:P$95)</f>
        <v>0</v>
      </c>
      <c r="Q301" s="6">
        <f t="array" aca="1" ref="Q301" ca="1">SUM(OFFSET($HQ$43,0,($M301*3)+$N301,53,1)*Q$43:Q$95)</f>
        <v>0</v>
      </c>
      <c r="R301" s="6">
        <f t="array" aca="1" ref="R301" ca="1">SUM(OFFSET($HQ$43,0,($M301*3)+$N301,53,1)*R$43:R$95)</f>
        <v>0</v>
      </c>
      <c r="S301" s="6">
        <f t="array" aca="1" ref="S301" ca="1">SUM(OFFSET($HQ$43,0,($M301*3)+$N301,53,1)*S$43:S$95)</f>
        <v>0</v>
      </c>
      <c r="T301" s="6">
        <f t="array" aca="1" ref="T301" ca="1">SUM(OFFSET($HQ$43,0,($M301*3)+$N301,53,1)*T$43:T$95)</f>
        <v>0</v>
      </c>
      <c r="U301" s="6">
        <f t="array" aca="1" ref="U301" ca="1">SUM(OFFSET($HQ$43,0,($M301*3)+$N301,53,1)*U$43:U$95)</f>
        <v>0</v>
      </c>
      <c r="V301" s="6">
        <f t="array" aca="1" ref="V301" ca="1">SUM(OFFSET($HQ$43,0,($M301*3)+$N301,53,1)*V$43:V$95)</f>
        <v>0</v>
      </c>
      <c r="W301" s="6">
        <f t="array" aca="1" ref="W301" ca="1">SUM(OFFSET($HQ$43,0,($M301*3)+$N301,53,1)*W$43:W$95)</f>
        <v>0</v>
      </c>
      <c r="X301" s="6">
        <f t="array" aca="1" ref="X301" ca="1">SUM(OFFSET($HQ$43,0,($M301*3)+$N301,53,1)*X$43:X$95)</f>
        <v>0</v>
      </c>
      <c r="Y301" s="6">
        <f t="array" aca="1" ref="Y301" ca="1">SUM(OFFSET($HQ$43,0,($M301*3)+$N301,53,1)*Y$43:Y$95)</f>
        <v>0</v>
      </c>
      <c r="Z301" s="6">
        <f t="array" aca="1" ref="Z301" ca="1">SUM(OFFSET($HQ$43,0,($M301*3)+$N301,53,1)*Z$43:Z$95)</f>
        <v>0</v>
      </c>
      <c r="AA301" s="6">
        <f t="shared" ca="1" si="131"/>
        <v>0</v>
      </c>
      <c r="AB301" s="6">
        <f t="shared" ca="1" si="130"/>
        <v>0</v>
      </c>
      <c r="AC301" s="6"/>
      <c r="AD301" s="8" t="s">
        <v>1227</v>
      </c>
      <c r="AE301" t="str">
        <f t="shared" si="128"/>
        <v>Diagnostic (FU)</v>
      </c>
      <c r="AF301" s="8">
        <f ca="1">SUMIFS(O$357:O$359,$L$357:$L$359,$AE241)+IF(OR(AND('Aggregate summary'!$L$3="Yes",'Aggregate summary'!$E$3="POD"),AND('Aggregate summary'!$U$3="Process",'Aggregate summary'!$T$76="Clearance + downstream effects")),SUMIFS(O$418:O$420,$L$418:$L$420,$AE241),0)</f>
        <v>0</v>
      </c>
      <c r="AG301" s="8">
        <f ca="1">SUMIFS(P$357:P$359,$L$357:$L$359,$AE241)+IF(OR(AND('Aggregate summary'!$L$3="Yes",'Aggregate summary'!$E$3="POD"),AND('Aggregate summary'!$U$3="Process",'Aggregate summary'!$T$76="Clearance + downstream effects")),SUMIFS(P$418:P$420,$L$418:$L$420,$AE241),0)</f>
        <v>0</v>
      </c>
      <c r="AH301" s="8">
        <f ca="1">SUMIFS(Q$357:Q$359,$L$357:$L$359,$AE241)+IF(OR(AND('Aggregate summary'!$L$3="Yes",'Aggregate summary'!$E$3="POD"),AND('Aggregate summary'!$U$3="Process",'Aggregate summary'!$T$76="Clearance + downstream effects")),SUMIFS(Q$418:Q$420,$L$418:$L$420,$AE241),0)</f>
        <v>0</v>
      </c>
      <c r="AI301" s="8">
        <f ca="1">SUMIFS(R$357:R$359,$L$357:$L$359,$AE241)+IF(OR(AND('Aggregate summary'!$L$3="Yes",'Aggregate summary'!$E$3="POD"),AND('Aggregate summary'!$U$3="Process",'Aggregate summary'!$T$76="Clearance + downstream effects")),SUMIFS(R$418:R$420,$L$418:$L$420,$AE241),0)</f>
        <v>0</v>
      </c>
      <c r="AJ301" s="8">
        <f ca="1">SUMIFS(S$357:S$359,$L$357:$L$359,$AE241)+IF(OR(AND('Aggregate summary'!$L$3="Yes",'Aggregate summary'!$E$3="POD"),AND('Aggregate summary'!$U$3="Process",'Aggregate summary'!$T$76="Clearance + downstream effects")),SUMIFS(S$418:S$420,$L$418:$L$420,$AE241),0)</f>
        <v>0</v>
      </c>
      <c r="AK301" s="8">
        <f ca="1">SUMIFS(T$357:T$359,$L$357:$L$359,$AE241)+IF(OR(AND('Aggregate summary'!$L$3="Yes",'Aggregate summary'!$E$3="POD"),AND('Aggregate summary'!$U$3="Process",'Aggregate summary'!$T$76="Clearance + downstream effects")),SUMIFS(T$418:T$420,$L$418:$L$420,$AE241),0)</f>
        <v>0</v>
      </c>
      <c r="AL301" s="8">
        <f ca="1">SUMIFS(U$357:U$359,$L$357:$L$359,$AE241)+IF(OR(AND('Aggregate summary'!$L$3="Yes",'Aggregate summary'!$E$3="POD"),AND('Aggregate summary'!$U$3="Process",'Aggregate summary'!$T$76="Clearance + downstream effects")),SUMIFS(U$418:U$420,$L$418:$L$420,$AE241),0)</f>
        <v>0</v>
      </c>
      <c r="AM301" s="8">
        <f ca="1">SUMIFS(V$357:V$359,$L$357:$L$359,$AE241)+IF(OR(AND('Aggregate summary'!$L$3="Yes",'Aggregate summary'!$E$3="POD"),AND('Aggregate summary'!$U$3="Process",'Aggregate summary'!$T$76="Clearance + downstream effects")),SUMIFS(V$418:V$420,$L$418:$L$420,$AE241),0)</f>
        <v>0</v>
      </c>
      <c r="AN301" s="8">
        <f ca="1">SUMIFS(W$357:W$359,$L$357:$L$359,$AE241)+IF(OR(AND('Aggregate summary'!$L$3="Yes",'Aggregate summary'!$E$3="POD"),AND('Aggregate summary'!$U$3="Process",'Aggregate summary'!$T$76="Clearance + downstream effects")),SUMIFS(W$418:W$420,$L$418:$L$420,$AE241),0)</f>
        <v>0</v>
      </c>
      <c r="AO301" s="8">
        <f ca="1">SUMIFS(X$357:X$359,$L$357:$L$359,$AE241)+IF(OR(AND('Aggregate summary'!$L$3="Yes",'Aggregate summary'!$E$3="POD"),AND('Aggregate summary'!$U$3="Process",'Aggregate summary'!$T$76="Clearance + downstream effects")),SUMIFS(X$418:X$420,$L$418:$L$420,$AE241),0)</f>
        <v>0</v>
      </c>
      <c r="AP301" s="8">
        <f ca="1">SUMIFS(Y$357:Y$359,$L$357:$L$359,$AE241)+IF(OR(AND('Aggregate summary'!$L$3="Yes",'Aggregate summary'!$E$3="POD"),AND('Aggregate summary'!$U$3="Process",'Aggregate summary'!$T$76="Clearance + downstream effects")),SUMIFS(Y$418:Y$420,$L$418:$L$420,$AE241),0)</f>
        <v>0</v>
      </c>
      <c r="AQ301" s="8">
        <f ca="1">SUMIFS(Z$357:Z$359,$L$357:$L$359,$AE241)+IF(OR(AND('Aggregate summary'!$L$3="Yes",'Aggregate summary'!$E$3="POD"),AND('Aggregate summary'!$U$3="Process",'Aggregate summary'!$T$76="Clearance + downstream effects")),SUMIFS(Z$418:Z$420,$L$418:$L$420,$AE241),0)</f>
        <v>0</v>
      </c>
    </row>
    <row r="302" spans="1:43" x14ac:dyDescent="0.25">
      <c r="A302">
        <f>1</f>
        <v>1</v>
      </c>
      <c r="B302" s="85">
        <f t="shared" si="136"/>
        <v>44090</v>
      </c>
      <c r="C302" s="85">
        <f t="shared" si="132"/>
        <v>44088</v>
      </c>
      <c r="D302">
        <f t="shared" ca="1" si="133"/>
        <v>1</v>
      </c>
      <c r="E302" s="85">
        <f t="shared" si="134"/>
        <v>44075</v>
      </c>
      <c r="F302">
        <f t="shared" si="135"/>
        <v>38</v>
      </c>
      <c r="M302">
        <v>19</v>
      </c>
      <c r="N302">
        <v>1</v>
      </c>
      <c r="O302" s="6">
        <f t="array" aca="1" ref="O302" ca="1">SUM(OFFSET($HQ$43,0,($M302*3)+$N302,53,1)*O$43:O$95)</f>
        <v>0</v>
      </c>
      <c r="P302" s="6">
        <f t="array" aca="1" ref="P302" ca="1">SUM(OFFSET($HQ$43,0,($M302*3)+$N302,53,1)*P$43:P$95)</f>
        <v>0</v>
      </c>
      <c r="Q302" s="6">
        <f t="array" aca="1" ref="Q302" ca="1">SUM(OFFSET($HQ$43,0,($M302*3)+$N302,53,1)*Q$43:Q$95)</f>
        <v>0</v>
      </c>
      <c r="R302" s="6">
        <f t="array" aca="1" ref="R302" ca="1">SUM(OFFSET($HQ$43,0,($M302*3)+$N302,53,1)*R$43:R$95)</f>
        <v>0</v>
      </c>
      <c r="S302" s="6">
        <f t="array" aca="1" ref="S302" ca="1">SUM(OFFSET($HQ$43,0,($M302*3)+$N302,53,1)*S$43:S$95)</f>
        <v>0</v>
      </c>
      <c r="T302" s="6">
        <f t="array" aca="1" ref="T302" ca="1">SUM(OFFSET($HQ$43,0,($M302*3)+$N302,53,1)*T$43:T$95)</f>
        <v>0</v>
      </c>
      <c r="U302" s="6">
        <f t="array" aca="1" ref="U302" ca="1">SUM(OFFSET($HQ$43,0,($M302*3)+$N302,53,1)*U$43:U$95)</f>
        <v>0</v>
      </c>
      <c r="V302" s="6">
        <f t="array" aca="1" ref="V302" ca="1">SUM(OFFSET($HQ$43,0,($M302*3)+$N302,53,1)*V$43:V$95)</f>
        <v>0</v>
      </c>
      <c r="W302" s="6">
        <f t="array" aca="1" ref="W302" ca="1">SUM(OFFSET($HQ$43,0,($M302*3)+$N302,53,1)*W$43:W$95)</f>
        <v>0</v>
      </c>
      <c r="X302" s="6">
        <f t="array" aca="1" ref="X302" ca="1">SUM(OFFSET($HQ$43,0,($M302*3)+$N302,53,1)*X$43:X$95)</f>
        <v>0</v>
      </c>
      <c r="Y302" s="6">
        <f t="array" aca="1" ref="Y302" ca="1">SUM(OFFSET($HQ$43,0,($M302*3)+$N302,53,1)*Y$43:Y$95)</f>
        <v>0</v>
      </c>
      <c r="Z302" s="6">
        <f t="array" aca="1" ref="Z302" ca="1">SUM(OFFSET($HQ$43,0,($M302*3)+$N302,53,1)*Z$43:Z$95)</f>
        <v>0</v>
      </c>
      <c r="AA302" s="6">
        <f t="shared" ca="1" si="131"/>
        <v>0</v>
      </c>
      <c r="AB302" s="6">
        <f t="shared" ca="1" si="130"/>
        <v>0</v>
      </c>
      <c r="AC302" s="6"/>
      <c r="AD302" s="8" t="s">
        <v>1227</v>
      </c>
      <c r="AE302" t="str">
        <f t="shared" si="128"/>
        <v>Admission</v>
      </c>
      <c r="AF302" s="8">
        <f ca="1">SUMIFS(O$357:O$359,$L$357:$L$359,$AE242)+IF(OR(AND('Aggregate summary'!$L$3="Yes",'Aggregate summary'!$E$3="POD"),AND('Aggregate summary'!$U$3="Process",'Aggregate summary'!$T$76="Clearance + downstream effects")),SUMIFS(O$418:O$420,$L$418:$L$420,$AE242),0)</f>
        <v>0</v>
      </c>
      <c r="AG302" s="8">
        <f ca="1">SUMIFS(P$357:P$359,$L$357:$L$359,$AE242)+IF(OR(AND('Aggregate summary'!$L$3="Yes",'Aggregate summary'!$E$3="POD"),AND('Aggregate summary'!$U$3="Process",'Aggregate summary'!$T$76="Clearance + downstream effects")),SUMIFS(P$418:P$420,$L$418:$L$420,$AE242),0)</f>
        <v>0</v>
      </c>
      <c r="AH302" s="8">
        <f ca="1">SUMIFS(Q$357:Q$359,$L$357:$L$359,$AE242)+IF(OR(AND('Aggregate summary'!$L$3="Yes",'Aggregate summary'!$E$3="POD"),AND('Aggregate summary'!$U$3="Process",'Aggregate summary'!$T$76="Clearance + downstream effects")),SUMIFS(Q$418:Q$420,$L$418:$L$420,$AE242),0)</f>
        <v>0</v>
      </c>
      <c r="AI302" s="8">
        <f ca="1">SUMIFS(R$357:R$359,$L$357:$L$359,$AE242)+IF(OR(AND('Aggregate summary'!$L$3="Yes",'Aggregate summary'!$E$3="POD"),AND('Aggregate summary'!$U$3="Process",'Aggregate summary'!$T$76="Clearance + downstream effects")),SUMIFS(R$418:R$420,$L$418:$L$420,$AE242),0)</f>
        <v>0</v>
      </c>
      <c r="AJ302" s="8">
        <f ca="1">SUMIFS(S$357:S$359,$L$357:$L$359,$AE242)+IF(OR(AND('Aggregate summary'!$L$3="Yes",'Aggregate summary'!$E$3="POD"),AND('Aggregate summary'!$U$3="Process",'Aggregate summary'!$T$76="Clearance + downstream effects")),SUMIFS(S$418:S$420,$L$418:$L$420,$AE242),0)</f>
        <v>0</v>
      </c>
      <c r="AK302" s="8">
        <f ca="1">SUMIFS(T$357:T$359,$L$357:$L$359,$AE242)+IF(OR(AND('Aggregate summary'!$L$3="Yes",'Aggregate summary'!$E$3="POD"),AND('Aggregate summary'!$U$3="Process",'Aggregate summary'!$T$76="Clearance + downstream effects")),SUMIFS(T$418:T$420,$L$418:$L$420,$AE242),0)</f>
        <v>0</v>
      </c>
      <c r="AL302" s="8">
        <f ca="1">SUMIFS(U$357:U$359,$L$357:$L$359,$AE242)+IF(OR(AND('Aggregate summary'!$L$3="Yes",'Aggregate summary'!$E$3="POD"),AND('Aggregate summary'!$U$3="Process",'Aggregate summary'!$T$76="Clearance + downstream effects")),SUMIFS(U$418:U$420,$L$418:$L$420,$AE242),0)</f>
        <v>0</v>
      </c>
      <c r="AM302" s="8">
        <f ca="1">SUMIFS(V$357:V$359,$L$357:$L$359,$AE242)+IF(OR(AND('Aggregate summary'!$L$3="Yes",'Aggregate summary'!$E$3="POD"),AND('Aggregate summary'!$U$3="Process",'Aggregate summary'!$T$76="Clearance + downstream effects")),SUMIFS(V$418:V$420,$L$418:$L$420,$AE242),0)</f>
        <v>0</v>
      </c>
      <c r="AN302" s="8">
        <f ca="1">SUMIFS(W$357:W$359,$L$357:$L$359,$AE242)+IF(OR(AND('Aggregate summary'!$L$3="Yes",'Aggregate summary'!$E$3="POD"),AND('Aggregate summary'!$U$3="Process",'Aggregate summary'!$T$76="Clearance + downstream effects")),SUMIFS(W$418:W$420,$L$418:$L$420,$AE242),0)</f>
        <v>0</v>
      </c>
      <c r="AO302" s="8">
        <f ca="1">SUMIFS(X$357:X$359,$L$357:$L$359,$AE242)+IF(OR(AND('Aggregate summary'!$L$3="Yes",'Aggregate summary'!$E$3="POD"),AND('Aggregate summary'!$U$3="Process",'Aggregate summary'!$T$76="Clearance + downstream effects")),SUMIFS(X$418:X$420,$L$418:$L$420,$AE242),0)</f>
        <v>0</v>
      </c>
      <c r="AP302" s="8">
        <f ca="1">SUMIFS(Y$357:Y$359,$L$357:$L$359,$AE242)+IF(OR(AND('Aggregate summary'!$L$3="Yes",'Aggregate summary'!$E$3="POD"),AND('Aggregate summary'!$U$3="Process",'Aggregate summary'!$T$76="Clearance + downstream effects")),SUMIFS(Y$418:Y$420,$L$418:$L$420,$AE242),0)</f>
        <v>0</v>
      </c>
      <c r="AQ302" s="8">
        <f ca="1">SUMIFS(Z$357:Z$359,$L$357:$L$359,$AE242)+IF(OR(AND('Aggregate summary'!$L$3="Yes",'Aggregate summary'!$E$3="POD"),AND('Aggregate summary'!$U$3="Process",'Aggregate summary'!$T$76="Clearance + downstream effects")),SUMIFS(Z$418:Z$420,$L$418:$L$420,$AE242),0)</f>
        <v>0</v>
      </c>
    </row>
    <row r="303" spans="1:43" x14ac:dyDescent="0.25">
      <c r="A303">
        <f>1</f>
        <v>1</v>
      </c>
      <c r="B303" s="85">
        <f t="shared" si="136"/>
        <v>44091</v>
      </c>
      <c r="C303" s="85">
        <f t="shared" si="132"/>
        <v>44088</v>
      </c>
      <c r="D303">
        <f t="shared" ca="1" si="133"/>
        <v>1</v>
      </c>
      <c r="E303" s="85">
        <f t="shared" si="134"/>
        <v>44075</v>
      </c>
      <c r="F303">
        <f t="shared" si="135"/>
        <v>38</v>
      </c>
      <c r="M303">
        <v>19</v>
      </c>
      <c r="N303">
        <v>2</v>
      </c>
      <c r="O303" s="6">
        <f t="array" aca="1" ref="O303" ca="1">SUM(OFFSET($HQ$43,0,($M303*3)+$N303,53,1)*O$43:O$95)</f>
        <v>0</v>
      </c>
      <c r="P303" s="6">
        <f t="array" aca="1" ref="P303" ca="1">SUM(OFFSET($HQ$43,0,($M303*3)+$N303,53,1)*P$43:P$95)</f>
        <v>0</v>
      </c>
      <c r="Q303" s="6">
        <f t="array" aca="1" ref="Q303" ca="1">SUM(OFFSET($HQ$43,0,($M303*3)+$N303,53,1)*Q$43:Q$95)</f>
        <v>0</v>
      </c>
      <c r="R303" s="6">
        <f t="array" aca="1" ref="R303" ca="1">SUM(OFFSET($HQ$43,0,($M303*3)+$N303,53,1)*R$43:R$95)</f>
        <v>0</v>
      </c>
      <c r="S303" s="6">
        <f t="array" aca="1" ref="S303" ca="1">SUM(OFFSET($HQ$43,0,($M303*3)+$N303,53,1)*S$43:S$95)</f>
        <v>0</v>
      </c>
      <c r="T303" s="6">
        <f t="array" aca="1" ref="T303" ca="1">SUM(OFFSET($HQ$43,0,($M303*3)+$N303,53,1)*T$43:T$95)</f>
        <v>0</v>
      </c>
      <c r="U303" s="6">
        <f t="array" aca="1" ref="U303" ca="1">SUM(OFFSET($HQ$43,0,($M303*3)+$N303,53,1)*U$43:U$95)</f>
        <v>0</v>
      </c>
      <c r="V303" s="6">
        <f t="array" aca="1" ref="V303" ca="1">SUM(OFFSET($HQ$43,0,($M303*3)+$N303,53,1)*V$43:V$95)</f>
        <v>0</v>
      </c>
      <c r="W303" s="6">
        <f t="array" aca="1" ref="W303" ca="1">SUM(OFFSET($HQ$43,0,($M303*3)+$N303,53,1)*W$43:W$95)</f>
        <v>0</v>
      </c>
      <c r="X303" s="6">
        <f t="array" aca="1" ref="X303" ca="1">SUM(OFFSET($HQ$43,0,($M303*3)+$N303,53,1)*X$43:X$95)</f>
        <v>0</v>
      </c>
      <c r="Y303" s="6">
        <f t="array" aca="1" ref="Y303" ca="1">SUM(OFFSET($HQ$43,0,($M303*3)+$N303,53,1)*Y$43:Y$95)</f>
        <v>0</v>
      </c>
      <c r="Z303" s="6">
        <f t="array" aca="1" ref="Z303" ca="1">SUM(OFFSET($HQ$43,0,($M303*3)+$N303,53,1)*Z$43:Z$95)</f>
        <v>0</v>
      </c>
      <c r="AA303" s="6">
        <f t="shared" ca="1" si="131"/>
        <v>0</v>
      </c>
      <c r="AB303" s="6">
        <f t="shared" ca="1" si="130"/>
        <v>0</v>
      </c>
      <c r="AC303" s="6"/>
      <c r="AD303" s="8">
        <v>14</v>
      </c>
      <c r="AE303" t="str">
        <f t="shared" ref="AE303:AE337" si="137">AE298</f>
        <v>New</v>
      </c>
      <c r="AF303" s="8">
        <f ca="1">SUMIFS(O$360:O$362,$L$360:$L$362,$AE238)+IF(OR(AND('Aggregate summary'!$L$3="Yes",'Aggregate summary'!$E$3="POD"),AND('Aggregate summary'!$U$3="Process",'Aggregate summary'!$T$76="Clearance + downstream effects")),SUMIFS(O$421:O$423,$L$421:$L$423,$AE238),0)</f>
        <v>0</v>
      </c>
      <c r="AG303" s="8">
        <f ca="1">SUMIFS(P$360:P$362,$L$360:$L$362,$AE238)+IF(OR(AND('Aggregate summary'!$L$3="Yes",'Aggregate summary'!$E$3="POD"),AND('Aggregate summary'!$U$3="Process",'Aggregate summary'!$T$76="Clearance + downstream effects")),SUMIFS(P$421:P$423,$L$421:$L$423,$AE238),0)</f>
        <v>0</v>
      </c>
      <c r="AH303" s="8">
        <f ca="1">SUMIFS(Q$360:Q$362,$L$360:$L$362,$AE238)+IF(OR(AND('Aggregate summary'!$L$3="Yes",'Aggregate summary'!$E$3="POD"),AND('Aggregate summary'!$U$3="Process",'Aggregate summary'!$T$76="Clearance + downstream effects")),SUMIFS(Q$421:Q$423,$L$421:$L$423,$AE238),0)</f>
        <v>0</v>
      </c>
      <c r="AI303" s="8">
        <f ca="1">SUMIFS(R$360:R$362,$L$360:$L$362,$AE238)+IF(OR(AND('Aggregate summary'!$L$3="Yes",'Aggregate summary'!$E$3="POD"),AND('Aggregate summary'!$U$3="Process",'Aggregate summary'!$T$76="Clearance + downstream effects")),SUMIFS(R$421:R$423,$L$421:$L$423,$AE238),0)</f>
        <v>0</v>
      </c>
      <c r="AJ303" s="8">
        <f ca="1">SUMIFS(S$360:S$362,$L$360:$L$362,$AE238)+IF(OR(AND('Aggregate summary'!$L$3="Yes",'Aggregate summary'!$E$3="POD"),AND('Aggregate summary'!$U$3="Process",'Aggregate summary'!$T$76="Clearance + downstream effects")),SUMIFS(S$421:S$423,$L$421:$L$423,$AE238),0)</f>
        <v>0</v>
      </c>
      <c r="AK303" s="8">
        <f ca="1">SUMIFS(T$360:T$362,$L$360:$L$362,$AE238)+IF(OR(AND('Aggregate summary'!$L$3="Yes",'Aggregate summary'!$E$3="POD"),AND('Aggregate summary'!$U$3="Process",'Aggregate summary'!$T$76="Clearance + downstream effects")),SUMIFS(T$421:T$423,$L$421:$L$423,$AE238),0)</f>
        <v>0</v>
      </c>
      <c r="AL303" s="8">
        <f ca="1">SUMIFS(U$360:U$362,$L$360:$L$362,$AE238)+IF(OR(AND('Aggregate summary'!$L$3="Yes",'Aggregate summary'!$E$3="POD"),AND('Aggregate summary'!$U$3="Process",'Aggregate summary'!$T$76="Clearance + downstream effects")),SUMIFS(U$421:U$423,$L$421:$L$423,$AE238),0)</f>
        <v>0</v>
      </c>
      <c r="AM303" s="8">
        <f ca="1">SUMIFS(V$360:V$362,$L$360:$L$362,$AE238)+IF(OR(AND('Aggregate summary'!$L$3="Yes",'Aggregate summary'!$E$3="POD"),AND('Aggregate summary'!$U$3="Process",'Aggregate summary'!$T$76="Clearance + downstream effects")),SUMIFS(V$421:V$423,$L$421:$L$423,$AE238),0)</f>
        <v>0</v>
      </c>
      <c r="AN303" s="8">
        <f ca="1">SUMIFS(W$360:W$362,$L$360:$L$362,$AE238)+IF(OR(AND('Aggregate summary'!$L$3="Yes",'Aggregate summary'!$E$3="POD"),AND('Aggregate summary'!$U$3="Process",'Aggregate summary'!$T$76="Clearance + downstream effects")),SUMIFS(W$421:W$423,$L$421:$L$423,$AE238),0)</f>
        <v>0</v>
      </c>
      <c r="AO303" s="8">
        <f ca="1">SUMIFS(X$360:X$362,$L$360:$L$362,$AE238)+IF(OR(AND('Aggregate summary'!$L$3="Yes",'Aggregate summary'!$E$3="POD"),AND('Aggregate summary'!$U$3="Process",'Aggregate summary'!$T$76="Clearance + downstream effects")),SUMIFS(X$421:X$423,$L$421:$L$423,$AE238),0)</f>
        <v>0</v>
      </c>
      <c r="AP303" s="8">
        <f ca="1">SUMIFS(Y$360:Y$362,$L$360:$L$362,$AE238)+IF(OR(AND('Aggregate summary'!$L$3="Yes",'Aggregate summary'!$E$3="POD"),AND('Aggregate summary'!$U$3="Process",'Aggregate summary'!$T$76="Clearance + downstream effects")),SUMIFS(Y$421:Y$423,$L$421:$L$423,$AE238),0)</f>
        <v>0</v>
      </c>
      <c r="AQ303" s="8">
        <f ca="1">SUMIFS(Z$360:Z$362,$L$360:$L$362,$AE238)+IF(OR(AND('Aggregate summary'!$L$3="Yes",'Aggregate summary'!$E$3="POD"),AND('Aggregate summary'!$U$3="Process",'Aggregate summary'!$T$76="Clearance + downstream effects")),SUMIFS(Z$421:Z$423,$L$421:$L$423,$AE238),0)</f>
        <v>0</v>
      </c>
    </row>
    <row r="304" spans="1:43" x14ac:dyDescent="0.25">
      <c r="A304">
        <f>1</f>
        <v>1</v>
      </c>
      <c r="B304" s="85">
        <f t="shared" si="136"/>
        <v>44092</v>
      </c>
      <c r="C304" s="85">
        <f t="shared" si="132"/>
        <v>44088</v>
      </c>
      <c r="D304">
        <f t="shared" ca="1" si="133"/>
        <v>1</v>
      </c>
      <c r="E304" s="85">
        <f t="shared" si="134"/>
        <v>44075</v>
      </c>
      <c r="F304">
        <f t="shared" si="135"/>
        <v>38</v>
      </c>
      <c r="M304">
        <v>19</v>
      </c>
      <c r="N304">
        <v>3</v>
      </c>
      <c r="O304" s="6">
        <f t="array" aca="1" ref="O304" ca="1">SUM(OFFSET($HQ$43,0,($M304*3)+$N304,53,1)*O$43:O$95)</f>
        <v>0</v>
      </c>
      <c r="P304" s="6">
        <f t="array" aca="1" ref="P304" ca="1">SUM(OFFSET($HQ$43,0,($M304*3)+$N304,53,1)*P$43:P$95)</f>
        <v>0</v>
      </c>
      <c r="Q304" s="6">
        <f t="array" aca="1" ref="Q304" ca="1">SUM(OFFSET($HQ$43,0,($M304*3)+$N304,53,1)*Q$43:Q$95)</f>
        <v>0</v>
      </c>
      <c r="R304" s="6">
        <f t="array" aca="1" ref="R304" ca="1">SUM(OFFSET($HQ$43,0,($M304*3)+$N304,53,1)*R$43:R$95)</f>
        <v>0</v>
      </c>
      <c r="S304" s="6">
        <f t="array" aca="1" ref="S304" ca="1">SUM(OFFSET($HQ$43,0,($M304*3)+$N304,53,1)*S$43:S$95)</f>
        <v>0</v>
      </c>
      <c r="T304" s="6">
        <f t="array" aca="1" ref="T304" ca="1">SUM(OFFSET($HQ$43,0,($M304*3)+$N304,53,1)*T$43:T$95)</f>
        <v>0</v>
      </c>
      <c r="U304" s="6">
        <f t="array" aca="1" ref="U304" ca="1">SUM(OFFSET($HQ$43,0,($M304*3)+$N304,53,1)*U$43:U$95)</f>
        <v>0</v>
      </c>
      <c r="V304" s="6">
        <f t="array" aca="1" ref="V304" ca="1">SUM(OFFSET($HQ$43,0,($M304*3)+$N304,53,1)*V$43:V$95)</f>
        <v>0</v>
      </c>
      <c r="W304" s="6">
        <f t="array" aca="1" ref="W304" ca="1">SUM(OFFSET($HQ$43,0,($M304*3)+$N304,53,1)*W$43:W$95)</f>
        <v>0</v>
      </c>
      <c r="X304" s="6">
        <f t="array" aca="1" ref="X304" ca="1">SUM(OFFSET($HQ$43,0,($M304*3)+$N304,53,1)*X$43:X$95)</f>
        <v>0</v>
      </c>
      <c r="Y304" s="6">
        <f t="array" aca="1" ref="Y304" ca="1">SUM(OFFSET($HQ$43,0,($M304*3)+$N304,53,1)*Y$43:Y$95)</f>
        <v>0</v>
      </c>
      <c r="Z304" s="6">
        <f t="array" aca="1" ref="Z304" ca="1">SUM(OFFSET($HQ$43,0,($M304*3)+$N304,53,1)*Z$43:Z$95)</f>
        <v>0</v>
      </c>
      <c r="AA304" s="6">
        <f t="shared" ca="1" si="131"/>
        <v>0</v>
      </c>
      <c r="AB304" s="6">
        <f t="shared" ca="1" si="130"/>
        <v>0</v>
      </c>
      <c r="AC304" s="6"/>
      <c r="AD304" s="8" t="s">
        <v>1227</v>
      </c>
      <c r="AE304" t="str">
        <f t="shared" si="137"/>
        <v>Diagnostic (N)</v>
      </c>
      <c r="AF304" s="8">
        <f ca="1">SUMIFS(O$360:O$362,$L$360:$L$362,$AE239)+IF(OR(AND('Aggregate summary'!$L$3="Yes",'Aggregate summary'!$E$3="POD"),AND('Aggregate summary'!$U$3="Process",'Aggregate summary'!$T$76="Clearance + downstream effects")),SUMIFS(O$421:O$423,$L$421:$L$423,$AE239),0)</f>
        <v>0</v>
      </c>
      <c r="AG304" s="8">
        <f ca="1">SUMIFS(P$360:P$362,$L$360:$L$362,$AE239)+IF(OR(AND('Aggregate summary'!$L$3="Yes",'Aggregate summary'!$E$3="POD"),AND('Aggregate summary'!$U$3="Process",'Aggregate summary'!$T$76="Clearance + downstream effects")),SUMIFS(P$421:P$423,$L$421:$L$423,$AE239),0)</f>
        <v>0</v>
      </c>
      <c r="AH304" s="8">
        <f ca="1">SUMIFS(Q$360:Q$362,$L$360:$L$362,$AE239)+IF(OR(AND('Aggregate summary'!$L$3="Yes",'Aggregate summary'!$E$3="POD"),AND('Aggregate summary'!$U$3="Process",'Aggregate summary'!$T$76="Clearance + downstream effects")),SUMIFS(Q$421:Q$423,$L$421:$L$423,$AE239),0)</f>
        <v>0</v>
      </c>
      <c r="AI304" s="8">
        <f ca="1">SUMIFS(R$360:R$362,$L$360:$L$362,$AE239)+IF(OR(AND('Aggregate summary'!$L$3="Yes",'Aggregate summary'!$E$3="POD"),AND('Aggregate summary'!$U$3="Process",'Aggregate summary'!$T$76="Clearance + downstream effects")),SUMIFS(R$421:R$423,$L$421:$L$423,$AE239),0)</f>
        <v>0</v>
      </c>
      <c r="AJ304" s="8">
        <f ca="1">SUMIFS(S$360:S$362,$L$360:$L$362,$AE239)+IF(OR(AND('Aggregate summary'!$L$3="Yes",'Aggregate summary'!$E$3="POD"),AND('Aggregate summary'!$U$3="Process",'Aggregate summary'!$T$76="Clearance + downstream effects")),SUMIFS(S$421:S$423,$L$421:$L$423,$AE239),0)</f>
        <v>0</v>
      </c>
      <c r="AK304" s="8">
        <f ca="1">SUMIFS(T$360:T$362,$L$360:$L$362,$AE239)+IF(OR(AND('Aggregate summary'!$L$3="Yes",'Aggregate summary'!$E$3="POD"),AND('Aggregate summary'!$U$3="Process",'Aggregate summary'!$T$76="Clearance + downstream effects")),SUMIFS(T$421:T$423,$L$421:$L$423,$AE239),0)</f>
        <v>0</v>
      </c>
      <c r="AL304" s="8">
        <f ca="1">SUMIFS(U$360:U$362,$L$360:$L$362,$AE239)+IF(OR(AND('Aggregate summary'!$L$3="Yes",'Aggregate summary'!$E$3="POD"),AND('Aggregate summary'!$U$3="Process",'Aggregate summary'!$T$76="Clearance + downstream effects")),SUMIFS(U$421:U$423,$L$421:$L$423,$AE239),0)</f>
        <v>0</v>
      </c>
      <c r="AM304" s="8">
        <f ca="1">SUMIFS(V$360:V$362,$L$360:$L$362,$AE239)+IF(OR(AND('Aggregate summary'!$L$3="Yes",'Aggregate summary'!$E$3="POD"),AND('Aggregate summary'!$U$3="Process",'Aggregate summary'!$T$76="Clearance + downstream effects")),SUMIFS(V$421:V$423,$L$421:$L$423,$AE239),0)</f>
        <v>0</v>
      </c>
      <c r="AN304" s="8">
        <f ca="1">SUMIFS(W$360:W$362,$L$360:$L$362,$AE239)+IF(OR(AND('Aggregate summary'!$L$3="Yes",'Aggregate summary'!$E$3="POD"),AND('Aggregate summary'!$U$3="Process",'Aggregate summary'!$T$76="Clearance + downstream effects")),SUMIFS(W$421:W$423,$L$421:$L$423,$AE239),0)</f>
        <v>0</v>
      </c>
      <c r="AO304" s="8">
        <f ca="1">SUMIFS(X$360:X$362,$L$360:$L$362,$AE239)+IF(OR(AND('Aggregate summary'!$L$3="Yes",'Aggregate summary'!$E$3="POD"),AND('Aggregate summary'!$U$3="Process",'Aggregate summary'!$T$76="Clearance + downstream effects")),SUMIFS(X$421:X$423,$L$421:$L$423,$AE239),0)</f>
        <v>0</v>
      </c>
      <c r="AP304" s="8">
        <f ca="1">SUMIFS(Y$360:Y$362,$L$360:$L$362,$AE239)+IF(OR(AND('Aggregate summary'!$L$3="Yes",'Aggregate summary'!$E$3="POD"),AND('Aggregate summary'!$U$3="Process",'Aggregate summary'!$T$76="Clearance + downstream effects")),SUMIFS(Y$421:Y$423,$L$421:$L$423,$AE239),0)</f>
        <v>0</v>
      </c>
      <c r="AQ304" s="8">
        <f ca="1">SUMIFS(Z$360:Z$362,$L$360:$L$362,$AE239)+IF(OR(AND('Aggregate summary'!$L$3="Yes",'Aggregate summary'!$E$3="POD"),AND('Aggregate summary'!$U$3="Process",'Aggregate summary'!$T$76="Clearance + downstream effects")),SUMIFS(Z$421:Z$423,$L$421:$L$423,$AE239),0)</f>
        <v>0</v>
      </c>
    </row>
    <row r="305" spans="1:43" x14ac:dyDescent="0.25">
      <c r="A305">
        <f>1</f>
        <v>1</v>
      </c>
      <c r="B305" s="85">
        <f t="shared" si="136"/>
        <v>44093</v>
      </c>
      <c r="C305" s="85">
        <f t="shared" si="132"/>
        <v>44088</v>
      </c>
      <c r="D305">
        <f t="shared" ca="1" si="133"/>
        <v>0</v>
      </c>
      <c r="E305" s="85">
        <f t="shared" si="134"/>
        <v>44075</v>
      </c>
      <c r="F305">
        <f t="shared" si="135"/>
        <v>38</v>
      </c>
      <c r="AB305" s="6"/>
      <c r="AD305" s="8" t="s">
        <v>1227</v>
      </c>
      <c r="AE305" t="str">
        <f t="shared" si="137"/>
        <v>Follow Up</v>
      </c>
      <c r="AF305" s="8">
        <f ca="1">SUMIFS(O$360:O$362,$L$360:$L$362,$AE240)+IF(OR(AND('Aggregate summary'!$L$3="Yes",'Aggregate summary'!$E$3="POD"),AND('Aggregate summary'!$U$3="Process",'Aggregate summary'!$T$76="Clearance + downstream effects")),SUMIFS(O$421:O$423,$L$421:$L$423,$AE240),0)</f>
        <v>0</v>
      </c>
      <c r="AG305" s="8">
        <f ca="1">SUMIFS(P$360:P$362,$L$360:$L$362,$AE240)+IF(OR(AND('Aggregate summary'!$L$3="Yes",'Aggregate summary'!$E$3="POD"),AND('Aggregate summary'!$U$3="Process",'Aggregate summary'!$T$76="Clearance + downstream effects")),SUMIFS(P$421:P$423,$L$421:$L$423,$AE240),0)</f>
        <v>0</v>
      </c>
      <c r="AH305" s="8">
        <f ca="1">SUMIFS(Q$360:Q$362,$L$360:$L$362,$AE240)+IF(OR(AND('Aggregate summary'!$L$3="Yes",'Aggregate summary'!$E$3="POD"),AND('Aggregate summary'!$U$3="Process",'Aggregate summary'!$T$76="Clearance + downstream effects")),SUMIFS(Q$421:Q$423,$L$421:$L$423,$AE240),0)</f>
        <v>0</v>
      </c>
      <c r="AI305" s="8">
        <f ca="1">SUMIFS(R$360:R$362,$L$360:$L$362,$AE240)+IF(OR(AND('Aggregate summary'!$L$3="Yes",'Aggregate summary'!$E$3="POD"),AND('Aggregate summary'!$U$3="Process",'Aggregate summary'!$T$76="Clearance + downstream effects")),SUMIFS(R$421:R$423,$L$421:$L$423,$AE240),0)</f>
        <v>0</v>
      </c>
      <c r="AJ305" s="8">
        <f ca="1">SUMIFS(S$360:S$362,$L$360:$L$362,$AE240)+IF(OR(AND('Aggregate summary'!$L$3="Yes",'Aggregate summary'!$E$3="POD"),AND('Aggregate summary'!$U$3="Process",'Aggregate summary'!$T$76="Clearance + downstream effects")),SUMIFS(S$421:S$423,$L$421:$L$423,$AE240),0)</f>
        <v>0</v>
      </c>
      <c r="AK305" s="8">
        <f ca="1">SUMIFS(T$360:T$362,$L$360:$L$362,$AE240)+IF(OR(AND('Aggregate summary'!$L$3="Yes",'Aggregate summary'!$E$3="POD"),AND('Aggregate summary'!$U$3="Process",'Aggregate summary'!$T$76="Clearance + downstream effects")),SUMIFS(T$421:T$423,$L$421:$L$423,$AE240),0)</f>
        <v>0</v>
      </c>
      <c r="AL305" s="8">
        <f ca="1">SUMIFS(U$360:U$362,$L$360:$L$362,$AE240)+IF(OR(AND('Aggregate summary'!$L$3="Yes",'Aggregate summary'!$E$3="POD"),AND('Aggregate summary'!$U$3="Process",'Aggregate summary'!$T$76="Clearance + downstream effects")),SUMIFS(U$421:U$423,$L$421:$L$423,$AE240),0)</f>
        <v>0</v>
      </c>
      <c r="AM305" s="8">
        <f ca="1">SUMIFS(V$360:V$362,$L$360:$L$362,$AE240)+IF(OR(AND('Aggregate summary'!$L$3="Yes",'Aggregate summary'!$E$3="POD"),AND('Aggregate summary'!$U$3="Process",'Aggregate summary'!$T$76="Clearance + downstream effects")),SUMIFS(V$421:V$423,$L$421:$L$423,$AE240),0)</f>
        <v>0</v>
      </c>
      <c r="AN305" s="8">
        <f ca="1">SUMIFS(W$360:W$362,$L$360:$L$362,$AE240)+IF(OR(AND('Aggregate summary'!$L$3="Yes",'Aggregate summary'!$E$3="POD"),AND('Aggregate summary'!$U$3="Process",'Aggregate summary'!$T$76="Clearance + downstream effects")),SUMIFS(W$421:W$423,$L$421:$L$423,$AE240),0)</f>
        <v>0</v>
      </c>
      <c r="AO305" s="8">
        <f ca="1">SUMIFS(X$360:X$362,$L$360:$L$362,$AE240)+IF(OR(AND('Aggregate summary'!$L$3="Yes",'Aggregate summary'!$E$3="POD"),AND('Aggregate summary'!$U$3="Process",'Aggregate summary'!$T$76="Clearance + downstream effects")),SUMIFS(X$421:X$423,$L$421:$L$423,$AE240),0)</f>
        <v>0</v>
      </c>
      <c r="AP305" s="8">
        <f ca="1">SUMIFS(Y$360:Y$362,$L$360:$L$362,$AE240)+IF(OR(AND('Aggregate summary'!$L$3="Yes",'Aggregate summary'!$E$3="POD"),AND('Aggregate summary'!$U$3="Process",'Aggregate summary'!$T$76="Clearance + downstream effects")),SUMIFS(Y$421:Y$423,$L$421:$L$423,$AE240),0)</f>
        <v>0</v>
      </c>
      <c r="AQ305" s="8">
        <f ca="1">SUMIFS(Z$360:Z$362,$L$360:$L$362,$AE240)+IF(OR(AND('Aggregate summary'!$L$3="Yes",'Aggregate summary'!$E$3="POD"),AND('Aggregate summary'!$U$3="Process",'Aggregate summary'!$T$76="Clearance + downstream effects")),SUMIFS(Z$421:Z$423,$L$421:$L$423,$AE240),0)</f>
        <v>0</v>
      </c>
    </row>
    <row r="306" spans="1:43" x14ac:dyDescent="0.25">
      <c r="A306">
        <f>1</f>
        <v>1</v>
      </c>
      <c r="B306" s="85">
        <f t="shared" si="136"/>
        <v>44094</v>
      </c>
      <c r="C306" s="85">
        <f t="shared" si="132"/>
        <v>44088</v>
      </c>
      <c r="D306">
        <f t="shared" ca="1" si="133"/>
        <v>0</v>
      </c>
      <c r="E306" s="85">
        <f t="shared" si="134"/>
        <v>44075</v>
      </c>
      <c r="F306">
        <f t="shared" si="135"/>
        <v>38</v>
      </c>
      <c r="AB306" s="6"/>
      <c r="AD306" s="8" t="s">
        <v>1227</v>
      </c>
      <c r="AE306" t="str">
        <f t="shared" si="137"/>
        <v>Diagnostic (FU)</v>
      </c>
      <c r="AF306" s="8">
        <f ca="1">SUMIFS(O$360:O$362,$L$360:$L$362,$AE241)+IF(OR(AND('Aggregate summary'!$L$3="Yes",'Aggregate summary'!$E$3="POD"),AND('Aggregate summary'!$U$3="Process",'Aggregate summary'!$T$76="Clearance + downstream effects")),SUMIFS(O$421:O$423,$L$421:$L$423,$AE241),0)</f>
        <v>0</v>
      </c>
      <c r="AG306" s="8">
        <f ca="1">SUMIFS(P$360:P$362,$L$360:$L$362,$AE241)+IF(OR(AND('Aggregate summary'!$L$3="Yes",'Aggregate summary'!$E$3="POD"),AND('Aggregate summary'!$U$3="Process",'Aggregate summary'!$T$76="Clearance + downstream effects")),SUMIFS(P$421:P$423,$L$421:$L$423,$AE241),0)</f>
        <v>0</v>
      </c>
      <c r="AH306" s="8">
        <f ca="1">SUMIFS(Q$360:Q$362,$L$360:$L$362,$AE241)+IF(OR(AND('Aggregate summary'!$L$3="Yes",'Aggregate summary'!$E$3="POD"),AND('Aggregate summary'!$U$3="Process",'Aggregate summary'!$T$76="Clearance + downstream effects")),SUMIFS(Q$421:Q$423,$L$421:$L$423,$AE241),0)</f>
        <v>0</v>
      </c>
      <c r="AI306" s="8">
        <f ca="1">SUMIFS(R$360:R$362,$L$360:$L$362,$AE241)+IF(OR(AND('Aggregate summary'!$L$3="Yes",'Aggregate summary'!$E$3="POD"),AND('Aggregate summary'!$U$3="Process",'Aggregate summary'!$T$76="Clearance + downstream effects")),SUMIFS(R$421:R$423,$L$421:$L$423,$AE241),0)</f>
        <v>0</v>
      </c>
      <c r="AJ306" s="8">
        <f ca="1">SUMIFS(S$360:S$362,$L$360:$L$362,$AE241)+IF(OR(AND('Aggregate summary'!$L$3="Yes",'Aggregate summary'!$E$3="POD"),AND('Aggregate summary'!$U$3="Process",'Aggregate summary'!$T$76="Clearance + downstream effects")),SUMIFS(S$421:S$423,$L$421:$L$423,$AE241),0)</f>
        <v>0</v>
      </c>
      <c r="AK306" s="8">
        <f ca="1">SUMIFS(T$360:T$362,$L$360:$L$362,$AE241)+IF(OR(AND('Aggregate summary'!$L$3="Yes",'Aggregate summary'!$E$3="POD"),AND('Aggregate summary'!$U$3="Process",'Aggregate summary'!$T$76="Clearance + downstream effects")),SUMIFS(T$421:T$423,$L$421:$L$423,$AE241),0)</f>
        <v>0</v>
      </c>
      <c r="AL306" s="8">
        <f ca="1">SUMIFS(U$360:U$362,$L$360:$L$362,$AE241)+IF(OR(AND('Aggregate summary'!$L$3="Yes",'Aggregate summary'!$E$3="POD"),AND('Aggregate summary'!$U$3="Process",'Aggregate summary'!$T$76="Clearance + downstream effects")),SUMIFS(U$421:U$423,$L$421:$L$423,$AE241),0)</f>
        <v>0</v>
      </c>
      <c r="AM306" s="8">
        <f ca="1">SUMIFS(V$360:V$362,$L$360:$L$362,$AE241)+IF(OR(AND('Aggregate summary'!$L$3="Yes",'Aggregate summary'!$E$3="POD"),AND('Aggregate summary'!$U$3="Process",'Aggregate summary'!$T$76="Clearance + downstream effects")),SUMIFS(V$421:V$423,$L$421:$L$423,$AE241),0)</f>
        <v>0</v>
      </c>
      <c r="AN306" s="8">
        <f ca="1">SUMIFS(W$360:W$362,$L$360:$L$362,$AE241)+IF(OR(AND('Aggregate summary'!$L$3="Yes",'Aggregate summary'!$E$3="POD"),AND('Aggregate summary'!$U$3="Process",'Aggregate summary'!$T$76="Clearance + downstream effects")),SUMIFS(W$421:W$423,$L$421:$L$423,$AE241),0)</f>
        <v>0</v>
      </c>
      <c r="AO306" s="8">
        <f ca="1">SUMIFS(X$360:X$362,$L$360:$L$362,$AE241)+IF(OR(AND('Aggregate summary'!$L$3="Yes",'Aggregate summary'!$E$3="POD"),AND('Aggregate summary'!$U$3="Process",'Aggregate summary'!$T$76="Clearance + downstream effects")),SUMIFS(X$421:X$423,$L$421:$L$423,$AE241),0)</f>
        <v>0</v>
      </c>
      <c r="AP306" s="8">
        <f ca="1">SUMIFS(Y$360:Y$362,$L$360:$L$362,$AE241)+IF(OR(AND('Aggregate summary'!$L$3="Yes",'Aggregate summary'!$E$3="POD"),AND('Aggregate summary'!$U$3="Process",'Aggregate summary'!$T$76="Clearance + downstream effects")),SUMIFS(Y$421:Y$423,$L$421:$L$423,$AE241),0)</f>
        <v>0</v>
      </c>
      <c r="AQ306" s="8">
        <f ca="1">SUMIFS(Z$360:Z$362,$L$360:$L$362,$AE241)+IF(OR(AND('Aggregate summary'!$L$3="Yes",'Aggregate summary'!$E$3="POD"),AND('Aggregate summary'!$U$3="Process",'Aggregate summary'!$T$76="Clearance + downstream effects")),SUMIFS(Z$421:Z$423,$L$421:$L$423,$AE241),0)</f>
        <v>0</v>
      </c>
    </row>
    <row r="307" spans="1:43" x14ac:dyDescent="0.25">
      <c r="A307">
        <f>1</f>
        <v>1</v>
      </c>
      <c r="B307" s="85">
        <f t="shared" si="136"/>
        <v>44095</v>
      </c>
      <c r="C307" s="85">
        <f t="shared" si="132"/>
        <v>44095</v>
      </c>
      <c r="D307">
        <f t="shared" ca="1" si="133"/>
        <v>1</v>
      </c>
      <c r="E307" s="85">
        <f t="shared" si="134"/>
        <v>44075</v>
      </c>
      <c r="F307">
        <f t="shared" si="135"/>
        <v>39</v>
      </c>
      <c r="O307" s="1" t="s">
        <v>1241</v>
      </c>
      <c r="AB307" s="6"/>
      <c r="AD307" s="8" t="s">
        <v>1227</v>
      </c>
      <c r="AE307" t="str">
        <f t="shared" si="137"/>
        <v>Admission</v>
      </c>
      <c r="AF307" s="8">
        <f ca="1">SUMIFS(O$360:O$362,$L$360:$L$362,$AE242)+IF(OR(AND('Aggregate summary'!$L$3="Yes",'Aggregate summary'!$E$3="POD"),AND('Aggregate summary'!$U$3="Process",'Aggregate summary'!$T$76="Clearance + downstream effects")),SUMIFS(O$421:O$423,$L$421:$L$423,$AE242),0)</f>
        <v>0</v>
      </c>
      <c r="AG307" s="8">
        <f ca="1">SUMIFS(P$360:P$362,$L$360:$L$362,$AE242)+IF(OR(AND('Aggregate summary'!$L$3="Yes",'Aggregate summary'!$E$3="POD"),AND('Aggregate summary'!$U$3="Process",'Aggregate summary'!$T$76="Clearance + downstream effects")),SUMIFS(P$421:P$423,$L$421:$L$423,$AE242),0)</f>
        <v>0</v>
      </c>
      <c r="AH307" s="8">
        <f ca="1">SUMIFS(Q$360:Q$362,$L$360:$L$362,$AE242)+IF(OR(AND('Aggregate summary'!$L$3="Yes",'Aggregate summary'!$E$3="POD"),AND('Aggregate summary'!$U$3="Process",'Aggregate summary'!$T$76="Clearance + downstream effects")),SUMIFS(Q$421:Q$423,$L$421:$L$423,$AE242),0)</f>
        <v>0</v>
      </c>
      <c r="AI307" s="8">
        <f ca="1">SUMIFS(R$360:R$362,$L$360:$L$362,$AE242)+IF(OR(AND('Aggregate summary'!$L$3="Yes",'Aggregate summary'!$E$3="POD"),AND('Aggregate summary'!$U$3="Process",'Aggregate summary'!$T$76="Clearance + downstream effects")),SUMIFS(R$421:R$423,$L$421:$L$423,$AE242),0)</f>
        <v>0</v>
      </c>
      <c r="AJ307" s="8">
        <f ca="1">SUMIFS(S$360:S$362,$L$360:$L$362,$AE242)+IF(OR(AND('Aggregate summary'!$L$3="Yes",'Aggregate summary'!$E$3="POD"),AND('Aggregate summary'!$U$3="Process",'Aggregate summary'!$T$76="Clearance + downstream effects")),SUMIFS(S$421:S$423,$L$421:$L$423,$AE242),0)</f>
        <v>0</v>
      </c>
      <c r="AK307" s="8">
        <f ca="1">SUMIFS(T$360:T$362,$L$360:$L$362,$AE242)+IF(OR(AND('Aggregate summary'!$L$3="Yes",'Aggregate summary'!$E$3="POD"),AND('Aggregate summary'!$U$3="Process",'Aggregate summary'!$T$76="Clearance + downstream effects")),SUMIFS(T$421:T$423,$L$421:$L$423,$AE242),0)</f>
        <v>0</v>
      </c>
      <c r="AL307" s="8">
        <f ca="1">SUMIFS(U$360:U$362,$L$360:$L$362,$AE242)+IF(OR(AND('Aggregate summary'!$L$3="Yes",'Aggregate summary'!$E$3="POD"),AND('Aggregate summary'!$U$3="Process",'Aggregate summary'!$T$76="Clearance + downstream effects")),SUMIFS(U$421:U$423,$L$421:$L$423,$AE242),0)</f>
        <v>0</v>
      </c>
      <c r="AM307" s="8">
        <f ca="1">SUMIFS(V$360:V$362,$L$360:$L$362,$AE242)+IF(OR(AND('Aggregate summary'!$L$3="Yes",'Aggregate summary'!$E$3="POD"),AND('Aggregate summary'!$U$3="Process",'Aggregate summary'!$T$76="Clearance + downstream effects")),SUMIFS(V$421:V$423,$L$421:$L$423,$AE242),0)</f>
        <v>0</v>
      </c>
      <c r="AN307" s="8">
        <f ca="1">SUMIFS(W$360:W$362,$L$360:$L$362,$AE242)+IF(OR(AND('Aggregate summary'!$L$3="Yes",'Aggregate summary'!$E$3="POD"),AND('Aggregate summary'!$U$3="Process",'Aggregate summary'!$T$76="Clearance + downstream effects")),SUMIFS(W$421:W$423,$L$421:$L$423,$AE242),0)</f>
        <v>0</v>
      </c>
      <c r="AO307" s="8">
        <f ca="1">SUMIFS(X$360:X$362,$L$360:$L$362,$AE242)+IF(OR(AND('Aggregate summary'!$L$3="Yes",'Aggregate summary'!$E$3="POD"),AND('Aggregate summary'!$U$3="Process",'Aggregate summary'!$T$76="Clearance + downstream effects")),SUMIFS(X$421:X$423,$L$421:$L$423,$AE242),0)</f>
        <v>0</v>
      </c>
      <c r="AP307" s="8">
        <f ca="1">SUMIFS(Y$360:Y$362,$L$360:$L$362,$AE242)+IF(OR(AND('Aggregate summary'!$L$3="Yes",'Aggregate summary'!$E$3="POD"),AND('Aggregate summary'!$U$3="Process",'Aggregate summary'!$T$76="Clearance + downstream effects")),SUMIFS(Y$421:Y$423,$L$421:$L$423,$AE242),0)</f>
        <v>0</v>
      </c>
      <c r="AQ307" s="8">
        <f ca="1">SUMIFS(Z$360:Z$362,$L$360:$L$362,$AE242)+IF(OR(AND('Aggregate summary'!$L$3="Yes",'Aggregate summary'!$E$3="POD"),AND('Aggregate summary'!$U$3="Process",'Aggregate summary'!$T$76="Clearance + downstream effects")),SUMIFS(Z$421:Z$423,$L$421:$L$423,$AE242),0)</f>
        <v>0</v>
      </c>
    </row>
    <row r="308" spans="1:43" x14ac:dyDescent="0.25">
      <c r="A308">
        <f>1</f>
        <v>1</v>
      </c>
      <c r="B308" s="85">
        <f t="shared" si="136"/>
        <v>44096</v>
      </c>
      <c r="C308" s="85">
        <f t="shared" si="132"/>
        <v>44095</v>
      </c>
      <c r="D308">
        <f t="shared" ca="1" si="133"/>
        <v>1</v>
      </c>
      <c r="E308" s="85">
        <f t="shared" si="134"/>
        <v>44075</v>
      </c>
      <c r="F308">
        <f t="shared" si="135"/>
        <v>39</v>
      </c>
      <c r="L308" t="s">
        <v>1364</v>
      </c>
      <c r="M308" t="s">
        <v>815</v>
      </c>
      <c r="N308">
        <v>1</v>
      </c>
      <c r="O308" s="6">
        <f t="array" aca="1" ref="O308" ca="1">SUM(INDEX(WLBasic_Activity_Weekly_Summary,0,$N308)*O$43:O$95)</f>
        <v>0</v>
      </c>
      <c r="P308" s="6">
        <f t="array" aca="1" ref="P308" ca="1">SUM(INDEX(WLBasic_Activity_Weekly_Summary,0,$N308)*P$43:P$95)</f>
        <v>0</v>
      </c>
      <c r="Q308" s="6">
        <f t="array" aca="1" ref="Q308" ca="1">SUM(INDEX(WLBasic_Activity_Weekly_Summary,0,$N308)*Q$43:Q$95)</f>
        <v>0</v>
      </c>
      <c r="R308" s="6">
        <f t="array" aca="1" ref="R308" ca="1">SUM(INDEX(WLBasic_Activity_Weekly_Summary,0,$N308)*R$43:R$95)</f>
        <v>0</v>
      </c>
      <c r="S308" s="6">
        <f t="array" aca="1" ref="S308" ca="1">SUM(INDEX(WLBasic_Activity_Weekly_Summary,0,$N308)*S$43:S$95)</f>
        <v>0</v>
      </c>
      <c r="T308" s="6">
        <f t="array" aca="1" ref="T308" ca="1">SUM(INDEX(WLBasic_Activity_Weekly_Summary,0,$N308)*T$43:T$95)</f>
        <v>0</v>
      </c>
      <c r="U308" s="6">
        <f t="array" aca="1" ref="U308" ca="1">SUM(INDEX(WLBasic_Activity_Weekly_Summary,0,$N308)*U$43:U$95)</f>
        <v>0</v>
      </c>
      <c r="V308" s="6">
        <f t="array" aca="1" ref="V308" ca="1">SUM(INDEX(WLBasic_Activity_Weekly_Summary,0,$N308)*V$43:V$95)</f>
        <v>0</v>
      </c>
      <c r="W308" s="6">
        <f t="array" aca="1" ref="W308" ca="1">SUM(INDEX(WLBasic_Activity_Weekly_Summary,0,$N308)*W$43:W$95)</f>
        <v>0</v>
      </c>
      <c r="X308" s="6">
        <f t="array" aca="1" ref="X308" ca="1">SUM(INDEX(WLBasic_Activity_Weekly_Summary,0,$N308)*X$43:X$95)</f>
        <v>0</v>
      </c>
      <c r="Y308" s="6">
        <f t="array" aca="1" ref="Y308" ca="1">SUM(INDEX(WLBasic_Activity_Weekly_Summary,0,$N308)*Y$43:Y$95)</f>
        <v>0</v>
      </c>
      <c r="Z308" s="6">
        <f t="array" aca="1" ref="Z308" ca="1">SUM(INDEX(WLBasic_Activity_Weekly_Summary,0,$N308)*Z$43:Z$95)</f>
        <v>0</v>
      </c>
      <c r="AA308" s="6" t="str">
        <f>IF($J$104="","",INDEX($HL$43:$HP$98,$J$104,$N308))</f>
        <v/>
      </c>
      <c r="AB308" s="6" t="str">
        <f>IF($J$105="","",IF($J$105&lt;=12,INDEX(WLBasic_Activity_Monthly,$N308,$J$105),AVERAGE(O308:Z308)))</f>
        <v/>
      </c>
      <c r="AC308" s="6">
        <f t="shared" ref="AC308:AC317" ca="1" si="138">SUM(O308:Z308)</f>
        <v>0</v>
      </c>
      <c r="AD308" s="8">
        <v>15</v>
      </c>
      <c r="AE308" t="str">
        <f t="shared" si="137"/>
        <v>New</v>
      </c>
      <c r="AF308" s="8">
        <f ca="1">SUMIFS(O$363:O$365,$L$363:$L$365,$AE238)+IF(OR(AND('Aggregate summary'!$L$3="Yes",'Aggregate summary'!$E$3="POD"),AND('Aggregate summary'!$U$3="Process",'Aggregate summary'!$T$76="Clearance + downstream effects")),SUMIFS(O$424:O$426,$L$424:$L$426,$AE238),0)</f>
        <v>0</v>
      </c>
      <c r="AG308" s="8">
        <f ca="1">SUMIFS(P$363:P$365,$L$363:$L$365,$AE238)+IF(OR(AND('Aggregate summary'!$L$3="Yes",'Aggregate summary'!$E$3="POD"),AND('Aggregate summary'!$U$3="Process",'Aggregate summary'!$T$76="Clearance + downstream effects")),SUMIFS(P$424:P$426,$L$424:$L$426,$AE238),0)</f>
        <v>0</v>
      </c>
      <c r="AH308" s="8">
        <f ca="1">SUMIFS(Q$363:Q$365,$L$363:$L$365,$AE238)+IF(OR(AND('Aggregate summary'!$L$3="Yes",'Aggregate summary'!$E$3="POD"),AND('Aggregate summary'!$U$3="Process",'Aggregate summary'!$T$76="Clearance + downstream effects")),SUMIFS(Q$424:Q$426,$L$424:$L$426,$AE238),0)</f>
        <v>0</v>
      </c>
      <c r="AI308" s="8">
        <f ca="1">SUMIFS(R$363:R$365,$L$363:$L$365,$AE238)+IF(OR(AND('Aggregate summary'!$L$3="Yes",'Aggregate summary'!$E$3="POD"),AND('Aggregate summary'!$U$3="Process",'Aggregate summary'!$T$76="Clearance + downstream effects")),SUMIFS(R$424:R$426,$L$424:$L$426,$AE238),0)</f>
        <v>0</v>
      </c>
      <c r="AJ308" s="8">
        <f ca="1">SUMIFS(S$363:S$365,$L$363:$L$365,$AE238)+IF(OR(AND('Aggregate summary'!$L$3="Yes",'Aggregate summary'!$E$3="POD"),AND('Aggregate summary'!$U$3="Process",'Aggregate summary'!$T$76="Clearance + downstream effects")),SUMIFS(S$424:S$426,$L$424:$L$426,$AE238),0)</f>
        <v>0</v>
      </c>
      <c r="AK308" s="8">
        <f ca="1">SUMIFS(T$363:T$365,$L$363:$L$365,$AE238)+IF(OR(AND('Aggregate summary'!$L$3="Yes",'Aggregate summary'!$E$3="POD"),AND('Aggregate summary'!$U$3="Process",'Aggregate summary'!$T$76="Clearance + downstream effects")),SUMIFS(T$424:T$426,$L$424:$L$426,$AE238),0)</f>
        <v>0</v>
      </c>
      <c r="AL308" s="8">
        <f ca="1">SUMIFS(U$363:U$365,$L$363:$L$365,$AE238)+IF(OR(AND('Aggregate summary'!$L$3="Yes",'Aggregate summary'!$E$3="POD"),AND('Aggregate summary'!$U$3="Process",'Aggregate summary'!$T$76="Clearance + downstream effects")),SUMIFS(U$424:U$426,$L$424:$L$426,$AE238),0)</f>
        <v>0</v>
      </c>
      <c r="AM308" s="8">
        <f ca="1">SUMIFS(V$363:V$365,$L$363:$L$365,$AE238)+IF(OR(AND('Aggregate summary'!$L$3="Yes",'Aggregate summary'!$E$3="POD"),AND('Aggregate summary'!$U$3="Process",'Aggregate summary'!$T$76="Clearance + downstream effects")),SUMIFS(V$424:V$426,$L$424:$L$426,$AE238),0)</f>
        <v>0</v>
      </c>
      <c r="AN308" s="8">
        <f ca="1">SUMIFS(W$363:W$365,$L$363:$L$365,$AE238)+IF(OR(AND('Aggregate summary'!$L$3="Yes",'Aggregate summary'!$E$3="POD"),AND('Aggregate summary'!$U$3="Process",'Aggregate summary'!$T$76="Clearance + downstream effects")),SUMIFS(W$424:W$426,$L$424:$L$426,$AE238),0)</f>
        <v>0</v>
      </c>
      <c r="AO308" s="8">
        <f ca="1">SUMIFS(X$363:X$365,$L$363:$L$365,$AE238)+IF(OR(AND('Aggregate summary'!$L$3="Yes",'Aggregate summary'!$E$3="POD"),AND('Aggregate summary'!$U$3="Process",'Aggregate summary'!$T$76="Clearance + downstream effects")),SUMIFS(X$424:X$426,$L$424:$L$426,$AE238),0)</f>
        <v>0</v>
      </c>
      <c r="AP308" s="8">
        <f ca="1">SUMIFS(Y$363:Y$365,$L$363:$L$365,$AE238)+IF(OR(AND('Aggregate summary'!$L$3="Yes",'Aggregate summary'!$E$3="POD"),AND('Aggregate summary'!$U$3="Process",'Aggregate summary'!$T$76="Clearance + downstream effects")),SUMIFS(Y$424:Y$426,$L$424:$L$426,$AE238),0)</f>
        <v>0</v>
      </c>
      <c r="AQ308" s="8">
        <f ca="1">SUMIFS(Z$363:Z$365,$L$363:$L$365,$AE238)+IF(OR(AND('Aggregate summary'!$L$3="Yes",'Aggregate summary'!$E$3="POD"),AND('Aggregate summary'!$U$3="Process",'Aggregate summary'!$T$76="Clearance + downstream effects")),SUMIFS(Z$424:Z$426,$L$424:$L$426,$AE238),0)</f>
        <v>0</v>
      </c>
    </row>
    <row r="309" spans="1:43" x14ac:dyDescent="0.25">
      <c r="A309">
        <f>1</f>
        <v>1</v>
      </c>
      <c r="B309" s="85">
        <f t="shared" si="136"/>
        <v>44097</v>
      </c>
      <c r="C309" s="85">
        <f t="shared" si="132"/>
        <v>44095</v>
      </c>
      <c r="D309">
        <f t="shared" ca="1" si="133"/>
        <v>1</v>
      </c>
      <c r="E309" s="85">
        <f t="shared" si="134"/>
        <v>44075</v>
      </c>
      <c r="F309">
        <f t="shared" si="135"/>
        <v>39</v>
      </c>
      <c r="M309" t="s">
        <v>841</v>
      </c>
      <c r="N309">
        <v>2</v>
      </c>
      <c r="O309" s="6">
        <f t="array" aca="1" ref="O309" ca="1">SUM(INDEX(WLBasic_Activity_Weekly_Summary,0,$N309)*O$43:O$95)</f>
        <v>0</v>
      </c>
      <c r="P309" s="6">
        <f t="array" aca="1" ref="P309" ca="1">SUM(INDEX(WLBasic_Activity_Weekly_Summary,0,$N309)*P$43:P$95)</f>
        <v>0</v>
      </c>
      <c r="Q309" s="6">
        <f t="array" aca="1" ref="Q309" ca="1">SUM(INDEX(WLBasic_Activity_Weekly_Summary,0,$N309)*Q$43:Q$95)</f>
        <v>0</v>
      </c>
      <c r="R309" s="6">
        <f t="array" aca="1" ref="R309" ca="1">SUM(INDEX(WLBasic_Activity_Weekly_Summary,0,$N309)*R$43:R$95)</f>
        <v>0</v>
      </c>
      <c r="S309" s="6">
        <f t="array" aca="1" ref="S309" ca="1">SUM(INDEX(WLBasic_Activity_Weekly_Summary,0,$N309)*S$43:S$95)</f>
        <v>0</v>
      </c>
      <c r="T309" s="6">
        <f t="array" aca="1" ref="T309" ca="1">SUM(INDEX(WLBasic_Activity_Weekly_Summary,0,$N309)*T$43:T$95)</f>
        <v>0</v>
      </c>
      <c r="U309" s="6">
        <f t="array" aca="1" ref="U309" ca="1">SUM(INDEX(WLBasic_Activity_Weekly_Summary,0,$N309)*U$43:U$95)</f>
        <v>0</v>
      </c>
      <c r="V309" s="6">
        <f t="array" aca="1" ref="V309" ca="1">SUM(INDEX(WLBasic_Activity_Weekly_Summary,0,$N309)*V$43:V$95)</f>
        <v>0</v>
      </c>
      <c r="W309" s="6">
        <f t="array" aca="1" ref="W309" ca="1">SUM(INDEX(WLBasic_Activity_Weekly_Summary,0,$N309)*W$43:W$95)</f>
        <v>0</v>
      </c>
      <c r="X309" s="6">
        <f t="array" aca="1" ref="X309" ca="1">SUM(INDEX(WLBasic_Activity_Weekly_Summary,0,$N309)*X$43:X$95)</f>
        <v>0</v>
      </c>
      <c r="Y309" s="6">
        <f t="array" aca="1" ref="Y309" ca="1">SUM(INDEX(WLBasic_Activity_Weekly_Summary,0,$N309)*Y$43:Y$95)</f>
        <v>0</v>
      </c>
      <c r="Z309" s="6">
        <f t="array" aca="1" ref="Z309" ca="1">SUM(INDEX(WLBasic_Activity_Weekly_Summary,0,$N309)*Z$43:Z$95)</f>
        <v>0</v>
      </c>
      <c r="AA309" s="6" t="str">
        <f t="shared" ref="AA309:AA312" si="139">IF($J$104="","",INDEX($HL$43:$HP$98,$J$104,$N309))</f>
        <v/>
      </c>
      <c r="AB309" s="6" t="str">
        <f>IF($J$105="","",IF($J$105&lt;=12,INDEX(WLBasic_Activity_Monthly,$N309,$J$105),AVERAGE(O309:Z309)))</f>
        <v/>
      </c>
      <c r="AC309" s="6">
        <f t="shared" ca="1" si="138"/>
        <v>0</v>
      </c>
      <c r="AD309" s="8" t="s">
        <v>1227</v>
      </c>
      <c r="AE309" t="str">
        <f t="shared" si="137"/>
        <v>Diagnostic (N)</v>
      </c>
      <c r="AF309" s="8">
        <f ca="1">SUMIFS(O$363:O$365,$L$363:$L$365,$AE239)+IF(OR(AND('Aggregate summary'!$L$3="Yes",'Aggregate summary'!$E$3="POD"),AND('Aggregate summary'!$U$3="Process",'Aggregate summary'!$T$76="Clearance + downstream effects")),SUMIFS(O$424:O$426,$L$424:$L$426,$AE239),0)</f>
        <v>0</v>
      </c>
      <c r="AG309" s="8">
        <f ca="1">SUMIFS(P$363:P$365,$L$363:$L$365,$AE239)+IF(OR(AND('Aggregate summary'!$L$3="Yes",'Aggregate summary'!$E$3="POD"),AND('Aggregate summary'!$U$3="Process",'Aggregate summary'!$T$76="Clearance + downstream effects")),SUMIFS(P$424:P$426,$L$424:$L$426,$AE239),0)</f>
        <v>0</v>
      </c>
      <c r="AH309" s="8">
        <f ca="1">SUMIFS(Q$363:Q$365,$L$363:$L$365,$AE239)+IF(OR(AND('Aggregate summary'!$L$3="Yes",'Aggregate summary'!$E$3="POD"),AND('Aggregate summary'!$U$3="Process",'Aggregate summary'!$T$76="Clearance + downstream effects")),SUMIFS(Q$424:Q$426,$L$424:$L$426,$AE239),0)</f>
        <v>0</v>
      </c>
      <c r="AI309" s="8">
        <f ca="1">SUMIFS(R$363:R$365,$L$363:$L$365,$AE239)+IF(OR(AND('Aggregate summary'!$L$3="Yes",'Aggregate summary'!$E$3="POD"),AND('Aggregate summary'!$U$3="Process",'Aggregate summary'!$T$76="Clearance + downstream effects")),SUMIFS(R$424:R$426,$L$424:$L$426,$AE239),0)</f>
        <v>0</v>
      </c>
      <c r="AJ309" s="8">
        <f ca="1">SUMIFS(S$363:S$365,$L$363:$L$365,$AE239)+IF(OR(AND('Aggregate summary'!$L$3="Yes",'Aggregate summary'!$E$3="POD"),AND('Aggregate summary'!$U$3="Process",'Aggregate summary'!$T$76="Clearance + downstream effects")),SUMIFS(S$424:S$426,$L$424:$L$426,$AE239),0)</f>
        <v>0</v>
      </c>
      <c r="AK309" s="8">
        <f ca="1">SUMIFS(T$363:T$365,$L$363:$L$365,$AE239)+IF(OR(AND('Aggregate summary'!$L$3="Yes",'Aggregate summary'!$E$3="POD"),AND('Aggregate summary'!$U$3="Process",'Aggregate summary'!$T$76="Clearance + downstream effects")),SUMIFS(T$424:T$426,$L$424:$L$426,$AE239),0)</f>
        <v>0</v>
      </c>
      <c r="AL309" s="8">
        <f ca="1">SUMIFS(U$363:U$365,$L$363:$L$365,$AE239)+IF(OR(AND('Aggregate summary'!$L$3="Yes",'Aggregate summary'!$E$3="POD"),AND('Aggregate summary'!$U$3="Process",'Aggregate summary'!$T$76="Clearance + downstream effects")),SUMIFS(U$424:U$426,$L$424:$L$426,$AE239),0)</f>
        <v>0</v>
      </c>
      <c r="AM309" s="8">
        <f ca="1">SUMIFS(V$363:V$365,$L$363:$L$365,$AE239)+IF(OR(AND('Aggregate summary'!$L$3="Yes",'Aggregate summary'!$E$3="POD"),AND('Aggregate summary'!$U$3="Process",'Aggregate summary'!$T$76="Clearance + downstream effects")),SUMIFS(V$424:V$426,$L$424:$L$426,$AE239),0)</f>
        <v>0</v>
      </c>
      <c r="AN309" s="8">
        <f ca="1">SUMIFS(W$363:W$365,$L$363:$L$365,$AE239)+IF(OR(AND('Aggregate summary'!$L$3="Yes",'Aggregate summary'!$E$3="POD"),AND('Aggregate summary'!$U$3="Process",'Aggregate summary'!$T$76="Clearance + downstream effects")),SUMIFS(W$424:W$426,$L$424:$L$426,$AE239),0)</f>
        <v>0</v>
      </c>
      <c r="AO309" s="8">
        <f ca="1">SUMIFS(X$363:X$365,$L$363:$L$365,$AE239)+IF(OR(AND('Aggregate summary'!$L$3="Yes",'Aggregate summary'!$E$3="POD"),AND('Aggregate summary'!$U$3="Process",'Aggregate summary'!$T$76="Clearance + downstream effects")),SUMIFS(X$424:X$426,$L$424:$L$426,$AE239),0)</f>
        <v>0</v>
      </c>
      <c r="AP309" s="8">
        <f ca="1">SUMIFS(Y$363:Y$365,$L$363:$L$365,$AE239)+IF(OR(AND('Aggregate summary'!$L$3="Yes",'Aggregate summary'!$E$3="POD"),AND('Aggregate summary'!$U$3="Process",'Aggregate summary'!$T$76="Clearance + downstream effects")),SUMIFS(Y$424:Y$426,$L$424:$L$426,$AE239),0)</f>
        <v>0</v>
      </c>
      <c r="AQ309" s="8">
        <f ca="1">SUMIFS(Z$363:Z$365,$L$363:$L$365,$AE239)+IF(OR(AND('Aggregate summary'!$L$3="Yes",'Aggregate summary'!$E$3="POD"),AND('Aggregate summary'!$U$3="Process",'Aggregate summary'!$T$76="Clearance + downstream effects")),SUMIFS(Z$424:Z$426,$L$424:$L$426,$AE239),0)</f>
        <v>0</v>
      </c>
    </row>
    <row r="310" spans="1:43" x14ac:dyDescent="0.25">
      <c r="A310">
        <f>1</f>
        <v>1</v>
      </c>
      <c r="B310" s="85">
        <f t="shared" si="136"/>
        <v>44098</v>
      </c>
      <c r="C310" s="85">
        <f t="shared" si="132"/>
        <v>44095</v>
      </c>
      <c r="D310">
        <f t="shared" ca="1" si="133"/>
        <v>1</v>
      </c>
      <c r="E310" s="85">
        <f t="shared" si="134"/>
        <v>44075</v>
      </c>
      <c r="F310">
        <f t="shared" si="135"/>
        <v>39</v>
      </c>
      <c r="M310" t="s">
        <v>991</v>
      </c>
      <c r="N310">
        <v>3</v>
      </c>
      <c r="O310" s="6">
        <f t="array" aca="1" ref="O310" ca="1">SUM(INDEX(WLBasic_Activity_Weekly_Summary,0,$N310)*O$43:O$95)</f>
        <v>0</v>
      </c>
      <c r="P310" s="6">
        <f t="array" aca="1" ref="P310" ca="1">SUM(INDEX(WLBasic_Activity_Weekly_Summary,0,$N310)*P$43:P$95)</f>
        <v>0</v>
      </c>
      <c r="Q310" s="6">
        <f t="array" aca="1" ref="Q310" ca="1">SUM(INDEX(WLBasic_Activity_Weekly_Summary,0,$N310)*Q$43:Q$95)</f>
        <v>0</v>
      </c>
      <c r="R310" s="6">
        <f t="array" aca="1" ref="R310" ca="1">SUM(INDEX(WLBasic_Activity_Weekly_Summary,0,$N310)*R$43:R$95)</f>
        <v>0</v>
      </c>
      <c r="S310" s="6">
        <f t="array" aca="1" ref="S310" ca="1">SUM(INDEX(WLBasic_Activity_Weekly_Summary,0,$N310)*S$43:S$95)</f>
        <v>0</v>
      </c>
      <c r="T310" s="6">
        <f t="array" aca="1" ref="T310" ca="1">SUM(INDEX(WLBasic_Activity_Weekly_Summary,0,$N310)*T$43:T$95)</f>
        <v>0</v>
      </c>
      <c r="U310" s="6">
        <f t="array" aca="1" ref="U310" ca="1">SUM(INDEX(WLBasic_Activity_Weekly_Summary,0,$N310)*U$43:U$95)</f>
        <v>0</v>
      </c>
      <c r="V310" s="6">
        <f t="array" aca="1" ref="V310" ca="1">SUM(INDEX(WLBasic_Activity_Weekly_Summary,0,$N310)*V$43:V$95)</f>
        <v>0</v>
      </c>
      <c r="W310" s="6">
        <f t="array" aca="1" ref="W310" ca="1">SUM(INDEX(WLBasic_Activity_Weekly_Summary,0,$N310)*W$43:W$95)</f>
        <v>0</v>
      </c>
      <c r="X310" s="6">
        <f t="array" aca="1" ref="X310" ca="1">SUM(INDEX(WLBasic_Activity_Weekly_Summary,0,$N310)*X$43:X$95)</f>
        <v>0</v>
      </c>
      <c r="Y310" s="6">
        <f t="array" aca="1" ref="Y310" ca="1">SUM(INDEX(WLBasic_Activity_Weekly_Summary,0,$N310)*Y$43:Y$95)</f>
        <v>0</v>
      </c>
      <c r="Z310" s="6">
        <f t="array" aca="1" ref="Z310" ca="1">SUM(INDEX(WLBasic_Activity_Weekly_Summary,0,$N310)*Z$43:Z$95)</f>
        <v>0</v>
      </c>
      <c r="AA310" s="6" t="str">
        <f t="shared" si="139"/>
        <v/>
      </c>
      <c r="AB310" s="6" t="str">
        <f>IF($J$105="","",IF($J$105&lt;=12,INDEX(WLBasic_Activity_Monthly,$N310,$J$105),AVERAGE(O310:Z310)))</f>
        <v/>
      </c>
      <c r="AC310" s="6">
        <f t="shared" ca="1" si="138"/>
        <v>0</v>
      </c>
      <c r="AD310" s="8" t="s">
        <v>1227</v>
      </c>
      <c r="AE310" t="str">
        <f t="shared" si="137"/>
        <v>Follow Up</v>
      </c>
      <c r="AF310" s="8">
        <f ca="1">SUMIFS(O$363:O$365,$L$363:$L$365,$AE240)+IF(OR(AND('Aggregate summary'!$L$3="Yes",'Aggregate summary'!$E$3="POD"),AND('Aggregate summary'!$U$3="Process",'Aggregate summary'!$T$76="Clearance + downstream effects")),SUMIFS(O$424:O$426,$L$424:$L$426,$AE240),0)</f>
        <v>0</v>
      </c>
      <c r="AG310" s="8">
        <f ca="1">SUMIFS(P$363:P$365,$L$363:$L$365,$AE240)+IF(OR(AND('Aggregate summary'!$L$3="Yes",'Aggregate summary'!$E$3="POD"),AND('Aggregate summary'!$U$3="Process",'Aggregate summary'!$T$76="Clearance + downstream effects")),SUMIFS(P$424:P$426,$L$424:$L$426,$AE240),0)</f>
        <v>0</v>
      </c>
      <c r="AH310" s="8">
        <f ca="1">SUMIFS(Q$363:Q$365,$L$363:$L$365,$AE240)+IF(OR(AND('Aggregate summary'!$L$3="Yes",'Aggregate summary'!$E$3="POD"),AND('Aggregate summary'!$U$3="Process",'Aggregate summary'!$T$76="Clearance + downstream effects")),SUMIFS(Q$424:Q$426,$L$424:$L$426,$AE240),0)</f>
        <v>0</v>
      </c>
      <c r="AI310" s="8">
        <f ca="1">SUMIFS(R$363:R$365,$L$363:$L$365,$AE240)+IF(OR(AND('Aggregate summary'!$L$3="Yes",'Aggregate summary'!$E$3="POD"),AND('Aggregate summary'!$U$3="Process",'Aggregate summary'!$T$76="Clearance + downstream effects")),SUMIFS(R$424:R$426,$L$424:$L$426,$AE240),0)</f>
        <v>0</v>
      </c>
      <c r="AJ310" s="8">
        <f ca="1">SUMIFS(S$363:S$365,$L$363:$L$365,$AE240)+IF(OR(AND('Aggregate summary'!$L$3="Yes",'Aggregate summary'!$E$3="POD"),AND('Aggregate summary'!$U$3="Process",'Aggregate summary'!$T$76="Clearance + downstream effects")),SUMIFS(S$424:S$426,$L$424:$L$426,$AE240),0)</f>
        <v>0</v>
      </c>
      <c r="AK310" s="8">
        <f ca="1">SUMIFS(T$363:T$365,$L$363:$L$365,$AE240)+IF(OR(AND('Aggregate summary'!$L$3="Yes",'Aggregate summary'!$E$3="POD"),AND('Aggregate summary'!$U$3="Process",'Aggregate summary'!$T$76="Clearance + downstream effects")),SUMIFS(T$424:T$426,$L$424:$L$426,$AE240),0)</f>
        <v>0</v>
      </c>
      <c r="AL310" s="8">
        <f ca="1">SUMIFS(U$363:U$365,$L$363:$L$365,$AE240)+IF(OR(AND('Aggregate summary'!$L$3="Yes",'Aggregate summary'!$E$3="POD"),AND('Aggregate summary'!$U$3="Process",'Aggregate summary'!$T$76="Clearance + downstream effects")),SUMIFS(U$424:U$426,$L$424:$L$426,$AE240),0)</f>
        <v>0</v>
      </c>
      <c r="AM310" s="8">
        <f ca="1">SUMIFS(V$363:V$365,$L$363:$L$365,$AE240)+IF(OR(AND('Aggregate summary'!$L$3="Yes",'Aggregate summary'!$E$3="POD"),AND('Aggregate summary'!$U$3="Process",'Aggregate summary'!$T$76="Clearance + downstream effects")),SUMIFS(V$424:V$426,$L$424:$L$426,$AE240),0)</f>
        <v>0</v>
      </c>
      <c r="AN310" s="8">
        <f ca="1">SUMIFS(W$363:W$365,$L$363:$L$365,$AE240)+IF(OR(AND('Aggregate summary'!$L$3="Yes",'Aggregate summary'!$E$3="POD"),AND('Aggregate summary'!$U$3="Process",'Aggregate summary'!$T$76="Clearance + downstream effects")),SUMIFS(W$424:W$426,$L$424:$L$426,$AE240),0)</f>
        <v>0</v>
      </c>
      <c r="AO310" s="8">
        <f ca="1">SUMIFS(X$363:X$365,$L$363:$L$365,$AE240)+IF(OR(AND('Aggregate summary'!$L$3="Yes",'Aggregate summary'!$E$3="POD"),AND('Aggregate summary'!$U$3="Process",'Aggregate summary'!$T$76="Clearance + downstream effects")),SUMIFS(X$424:X$426,$L$424:$L$426,$AE240),0)</f>
        <v>0</v>
      </c>
      <c r="AP310" s="8">
        <f ca="1">SUMIFS(Y$363:Y$365,$L$363:$L$365,$AE240)+IF(OR(AND('Aggregate summary'!$L$3="Yes",'Aggregate summary'!$E$3="POD"),AND('Aggregate summary'!$U$3="Process",'Aggregate summary'!$T$76="Clearance + downstream effects")),SUMIFS(Y$424:Y$426,$L$424:$L$426,$AE240),0)</f>
        <v>0</v>
      </c>
      <c r="AQ310" s="8">
        <f ca="1">SUMIFS(Z$363:Z$365,$L$363:$L$365,$AE240)+IF(OR(AND('Aggregate summary'!$L$3="Yes",'Aggregate summary'!$E$3="POD"),AND('Aggregate summary'!$U$3="Process",'Aggregate summary'!$T$76="Clearance + downstream effects")),SUMIFS(Z$424:Z$426,$L$424:$L$426,$AE240),0)</f>
        <v>0</v>
      </c>
    </row>
    <row r="311" spans="1:43" x14ac:dyDescent="0.25">
      <c r="A311">
        <f>1</f>
        <v>1</v>
      </c>
      <c r="B311" s="85">
        <f t="shared" si="136"/>
        <v>44099</v>
      </c>
      <c r="C311" s="85">
        <f t="shared" si="132"/>
        <v>44095</v>
      </c>
      <c r="D311">
        <f t="shared" ca="1" si="133"/>
        <v>1</v>
      </c>
      <c r="E311" s="85">
        <f t="shared" si="134"/>
        <v>44075</v>
      </c>
      <c r="F311">
        <f t="shared" si="135"/>
        <v>39</v>
      </c>
      <c r="M311" t="s">
        <v>842</v>
      </c>
      <c r="N311">
        <v>4</v>
      </c>
      <c r="O311" s="6">
        <f t="array" aca="1" ref="O311" ca="1">SUM(INDEX(WLBasic_Activity_Weekly_Summary,0,$N311)*O$43:O$95)</f>
        <v>0</v>
      </c>
      <c r="P311" s="6">
        <f t="array" aca="1" ref="P311" ca="1">SUM(INDEX(WLBasic_Activity_Weekly_Summary,0,$N311)*P$43:P$95)</f>
        <v>0</v>
      </c>
      <c r="Q311" s="6">
        <f t="array" aca="1" ref="Q311" ca="1">SUM(INDEX(WLBasic_Activity_Weekly_Summary,0,$N311)*Q$43:Q$95)</f>
        <v>0</v>
      </c>
      <c r="R311" s="6">
        <f t="array" aca="1" ref="R311" ca="1">SUM(INDEX(WLBasic_Activity_Weekly_Summary,0,$N311)*R$43:R$95)</f>
        <v>0</v>
      </c>
      <c r="S311" s="6">
        <f t="array" aca="1" ref="S311" ca="1">SUM(INDEX(WLBasic_Activity_Weekly_Summary,0,$N311)*S$43:S$95)</f>
        <v>0</v>
      </c>
      <c r="T311" s="6">
        <f t="array" aca="1" ref="T311" ca="1">SUM(INDEX(WLBasic_Activity_Weekly_Summary,0,$N311)*T$43:T$95)</f>
        <v>0</v>
      </c>
      <c r="U311" s="6">
        <f t="array" aca="1" ref="U311" ca="1">SUM(INDEX(WLBasic_Activity_Weekly_Summary,0,$N311)*U$43:U$95)</f>
        <v>0</v>
      </c>
      <c r="V311" s="6">
        <f t="array" aca="1" ref="V311" ca="1">SUM(INDEX(WLBasic_Activity_Weekly_Summary,0,$N311)*V$43:V$95)</f>
        <v>0</v>
      </c>
      <c r="W311" s="6">
        <f t="array" aca="1" ref="W311" ca="1">SUM(INDEX(WLBasic_Activity_Weekly_Summary,0,$N311)*W$43:W$95)</f>
        <v>0</v>
      </c>
      <c r="X311" s="6">
        <f t="array" aca="1" ref="X311" ca="1">SUM(INDEX(WLBasic_Activity_Weekly_Summary,0,$N311)*X$43:X$95)</f>
        <v>0</v>
      </c>
      <c r="Y311" s="6">
        <f t="array" aca="1" ref="Y311" ca="1">SUM(INDEX(WLBasic_Activity_Weekly_Summary,0,$N311)*Y$43:Y$95)</f>
        <v>0</v>
      </c>
      <c r="Z311" s="6">
        <f t="array" aca="1" ref="Z311" ca="1">SUM(INDEX(WLBasic_Activity_Weekly_Summary,0,$N311)*Z$43:Z$95)</f>
        <v>0</v>
      </c>
      <c r="AA311" s="6" t="str">
        <f t="shared" si="139"/>
        <v/>
      </c>
      <c r="AB311" s="6" t="str">
        <f>IF($J$105="","",IF($J$105&lt;=12,INDEX(WLBasic_Activity_Monthly,$N311,$J$105),AVERAGE(O311:Z311)))</f>
        <v/>
      </c>
      <c r="AC311" s="6">
        <f t="shared" ca="1" si="138"/>
        <v>0</v>
      </c>
      <c r="AD311" s="8" t="s">
        <v>1227</v>
      </c>
      <c r="AE311" t="str">
        <f t="shared" si="137"/>
        <v>Diagnostic (FU)</v>
      </c>
      <c r="AF311" s="8">
        <f ca="1">SUMIFS(O$363:O$365,$L$363:$L$365,$AE241)+IF(OR(AND('Aggregate summary'!$L$3="Yes",'Aggregate summary'!$E$3="POD"),AND('Aggregate summary'!$U$3="Process",'Aggregate summary'!$T$76="Clearance + downstream effects")),SUMIFS(O$424:O$426,$L$424:$L$426,$AE241),0)</f>
        <v>0</v>
      </c>
      <c r="AG311" s="8">
        <f ca="1">SUMIFS(P$363:P$365,$L$363:$L$365,$AE241)+IF(OR(AND('Aggregate summary'!$L$3="Yes",'Aggregate summary'!$E$3="POD"),AND('Aggregate summary'!$U$3="Process",'Aggregate summary'!$T$76="Clearance + downstream effects")),SUMIFS(P$424:P$426,$L$424:$L$426,$AE241),0)</f>
        <v>0</v>
      </c>
      <c r="AH311" s="8">
        <f ca="1">SUMIFS(Q$363:Q$365,$L$363:$L$365,$AE241)+IF(OR(AND('Aggregate summary'!$L$3="Yes",'Aggregate summary'!$E$3="POD"),AND('Aggregate summary'!$U$3="Process",'Aggregate summary'!$T$76="Clearance + downstream effects")),SUMIFS(Q$424:Q$426,$L$424:$L$426,$AE241),0)</f>
        <v>0</v>
      </c>
      <c r="AI311" s="8">
        <f ca="1">SUMIFS(R$363:R$365,$L$363:$L$365,$AE241)+IF(OR(AND('Aggregate summary'!$L$3="Yes",'Aggregate summary'!$E$3="POD"),AND('Aggregate summary'!$U$3="Process",'Aggregate summary'!$T$76="Clearance + downstream effects")),SUMIFS(R$424:R$426,$L$424:$L$426,$AE241),0)</f>
        <v>0</v>
      </c>
      <c r="AJ311" s="8">
        <f ca="1">SUMIFS(S$363:S$365,$L$363:$L$365,$AE241)+IF(OR(AND('Aggregate summary'!$L$3="Yes",'Aggregate summary'!$E$3="POD"),AND('Aggregate summary'!$U$3="Process",'Aggregate summary'!$T$76="Clearance + downstream effects")),SUMIFS(S$424:S$426,$L$424:$L$426,$AE241),0)</f>
        <v>0</v>
      </c>
      <c r="AK311" s="8">
        <f ca="1">SUMIFS(T$363:T$365,$L$363:$L$365,$AE241)+IF(OR(AND('Aggregate summary'!$L$3="Yes",'Aggregate summary'!$E$3="POD"),AND('Aggregate summary'!$U$3="Process",'Aggregate summary'!$T$76="Clearance + downstream effects")),SUMIFS(T$424:T$426,$L$424:$L$426,$AE241),0)</f>
        <v>0</v>
      </c>
      <c r="AL311" s="8">
        <f ca="1">SUMIFS(U$363:U$365,$L$363:$L$365,$AE241)+IF(OR(AND('Aggregate summary'!$L$3="Yes",'Aggregate summary'!$E$3="POD"),AND('Aggregate summary'!$U$3="Process",'Aggregate summary'!$T$76="Clearance + downstream effects")),SUMIFS(U$424:U$426,$L$424:$L$426,$AE241),0)</f>
        <v>0</v>
      </c>
      <c r="AM311" s="8">
        <f ca="1">SUMIFS(V$363:V$365,$L$363:$L$365,$AE241)+IF(OR(AND('Aggregate summary'!$L$3="Yes",'Aggregate summary'!$E$3="POD"),AND('Aggregate summary'!$U$3="Process",'Aggregate summary'!$T$76="Clearance + downstream effects")),SUMIFS(V$424:V$426,$L$424:$L$426,$AE241),0)</f>
        <v>0</v>
      </c>
      <c r="AN311" s="8">
        <f ca="1">SUMIFS(W$363:W$365,$L$363:$L$365,$AE241)+IF(OR(AND('Aggregate summary'!$L$3="Yes",'Aggregate summary'!$E$3="POD"),AND('Aggregate summary'!$U$3="Process",'Aggregate summary'!$T$76="Clearance + downstream effects")),SUMIFS(W$424:W$426,$L$424:$L$426,$AE241),0)</f>
        <v>0</v>
      </c>
      <c r="AO311" s="8">
        <f ca="1">SUMIFS(X$363:X$365,$L$363:$L$365,$AE241)+IF(OR(AND('Aggregate summary'!$L$3="Yes",'Aggregate summary'!$E$3="POD"),AND('Aggregate summary'!$U$3="Process",'Aggregate summary'!$T$76="Clearance + downstream effects")),SUMIFS(X$424:X$426,$L$424:$L$426,$AE241),0)</f>
        <v>0</v>
      </c>
      <c r="AP311" s="8">
        <f ca="1">SUMIFS(Y$363:Y$365,$L$363:$L$365,$AE241)+IF(OR(AND('Aggregate summary'!$L$3="Yes",'Aggregate summary'!$E$3="POD"),AND('Aggregate summary'!$U$3="Process",'Aggregate summary'!$T$76="Clearance + downstream effects")),SUMIFS(Y$424:Y$426,$L$424:$L$426,$AE241),0)</f>
        <v>0</v>
      </c>
      <c r="AQ311" s="8">
        <f ca="1">SUMIFS(Z$363:Z$365,$L$363:$L$365,$AE241)+IF(OR(AND('Aggregate summary'!$L$3="Yes",'Aggregate summary'!$E$3="POD"),AND('Aggregate summary'!$U$3="Process",'Aggregate summary'!$T$76="Clearance + downstream effects")),SUMIFS(Z$424:Z$426,$L$424:$L$426,$AE241),0)</f>
        <v>0</v>
      </c>
    </row>
    <row r="312" spans="1:43" x14ac:dyDescent="0.25">
      <c r="A312">
        <f>1</f>
        <v>1</v>
      </c>
      <c r="B312" s="85">
        <f t="shared" si="136"/>
        <v>44100</v>
      </c>
      <c r="C312" s="85">
        <f t="shared" si="132"/>
        <v>44095</v>
      </c>
      <c r="D312">
        <f t="shared" ca="1" si="133"/>
        <v>0</v>
      </c>
      <c r="E312" s="85">
        <f t="shared" si="134"/>
        <v>44075</v>
      </c>
      <c r="F312">
        <f t="shared" si="135"/>
        <v>39</v>
      </c>
      <c r="M312" t="s">
        <v>839</v>
      </c>
      <c r="N312">
        <v>5</v>
      </c>
      <c r="O312" s="6">
        <f t="array" aca="1" ref="O312" ca="1">SUM(INDEX(WLBasic_Activity_Weekly_Summary,0,$N312)*O$43:O$95)</f>
        <v>0</v>
      </c>
      <c r="P312" s="6">
        <f t="array" aca="1" ref="P312" ca="1">SUM(INDEX(WLBasic_Activity_Weekly_Summary,0,$N312)*P$43:P$95)</f>
        <v>0</v>
      </c>
      <c r="Q312" s="6">
        <f t="array" aca="1" ref="Q312" ca="1">SUM(INDEX(WLBasic_Activity_Weekly_Summary,0,$N312)*Q$43:Q$95)</f>
        <v>0</v>
      </c>
      <c r="R312" s="6">
        <f t="array" aca="1" ref="R312" ca="1">SUM(INDEX(WLBasic_Activity_Weekly_Summary,0,$N312)*R$43:R$95)</f>
        <v>0</v>
      </c>
      <c r="S312" s="6">
        <f t="array" aca="1" ref="S312" ca="1">SUM(INDEX(WLBasic_Activity_Weekly_Summary,0,$N312)*S$43:S$95)</f>
        <v>0</v>
      </c>
      <c r="T312" s="6">
        <f t="array" aca="1" ref="T312" ca="1">SUM(INDEX(WLBasic_Activity_Weekly_Summary,0,$N312)*T$43:T$95)</f>
        <v>0</v>
      </c>
      <c r="U312" s="6">
        <f t="array" aca="1" ref="U312" ca="1">SUM(INDEX(WLBasic_Activity_Weekly_Summary,0,$N312)*U$43:U$95)</f>
        <v>0</v>
      </c>
      <c r="V312" s="6">
        <f t="array" aca="1" ref="V312" ca="1">SUM(INDEX(WLBasic_Activity_Weekly_Summary,0,$N312)*V$43:V$95)</f>
        <v>0</v>
      </c>
      <c r="W312" s="6">
        <f t="array" aca="1" ref="W312" ca="1">SUM(INDEX(WLBasic_Activity_Weekly_Summary,0,$N312)*W$43:W$95)</f>
        <v>0</v>
      </c>
      <c r="X312" s="6">
        <f t="array" aca="1" ref="X312" ca="1">SUM(INDEX(WLBasic_Activity_Weekly_Summary,0,$N312)*X$43:X$95)</f>
        <v>0</v>
      </c>
      <c r="Y312" s="6">
        <f t="array" aca="1" ref="Y312" ca="1">SUM(INDEX(WLBasic_Activity_Weekly_Summary,0,$N312)*Y$43:Y$95)</f>
        <v>0</v>
      </c>
      <c r="Z312" s="6">
        <f t="array" aca="1" ref="Z312" ca="1">SUM(INDEX(WLBasic_Activity_Weekly_Summary,0,$N312)*Z$43:Z$95)</f>
        <v>0</v>
      </c>
      <c r="AA312" s="6" t="str">
        <f t="shared" si="139"/>
        <v/>
      </c>
      <c r="AB312" s="6" t="str">
        <f>IF($J$105="","",IF($J$105&lt;=12,INDEX(WLBasic_Activity_Monthly,$N312,$J$105),AVERAGE(O312:Z312)))</f>
        <v/>
      </c>
      <c r="AC312" s="6">
        <f t="shared" ca="1" si="138"/>
        <v>0</v>
      </c>
      <c r="AD312" s="8" t="s">
        <v>1227</v>
      </c>
      <c r="AE312" t="str">
        <f t="shared" si="137"/>
        <v>Admission</v>
      </c>
      <c r="AF312" s="8">
        <f ca="1">SUMIFS(O$363:O$365,$L$363:$L$365,$AE242)+IF(OR(AND('Aggregate summary'!$L$3="Yes",'Aggregate summary'!$E$3="POD"),AND('Aggregate summary'!$U$3="Process",'Aggregate summary'!$T$76="Clearance + downstream effects")),SUMIFS(O$424:O$426,$L$424:$L$426,$AE242),0)</f>
        <v>0</v>
      </c>
      <c r="AG312" s="8">
        <f ca="1">SUMIFS(P$363:P$365,$L$363:$L$365,$AE242)+IF(OR(AND('Aggregate summary'!$L$3="Yes",'Aggregate summary'!$E$3="POD"),AND('Aggregate summary'!$U$3="Process",'Aggregate summary'!$T$76="Clearance + downstream effects")),SUMIFS(P$424:P$426,$L$424:$L$426,$AE242),0)</f>
        <v>0</v>
      </c>
      <c r="AH312" s="8">
        <f ca="1">SUMIFS(Q$363:Q$365,$L$363:$L$365,$AE242)+IF(OR(AND('Aggregate summary'!$L$3="Yes",'Aggregate summary'!$E$3="POD"),AND('Aggregate summary'!$U$3="Process",'Aggregate summary'!$T$76="Clearance + downstream effects")),SUMIFS(Q$424:Q$426,$L$424:$L$426,$AE242),0)</f>
        <v>0</v>
      </c>
      <c r="AI312" s="8">
        <f ca="1">SUMIFS(R$363:R$365,$L$363:$L$365,$AE242)+IF(OR(AND('Aggregate summary'!$L$3="Yes",'Aggregate summary'!$E$3="POD"),AND('Aggregate summary'!$U$3="Process",'Aggregate summary'!$T$76="Clearance + downstream effects")),SUMIFS(R$424:R$426,$L$424:$L$426,$AE242),0)</f>
        <v>0</v>
      </c>
      <c r="AJ312" s="8">
        <f ca="1">SUMIFS(S$363:S$365,$L$363:$L$365,$AE242)+IF(OR(AND('Aggregate summary'!$L$3="Yes",'Aggregate summary'!$E$3="POD"),AND('Aggregate summary'!$U$3="Process",'Aggregate summary'!$T$76="Clearance + downstream effects")),SUMIFS(S$424:S$426,$L$424:$L$426,$AE242),0)</f>
        <v>0</v>
      </c>
      <c r="AK312" s="8">
        <f ca="1">SUMIFS(T$363:T$365,$L$363:$L$365,$AE242)+IF(OR(AND('Aggregate summary'!$L$3="Yes",'Aggregate summary'!$E$3="POD"),AND('Aggregate summary'!$U$3="Process",'Aggregate summary'!$T$76="Clearance + downstream effects")),SUMIFS(T$424:T$426,$L$424:$L$426,$AE242),0)</f>
        <v>0</v>
      </c>
      <c r="AL312" s="8">
        <f ca="1">SUMIFS(U$363:U$365,$L$363:$L$365,$AE242)+IF(OR(AND('Aggregate summary'!$L$3="Yes",'Aggregate summary'!$E$3="POD"),AND('Aggregate summary'!$U$3="Process",'Aggregate summary'!$T$76="Clearance + downstream effects")),SUMIFS(U$424:U$426,$L$424:$L$426,$AE242),0)</f>
        <v>0</v>
      </c>
      <c r="AM312" s="8">
        <f ca="1">SUMIFS(V$363:V$365,$L$363:$L$365,$AE242)+IF(OR(AND('Aggregate summary'!$L$3="Yes",'Aggregate summary'!$E$3="POD"),AND('Aggregate summary'!$U$3="Process",'Aggregate summary'!$T$76="Clearance + downstream effects")),SUMIFS(V$424:V$426,$L$424:$L$426,$AE242),0)</f>
        <v>0</v>
      </c>
      <c r="AN312" s="8">
        <f ca="1">SUMIFS(W$363:W$365,$L$363:$L$365,$AE242)+IF(OR(AND('Aggregate summary'!$L$3="Yes",'Aggregate summary'!$E$3="POD"),AND('Aggregate summary'!$U$3="Process",'Aggregate summary'!$T$76="Clearance + downstream effects")),SUMIFS(W$424:W$426,$L$424:$L$426,$AE242),0)</f>
        <v>0</v>
      </c>
      <c r="AO312" s="8">
        <f ca="1">SUMIFS(X$363:X$365,$L$363:$L$365,$AE242)+IF(OR(AND('Aggregate summary'!$L$3="Yes",'Aggregate summary'!$E$3="POD"),AND('Aggregate summary'!$U$3="Process",'Aggregate summary'!$T$76="Clearance + downstream effects")),SUMIFS(X$424:X$426,$L$424:$L$426,$AE242),0)</f>
        <v>0</v>
      </c>
      <c r="AP312" s="8">
        <f ca="1">SUMIFS(Y$363:Y$365,$L$363:$L$365,$AE242)+IF(OR(AND('Aggregate summary'!$L$3="Yes",'Aggregate summary'!$E$3="POD"),AND('Aggregate summary'!$U$3="Process",'Aggregate summary'!$T$76="Clearance + downstream effects")),SUMIFS(Y$424:Y$426,$L$424:$L$426,$AE242),0)</f>
        <v>0</v>
      </c>
      <c r="AQ312" s="8">
        <f ca="1">SUMIFS(Z$363:Z$365,$L$363:$L$365,$AE242)+IF(OR(AND('Aggregate summary'!$L$3="Yes",'Aggregate summary'!$E$3="POD"),AND('Aggregate summary'!$U$3="Process",'Aggregate summary'!$T$76="Clearance + downstream effects")),SUMIFS(Z$424:Z$426,$L$424:$L$426,$AE242),0)</f>
        <v>0</v>
      </c>
    </row>
    <row r="313" spans="1:43" x14ac:dyDescent="0.25">
      <c r="A313">
        <f>1</f>
        <v>1</v>
      </c>
      <c r="B313" s="85">
        <f t="shared" si="136"/>
        <v>44101</v>
      </c>
      <c r="C313" s="85">
        <f t="shared" si="132"/>
        <v>44095</v>
      </c>
      <c r="D313">
        <f t="shared" ca="1" si="133"/>
        <v>0</v>
      </c>
      <c r="E313" s="85">
        <f t="shared" si="134"/>
        <v>44075</v>
      </c>
      <c r="F313">
        <f t="shared" si="135"/>
        <v>39</v>
      </c>
      <c r="L313" t="s">
        <v>1365</v>
      </c>
      <c r="M313" t="s">
        <v>815</v>
      </c>
      <c r="N313">
        <v>1</v>
      </c>
      <c r="O313" s="6">
        <f t="array" aca="1" ref="O313" ca="1">SUM(INDEX(WLFlow_Activity_Weekly_Summary,0,$N313)*O$43:O$95)</f>
        <v>0</v>
      </c>
      <c r="P313" s="6">
        <f t="array" aca="1" ref="P313" ca="1">SUM(INDEX(WLFlow_Activity_Weekly_Summary,0,$N313)*P$43:P$95)</f>
        <v>0</v>
      </c>
      <c r="Q313" s="6">
        <f t="array" aca="1" ref="Q313" ca="1">SUM(INDEX(WLFlow_Activity_Weekly_Summary,0,$N313)*Q$43:Q$95)</f>
        <v>0</v>
      </c>
      <c r="R313" s="6">
        <f t="array" aca="1" ref="R313" ca="1">SUM(INDEX(WLFlow_Activity_Weekly_Summary,0,$N313)*R$43:R$95)</f>
        <v>0</v>
      </c>
      <c r="S313" s="6">
        <f t="array" aca="1" ref="S313" ca="1">SUM(INDEX(WLFlow_Activity_Weekly_Summary,0,$N313)*S$43:S$95)</f>
        <v>0</v>
      </c>
      <c r="T313" s="6">
        <f t="array" aca="1" ref="T313" ca="1">SUM(INDEX(WLFlow_Activity_Weekly_Summary,0,$N313)*T$43:T$95)</f>
        <v>0</v>
      </c>
      <c r="U313" s="6">
        <f t="array" aca="1" ref="U313" ca="1">SUM(INDEX(WLFlow_Activity_Weekly_Summary,0,$N313)*U$43:U$95)</f>
        <v>0</v>
      </c>
      <c r="V313" s="6">
        <f t="array" aca="1" ref="V313" ca="1">SUM(INDEX(WLFlow_Activity_Weekly_Summary,0,$N313)*V$43:V$95)</f>
        <v>0</v>
      </c>
      <c r="W313" s="6">
        <f t="array" aca="1" ref="W313" ca="1">SUM(INDEX(WLFlow_Activity_Weekly_Summary,0,$N313)*W$43:W$95)</f>
        <v>0</v>
      </c>
      <c r="X313" s="6">
        <f t="array" aca="1" ref="X313" ca="1">SUM(INDEX(WLFlow_Activity_Weekly_Summary,0,$N313)*X$43:X$95)</f>
        <v>0</v>
      </c>
      <c r="Y313" s="6">
        <f t="array" aca="1" ref="Y313" ca="1">SUM(INDEX(WLFlow_Activity_Weekly_Summary,0,$N313)*Y$43:Y$95)</f>
        <v>0</v>
      </c>
      <c r="Z313" s="6">
        <f t="array" aca="1" ref="Z313" ca="1">SUM(INDEX(WLFlow_Activity_Weekly_Summary,0,$N313)*Z$43:Z$95)</f>
        <v>0</v>
      </c>
      <c r="AA313" s="6" t="str">
        <f>IF($J$104="","",INDEX($MN$43:$MR$98,$J$104,$N313))</f>
        <v/>
      </c>
      <c r="AB313" s="6" t="str">
        <f>IF($J$105="","",IF($J$105&lt;=12,INDEX(WLFlow_Activity_Monthly,$N313,$J$105),AVERAGE(O313:Z313)))</f>
        <v/>
      </c>
      <c r="AC313" s="6">
        <f t="shared" ca="1" si="138"/>
        <v>0</v>
      </c>
      <c r="AD313" s="8">
        <v>16</v>
      </c>
      <c r="AE313" t="str">
        <f t="shared" si="137"/>
        <v>New</v>
      </c>
      <c r="AF313" s="8">
        <f ca="1">SUMIFS(O$366:O$368,$L$366:$L$368,$AE238)+IF(OR(AND('Aggregate summary'!$L$3="Yes",'Aggregate summary'!$E$3="POD"),AND('Aggregate summary'!$U$3="Process",'Aggregate summary'!$T$76="Clearance + downstream effects")),SUMIFS(O$427:O$429,$L$427:$L$429,$AE238),0)</f>
        <v>0</v>
      </c>
      <c r="AG313" s="8">
        <f ca="1">SUMIFS(P$366:P$368,$L$366:$L$368,$AE238)+IF(OR(AND('Aggregate summary'!$L$3="Yes",'Aggregate summary'!$E$3="POD"),AND('Aggregate summary'!$U$3="Process",'Aggregate summary'!$T$76="Clearance + downstream effects")),SUMIFS(P$427:P$429,$L$427:$L$429,$AE238),0)</f>
        <v>0</v>
      </c>
      <c r="AH313" s="8">
        <f ca="1">SUMIFS(Q$366:Q$368,$L$366:$L$368,$AE238)+IF(OR(AND('Aggregate summary'!$L$3="Yes",'Aggregate summary'!$E$3="POD"),AND('Aggregate summary'!$U$3="Process",'Aggregate summary'!$T$76="Clearance + downstream effects")),SUMIFS(Q$427:Q$429,$L$427:$L$429,$AE238),0)</f>
        <v>0</v>
      </c>
      <c r="AI313" s="8">
        <f ca="1">SUMIFS(R$366:R$368,$L$366:$L$368,$AE238)+IF(OR(AND('Aggregate summary'!$L$3="Yes",'Aggregate summary'!$E$3="POD"),AND('Aggregate summary'!$U$3="Process",'Aggregate summary'!$T$76="Clearance + downstream effects")),SUMIFS(R$427:R$429,$L$427:$L$429,$AE238),0)</f>
        <v>0</v>
      </c>
      <c r="AJ313" s="8">
        <f ca="1">SUMIFS(S$366:S$368,$L$366:$L$368,$AE238)+IF(OR(AND('Aggregate summary'!$L$3="Yes",'Aggregate summary'!$E$3="POD"),AND('Aggregate summary'!$U$3="Process",'Aggregate summary'!$T$76="Clearance + downstream effects")),SUMIFS(S$427:S$429,$L$427:$L$429,$AE238),0)</f>
        <v>0</v>
      </c>
      <c r="AK313" s="8">
        <f ca="1">SUMIFS(T$366:T$368,$L$366:$L$368,$AE238)+IF(OR(AND('Aggregate summary'!$L$3="Yes",'Aggregate summary'!$E$3="POD"),AND('Aggregate summary'!$U$3="Process",'Aggregate summary'!$T$76="Clearance + downstream effects")),SUMIFS(T$427:T$429,$L$427:$L$429,$AE238),0)</f>
        <v>0</v>
      </c>
      <c r="AL313" s="8">
        <f ca="1">SUMIFS(U$366:U$368,$L$366:$L$368,$AE238)+IF(OR(AND('Aggregate summary'!$L$3="Yes",'Aggregate summary'!$E$3="POD"),AND('Aggregate summary'!$U$3="Process",'Aggregate summary'!$T$76="Clearance + downstream effects")),SUMIFS(U$427:U$429,$L$427:$L$429,$AE238),0)</f>
        <v>0</v>
      </c>
      <c r="AM313" s="8">
        <f ca="1">SUMIFS(V$366:V$368,$L$366:$L$368,$AE238)+IF(OR(AND('Aggregate summary'!$L$3="Yes",'Aggregate summary'!$E$3="POD"),AND('Aggregate summary'!$U$3="Process",'Aggregate summary'!$T$76="Clearance + downstream effects")),SUMIFS(V$427:V$429,$L$427:$L$429,$AE238),0)</f>
        <v>0</v>
      </c>
      <c r="AN313" s="8">
        <f ca="1">SUMIFS(W$366:W$368,$L$366:$L$368,$AE238)+IF(OR(AND('Aggregate summary'!$L$3="Yes",'Aggregate summary'!$E$3="POD"),AND('Aggregate summary'!$U$3="Process",'Aggregate summary'!$T$76="Clearance + downstream effects")),SUMIFS(W$427:W$429,$L$427:$L$429,$AE238),0)</f>
        <v>0</v>
      </c>
      <c r="AO313" s="8">
        <f ca="1">SUMIFS(X$366:X$368,$L$366:$L$368,$AE238)+IF(OR(AND('Aggregate summary'!$L$3="Yes",'Aggregate summary'!$E$3="POD"),AND('Aggregate summary'!$U$3="Process",'Aggregate summary'!$T$76="Clearance + downstream effects")),SUMIFS(X$427:X$429,$L$427:$L$429,$AE238),0)</f>
        <v>0</v>
      </c>
      <c r="AP313" s="8">
        <f ca="1">SUMIFS(Y$366:Y$368,$L$366:$L$368,$AE238)+IF(OR(AND('Aggregate summary'!$L$3="Yes",'Aggregate summary'!$E$3="POD"),AND('Aggregate summary'!$U$3="Process",'Aggregate summary'!$T$76="Clearance + downstream effects")),SUMIFS(Y$427:Y$429,$L$427:$L$429,$AE238),0)</f>
        <v>0</v>
      </c>
      <c r="AQ313" s="8">
        <f ca="1">SUMIFS(Z$366:Z$368,$L$366:$L$368,$AE238)+IF(OR(AND('Aggregate summary'!$L$3="Yes",'Aggregate summary'!$E$3="POD"),AND('Aggregate summary'!$U$3="Process",'Aggregate summary'!$T$76="Clearance + downstream effects")),SUMIFS(Z$427:Z$429,$L$427:$L$429,$AE238),0)</f>
        <v>0</v>
      </c>
    </row>
    <row r="314" spans="1:43" x14ac:dyDescent="0.25">
      <c r="A314">
        <f>1</f>
        <v>1</v>
      </c>
      <c r="B314" s="85">
        <f t="shared" si="136"/>
        <v>44102</v>
      </c>
      <c r="C314" s="85">
        <f t="shared" si="132"/>
        <v>44102</v>
      </c>
      <c r="D314">
        <f t="shared" ca="1" si="133"/>
        <v>1</v>
      </c>
      <c r="E314" s="85">
        <f t="shared" si="134"/>
        <v>44075</v>
      </c>
      <c r="F314">
        <f t="shared" si="135"/>
        <v>40</v>
      </c>
      <c r="M314" t="s">
        <v>841</v>
      </c>
      <c r="N314">
        <v>2</v>
      </c>
      <c r="O314" s="6">
        <f t="array" aca="1" ref="O314" ca="1">SUM(INDEX(WLFlow_Activity_Weekly_Summary,0,$N314)*O$43:O$95)</f>
        <v>0</v>
      </c>
      <c r="P314" s="6">
        <f t="array" aca="1" ref="P314" ca="1">SUM(INDEX(WLFlow_Activity_Weekly_Summary,0,$N314)*P$43:P$95)</f>
        <v>0</v>
      </c>
      <c r="Q314" s="6">
        <f t="array" aca="1" ref="Q314" ca="1">SUM(INDEX(WLFlow_Activity_Weekly_Summary,0,$N314)*Q$43:Q$95)</f>
        <v>0</v>
      </c>
      <c r="R314" s="6">
        <f t="array" aca="1" ref="R314" ca="1">SUM(INDEX(WLFlow_Activity_Weekly_Summary,0,$N314)*R$43:R$95)</f>
        <v>0</v>
      </c>
      <c r="S314" s="6">
        <f t="array" aca="1" ref="S314" ca="1">SUM(INDEX(WLFlow_Activity_Weekly_Summary,0,$N314)*S$43:S$95)</f>
        <v>0</v>
      </c>
      <c r="T314" s="6">
        <f t="array" aca="1" ref="T314" ca="1">SUM(INDEX(WLFlow_Activity_Weekly_Summary,0,$N314)*T$43:T$95)</f>
        <v>0</v>
      </c>
      <c r="U314" s="6">
        <f t="array" aca="1" ref="U314" ca="1">SUM(INDEX(WLFlow_Activity_Weekly_Summary,0,$N314)*U$43:U$95)</f>
        <v>0</v>
      </c>
      <c r="V314" s="6">
        <f t="array" aca="1" ref="V314" ca="1">SUM(INDEX(WLFlow_Activity_Weekly_Summary,0,$N314)*V$43:V$95)</f>
        <v>0</v>
      </c>
      <c r="W314" s="6">
        <f t="array" aca="1" ref="W314" ca="1">SUM(INDEX(WLFlow_Activity_Weekly_Summary,0,$N314)*W$43:W$95)</f>
        <v>0</v>
      </c>
      <c r="X314" s="6">
        <f t="array" aca="1" ref="X314" ca="1">SUM(INDEX(WLFlow_Activity_Weekly_Summary,0,$N314)*X$43:X$95)</f>
        <v>0</v>
      </c>
      <c r="Y314" s="6">
        <f t="array" aca="1" ref="Y314" ca="1">SUM(INDEX(WLFlow_Activity_Weekly_Summary,0,$N314)*Y$43:Y$95)</f>
        <v>0</v>
      </c>
      <c r="Z314" s="6">
        <f t="array" aca="1" ref="Z314" ca="1">SUM(INDEX(WLFlow_Activity_Weekly_Summary,0,$N314)*Z$43:Z$95)</f>
        <v>0</v>
      </c>
      <c r="AA314" s="6" t="str">
        <f t="shared" ref="AA314:AA317" si="140">IF($J$104="","",INDEX($MN$43:$MR$98,$J$104,$N314))</f>
        <v/>
      </c>
      <c r="AB314" s="6" t="str">
        <f>IF($J$105="","",IF($J$105&lt;=12,INDEX(WLFlow_Activity_Monthly,$N314,$J$105),AVERAGE(O314:Z314)))</f>
        <v/>
      </c>
      <c r="AC314" s="6">
        <f t="shared" ca="1" si="138"/>
        <v>0</v>
      </c>
      <c r="AD314" s="8" t="s">
        <v>1227</v>
      </c>
      <c r="AE314" t="str">
        <f t="shared" si="137"/>
        <v>Diagnostic (N)</v>
      </c>
      <c r="AF314" s="8">
        <f ca="1">SUMIFS(O$366:O$368,$L$366:$L$368,$AE239)+IF(OR(AND('Aggregate summary'!$L$3="Yes",'Aggregate summary'!$E$3="POD"),AND('Aggregate summary'!$U$3="Process",'Aggregate summary'!$T$76="Clearance + downstream effects")),SUMIFS(O$427:O$429,$L$427:$L$429,$AE239),0)</f>
        <v>0</v>
      </c>
      <c r="AG314" s="8">
        <f ca="1">SUMIFS(P$366:P$368,$L$366:$L$368,$AE239)+IF(OR(AND('Aggregate summary'!$L$3="Yes",'Aggregate summary'!$E$3="POD"),AND('Aggregate summary'!$U$3="Process",'Aggregate summary'!$T$76="Clearance + downstream effects")),SUMIFS(P$427:P$429,$L$427:$L$429,$AE239),0)</f>
        <v>0</v>
      </c>
      <c r="AH314" s="8">
        <f ca="1">SUMIFS(Q$366:Q$368,$L$366:$L$368,$AE239)+IF(OR(AND('Aggregate summary'!$L$3="Yes",'Aggregate summary'!$E$3="POD"),AND('Aggregate summary'!$U$3="Process",'Aggregate summary'!$T$76="Clearance + downstream effects")),SUMIFS(Q$427:Q$429,$L$427:$L$429,$AE239),0)</f>
        <v>0</v>
      </c>
      <c r="AI314" s="8">
        <f ca="1">SUMIFS(R$366:R$368,$L$366:$L$368,$AE239)+IF(OR(AND('Aggregate summary'!$L$3="Yes",'Aggregate summary'!$E$3="POD"),AND('Aggregate summary'!$U$3="Process",'Aggregate summary'!$T$76="Clearance + downstream effects")),SUMIFS(R$427:R$429,$L$427:$L$429,$AE239),0)</f>
        <v>0</v>
      </c>
      <c r="AJ314" s="8">
        <f ca="1">SUMIFS(S$366:S$368,$L$366:$L$368,$AE239)+IF(OR(AND('Aggregate summary'!$L$3="Yes",'Aggregate summary'!$E$3="POD"),AND('Aggregate summary'!$U$3="Process",'Aggregate summary'!$T$76="Clearance + downstream effects")),SUMIFS(S$427:S$429,$L$427:$L$429,$AE239),0)</f>
        <v>0</v>
      </c>
      <c r="AK314" s="8">
        <f ca="1">SUMIFS(T$366:T$368,$L$366:$L$368,$AE239)+IF(OR(AND('Aggregate summary'!$L$3="Yes",'Aggregate summary'!$E$3="POD"),AND('Aggregate summary'!$U$3="Process",'Aggregate summary'!$T$76="Clearance + downstream effects")),SUMIFS(T$427:T$429,$L$427:$L$429,$AE239),0)</f>
        <v>0</v>
      </c>
      <c r="AL314" s="8">
        <f ca="1">SUMIFS(U$366:U$368,$L$366:$L$368,$AE239)+IF(OR(AND('Aggregate summary'!$L$3="Yes",'Aggregate summary'!$E$3="POD"),AND('Aggregate summary'!$U$3="Process",'Aggregate summary'!$T$76="Clearance + downstream effects")),SUMIFS(U$427:U$429,$L$427:$L$429,$AE239),0)</f>
        <v>0</v>
      </c>
      <c r="AM314" s="8">
        <f ca="1">SUMIFS(V$366:V$368,$L$366:$L$368,$AE239)+IF(OR(AND('Aggregate summary'!$L$3="Yes",'Aggregate summary'!$E$3="POD"),AND('Aggregate summary'!$U$3="Process",'Aggregate summary'!$T$76="Clearance + downstream effects")),SUMIFS(V$427:V$429,$L$427:$L$429,$AE239),0)</f>
        <v>0</v>
      </c>
      <c r="AN314" s="8">
        <f ca="1">SUMIFS(W$366:W$368,$L$366:$L$368,$AE239)+IF(OR(AND('Aggregate summary'!$L$3="Yes",'Aggregate summary'!$E$3="POD"),AND('Aggregate summary'!$U$3="Process",'Aggregate summary'!$T$76="Clearance + downstream effects")),SUMIFS(W$427:W$429,$L$427:$L$429,$AE239),0)</f>
        <v>0</v>
      </c>
      <c r="AO314" s="8">
        <f ca="1">SUMIFS(X$366:X$368,$L$366:$L$368,$AE239)+IF(OR(AND('Aggregate summary'!$L$3="Yes",'Aggregate summary'!$E$3="POD"),AND('Aggregate summary'!$U$3="Process",'Aggregate summary'!$T$76="Clearance + downstream effects")),SUMIFS(X$427:X$429,$L$427:$L$429,$AE239),0)</f>
        <v>0</v>
      </c>
      <c r="AP314" s="8">
        <f ca="1">SUMIFS(Y$366:Y$368,$L$366:$L$368,$AE239)+IF(OR(AND('Aggregate summary'!$L$3="Yes",'Aggregate summary'!$E$3="POD"),AND('Aggregate summary'!$U$3="Process",'Aggregate summary'!$T$76="Clearance + downstream effects")),SUMIFS(Y$427:Y$429,$L$427:$L$429,$AE239),0)</f>
        <v>0</v>
      </c>
      <c r="AQ314" s="8">
        <f ca="1">SUMIFS(Z$366:Z$368,$L$366:$L$368,$AE239)+IF(OR(AND('Aggregate summary'!$L$3="Yes",'Aggregate summary'!$E$3="POD"),AND('Aggregate summary'!$U$3="Process",'Aggregate summary'!$T$76="Clearance + downstream effects")),SUMIFS(Z$427:Z$429,$L$427:$L$429,$AE239),0)</f>
        <v>0</v>
      </c>
    </row>
    <row r="315" spans="1:43" x14ac:dyDescent="0.25">
      <c r="A315">
        <f>1</f>
        <v>1</v>
      </c>
      <c r="B315" s="85">
        <f t="shared" si="136"/>
        <v>44103</v>
      </c>
      <c r="C315" s="85">
        <f t="shared" si="132"/>
        <v>44102</v>
      </c>
      <c r="D315">
        <f t="shared" ca="1" si="133"/>
        <v>1</v>
      </c>
      <c r="E315" s="85">
        <f t="shared" si="134"/>
        <v>44075</v>
      </c>
      <c r="F315">
        <f t="shared" si="135"/>
        <v>40</v>
      </c>
      <c r="M315" t="s">
        <v>991</v>
      </c>
      <c r="N315">
        <v>3</v>
      </c>
      <c r="O315" s="6">
        <f t="array" aca="1" ref="O315" ca="1">SUM(INDEX(WLFlow_Activity_Weekly_Summary,0,$N315)*O$43:O$95)</f>
        <v>0</v>
      </c>
      <c r="P315" s="6">
        <f t="array" aca="1" ref="P315" ca="1">SUM(INDEX(WLFlow_Activity_Weekly_Summary,0,$N315)*P$43:P$95)</f>
        <v>0</v>
      </c>
      <c r="Q315" s="6">
        <f t="array" aca="1" ref="Q315" ca="1">SUM(INDEX(WLFlow_Activity_Weekly_Summary,0,$N315)*Q$43:Q$95)</f>
        <v>0</v>
      </c>
      <c r="R315" s="6">
        <f t="array" aca="1" ref="R315" ca="1">SUM(INDEX(WLFlow_Activity_Weekly_Summary,0,$N315)*R$43:R$95)</f>
        <v>0</v>
      </c>
      <c r="S315" s="6">
        <f t="array" aca="1" ref="S315" ca="1">SUM(INDEX(WLFlow_Activity_Weekly_Summary,0,$N315)*S$43:S$95)</f>
        <v>0</v>
      </c>
      <c r="T315" s="6">
        <f t="array" aca="1" ref="T315" ca="1">SUM(INDEX(WLFlow_Activity_Weekly_Summary,0,$N315)*T$43:T$95)</f>
        <v>0</v>
      </c>
      <c r="U315" s="6">
        <f t="array" aca="1" ref="U315" ca="1">SUM(INDEX(WLFlow_Activity_Weekly_Summary,0,$N315)*U$43:U$95)</f>
        <v>0</v>
      </c>
      <c r="V315" s="6">
        <f t="array" aca="1" ref="V315" ca="1">SUM(INDEX(WLFlow_Activity_Weekly_Summary,0,$N315)*V$43:V$95)</f>
        <v>0</v>
      </c>
      <c r="W315" s="6">
        <f t="array" aca="1" ref="W315" ca="1">SUM(INDEX(WLFlow_Activity_Weekly_Summary,0,$N315)*W$43:W$95)</f>
        <v>0</v>
      </c>
      <c r="X315" s="6">
        <f t="array" aca="1" ref="X315" ca="1">SUM(INDEX(WLFlow_Activity_Weekly_Summary,0,$N315)*X$43:X$95)</f>
        <v>0</v>
      </c>
      <c r="Y315" s="6">
        <f t="array" aca="1" ref="Y315" ca="1">SUM(INDEX(WLFlow_Activity_Weekly_Summary,0,$N315)*Y$43:Y$95)</f>
        <v>0</v>
      </c>
      <c r="Z315" s="6">
        <f t="array" aca="1" ref="Z315" ca="1">SUM(INDEX(WLFlow_Activity_Weekly_Summary,0,$N315)*Z$43:Z$95)</f>
        <v>0</v>
      </c>
      <c r="AA315" s="6" t="str">
        <f t="shared" si="140"/>
        <v/>
      </c>
      <c r="AB315" s="6" t="str">
        <f>IF($J$105="","",IF($J$105&lt;=12,INDEX(WLFlow_Activity_Monthly,$N315,$J$105),AVERAGE(O315:Z315)))</f>
        <v/>
      </c>
      <c r="AC315" s="6">
        <f t="shared" ca="1" si="138"/>
        <v>0</v>
      </c>
      <c r="AD315" s="8" t="s">
        <v>1227</v>
      </c>
      <c r="AE315" t="str">
        <f t="shared" si="137"/>
        <v>Follow Up</v>
      </c>
      <c r="AF315" s="8">
        <f ca="1">SUMIFS(O$366:O$368,$L$366:$L$368,$AE240)+IF(OR(AND('Aggregate summary'!$L$3="Yes",'Aggregate summary'!$E$3="POD"),AND('Aggregate summary'!$U$3="Process",'Aggregate summary'!$T$76="Clearance + downstream effects")),SUMIFS(O$427:O$429,$L$427:$L$429,$AE240),0)</f>
        <v>0</v>
      </c>
      <c r="AG315" s="8">
        <f ca="1">SUMIFS(P$366:P$368,$L$366:$L$368,$AE240)+IF(OR(AND('Aggregate summary'!$L$3="Yes",'Aggregate summary'!$E$3="POD"),AND('Aggregate summary'!$U$3="Process",'Aggregate summary'!$T$76="Clearance + downstream effects")),SUMIFS(P$427:P$429,$L$427:$L$429,$AE240),0)</f>
        <v>0</v>
      </c>
      <c r="AH315" s="8">
        <f ca="1">SUMIFS(Q$366:Q$368,$L$366:$L$368,$AE240)+IF(OR(AND('Aggregate summary'!$L$3="Yes",'Aggregate summary'!$E$3="POD"),AND('Aggregate summary'!$U$3="Process",'Aggregate summary'!$T$76="Clearance + downstream effects")),SUMIFS(Q$427:Q$429,$L$427:$L$429,$AE240),0)</f>
        <v>0</v>
      </c>
      <c r="AI315" s="8">
        <f ca="1">SUMIFS(R$366:R$368,$L$366:$L$368,$AE240)+IF(OR(AND('Aggregate summary'!$L$3="Yes",'Aggregate summary'!$E$3="POD"),AND('Aggregate summary'!$U$3="Process",'Aggregate summary'!$T$76="Clearance + downstream effects")),SUMIFS(R$427:R$429,$L$427:$L$429,$AE240),0)</f>
        <v>0</v>
      </c>
      <c r="AJ315" s="8">
        <f ca="1">SUMIFS(S$366:S$368,$L$366:$L$368,$AE240)+IF(OR(AND('Aggregate summary'!$L$3="Yes",'Aggregate summary'!$E$3="POD"),AND('Aggregate summary'!$U$3="Process",'Aggregate summary'!$T$76="Clearance + downstream effects")),SUMIFS(S$427:S$429,$L$427:$L$429,$AE240),0)</f>
        <v>0</v>
      </c>
      <c r="AK315" s="8">
        <f ca="1">SUMIFS(T$366:T$368,$L$366:$L$368,$AE240)+IF(OR(AND('Aggregate summary'!$L$3="Yes",'Aggregate summary'!$E$3="POD"),AND('Aggregate summary'!$U$3="Process",'Aggregate summary'!$T$76="Clearance + downstream effects")),SUMIFS(T$427:T$429,$L$427:$L$429,$AE240),0)</f>
        <v>0</v>
      </c>
      <c r="AL315" s="8">
        <f ca="1">SUMIFS(U$366:U$368,$L$366:$L$368,$AE240)+IF(OR(AND('Aggregate summary'!$L$3="Yes",'Aggregate summary'!$E$3="POD"),AND('Aggregate summary'!$U$3="Process",'Aggregate summary'!$T$76="Clearance + downstream effects")),SUMIFS(U$427:U$429,$L$427:$L$429,$AE240),0)</f>
        <v>0</v>
      </c>
      <c r="AM315" s="8">
        <f ca="1">SUMIFS(V$366:V$368,$L$366:$L$368,$AE240)+IF(OR(AND('Aggregate summary'!$L$3="Yes",'Aggregate summary'!$E$3="POD"),AND('Aggregate summary'!$U$3="Process",'Aggregate summary'!$T$76="Clearance + downstream effects")),SUMIFS(V$427:V$429,$L$427:$L$429,$AE240),0)</f>
        <v>0</v>
      </c>
      <c r="AN315" s="8">
        <f ca="1">SUMIFS(W$366:W$368,$L$366:$L$368,$AE240)+IF(OR(AND('Aggregate summary'!$L$3="Yes",'Aggregate summary'!$E$3="POD"),AND('Aggregate summary'!$U$3="Process",'Aggregate summary'!$T$76="Clearance + downstream effects")),SUMIFS(W$427:W$429,$L$427:$L$429,$AE240),0)</f>
        <v>0</v>
      </c>
      <c r="AO315" s="8">
        <f ca="1">SUMIFS(X$366:X$368,$L$366:$L$368,$AE240)+IF(OR(AND('Aggregate summary'!$L$3="Yes",'Aggregate summary'!$E$3="POD"),AND('Aggregate summary'!$U$3="Process",'Aggregate summary'!$T$76="Clearance + downstream effects")),SUMIFS(X$427:X$429,$L$427:$L$429,$AE240),0)</f>
        <v>0</v>
      </c>
      <c r="AP315" s="8">
        <f ca="1">SUMIFS(Y$366:Y$368,$L$366:$L$368,$AE240)+IF(OR(AND('Aggregate summary'!$L$3="Yes",'Aggregate summary'!$E$3="POD"),AND('Aggregate summary'!$U$3="Process",'Aggregate summary'!$T$76="Clearance + downstream effects")),SUMIFS(Y$427:Y$429,$L$427:$L$429,$AE240),0)</f>
        <v>0</v>
      </c>
      <c r="AQ315" s="8">
        <f ca="1">SUMIFS(Z$366:Z$368,$L$366:$L$368,$AE240)+IF(OR(AND('Aggregate summary'!$L$3="Yes",'Aggregate summary'!$E$3="POD"),AND('Aggregate summary'!$U$3="Process",'Aggregate summary'!$T$76="Clearance + downstream effects")),SUMIFS(Z$427:Z$429,$L$427:$L$429,$AE240),0)</f>
        <v>0</v>
      </c>
    </row>
    <row r="316" spans="1:43" x14ac:dyDescent="0.25">
      <c r="A316">
        <f>1</f>
        <v>1</v>
      </c>
      <c r="B316" s="85">
        <f t="shared" si="136"/>
        <v>44104</v>
      </c>
      <c r="C316" s="85">
        <f t="shared" si="132"/>
        <v>44102</v>
      </c>
      <c r="D316">
        <f t="shared" ca="1" si="133"/>
        <v>1</v>
      </c>
      <c r="E316" s="85">
        <f t="shared" si="134"/>
        <v>44075</v>
      </c>
      <c r="F316">
        <f t="shared" si="135"/>
        <v>40</v>
      </c>
      <c r="M316" t="s">
        <v>842</v>
      </c>
      <c r="N316">
        <v>4</v>
      </c>
      <c r="O316" s="6">
        <f t="array" aca="1" ref="O316" ca="1">SUM(INDEX(WLFlow_Activity_Weekly_Summary,0,$N316)*O$43:O$95)</f>
        <v>0</v>
      </c>
      <c r="P316" s="6">
        <f t="array" aca="1" ref="P316" ca="1">SUM(INDEX(WLFlow_Activity_Weekly_Summary,0,$N316)*P$43:P$95)</f>
        <v>0</v>
      </c>
      <c r="Q316" s="6">
        <f t="array" aca="1" ref="Q316" ca="1">SUM(INDEX(WLFlow_Activity_Weekly_Summary,0,$N316)*Q$43:Q$95)</f>
        <v>0</v>
      </c>
      <c r="R316" s="6">
        <f t="array" aca="1" ref="R316" ca="1">SUM(INDEX(WLFlow_Activity_Weekly_Summary,0,$N316)*R$43:R$95)</f>
        <v>0</v>
      </c>
      <c r="S316" s="6">
        <f t="array" aca="1" ref="S316" ca="1">SUM(INDEX(WLFlow_Activity_Weekly_Summary,0,$N316)*S$43:S$95)</f>
        <v>0</v>
      </c>
      <c r="T316" s="6">
        <f t="array" aca="1" ref="T316" ca="1">SUM(INDEX(WLFlow_Activity_Weekly_Summary,0,$N316)*T$43:T$95)</f>
        <v>0</v>
      </c>
      <c r="U316" s="6">
        <f t="array" aca="1" ref="U316" ca="1">SUM(INDEX(WLFlow_Activity_Weekly_Summary,0,$N316)*U$43:U$95)</f>
        <v>0</v>
      </c>
      <c r="V316" s="6">
        <f t="array" aca="1" ref="V316" ca="1">SUM(INDEX(WLFlow_Activity_Weekly_Summary,0,$N316)*V$43:V$95)</f>
        <v>0</v>
      </c>
      <c r="W316" s="6">
        <f t="array" aca="1" ref="W316" ca="1">SUM(INDEX(WLFlow_Activity_Weekly_Summary,0,$N316)*W$43:W$95)</f>
        <v>0</v>
      </c>
      <c r="X316" s="6">
        <f t="array" aca="1" ref="X316" ca="1">SUM(INDEX(WLFlow_Activity_Weekly_Summary,0,$N316)*X$43:X$95)</f>
        <v>0</v>
      </c>
      <c r="Y316" s="6">
        <f t="array" aca="1" ref="Y316" ca="1">SUM(INDEX(WLFlow_Activity_Weekly_Summary,0,$N316)*Y$43:Y$95)</f>
        <v>0</v>
      </c>
      <c r="Z316" s="6">
        <f t="array" aca="1" ref="Z316" ca="1">SUM(INDEX(WLFlow_Activity_Weekly_Summary,0,$N316)*Z$43:Z$95)</f>
        <v>0</v>
      </c>
      <c r="AA316" s="6" t="str">
        <f t="shared" si="140"/>
        <v/>
      </c>
      <c r="AB316" s="6" t="str">
        <f>IF($J$105="","",IF($J$105&lt;=12,INDEX(WLFlow_Activity_Monthly,$N316,$J$105),AVERAGE(O316:Z316)))</f>
        <v/>
      </c>
      <c r="AC316" s="6">
        <f t="shared" ca="1" si="138"/>
        <v>0</v>
      </c>
      <c r="AD316" s="8" t="s">
        <v>1227</v>
      </c>
      <c r="AE316" t="str">
        <f t="shared" si="137"/>
        <v>Diagnostic (FU)</v>
      </c>
      <c r="AF316" s="8">
        <f ca="1">SUMIFS(O$366:O$368,$L$366:$L$368,$AE241)+IF(OR(AND('Aggregate summary'!$L$3="Yes",'Aggregate summary'!$E$3="POD"),AND('Aggregate summary'!$U$3="Process",'Aggregate summary'!$T$76="Clearance + downstream effects")),SUMIFS(O$427:O$429,$L$427:$L$429,$AE241),0)</f>
        <v>0</v>
      </c>
      <c r="AG316" s="8">
        <f ca="1">SUMIFS(P$366:P$368,$L$366:$L$368,$AE241)+IF(OR(AND('Aggregate summary'!$L$3="Yes",'Aggregate summary'!$E$3="POD"),AND('Aggregate summary'!$U$3="Process",'Aggregate summary'!$T$76="Clearance + downstream effects")),SUMIFS(P$427:P$429,$L$427:$L$429,$AE241),0)</f>
        <v>0</v>
      </c>
      <c r="AH316" s="8">
        <f ca="1">SUMIFS(Q$366:Q$368,$L$366:$L$368,$AE241)+IF(OR(AND('Aggregate summary'!$L$3="Yes",'Aggregate summary'!$E$3="POD"),AND('Aggregate summary'!$U$3="Process",'Aggregate summary'!$T$76="Clearance + downstream effects")),SUMIFS(Q$427:Q$429,$L$427:$L$429,$AE241),0)</f>
        <v>0</v>
      </c>
      <c r="AI316" s="8">
        <f ca="1">SUMIFS(R$366:R$368,$L$366:$L$368,$AE241)+IF(OR(AND('Aggregate summary'!$L$3="Yes",'Aggregate summary'!$E$3="POD"),AND('Aggregate summary'!$U$3="Process",'Aggregate summary'!$T$76="Clearance + downstream effects")),SUMIFS(R$427:R$429,$L$427:$L$429,$AE241),0)</f>
        <v>0</v>
      </c>
      <c r="AJ316" s="8">
        <f ca="1">SUMIFS(S$366:S$368,$L$366:$L$368,$AE241)+IF(OR(AND('Aggregate summary'!$L$3="Yes",'Aggregate summary'!$E$3="POD"),AND('Aggregate summary'!$U$3="Process",'Aggregate summary'!$T$76="Clearance + downstream effects")),SUMIFS(S$427:S$429,$L$427:$L$429,$AE241),0)</f>
        <v>0</v>
      </c>
      <c r="AK316" s="8">
        <f ca="1">SUMIFS(T$366:T$368,$L$366:$L$368,$AE241)+IF(OR(AND('Aggregate summary'!$L$3="Yes",'Aggregate summary'!$E$3="POD"),AND('Aggregate summary'!$U$3="Process",'Aggregate summary'!$T$76="Clearance + downstream effects")),SUMIFS(T$427:T$429,$L$427:$L$429,$AE241),0)</f>
        <v>0</v>
      </c>
      <c r="AL316" s="8">
        <f ca="1">SUMIFS(U$366:U$368,$L$366:$L$368,$AE241)+IF(OR(AND('Aggregate summary'!$L$3="Yes",'Aggregate summary'!$E$3="POD"),AND('Aggregate summary'!$U$3="Process",'Aggregate summary'!$T$76="Clearance + downstream effects")),SUMIFS(U$427:U$429,$L$427:$L$429,$AE241),0)</f>
        <v>0</v>
      </c>
      <c r="AM316" s="8">
        <f ca="1">SUMIFS(V$366:V$368,$L$366:$L$368,$AE241)+IF(OR(AND('Aggregate summary'!$L$3="Yes",'Aggregate summary'!$E$3="POD"),AND('Aggregate summary'!$U$3="Process",'Aggregate summary'!$T$76="Clearance + downstream effects")),SUMIFS(V$427:V$429,$L$427:$L$429,$AE241),0)</f>
        <v>0</v>
      </c>
      <c r="AN316" s="8">
        <f ca="1">SUMIFS(W$366:W$368,$L$366:$L$368,$AE241)+IF(OR(AND('Aggregate summary'!$L$3="Yes",'Aggregate summary'!$E$3="POD"),AND('Aggregate summary'!$U$3="Process",'Aggregate summary'!$T$76="Clearance + downstream effects")),SUMIFS(W$427:W$429,$L$427:$L$429,$AE241),0)</f>
        <v>0</v>
      </c>
      <c r="AO316" s="8">
        <f ca="1">SUMIFS(X$366:X$368,$L$366:$L$368,$AE241)+IF(OR(AND('Aggregate summary'!$L$3="Yes",'Aggregate summary'!$E$3="POD"),AND('Aggregate summary'!$U$3="Process",'Aggregate summary'!$T$76="Clearance + downstream effects")),SUMIFS(X$427:X$429,$L$427:$L$429,$AE241),0)</f>
        <v>0</v>
      </c>
      <c r="AP316" s="8">
        <f ca="1">SUMIFS(Y$366:Y$368,$L$366:$L$368,$AE241)+IF(OR(AND('Aggregate summary'!$L$3="Yes",'Aggregate summary'!$E$3="POD"),AND('Aggregate summary'!$U$3="Process",'Aggregate summary'!$T$76="Clearance + downstream effects")),SUMIFS(Y$427:Y$429,$L$427:$L$429,$AE241),0)</f>
        <v>0</v>
      </c>
      <c r="AQ316" s="8">
        <f ca="1">SUMIFS(Z$366:Z$368,$L$366:$L$368,$AE241)+IF(OR(AND('Aggregate summary'!$L$3="Yes",'Aggregate summary'!$E$3="POD"),AND('Aggregate summary'!$U$3="Process",'Aggregate summary'!$T$76="Clearance + downstream effects")),SUMIFS(Z$427:Z$429,$L$427:$L$429,$AE241),0)</f>
        <v>0</v>
      </c>
    </row>
    <row r="317" spans="1:43" x14ac:dyDescent="0.25">
      <c r="A317">
        <f>1</f>
        <v>1</v>
      </c>
      <c r="B317" s="85">
        <f t="shared" si="136"/>
        <v>44105</v>
      </c>
      <c r="C317" s="85">
        <f t="shared" si="132"/>
        <v>44102</v>
      </c>
      <c r="D317">
        <f t="shared" ca="1" si="133"/>
        <v>1</v>
      </c>
      <c r="E317" s="85">
        <f t="shared" si="134"/>
        <v>44105</v>
      </c>
      <c r="F317">
        <f t="shared" si="135"/>
        <v>40</v>
      </c>
      <c r="M317" t="s">
        <v>839</v>
      </c>
      <c r="N317">
        <v>5</v>
      </c>
      <c r="O317" s="6">
        <f t="array" aca="1" ref="O317" ca="1">SUM(INDEX(WLFlow_Activity_Weekly_Summary,0,$N317)*O$43:O$95)</f>
        <v>0</v>
      </c>
      <c r="P317" s="6">
        <f t="array" aca="1" ref="P317" ca="1">SUM(INDEX(WLFlow_Activity_Weekly_Summary,0,$N317)*P$43:P$95)</f>
        <v>0</v>
      </c>
      <c r="Q317" s="6">
        <f t="array" aca="1" ref="Q317" ca="1">SUM(INDEX(WLFlow_Activity_Weekly_Summary,0,$N317)*Q$43:Q$95)</f>
        <v>0</v>
      </c>
      <c r="R317" s="6">
        <f t="array" aca="1" ref="R317" ca="1">SUM(INDEX(WLFlow_Activity_Weekly_Summary,0,$N317)*R$43:R$95)</f>
        <v>0</v>
      </c>
      <c r="S317" s="6">
        <f t="array" aca="1" ref="S317" ca="1">SUM(INDEX(WLFlow_Activity_Weekly_Summary,0,$N317)*S$43:S$95)</f>
        <v>0</v>
      </c>
      <c r="T317" s="6">
        <f t="array" aca="1" ref="T317" ca="1">SUM(INDEX(WLFlow_Activity_Weekly_Summary,0,$N317)*T$43:T$95)</f>
        <v>0</v>
      </c>
      <c r="U317" s="6">
        <f t="array" aca="1" ref="U317" ca="1">SUM(INDEX(WLFlow_Activity_Weekly_Summary,0,$N317)*U$43:U$95)</f>
        <v>0</v>
      </c>
      <c r="V317" s="6">
        <f t="array" aca="1" ref="V317" ca="1">SUM(INDEX(WLFlow_Activity_Weekly_Summary,0,$N317)*V$43:V$95)</f>
        <v>0</v>
      </c>
      <c r="W317" s="6">
        <f t="array" aca="1" ref="W317" ca="1">SUM(INDEX(WLFlow_Activity_Weekly_Summary,0,$N317)*W$43:W$95)</f>
        <v>0</v>
      </c>
      <c r="X317" s="6">
        <f t="array" aca="1" ref="X317" ca="1">SUM(INDEX(WLFlow_Activity_Weekly_Summary,0,$N317)*X$43:X$95)</f>
        <v>0</v>
      </c>
      <c r="Y317" s="6">
        <f t="array" aca="1" ref="Y317" ca="1">SUM(INDEX(WLFlow_Activity_Weekly_Summary,0,$N317)*Y$43:Y$95)</f>
        <v>0</v>
      </c>
      <c r="Z317" s="6">
        <f t="array" aca="1" ref="Z317" ca="1">SUM(INDEX(WLFlow_Activity_Weekly_Summary,0,$N317)*Z$43:Z$95)</f>
        <v>0</v>
      </c>
      <c r="AA317" s="6" t="str">
        <f t="shared" si="140"/>
        <v/>
      </c>
      <c r="AB317" s="6" t="str">
        <f>IF($J$105="","",IF($J$105&lt;=12,INDEX(WLFlow_Activity_Monthly,$N317,$J$105),AVERAGE(O317:Z317)))</f>
        <v/>
      </c>
      <c r="AC317" s="6">
        <f t="shared" ca="1" si="138"/>
        <v>0</v>
      </c>
      <c r="AD317" s="8" t="s">
        <v>1227</v>
      </c>
      <c r="AE317" t="str">
        <f t="shared" si="137"/>
        <v>Admission</v>
      </c>
      <c r="AF317" s="8">
        <f ca="1">SUMIFS(O$366:O$368,$L$366:$L$368,$AE242)+IF(OR(AND('Aggregate summary'!$L$3="Yes",'Aggregate summary'!$E$3="POD"),AND('Aggregate summary'!$U$3="Process",'Aggregate summary'!$T$76="Clearance + downstream effects")),SUMIFS(O$427:O$429,$L$427:$L$429,$AE242),0)</f>
        <v>0</v>
      </c>
      <c r="AG317" s="8">
        <f ca="1">SUMIFS(P$366:P$368,$L$366:$L$368,$AE242)+IF(OR(AND('Aggregate summary'!$L$3="Yes",'Aggregate summary'!$E$3="POD"),AND('Aggregate summary'!$U$3="Process",'Aggregate summary'!$T$76="Clearance + downstream effects")),SUMIFS(P$427:P$429,$L$427:$L$429,$AE242),0)</f>
        <v>0</v>
      </c>
      <c r="AH317" s="8">
        <f ca="1">SUMIFS(Q$366:Q$368,$L$366:$L$368,$AE242)+IF(OR(AND('Aggregate summary'!$L$3="Yes",'Aggregate summary'!$E$3="POD"),AND('Aggregate summary'!$U$3="Process",'Aggregate summary'!$T$76="Clearance + downstream effects")),SUMIFS(Q$427:Q$429,$L$427:$L$429,$AE242),0)</f>
        <v>0</v>
      </c>
      <c r="AI317" s="8">
        <f ca="1">SUMIFS(R$366:R$368,$L$366:$L$368,$AE242)+IF(OR(AND('Aggregate summary'!$L$3="Yes",'Aggregate summary'!$E$3="POD"),AND('Aggregate summary'!$U$3="Process",'Aggregate summary'!$T$76="Clearance + downstream effects")),SUMIFS(R$427:R$429,$L$427:$L$429,$AE242),0)</f>
        <v>0</v>
      </c>
      <c r="AJ317" s="8">
        <f ca="1">SUMIFS(S$366:S$368,$L$366:$L$368,$AE242)+IF(OR(AND('Aggregate summary'!$L$3="Yes",'Aggregate summary'!$E$3="POD"),AND('Aggregate summary'!$U$3="Process",'Aggregate summary'!$T$76="Clearance + downstream effects")),SUMIFS(S$427:S$429,$L$427:$L$429,$AE242),0)</f>
        <v>0</v>
      </c>
      <c r="AK317" s="8">
        <f ca="1">SUMIFS(T$366:T$368,$L$366:$L$368,$AE242)+IF(OR(AND('Aggregate summary'!$L$3="Yes",'Aggregate summary'!$E$3="POD"),AND('Aggregate summary'!$U$3="Process",'Aggregate summary'!$T$76="Clearance + downstream effects")),SUMIFS(T$427:T$429,$L$427:$L$429,$AE242),0)</f>
        <v>0</v>
      </c>
      <c r="AL317" s="8">
        <f ca="1">SUMIFS(U$366:U$368,$L$366:$L$368,$AE242)+IF(OR(AND('Aggregate summary'!$L$3="Yes",'Aggregate summary'!$E$3="POD"),AND('Aggregate summary'!$U$3="Process",'Aggregate summary'!$T$76="Clearance + downstream effects")),SUMIFS(U$427:U$429,$L$427:$L$429,$AE242),0)</f>
        <v>0</v>
      </c>
      <c r="AM317" s="8">
        <f ca="1">SUMIFS(V$366:V$368,$L$366:$L$368,$AE242)+IF(OR(AND('Aggregate summary'!$L$3="Yes",'Aggregate summary'!$E$3="POD"),AND('Aggregate summary'!$U$3="Process",'Aggregate summary'!$T$76="Clearance + downstream effects")),SUMIFS(V$427:V$429,$L$427:$L$429,$AE242),0)</f>
        <v>0</v>
      </c>
      <c r="AN317" s="8">
        <f ca="1">SUMIFS(W$366:W$368,$L$366:$L$368,$AE242)+IF(OR(AND('Aggregate summary'!$L$3="Yes",'Aggregate summary'!$E$3="POD"),AND('Aggregate summary'!$U$3="Process",'Aggregate summary'!$T$76="Clearance + downstream effects")),SUMIFS(W$427:W$429,$L$427:$L$429,$AE242),0)</f>
        <v>0</v>
      </c>
      <c r="AO317" s="8">
        <f ca="1">SUMIFS(X$366:X$368,$L$366:$L$368,$AE242)+IF(OR(AND('Aggregate summary'!$L$3="Yes",'Aggregate summary'!$E$3="POD"),AND('Aggregate summary'!$U$3="Process",'Aggregate summary'!$T$76="Clearance + downstream effects")),SUMIFS(X$427:X$429,$L$427:$L$429,$AE242),0)</f>
        <v>0</v>
      </c>
      <c r="AP317" s="8">
        <f ca="1">SUMIFS(Y$366:Y$368,$L$366:$L$368,$AE242)+IF(OR(AND('Aggregate summary'!$L$3="Yes",'Aggregate summary'!$E$3="POD"),AND('Aggregate summary'!$U$3="Process",'Aggregate summary'!$T$76="Clearance + downstream effects")),SUMIFS(Y$427:Y$429,$L$427:$L$429,$AE242),0)</f>
        <v>0</v>
      </c>
      <c r="AQ317" s="8">
        <f ca="1">SUMIFS(Z$366:Z$368,$L$366:$L$368,$AE242)+IF(OR(AND('Aggregate summary'!$L$3="Yes",'Aggregate summary'!$E$3="POD"),AND('Aggregate summary'!$U$3="Process",'Aggregate summary'!$T$76="Clearance + downstream effects")),SUMIFS(Z$427:Z$429,$L$427:$L$429,$AE242),0)</f>
        <v>0</v>
      </c>
    </row>
    <row r="318" spans="1:43" x14ac:dyDescent="0.25">
      <c r="A318">
        <f>1</f>
        <v>1</v>
      </c>
      <c r="B318" s="85">
        <f t="shared" si="136"/>
        <v>44106</v>
      </c>
      <c r="C318" s="85">
        <f t="shared" si="132"/>
        <v>44102</v>
      </c>
      <c r="D318">
        <f t="shared" ca="1" si="133"/>
        <v>1</v>
      </c>
      <c r="E318" s="85">
        <f t="shared" si="134"/>
        <v>44105</v>
      </c>
      <c r="F318">
        <f t="shared" si="135"/>
        <v>40</v>
      </c>
      <c r="AA318" s="6"/>
      <c r="AB318" s="6"/>
      <c r="AC318" s="6"/>
      <c r="AD318" s="8">
        <v>17</v>
      </c>
      <c r="AE318" t="str">
        <f t="shared" si="137"/>
        <v>New</v>
      </c>
      <c r="AF318" s="8">
        <f ca="1">SUMIFS(O$369:O$371,$L$369:$L$371,$AE238)+IF(OR(AND('Aggregate summary'!$L$3="Yes",'Aggregate summary'!$E$3="POD"),AND('Aggregate summary'!$U$3="Process",'Aggregate summary'!$T$76="Clearance + downstream effects")),SUMIFS(O$430:O$432,$L$430:$L$432,$AE238),0)</f>
        <v>0</v>
      </c>
      <c r="AG318" s="8">
        <f ca="1">SUMIFS(P$369:P$371,$L$369:$L$371,$AE238)+IF(OR(AND('Aggregate summary'!$L$3="Yes",'Aggregate summary'!$E$3="POD"),AND('Aggregate summary'!$U$3="Process",'Aggregate summary'!$T$76="Clearance + downstream effects")),SUMIFS(P$430:P$432,$L$430:$L$432,$AE238),0)</f>
        <v>0</v>
      </c>
      <c r="AH318" s="8">
        <f ca="1">SUMIFS(Q$369:Q$371,$L$369:$L$371,$AE238)+IF(OR(AND('Aggregate summary'!$L$3="Yes",'Aggregate summary'!$E$3="POD"),AND('Aggregate summary'!$U$3="Process",'Aggregate summary'!$T$76="Clearance + downstream effects")),SUMIFS(Q$430:Q$432,$L$430:$L$432,$AE238),0)</f>
        <v>0</v>
      </c>
      <c r="AI318" s="8">
        <f ca="1">SUMIFS(R$369:R$371,$L$369:$L$371,$AE238)+IF(OR(AND('Aggregate summary'!$L$3="Yes",'Aggregate summary'!$E$3="POD"),AND('Aggregate summary'!$U$3="Process",'Aggregate summary'!$T$76="Clearance + downstream effects")),SUMIFS(R$430:R$432,$L$430:$L$432,$AE238),0)</f>
        <v>0</v>
      </c>
      <c r="AJ318" s="8">
        <f ca="1">SUMIFS(S$369:S$371,$L$369:$L$371,$AE238)+IF(OR(AND('Aggregate summary'!$L$3="Yes",'Aggregate summary'!$E$3="POD"),AND('Aggregate summary'!$U$3="Process",'Aggregate summary'!$T$76="Clearance + downstream effects")),SUMIFS(S$430:S$432,$L$430:$L$432,$AE238),0)</f>
        <v>0</v>
      </c>
      <c r="AK318" s="8">
        <f ca="1">SUMIFS(T$369:T$371,$L$369:$L$371,$AE238)+IF(OR(AND('Aggregate summary'!$L$3="Yes",'Aggregate summary'!$E$3="POD"),AND('Aggregate summary'!$U$3="Process",'Aggregate summary'!$T$76="Clearance + downstream effects")),SUMIFS(T$430:T$432,$L$430:$L$432,$AE238),0)</f>
        <v>0</v>
      </c>
      <c r="AL318" s="8">
        <f ca="1">SUMIFS(U$369:U$371,$L$369:$L$371,$AE238)+IF(OR(AND('Aggregate summary'!$L$3="Yes",'Aggregate summary'!$E$3="POD"),AND('Aggregate summary'!$U$3="Process",'Aggregate summary'!$T$76="Clearance + downstream effects")),SUMIFS(U$430:U$432,$L$430:$L$432,$AE238),0)</f>
        <v>0</v>
      </c>
      <c r="AM318" s="8">
        <f ca="1">SUMIFS(V$369:V$371,$L$369:$L$371,$AE238)+IF(OR(AND('Aggregate summary'!$L$3="Yes",'Aggregate summary'!$E$3="POD"),AND('Aggregate summary'!$U$3="Process",'Aggregate summary'!$T$76="Clearance + downstream effects")),SUMIFS(V$430:V$432,$L$430:$L$432,$AE238),0)</f>
        <v>0</v>
      </c>
      <c r="AN318" s="8">
        <f ca="1">SUMIFS(W$369:W$371,$L$369:$L$371,$AE238)+IF(OR(AND('Aggregate summary'!$L$3="Yes",'Aggregate summary'!$E$3="POD"),AND('Aggregate summary'!$U$3="Process",'Aggregate summary'!$T$76="Clearance + downstream effects")),SUMIFS(W$430:W$432,$L$430:$L$432,$AE238),0)</f>
        <v>0</v>
      </c>
      <c r="AO318" s="8">
        <f ca="1">SUMIFS(X$369:X$371,$L$369:$L$371,$AE238)+IF(OR(AND('Aggregate summary'!$L$3="Yes",'Aggregate summary'!$E$3="POD"),AND('Aggregate summary'!$U$3="Process",'Aggregate summary'!$T$76="Clearance + downstream effects")),SUMIFS(X$430:X$432,$L$430:$L$432,$AE238),0)</f>
        <v>0</v>
      </c>
      <c r="AP318" s="8">
        <f ca="1">SUMIFS(Y$369:Y$371,$L$369:$L$371,$AE238)+IF(OR(AND('Aggregate summary'!$L$3="Yes",'Aggregate summary'!$E$3="POD"),AND('Aggregate summary'!$U$3="Process",'Aggregate summary'!$T$76="Clearance + downstream effects")),SUMIFS(Y$430:Y$432,$L$430:$L$432,$AE238),0)</f>
        <v>0</v>
      </c>
      <c r="AQ318" s="8">
        <f ca="1">SUMIFS(Z$369:Z$371,$L$369:$L$371,$AE238)+IF(OR(AND('Aggregate summary'!$L$3="Yes",'Aggregate summary'!$E$3="POD"),AND('Aggregate summary'!$U$3="Process",'Aggregate summary'!$T$76="Clearance + downstream effects")),SUMIFS(Z$430:Z$432,$L$430:$L$432,$AE238),0)</f>
        <v>0</v>
      </c>
    </row>
    <row r="319" spans="1:43" x14ac:dyDescent="0.25">
      <c r="A319">
        <f>1</f>
        <v>1</v>
      </c>
      <c r="B319" s="85">
        <f t="shared" si="136"/>
        <v>44107</v>
      </c>
      <c r="C319" s="85">
        <f t="shared" si="132"/>
        <v>44102</v>
      </c>
      <c r="D319">
        <f t="shared" ca="1" si="133"/>
        <v>0</v>
      </c>
      <c r="E319" s="85">
        <f t="shared" si="134"/>
        <v>44105</v>
      </c>
      <c r="F319">
        <f t="shared" si="135"/>
        <v>40</v>
      </c>
      <c r="AA319" s="6"/>
      <c r="AB319" s="6"/>
      <c r="AC319" s="6"/>
      <c r="AD319" s="8" t="s">
        <v>1227</v>
      </c>
      <c r="AE319" t="str">
        <f t="shared" si="137"/>
        <v>Diagnostic (N)</v>
      </c>
      <c r="AF319" s="8">
        <f ca="1">SUMIFS(O$369:O$371,$L$369:$L$371,$AE239)+IF(OR(AND('Aggregate summary'!$L$3="Yes",'Aggregate summary'!$E$3="POD"),AND('Aggregate summary'!$U$3="Process",'Aggregate summary'!$T$76="Clearance + downstream effects")),SUMIFS(O$430:O$432,$L$430:$L$432,$AE239),0)</f>
        <v>0</v>
      </c>
      <c r="AG319" s="8">
        <f ca="1">SUMIFS(P$369:P$371,$L$369:$L$371,$AE239)+IF(OR(AND('Aggregate summary'!$L$3="Yes",'Aggregate summary'!$E$3="POD"),AND('Aggregate summary'!$U$3="Process",'Aggregate summary'!$T$76="Clearance + downstream effects")),SUMIFS(P$430:P$432,$L$430:$L$432,$AE239),0)</f>
        <v>0</v>
      </c>
      <c r="AH319" s="8">
        <f ca="1">SUMIFS(Q$369:Q$371,$L$369:$L$371,$AE239)+IF(OR(AND('Aggregate summary'!$L$3="Yes",'Aggregate summary'!$E$3="POD"),AND('Aggregate summary'!$U$3="Process",'Aggregate summary'!$T$76="Clearance + downstream effects")),SUMIFS(Q$430:Q$432,$L$430:$L$432,$AE239),0)</f>
        <v>0</v>
      </c>
      <c r="AI319" s="8">
        <f ca="1">SUMIFS(R$369:R$371,$L$369:$L$371,$AE239)+IF(OR(AND('Aggregate summary'!$L$3="Yes",'Aggregate summary'!$E$3="POD"),AND('Aggregate summary'!$U$3="Process",'Aggregate summary'!$T$76="Clearance + downstream effects")),SUMIFS(R$430:R$432,$L$430:$L$432,$AE239),0)</f>
        <v>0</v>
      </c>
      <c r="AJ319" s="8">
        <f ca="1">SUMIFS(S$369:S$371,$L$369:$L$371,$AE239)+IF(OR(AND('Aggregate summary'!$L$3="Yes",'Aggregate summary'!$E$3="POD"),AND('Aggregate summary'!$U$3="Process",'Aggregate summary'!$T$76="Clearance + downstream effects")),SUMIFS(S$430:S$432,$L$430:$L$432,$AE239),0)</f>
        <v>0</v>
      </c>
      <c r="AK319" s="8">
        <f ca="1">SUMIFS(T$369:T$371,$L$369:$L$371,$AE239)+IF(OR(AND('Aggregate summary'!$L$3="Yes",'Aggregate summary'!$E$3="POD"),AND('Aggregate summary'!$U$3="Process",'Aggregate summary'!$T$76="Clearance + downstream effects")),SUMIFS(T$430:T$432,$L$430:$L$432,$AE239),0)</f>
        <v>0</v>
      </c>
      <c r="AL319" s="8">
        <f ca="1">SUMIFS(U$369:U$371,$L$369:$L$371,$AE239)+IF(OR(AND('Aggregate summary'!$L$3="Yes",'Aggregate summary'!$E$3="POD"),AND('Aggregate summary'!$U$3="Process",'Aggregate summary'!$T$76="Clearance + downstream effects")),SUMIFS(U$430:U$432,$L$430:$L$432,$AE239),0)</f>
        <v>0</v>
      </c>
      <c r="AM319" s="8">
        <f ca="1">SUMIFS(V$369:V$371,$L$369:$L$371,$AE239)+IF(OR(AND('Aggregate summary'!$L$3="Yes",'Aggregate summary'!$E$3="POD"),AND('Aggregate summary'!$U$3="Process",'Aggregate summary'!$T$76="Clearance + downstream effects")),SUMIFS(V$430:V$432,$L$430:$L$432,$AE239),0)</f>
        <v>0</v>
      </c>
      <c r="AN319" s="8">
        <f ca="1">SUMIFS(W$369:W$371,$L$369:$L$371,$AE239)+IF(OR(AND('Aggregate summary'!$L$3="Yes",'Aggregate summary'!$E$3="POD"),AND('Aggregate summary'!$U$3="Process",'Aggregate summary'!$T$76="Clearance + downstream effects")),SUMIFS(W$430:W$432,$L$430:$L$432,$AE239),0)</f>
        <v>0</v>
      </c>
      <c r="AO319" s="8">
        <f ca="1">SUMIFS(X$369:X$371,$L$369:$L$371,$AE239)+IF(OR(AND('Aggregate summary'!$L$3="Yes",'Aggregate summary'!$E$3="POD"),AND('Aggregate summary'!$U$3="Process",'Aggregate summary'!$T$76="Clearance + downstream effects")),SUMIFS(X$430:X$432,$L$430:$L$432,$AE239),0)</f>
        <v>0</v>
      </c>
      <c r="AP319" s="8">
        <f ca="1">SUMIFS(Y$369:Y$371,$L$369:$L$371,$AE239)+IF(OR(AND('Aggregate summary'!$L$3="Yes",'Aggregate summary'!$E$3="POD"),AND('Aggregate summary'!$U$3="Process",'Aggregate summary'!$T$76="Clearance + downstream effects")),SUMIFS(Y$430:Y$432,$L$430:$L$432,$AE239),0)</f>
        <v>0</v>
      </c>
      <c r="AQ319" s="8">
        <f ca="1">SUMIFS(Z$369:Z$371,$L$369:$L$371,$AE239)+IF(OR(AND('Aggregate summary'!$L$3="Yes",'Aggregate summary'!$E$3="POD"),AND('Aggregate summary'!$U$3="Process",'Aggregate summary'!$T$76="Clearance + downstream effects")),SUMIFS(Z$430:Z$432,$L$430:$L$432,$AE239),0)</f>
        <v>0</v>
      </c>
    </row>
    <row r="320" spans="1:43" x14ac:dyDescent="0.25">
      <c r="A320">
        <f>1</f>
        <v>1</v>
      </c>
      <c r="B320" s="85">
        <f t="shared" si="136"/>
        <v>44108</v>
      </c>
      <c r="C320" s="85">
        <f t="shared" si="132"/>
        <v>44102</v>
      </c>
      <c r="D320">
        <f t="shared" ca="1" si="133"/>
        <v>0</v>
      </c>
      <c r="E320" s="85">
        <f t="shared" si="134"/>
        <v>44105</v>
      </c>
      <c r="F320">
        <f t="shared" si="135"/>
        <v>40</v>
      </c>
      <c r="L320" t="s">
        <v>1366</v>
      </c>
      <c r="O320" s="6"/>
      <c r="P320" s="6"/>
      <c r="Q320" s="6"/>
      <c r="R320" s="6"/>
      <c r="S320" s="6"/>
      <c r="T320" s="6"/>
      <c r="U320" s="6"/>
      <c r="V320" s="6"/>
      <c r="W320" s="6"/>
      <c r="X320" s="6"/>
      <c r="Y320" s="6"/>
      <c r="Z320" s="6"/>
      <c r="AA320" s="6"/>
      <c r="AB320" s="6"/>
      <c r="AC320" s="6"/>
      <c r="AD320" s="8" t="s">
        <v>1227</v>
      </c>
      <c r="AE320" t="str">
        <f t="shared" si="137"/>
        <v>Follow Up</v>
      </c>
      <c r="AF320" s="8">
        <f ca="1">SUMIFS(O$369:O$371,$L$369:$L$371,$AE240)+IF(OR(AND('Aggregate summary'!$L$3="Yes",'Aggregate summary'!$E$3="POD"),AND('Aggregate summary'!$U$3="Process",'Aggregate summary'!$T$76="Clearance + downstream effects")),SUMIFS(O$430:O$432,$L$430:$L$432,$AE240),0)</f>
        <v>0</v>
      </c>
      <c r="AG320" s="8">
        <f ca="1">SUMIFS(P$369:P$371,$L$369:$L$371,$AE240)+IF(OR(AND('Aggregate summary'!$L$3="Yes",'Aggregate summary'!$E$3="POD"),AND('Aggregate summary'!$U$3="Process",'Aggregate summary'!$T$76="Clearance + downstream effects")),SUMIFS(P$430:P$432,$L$430:$L$432,$AE240),0)</f>
        <v>0</v>
      </c>
      <c r="AH320" s="8">
        <f ca="1">SUMIFS(Q$369:Q$371,$L$369:$L$371,$AE240)+IF(OR(AND('Aggregate summary'!$L$3="Yes",'Aggregate summary'!$E$3="POD"),AND('Aggregate summary'!$U$3="Process",'Aggregate summary'!$T$76="Clearance + downstream effects")),SUMIFS(Q$430:Q$432,$L$430:$L$432,$AE240),0)</f>
        <v>0</v>
      </c>
      <c r="AI320" s="8">
        <f ca="1">SUMIFS(R$369:R$371,$L$369:$L$371,$AE240)+IF(OR(AND('Aggregate summary'!$L$3="Yes",'Aggregate summary'!$E$3="POD"),AND('Aggregate summary'!$U$3="Process",'Aggregate summary'!$T$76="Clearance + downstream effects")),SUMIFS(R$430:R$432,$L$430:$L$432,$AE240),0)</f>
        <v>0</v>
      </c>
      <c r="AJ320" s="8">
        <f ca="1">SUMIFS(S$369:S$371,$L$369:$L$371,$AE240)+IF(OR(AND('Aggregate summary'!$L$3="Yes",'Aggregate summary'!$E$3="POD"),AND('Aggregate summary'!$U$3="Process",'Aggregate summary'!$T$76="Clearance + downstream effects")),SUMIFS(S$430:S$432,$L$430:$L$432,$AE240),0)</f>
        <v>0</v>
      </c>
      <c r="AK320" s="8">
        <f ca="1">SUMIFS(T$369:T$371,$L$369:$L$371,$AE240)+IF(OR(AND('Aggregate summary'!$L$3="Yes",'Aggregate summary'!$E$3="POD"),AND('Aggregate summary'!$U$3="Process",'Aggregate summary'!$T$76="Clearance + downstream effects")),SUMIFS(T$430:T$432,$L$430:$L$432,$AE240),0)</f>
        <v>0</v>
      </c>
      <c r="AL320" s="8">
        <f ca="1">SUMIFS(U$369:U$371,$L$369:$L$371,$AE240)+IF(OR(AND('Aggregate summary'!$L$3="Yes",'Aggregate summary'!$E$3="POD"),AND('Aggregate summary'!$U$3="Process",'Aggregate summary'!$T$76="Clearance + downstream effects")),SUMIFS(U$430:U$432,$L$430:$L$432,$AE240),0)</f>
        <v>0</v>
      </c>
      <c r="AM320" s="8">
        <f ca="1">SUMIFS(V$369:V$371,$L$369:$L$371,$AE240)+IF(OR(AND('Aggregate summary'!$L$3="Yes",'Aggregate summary'!$E$3="POD"),AND('Aggregate summary'!$U$3="Process",'Aggregate summary'!$T$76="Clearance + downstream effects")),SUMIFS(V$430:V$432,$L$430:$L$432,$AE240),0)</f>
        <v>0</v>
      </c>
      <c r="AN320" s="8">
        <f ca="1">SUMIFS(W$369:W$371,$L$369:$L$371,$AE240)+IF(OR(AND('Aggregate summary'!$L$3="Yes",'Aggregate summary'!$E$3="POD"),AND('Aggregate summary'!$U$3="Process",'Aggregate summary'!$T$76="Clearance + downstream effects")),SUMIFS(W$430:W$432,$L$430:$L$432,$AE240),0)</f>
        <v>0</v>
      </c>
      <c r="AO320" s="8">
        <f ca="1">SUMIFS(X$369:X$371,$L$369:$L$371,$AE240)+IF(OR(AND('Aggregate summary'!$L$3="Yes",'Aggregate summary'!$E$3="POD"),AND('Aggregate summary'!$U$3="Process",'Aggregate summary'!$T$76="Clearance + downstream effects")),SUMIFS(X$430:X$432,$L$430:$L$432,$AE240),0)</f>
        <v>0</v>
      </c>
      <c r="AP320" s="8">
        <f ca="1">SUMIFS(Y$369:Y$371,$L$369:$L$371,$AE240)+IF(OR(AND('Aggregate summary'!$L$3="Yes",'Aggregate summary'!$E$3="POD"),AND('Aggregate summary'!$U$3="Process",'Aggregate summary'!$T$76="Clearance + downstream effects")),SUMIFS(Y$430:Y$432,$L$430:$L$432,$AE240),0)</f>
        <v>0</v>
      </c>
      <c r="AQ320" s="8">
        <f ca="1">SUMIFS(Z$369:Z$371,$L$369:$L$371,$AE240)+IF(OR(AND('Aggregate summary'!$L$3="Yes",'Aggregate summary'!$E$3="POD"),AND('Aggregate summary'!$U$3="Process",'Aggregate summary'!$T$76="Clearance + downstream effects")),SUMIFS(Z$430:Z$432,$L$430:$L$432,$AE240),0)</f>
        <v>0</v>
      </c>
    </row>
    <row r="321" spans="1:43" x14ac:dyDescent="0.25">
      <c r="A321">
        <f>1</f>
        <v>1</v>
      </c>
      <c r="B321" s="85">
        <f t="shared" si="136"/>
        <v>44109</v>
      </c>
      <c r="C321" s="85">
        <f t="shared" si="132"/>
        <v>44109</v>
      </c>
      <c r="D321">
        <f t="shared" ca="1" si="133"/>
        <v>1</v>
      </c>
      <c r="E321" s="85">
        <f t="shared" si="134"/>
        <v>44105</v>
      </c>
      <c r="F321">
        <f t="shared" si="135"/>
        <v>41</v>
      </c>
      <c r="L321" t="str">
        <f ca="1">L123</f>
        <v>New</v>
      </c>
      <c r="M321">
        <v>0</v>
      </c>
      <c r="N321">
        <v>1</v>
      </c>
      <c r="O321" s="6">
        <f t="array" aca="1" ref="O321" ca="1">SUM(OFFSET($FC$43,0,($M321*3)+$N321,53,1)*O$43:O$95)</f>
        <v>0</v>
      </c>
      <c r="P321" s="6">
        <f t="array" aca="1" ref="P321" ca="1">SUM(OFFSET($FC$43,0,($M321*3)+$N321,53,1)*P$43:P$95)</f>
        <v>0</v>
      </c>
      <c r="Q321" s="6">
        <f t="array" aca="1" ref="Q321" ca="1">SUM(OFFSET($FC$43,0,($M321*3)+$N321,53,1)*Q$43:Q$95)</f>
        <v>0</v>
      </c>
      <c r="R321" s="6">
        <f t="array" aca="1" ref="R321" ca="1">SUM(OFFSET($FC$43,0,($M321*3)+$N321,53,1)*R$43:R$95)</f>
        <v>0</v>
      </c>
      <c r="S321" s="6">
        <f t="array" aca="1" ref="S321" ca="1">SUM(OFFSET($FC$43,0,($M321*3)+$N321,53,1)*S$43:S$95)</f>
        <v>0</v>
      </c>
      <c r="T321" s="6">
        <f t="array" aca="1" ref="T321" ca="1">SUM(OFFSET($FC$43,0,($M321*3)+$N321,53,1)*T$43:T$95)</f>
        <v>0</v>
      </c>
      <c r="U321" s="6">
        <f t="array" aca="1" ref="U321" ca="1">SUM(OFFSET($FC$43,0,($M321*3)+$N321,53,1)*U$43:U$95)</f>
        <v>0</v>
      </c>
      <c r="V321" s="6">
        <f t="array" aca="1" ref="V321" ca="1">SUM(OFFSET($FC$43,0,($M321*3)+$N321,53,1)*V$43:V$95)</f>
        <v>0</v>
      </c>
      <c r="W321" s="6">
        <f t="array" aca="1" ref="W321" ca="1">SUM(OFFSET($FC$43,0,($M321*3)+$N321,53,1)*W$43:W$95)</f>
        <v>0</v>
      </c>
      <c r="X321" s="6">
        <f t="array" aca="1" ref="X321" ca="1">SUM(OFFSET($FC$43,0,($M321*3)+$N321,53,1)*X$43:X$95)</f>
        <v>0</v>
      </c>
      <c r="Y321" s="6">
        <f t="array" aca="1" ref="Y321" ca="1">SUM(OFFSET($FC$43,0,($M321*3)+$N321,53,1)*Y$43:Y$95)</f>
        <v>0</v>
      </c>
      <c r="Z321" s="6">
        <f t="array" aca="1" ref="Z321" ca="1">SUM(OFFSET($FC$43,0,($M321*3)+$N321,53,1)*Z$43:Z$95)</f>
        <v>0</v>
      </c>
      <c r="AA321" s="6">
        <f t="shared" ref="AA321:AA352" ca="1" si="141">SUM(O321:Z321)</f>
        <v>0</v>
      </c>
      <c r="AB321" s="6" t="str">
        <f>IF($J$105="","",IF($J$105&lt;=12,INDEX(O321:Z321,$J$105),AVERAGE(O321:Z321)))</f>
        <v/>
      </c>
      <c r="AC321" s="6"/>
      <c r="AD321" s="8" t="s">
        <v>1227</v>
      </c>
      <c r="AE321" t="str">
        <f t="shared" si="137"/>
        <v>Diagnostic (FU)</v>
      </c>
      <c r="AF321" s="8">
        <f ca="1">SUMIFS(O$369:O$371,$L$369:$L$371,$AE241)+IF(OR(AND('Aggregate summary'!$L$3="Yes",'Aggregate summary'!$E$3="POD"),AND('Aggregate summary'!$U$3="Process",'Aggregate summary'!$T$76="Clearance + downstream effects")),SUMIFS(O$430:O$432,$L$430:$L$432,$AE241),0)</f>
        <v>0</v>
      </c>
      <c r="AG321" s="8">
        <f ca="1">SUMIFS(P$369:P$371,$L$369:$L$371,$AE241)+IF(OR(AND('Aggregate summary'!$L$3="Yes",'Aggregate summary'!$E$3="POD"),AND('Aggregate summary'!$U$3="Process",'Aggregate summary'!$T$76="Clearance + downstream effects")),SUMIFS(P$430:P$432,$L$430:$L$432,$AE241),0)</f>
        <v>0</v>
      </c>
      <c r="AH321" s="8">
        <f ca="1">SUMIFS(Q$369:Q$371,$L$369:$L$371,$AE241)+IF(OR(AND('Aggregate summary'!$L$3="Yes",'Aggregate summary'!$E$3="POD"),AND('Aggregate summary'!$U$3="Process",'Aggregate summary'!$T$76="Clearance + downstream effects")),SUMIFS(Q$430:Q$432,$L$430:$L$432,$AE241),0)</f>
        <v>0</v>
      </c>
      <c r="AI321" s="8">
        <f ca="1">SUMIFS(R$369:R$371,$L$369:$L$371,$AE241)+IF(OR(AND('Aggregate summary'!$L$3="Yes",'Aggregate summary'!$E$3="POD"),AND('Aggregate summary'!$U$3="Process",'Aggregate summary'!$T$76="Clearance + downstream effects")),SUMIFS(R$430:R$432,$L$430:$L$432,$AE241),0)</f>
        <v>0</v>
      </c>
      <c r="AJ321" s="8">
        <f ca="1">SUMIFS(S$369:S$371,$L$369:$L$371,$AE241)+IF(OR(AND('Aggregate summary'!$L$3="Yes",'Aggregate summary'!$E$3="POD"),AND('Aggregate summary'!$U$3="Process",'Aggregate summary'!$T$76="Clearance + downstream effects")),SUMIFS(S$430:S$432,$L$430:$L$432,$AE241),0)</f>
        <v>0</v>
      </c>
      <c r="AK321" s="8">
        <f ca="1">SUMIFS(T$369:T$371,$L$369:$L$371,$AE241)+IF(OR(AND('Aggregate summary'!$L$3="Yes",'Aggregate summary'!$E$3="POD"),AND('Aggregate summary'!$U$3="Process",'Aggregate summary'!$T$76="Clearance + downstream effects")),SUMIFS(T$430:T$432,$L$430:$L$432,$AE241),0)</f>
        <v>0</v>
      </c>
      <c r="AL321" s="8">
        <f ca="1">SUMIFS(U$369:U$371,$L$369:$L$371,$AE241)+IF(OR(AND('Aggregate summary'!$L$3="Yes",'Aggregate summary'!$E$3="POD"),AND('Aggregate summary'!$U$3="Process",'Aggregate summary'!$T$76="Clearance + downstream effects")),SUMIFS(U$430:U$432,$L$430:$L$432,$AE241),0)</f>
        <v>0</v>
      </c>
      <c r="AM321" s="8">
        <f ca="1">SUMIFS(V$369:V$371,$L$369:$L$371,$AE241)+IF(OR(AND('Aggregate summary'!$L$3="Yes",'Aggregate summary'!$E$3="POD"),AND('Aggregate summary'!$U$3="Process",'Aggregate summary'!$T$76="Clearance + downstream effects")),SUMIFS(V$430:V$432,$L$430:$L$432,$AE241),0)</f>
        <v>0</v>
      </c>
      <c r="AN321" s="8">
        <f ca="1">SUMIFS(W$369:W$371,$L$369:$L$371,$AE241)+IF(OR(AND('Aggregate summary'!$L$3="Yes",'Aggregate summary'!$E$3="POD"),AND('Aggregate summary'!$U$3="Process",'Aggregate summary'!$T$76="Clearance + downstream effects")),SUMIFS(W$430:W$432,$L$430:$L$432,$AE241),0)</f>
        <v>0</v>
      </c>
      <c r="AO321" s="8">
        <f ca="1">SUMIFS(X$369:X$371,$L$369:$L$371,$AE241)+IF(OR(AND('Aggregate summary'!$L$3="Yes",'Aggregate summary'!$E$3="POD"),AND('Aggregate summary'!$U$3="Process",'Aggregate summary'!$T$76="Clearance + downstream effects")),SUMIFS(X$430:X$432,$L$430:$L$432,$AE241),0)</f>
        <v>0</v>
      </c>
      <c r="AP321" s="8">
        <f ca="1">SUMIFS(Y$369:Y$371,$L$369:$L$371,$AE241)+IF(OR(AND('Aggregate summary'!$L$3="Yes",'Aggregate summary'!$E$3="POD"),AND('Aggregate summary'!$U$3="Process",'Aggregate summary'!$T$76="Clearance + downstream effects")),SUMIFS(Y$430:Y$432,$L$430:$L$432,$AE241),0)</f>
        <v>0</v>
      </c>
      <c r="AQ321" s="8">
        <f ca="1">SUMIFS(Z$369:Z$371,$L$369:$L$371,$AE241)+IF(OR(AND('Aggregate summary'!$L$3="Yes",'Aggregate summary'!$E$3="POD"),AND('Aggregate summary'!$U$3="Process",'Aggregate summary'!$T$76="Clearance + downstream effects")),SUMIFS(Z$430:Z$432,$L$430:$L$432,$AE241),0)</f>
        <v>0</v>
      </c>
    </row>
    <row r="322" spans="1:43" x14ac:dyDescent="0.25">
      <c r="A322">
        <f>1</f>
        <v>1</v>
      </c>
      <c r="B322" s="85">
        <f t="shared" si="136"/>
        <v>44110</v>
      </c>
      <c r="C322" s="85">
        <f t="shared" si="132"/>
        <v>44109</v>
      </c>
      <c r="D322">
        <f t="shared" ca="1" si="133"/>
        <v>1</v>
      </c>
      <c r="E322" s="85">
        <f t="shared" si="134"/>
        <v>44105</v>
      </c>
      <c r="F322">
        <f t="shared" si="135"/>
        <v>41</v>
      </c>
      <c r="L322" t="str">
        <f t="shared" ref="L322:L380" ca="1" si="142">L124</f>
        <v/>
      </c>
      <c r="M322">
        <v>0</v>
      </c>
      <c r="N322">
        <v>2</v>
      </c>
      <c r="O322" s="6">
        <f t="array" aca="1" ref="O322" ca="1">SUM(OFFSET($FC$43,0,($M322*3)+$N322,53,1)*O$43:O$95)</f>
        <v>0</v>
      </c>
      <c r="P322" s="6">
        <f t="array" aca="1" ref="P322" ca="1">SUM(OFFSET($FC$43,0,($M322*3)+$N322,53,1)*P$43:P$95)</f>
        <v>0</v>
      </c>
      <c r="Q322" s="6">
        <f t="array" aca="1" ref="Q322" ca="1">SUM(OFFSET($FC$43,0,($M322*3)+$N322,53,1)*Q$43:Q$95)</f>
        <v>0</v>
      </c>
      <c r="R322" s="6">
        <f t="array" aca="1" ref="R322" ca="1">SUM(OFFSET($FC$43,0,($M322*3)+$N322,53,1)*R$43:R$95)</f>
        <v>0</v>
      </c>
      <c r="S322" s="6">
        <f t="array" aca="1" ref="S322" ca="1">SUM(OFFSET($FC$43,0,($M322*3)+$N322,53,1)*S$43:S$95)</f>
        <v>0</v>
      </c>
      <c r="T322" s="6">
        <f t="array" aca="1" ref="T322" ca="1">SUM(OFFSET($FC$43,0,($M322*3)+$N322,53,1)*T$43:T$95)</f>
        <v>0</v>
      </c>
      <c r="U322" s="6">
        <f t="array" aca="1" ref="U322" ca="1">SUM(OFFSET($FC$43,0,($M322*3)+$N322,53,1)*U$43:U$95)</f>
        <v>0</v>
      </c>
      <c r="V322" s="6">
        <f t="array" aca="1" ref="V322" ca="1">SUM(OFFSET($FC$43,0,($M322*3)+$N322,53,1)*V$43:V$95)</f>
        <v>0</v>
      </c>
      <c r="W322" s="6">
        <f t="array" aca="1" ref="W322" ca="1">SUM(OFFSET($FC$43,0,($M322*3)+$N322,53,1)*W$43:W$95)</f>
        <v>0</v>
      </c>
      <c r="X322" s="6">
        <f t="array" aca="1" ref="X322" ca="1">SUM(OFFSET($FC$43,0,($M322*3)+$N322,53,1)*X$43:X$95)</f>
        <v>0</v>
      </c>
      <c r="Y322" s="6">
        <f t="array" aca="1" ref="Y322" ca="1">SUM(OFFSET($FC$43,0,($M322*3)+$N322,53,1)*Y$43:Y$95)</f>
        <v>0</v>
      </c>
      <c r="Z322" s="6">
        <f t="array" aca="1" ref="Z322" ca="1">SUM(OFFSET($FC$43,0,($M322*3)+$N322,53,1)*Z$43:Z$95)</f>
        <v>0</v>
      </c>
      <c r="AA322" s="6">
        <f t="shared" ca="1" si="141"/>
        <v>0</v>
      </c>
      <c r="AB322" s="6" t="str">
        <f t="shared" ref="AB322:AB380" si="143">IF($J$105="","",IF($J$105&lt;=12,INDEX(O322:Z322,$J$105),AVERAGE(O322:Z322)))</f>
        <v/>
      </c>
      <c r="AC322" s="6"/>
      <c r="AD322" s="8" t="s">
        <v>1227</v>
      </c>
      <c r="AE322" t="str">
        <f t="shared" si="137"/>
        <v>Admission</v>
      </c>
      <c r="AF322" s="8">
        <f ca="1">SUMIFS(O$369:O$371,$L$369:$L$371,$AE242)+IF(OR(AND('Aggregate summary'!$L$3="Yes",'Aggregate summary'!$E$3="POD"),AND('Aggregate summary'!$U$3="Process",'Aggregate summary'!$T$76="Clearance + downstream effects")),SUMIFS(O$430:O$432,$L$430:$L$432,$AE242),0)</f>
        <v>0</v>
      </c>
      <c r="AG322" s="8">
        <f ca="1">SUMIFS(P$369:P$371,$L$369:$L$371,$AE242)+IF(OR(AND('Aggregate summary'!$L$3="Yes",'Aggregate summary'!$E$3="POD"),AND('Aggregate summary'!$U$3="Process",'Aggregate summary'!$T$76="Clearance + downstream effects")),SUMIFS(P$430:P$432,$L$430:$L$432,$AE242),0)</f>
        <v>0</v>
      </c>
      <c r="AH322" s="8">
        <f ca="1">SUMIFS(Q$369:Q$371,$L$369:$L$371,$AE242)+IF(OR(AND('Aggregate summary'!$L$3="Yes",'Aggregate summary'!$E$3="POD"),AND('Aggregate summary'!$U$3="Process",'Aggregate summary'!$T$76="Clearance + downstream effects")),SUMIFS(Q$430:Q$432,$L$430:$L$432,$AE242),0)</f>
        <v>0</v>
      </c>
      <c r="AI322" s="8">
        <f ca="1">SUMIFS(R$369:R$371,$L$369:$L$371,$AE242)+IF(OR(AND('Aggregate summary'!$L$3="Yes",'Aggregate summary'!$E$3="POD"),AND('Aggregate summary'!$U$3="Process",'Aggregate summary'!$T$76="Clearance + downstream effects")),SUMIFS(R$430:R$432,$L$430:$L$432,$AE242),0)</f>
        <v>0</v>
      </c>
      <c r="AJ322" s="8">
        <f ca="1">SUMIFS(S$369:S$371,$L$369:$L$371,$AE242)+IF(OR(AND('Aggregate summary'!$L$3="Yes",'Aggregate summary'!$E$3="POD"),AND('Aggregate summary'!$U$3="Process",'Aggregate summary'!$T$76="Clearance + downstream effects")),SUMIFS(S$430:S$432,$L$430:$L$432,$AE242),0)</f>
        <v>0</v>
      </c>
      <c r="AK322" s="8">
        <f ca="1">SUMIFS(T$369:T$371,$L$369:$L$371,$AE242)+IF(OR(AND('Aggregate summary'!$L$3="Yes",'Aggregate summary'!$E$3="POD"),AND('Aggregate summary'!$U$3="Process",'Aggregate summary'!$T$76="Clearance + downstream effects")),SUMIFS(T$430:T$432,$L$430:$L$432,$AE242),0)</f>
        <v>0</v>
      </c>
      <c r="AL322" s="8">
        <f ca="1">SUMIFS(U$369:U$371,$L$369:$L$371,$AE242)+IF(OR(AND('Aggregate summary'!$L$3="Yes",'Aggregate summary'!$E$3="POD"),AND('Aggregate summary'!$U$3="Process",'Aggregate summary'!$T$76="Clearance + downstream effects")),SUMIFS(U$430:U$432,$L$430:$L$432,$AE242),0)</f>
        <v>0</v>
      </c>
      <c r="AM322" s="8">
        <f ca="1">SUMIFS(V$369:V$371,$L$369:$L$371,$AE242)+IF(OR(AND('Aggregate summary'!$L$3="Yes",'Aggregate summary'!$E$3="POD"),AND('Aggregate summary'!$U$3="Process",'Aggregate summary'!$T$76="Clearance + downstream effects")),SUMIFS(V$430:V$432,$L$430:$L$432,$AE242),0)</f>
        <v>0</v>
      </c>
      <c r="AN322" s="8">
        <f ca="1">SUMIFS(W$369:W$371,$L$369:$L$371,$AE242)+IF(OR(AND('Aggregate summary'!$L$3="Yes",'Aggregate summary'!$E$3="POD"),AND('Aggregate summary'!$U$3="Process",'Aggregate summary'!$T$76="Clearance + downstream effects")),SUMIFS(W$430:W$432,$L$430:$L$432,$AE242),0)</f>
        <v>0</v>
      </c>
      <c r="AO322" s="8">
        <f ca="1">SUMIFS(X$369:X$371,$L$369:$L$371,$AE242)+IF(OR(AND('Aggregate summary'!$L$3="Yes",'Aggregate summary'!$E$3="POD"),AND('Aggregate summary'!$U$3="Process",'Aggregate summary'!$T$76="Clearance + downstream effects")),SUMIFS(X$430:X$432,$L$430:$L$432,$AE242),0)</f>
        <v>0</v>
      </c>
      <c r="AP322" s="8">
        <f ca="1">SUMIFS(Y$369:Y$371,$L$369:$L$371,$AE242)+IF(OR(AND('Aggregate summary'!$L$3="Yes",'Aggregate summary'!$E$3="POD"),AND('Aggregate summary'!$U$3="Process",'Aggregate summary'!$T$76="Clearance + downstream effects")),SUMIFS(Y$430:Y$432,$L$430:$L$432,$AE242),0)</f>
        <v>0</v>
      </c>
      <c r="AQ322" s="8">
        <f ca="1">SUMIFS(Z$369:Z$371,$L$369:$L$371,$AE242)+IF(OR(AND('Aggregate summary'!$L$3="Yes",'Aggregate summary'!$E$3="POD"),AND('Aggregate summary'!$U$3="Process",'Aggregate summary'!$T$76="Clearance + downstream effects")),SUMIFS(Z$430:Z$432,$L$430:$L$432,$AE242),0)</f>
        <v>0</v>
      </c>
    </row>
    <row r="323" spans="1:43" x14ac:dyDescent="0.25">
      <c r="A323">
        <f>1</f>
        <v>1</v>
      </c>
      <c r="B323" s="85">
        <f t="shared" si="136"/>
        <v>44111</v>
      </c>
      <c r="C323" s="85">
        <f t="shared" si="132"/>
        <v>44109</v>
      </c>
      <c r="D323">
        <f t="shared" ca="1" si="133"/>
        <v>1</v>
      </c>
      <c r="E323" s="85">
        <f t="shared" si="134"/>
        <v>44105</v>
      </c>
      <c r="F323">
        <f t="shared" si="135"/>
        <v>41</v>
      </c>
      <c r="L323" t="str">
        <f t="shared" ca="1" si="142"/>
        <v/>
      </c>
      <c r="M323">
        <v>0</v>
      </c>
      <c r="N323">
        <v>3</v>
      </c>
      <c r="O323" s="6">
        <f t="array" aca="1" ref="O323" ca="1">SUM(OFFSET($FC$43,0,($M323*3)+$N323,53,1)*O$43:O$95)</f>
        <v>0</v>
      </c>
      <c r="P323" s="6">
        <f t="array" aca="1" ref="P323" ca="1">SUM(OFFSET($FC$43,0,($M323*3)+$N323,53,1)*P$43:P$95)</f>
        <v>0</v>
      </c>
      <c r="Q323" s="6">
        <f t="array" aca="1" ref="Q323" ca="1">SUM(OFFSET($FC$43,0,($M323*3)+$N323,53,1)*Q$43:Q$95)</f>
        <v>0</v>
      </c>
      <c r="R323" s="6">
        <f t="array" aca="1" ref="R323" ca="1">SUM(OFFSET($FC$43,0,($M323*3)+$N323,53,1)*R$43:R$95)</f>
        <v>0</v>
      </c>
      <c r="S323" s="6">
        <f t="array" aca="1" ref="S323" ca="1">SUM(OFFSET($FC$43,0,($M323*3)+$N323,53,1)*S$43:S$95)</f>
        <v>0</v>
      </c>
      <c r="T323" s="6">
        <f t="array" aca="1" ref="T323" ca="1">SUM(OFFSET($FC$43,0,($M323*3)+$N323,53,1)*T$43:T$95)</f>
        <v>0</v>
      </c>
      <c r="U323" s="6">
        <f t="array" aca="1" ref="U323" ca="1">SUM(OFFSET($FC$43,0,($M323*3)+$N323,53,1)*U$43:U$95)</f>
        <v>0</v>
      </c>
      <c r="V323" s="6">
        <f t="array" aca="1" ref="V323" ca="1">SUM(OFFSET($FC$43,0,($M323*3)+$N323,53,1)*V$43:V$95)</f>
        <v>0</v>
      </c>
      <c r="W323" s="6">
        <f t="array" aca="1" ref="W323" ca="1">SUM(OFFSET($FC$43,0,($M323*3)+$N323,53,1)*W$43:W$95)</f>
        <v>0</v>
      </c>
      <c r="X323" s="6">
        <f t="array" aca="1" ref="X323" ca="1">SUM(OFFSET($FC$43,0,($M323*3)+$N323,53,1)*X$43:X$95)</f>
        <v>0</v>
      </c>
      <c r="Y323" s="6">
        <f t="array" aca="1" ref="Y323" ca="1">SUM(OFFSET($FC$43,0,($M323*3)+$N323,53,1)*Y$43:Y$95)</f>
        <v>0</v>
      </c>
      <c r="Z323" s="6">
        <f t="array" aca="1" ref="Z323" ca="1">SUM(OFFSET($FC$43,0,($M323*3)+$N323,53,1)*Z$43:Z$95)</f>
        <v>0</v>
      </c>
      <c r="AA323" s="6">
        <f t="shared" ca="1" si="141"/>
        <v>0</v>
      </c>
      <c r="AB323" s="6" t="str">
        <f t="shared" si="143"/>
        <v/>
      </c>
      <c r="AD323" s="8">
        <v>18</v>
      </c>
      <c r="AE323" t="str">
        <f t="shared" si="137"/>
        <v>New</v>
      </c>
      <c r="AF323" s="8">
        <f ca="1">SUMIFS(O$372:O$374,$L$372:$L$374,$AE238)+IF(OR(AND('Aggregate summary'!$L$3="Yes",'Aggregate summary'!$E$3="POD"),AND('Aggregate summary'!$U$3="Process",'Aggregate summary'!$T$76="Clearance + downstream effects")),SUMIFS(O$433:O$435,$L$433:$L$435,$AE238),0)</f>
        <v>0</v>
      </c>
      <c r="AG323" s="8">
        <f ca="1">SUMIFS(P$372:P$374,$L$372:$L$374,$AE238)+IF(OR(AND('Aggregate summary'!$L$3="Yes",'Aggregate summary'!$E$3="POD"),AND('Aggregate summary'!$U$3="Process",'Aggregate summary'!$T$76="Clearance + downstream effects")),SUMIFS(P$433:P$435,$L$433:$L$435,$AE238),0)</f>
        <v>0</v>
      </c>
      <c r="AH323" s="8">
        <f ca="1">SUMIFS(Q$372:Q$374,$L$372:$L$374,$AE238)+IF(OR(AND('Aggregate summary'!$L$3="Yes",'Aggregate summary'!$E$3="POD"),AND('Aggregate summary'!$U$3="Process",'Aggregate summary'!$T$76="Clearance + downstream effects")),SUMIFS(Q$433:Q$435,$L$433:$L$435,$AE238),0)</f>
        <v>0</v>
      </c>
      <c r="AI323" s="8">
        <f ca="1">SUMIFS(R$372:R$374,$L$372:$L$374,$AE238)+IF(OR(AND('Aggregate summary'!$L$3="Yes",'Aggregate summary'!$E$3="POD"),AND('Aggregate summary'!$U$3="Process",'Aggregate summary'!$T$76="Clearance + downstream effects")),SUMIFS(R$433:R$435,$L$433:$L$435,$AE238),0)</f>
        <v>0</v>
      </c>
      <c r="AJ323" s="8">
        <f ca="1">SUMIFS(S$372:S$374,$L$372:$L$374,$AE238)+IF(OR(AND('Aggregate summary'!$L$3="Yes",'Aggregate summary'!$E$3="POD"),AND('Aggregate summary'!$U$3="Process",'Aggregate summary'!$T$76="Clearance + downstream effects")),SUMIFS(S$433:S$435,$L$433:$L$435,$AE238),0)</f>
        <v>0</v>
      </c>
      <c r="AK323" s="8">
        <f ca="1">SUMIFS(T$372:T$374,$L$372:$L$374,$AE238)+IF(OR(AND('Aggregate summary'!$L$3="Yes",'Aggregate summary'!$E$3="POD"),AND('Aggregate summary'!$U$3="Process",'Aggregate summary'!$T$76="Clearance + downstream effects")),SUMIFS(T$433:T$435,$L$433:$L$435,$AE238),0)</f>
        <v>0</v>
      </c>
      <c r="AL323" s="8">
        <f ca="1">SUMIFS(U$372:U$374,$L$372:$L$374,$AE238)+IF(OR(AND('Aggregate summary'!$L$3="Yes",'Aggregate summary'!$E$3="POD"),AND('Aggregate summary'!$U$3="Process",'Aggregate summary'!$T$76="Clearance + downstream effects")),SUMIFS(U$433:U$435,$L$433:$L$435,$AE238),0)</f>
        <v>0</v>
      </c>
      <c r="AM323" s="8">
        <f ca="1">SUMIFS(V$372:V$374,$L$372:$L$374,$AE238)+IF(OR(AND('Aggregate summary'!$L$3="Yes",'Aggregate summary'!$E$3="POD"),AND('Aggregate summary'!$U$3="Process",'Aggregate summary'!$T$76="Clearance + downstream effects")),SUMIFS(V$433:V$435,$L$433:$L$435,$AE238),0)</f>
        <v>0</v>
      </c>
      <c r="AN323" s="8">
        <f ca="1">SUMIFS(W$372:W$374,$L$372:$L$374,$AE238)+IF(OR(AND('Aggregate summary'!$L$3="Yes",'Aggregate summary'!$E$3="POD"),AND('Aggregate summary'!$U$3="Process",'Aggregate summary'!$T$76="Clearance + downstream effects")),SUMIFS(W$433:W$435,$L$433:$L$435,$AE238),0)</f>
        <v>0</v>
      </c>
      <c r="AO323" s="8">
        <f ca="1">SUMIFS(X$372:X$374,$L$372:$L$374,$AE238)+IF(OR(AND('Aggregate summary'!$L$3="Yes",'Aggregate summary'!$E$3="POD"),AND('Aggregate summary'!$U$3="Process",'Aggregate summary'!$T$76="Clearance + downstream effects")),SUMIFS(X$433:X$435,$L$433:$L$435,$AE238),0)</f>
        <v>0</v>
      </c>
      <c r="AP323" s="8">
        <f ca="1">SUMIFS(Y$372:Y$374,$L$372:$L$374,$AE238)+IF(OR(AND('Aggregate summary'!$L$3="Yes",'Aggregate summary'!$E$3="POD"),AND('Aggregate summary'!$U$3="Process",'Aggregate summary'!$T$76="Clearance + downstream effects")),SUMIFS(Y$433:Y$435,$L$433:$L$435,$AE238),0)</f>
        <v>0</v>
      </c>
      <c r="AQ323" s="8">
        <f ca="1">SUMIFS(Z$372:Z$374,$L$372:$L$374,$AE238)+IF(OR(AND('Aggregate summary'!$L$3="Yes",'Aggregate summary'!$E$3="POD"),AND('Aggregate summary'!$U$3="Process",'Aggregate summary'!$T$76="Clearance + downstream effects")),SUMIFS(Z$433:Z$435,$L$433:$L$435,$AE238),0)</f>
        <v>0</v>
      </c>
    </row>
    <row r="324" spans="1:43" x14ac:dyDescent="0.25">
      <c r="A324">
        <f>1</f>
        <v>1</v>
      </c>
      <c r="B324" s="85">
        <f t="shared" si="136"/>
        <v>44112</v>
      </c>
      <c r="C324" s="85">
        <f t="shared" si="132"/>
        <v>44109</v>
      </c>
      <c r="D324">
        <f t="shared" ca="1" si="133"/>
        <v>1</v>
      </c>
      <c r="E324" s="85">
        <f t="shared" si="134"/>
        <v>44105</v>
      </c>
      <c r="F324">
        <f t="shared" si="135"/>
        <v>41</v>
      </c>
      <c r="L324" t="str">
        <f t="shared" ca="1" si="142"/>
        <v/>
      </c>
      <c r="M324">
        <v>1</v>
      </c>
      <c r="N324">
        <v>1</v>
      </c>
      <c r="O324" s="6">
        <f t="array" aca="1" ref="O324" ca="1">SUM(OFFSET($FC$43,0,($M324*3)+$N324,53,1)*O$43:O$95)</f>
        <v>0</v>
      </c>
      <c r="P324" s="6">
        <f t="array" aca="1" ref="P324" ca="1">SUM(OFFSET($FC$43,0,($M324*3)+$N324,53,1)*P$43:P$95)</f>
        <v>0</v>
      </c>
      <c r="Q324" s="6">
        <f t="array" aca="1" ref="Q324" ca="1">SUM(OFFSET($FC$43,0,($M324*3)+$N324,53,1)*Q$43:Q$95)</f>
        <v>0</v>
      </c>
      <c r="R324" s="6">
        <f t="array" aca="1" ref="R324" ca="1">SUM(OFFSET($FC$43,0,($M324*3)+$N324,53,1)*R$43:R$95)</f>
        <v>0</v>
      </c>
      <c r="S324" s="6">
        <f t="array" aca="1" ref="S324" ca="1">SUM(OFFSET($FC$43,0,($M324*3)+$N324,53,1)*S$43:S$95)</f>
        <v>0</v>
      </c>
      <c r="T324" s="6">
        <f t="array" aca="1" ref="T324" ca="1">SUM(OFFSET($FC$43,0,($M324*3)+$N324,53,1)*T$43:T$95)</f>
        <v>0</v>
      </c>
      <c r="U324" s="6">
        <f t="array" aca="1" ref="U324" ca="1">SUM(OFFSET($FC$43,0,($M324*3)+$N324,53,1)*U$43:U$95)</f>
        <v>0</v>
      </c>
      <c r="V324" s="6">
        <f t="array" aca="1" ref="V324" ca="1">SUM(OFFSET($FC$43,0,($M324*3)+$N324,53,1)*V$43:V$95)</f>
        <v>0</v>
      </c>
      <c r="W324" s="6">
        <f t="array" aca="1" ref="W324" ca="1">SUM(OFFSET($FC$43,0,($M324*3)+$N324,53,1)*W$43:W$95)</f>
        <v>0</v>
      </c>
      <c r="X324" s="6">
        <f t="array" aca="1" ref="X324" ca="1">SUM(OFFSET($FC$43,0,($M324*3)+$N324,53,1)*X$43:X$95)</f>
        <v>0</v>
      </c>
      <c r="Y324" s="6">
        <f t="array" aca="1" ref="Y324" ca="1">SUM(OFFSET($FC$43,0,($M324*3)+$N324,53,1)*Y$43:Y$95)</f>
        <v>0</v>
      </c>
      <c r="Z324" s="6">
        <f t="array" aca="1" ref="Z324" ca="1">SUM(OFFSET($FC$43,0,($M324*3)+$N324,53,1)*Z$43:Z$95)</f>
        <v>0</v>
      </c>
      <c r="AA324" s="6">
        <f t="shared" ca="1" si="141"/>
        <v>0</v>
      </c>
      <c r="AB324" s="6" t="str">
        <f t="shared" si="143"/>
        <v/>
      </c>
      <c r="AD324" s="8" t="s">
        <v>1227</v>
      </c>
      <c r="AE324" t="str">
        <f t="shared" si="137"/>
        <v>Diagnostic (N)</v>
      </c>
      <c r="AF324" s="8">
        <f ca="1">SUMIFS(O$372:O$374,$L$372:$L$374,$AE239)+IF(OR(AND('Aggregate summary'!$L$3="Yes",'Aggregate summary'!$E$3="POD"),AND('Aggregate summary'!$U$3="Process",'Aggregate summary'!$T$76="Clearance + downstream effects")),SUMIFS(O$433:O$435,$L$433:$L$435,$AE239),0)</f>
        <v>0</v>
      </c>
      <c r="AG324" s="8">
        <f ca="1">SUMIFS(P$372:P$374,$L$372:$L$374,$AE239)+IF(OR(AND('Aggregate summary'!$L$3="Yes",'Aggregate summary'!$E$3="POD"),AND('Aggregate summary'!$U$3="Process",'Aggregate summary'!$T$76="Clearance + downstream effects")),SUMIFS(P$433:P$435,$L$433:$L$435,$AE239),0)</f>
        <v>0</v>
      </c>
      <c r="AH324" s="8">
        <f ca="1">SUMIFS(Q$372:Q$374,$L$372:$L$374,$AE239)+IF(OR(AND('Aggregate summary'!$L$3="Yes",'Aggregate summary'!$E$3="POD"),AND('Aggregate summary'!$U$3="Process",'Aggregate summary'!$T$76="Clearance + downstream effects")),SUMIFS(Q$433:Q$435,$L$433:$L$435,$AE239),0)</f>
        <v>0</v>
      </c>
      <c r="AI324" s="8">
        <f ca="1">SUMIFS(R$372:R$374,$L$372:$L$374,$AE239)+IF(OR(AND('Aggregate summary'!$L$3="Yes",'Aggregate summary'!$E$3="POD"),AND('Aggregate summary'!$U$3="Process",'Aggregate summary'!$T$76="Clearance + downstream effects")),SUMIFS(R$433:R$435,$L$433:$L$435,$AE239),0)</f>
        <v>0</v>
      </c>
      <c r="AJ324" s="8">
        <f ca="1">SUMIFS(S$372:S$374,$L$372:$L$374,$AE239)+IF(OR(AND('Aggregate summary'!$L$3="Yes",'Aggregate summary'!$E$3="POD"),AND('Aggregate summary'!$U$3="Process",'Aggregate summary'!$T$76="Clearance + downstream effects")),SUMIFS(S$433:S$435,$L$433:$L$435,$AE239),0)</f>
        <v>0</v>
      </c>
      <c r="AK324" s="8">
        <f ca="1">SUMIFS(T$372:T$374,$L$372:$L$374,$AE239)+IF(OR(AND('Aggregate summary'!$L$3="Yes",'Aggregate summary'!$E$3="POD"),AND('Aggregate summary'!$U$3="Process",'Aggregate summary'!$T$76="Clearance + downstream effects")),SUMIFS(T$433:T$435,$L$433:$L$435,$AE239),0)</f>
        <v>0</v>
      </c>
      <c r="AL324" s="8">
        <f ca="1">SUMIFS(U$372:U$374,$L$372:$L$374,$AE239)+IF(OR(AND('Aggregate summary'!$L$3="Yes",'Aggregate summary'!$E$3="POD"),AND('Aggregate summary'!$U$3="Process",'Aggregate summary'!$T$76="Clearance + downstream effects")),SUMIFS(U$433:U$435,$L$433:$L$435,$AE239),0)</f>
        <v>0</v>
      </c>
      <c r="AM324" s="8">
        <f ca="1">SUMIFS(V$372:V$374,$L$372:$L$374,$AE239)+IF(OR(AND('Aggregate summary'!$L$3="Yes",'Aggregate summary'!$E$3="POD"),AND('Aggregate summary'!$U$3="Process",'Aggregate summary'!$T$76="Clearance + downstream effects")),SUMIFS(V$433:V$435,$L$433:$L$435,$AE239),0)</f>
        <v>0</v>
      </c>
      <c r="AN324" s="8">
        <f ca="1">SUMIFS(W$372:W$374,$L$372:$L$374,$AE239)+IF(OR(AND('Aggregate summary'!$L$3="Yes",'Aggregate summary'!$E$3="POD"),AND('Aggregate summary'!$U$3="Process",'Aggregate summary'!$T$76="Clearance + downstream effects")),SUMIFS(W$433:W$435,$L$433:$L$435,$AE239),0)</f>
        <v>0</v>
      </c>
      <c r="AO324" s="8">
        <f ca="1">SUMIFS(X$372:X$374,$L$372:$L$374,$AE239)+IF(OR(AND('Aggregate summary'!$L$3="Yes",'Aggregate summary'!$E$3="POD"),AND('Aggregate summary'!$U$3="Process",'Aggregate summary'!$T$76="Clearance + downstream effects")),SUMIFS(X$433:X$435,$L$433:$L$435,$AE239),0)</f>
        <v>0</v>
      </c>
      <c r="AP324" s="8">
        <f ca="1">SUMIFS(Y$372:Y$374,$L$372:$L$374,$AE239)+IF(OR(AND('Aggregate summary'!$L$3="Yes",'Aggregate summary'!$E$3="POD"),AND('Aggregate summary'!$U$3="Process",'Aggregate summary'!$T$76="Clearance + downstream effects")),SUMIFS(Y$433:Y$435,$L$433:$L$435,$AE239),0)</f>
        <v>0</v>
      </c>
      <c r="AQ324" s="8">
        <f ca="1">SUMIFS(Z$372:Z$374,$L$372:$L$374,$AE239)+IF(OR(AND('Aggregate summary'!$L$3="Yes",'Aggregate summary'!$E$3="POD"),AND('Aggregate summary'!$U$3="Process",'Aggregate summary'!$T$76="Clearance + downstream effects")),SUMIFS(Z$433:Z$435,$L$433:$L$435,$AE239),0)</f>
        <v>0</v>
      </c>
    </row>
    <row r="325" spans="1:43" x14ac:dyDescent="0.25">
      <c r="A325">
        <f>1</f>
        <v>1</v>
      </c>
      <c r="B325" s="85">
        <f t="shared" si="136"/>
        <v>44113</v>
      </c>
      <c r="C325" s="85">
        <f t="shared" si="132"/>
        <v>44109</v>
      </c>
      <c r="D325">
        <f t="shared" ca="1" si="133"/>
        <v>1</v>
      </c>
      <c r="E325" s="85">
        <f t="shared" si="134"/>
        <v>44105</v>
      </c>
      <c r="F325">
        <f t="shared" si="135"/>
        <v>41</v>
      </c>
      <c r="L325" t="str">
        <f t="shared" ca="1" si="142"/>
        <v/>
      </c>
      <c r="M325">
        <v>1</v>
      </c>
      <c r="N325">
        <v>2</v>
      </c>
      <c r="O325" s="6">
        <f t="array" aca="1" ref="O325" ca="1">SUM(OFFSET($FC$43,0,($M325*3)+$N325,53,1)*O$43:O$95)</f>
        <v>0</v>
      </c>
      <c r="P325" s="6">
        <f t="array" aca="1" ref="P325" ca="1">SUM(OFFSET($FC$43,0,($M325*3)+$N325,53,1)*P$43:P$95)</f>
        <v>0</v>
      </c>
      <c r="Q325" s="6">
        <f t="array" aca="1" ref="Q325" ca="1">SUM(OFFSET($FC$43,0,($M325*3)+$N325,53,1)*Q$43:Q$95)</f>
        <v>0</v>
      </c>
      <c r="R325" s="6">
        <f t="array" aca="1" ref="R325" ca="1">SUM(OFFSET($FC$43,0,($M325*3)+$N325,53,1)*R$43:R$95)</f>
        <v>0</v>
      </c>
      <c r="S325" s="6">
        <f t="array" aca="1" ref="S325" ca="1">SUM(OFFSET($FC$43,0,($M325*3)+$N325,53,1)*S$43:S$95)</f>
        <v>0</v>
      </c>
      <c r="T325" s="6">
        <f t="array" aca="1" ref="T325" ca="1">SUM(OFFSET($FC$43,0,($M325*3)+$N325,53,1)*T$43:T$95)</f>
        <v>0</v>
      </c>
      <c r="U325" s="6">
        <f t="array" aca="1" ref="U325" ca="1">SUM(OFFSET($FC$43,0,($M325*3)+$N325,53,1)*U$43:U$95)</f>
        <v>0</v>
      </c>
      <c r="V325" s="6">
        <f t="array" aca="1" ref="V325" ca="1">SUM(OFFSET($FC$43,0,($M325*3)+$N325,53,1)*V$43:V$95)</f>
        <v>0</v>
      </c>
      <c r="W325" s="6">
        <f t="array" aca="1" ref="W325" ca="1">SUM(OFFSET($FC$43,0,($M325*3)+$N325,53,1)*W$43:W$95)</f>
        <v>0</v>
      </c>
      <c r="X325" s="6">
        <f t="array" aca="1" ref="X325" ca="1">SUM(OFFSET($FC$43,0,($M325*3)+$N325,53,1)*X$43:X$95)</f>
        <v>0</v>
      </c>
      <c r="Y325" s="6">
        <f t="array" aca="1" ref="Y325" ca="1">SUM(OFFSET($FC$43,0,($M325*3)+$N325,53,1)*Y$43:Y$95)</f>
        <v>0</v>
      </c>
      <c r="Z325" s="6">
        <f t="array" aca="1" ref="Z325" ca="1">SUM(OFFSET($FC$43,0,($M325*3)+$N325,53,1)*Z$43:Z$95)</f>
        <v>0</v>
      </c>
      <c r="AA325" s="6">
        <f t="shared" ca="1" si="141"/>
        <v>0</v>
      </c>
      <c r="AB325" s="6" t="str">
        <f t="shared" si="143"/>
        <v/>
      </c>
      <c r="AD325" s="8" t="s">
        <v>1227</v>
      </c>
      <c r="AE325" t="str">
        <f t="shared" si="137"/>
        <v>Follow Up</v>
      </c>
      <c r="AF325" s="8">
        <f ca="1">SUMIFS(O$372:O$374,$L$372:$L$374,$AE240)+IF(OR(AND('Aggregate summary'!$L$3="Yes",'Aggregate summary'!$E$3="POD"),AND('Aggregate summary'!$U$3="Process",'Aggregate summary'!$T$76="Clearance + downstream effects")),SUMIFS(O$433:O$435,$L$433:$L$435,$AE240),0)</f>
        <v>0</v>
      </c>
      <c r="AG325" s="8">
        <f ca="1">SUMIFS(P$372:P$374,$L$372:$L$374,$AE240)+IF(OR(AND('Aggregate summary'!$L$3="Yes",'Aggregate summary'!$E$3="POD"),AND('Aggregate summary'!$U$3="Process",'Aggregate summary'!$T$76="Clearance + downstream effects")),SUMIFS(P$433:P$435,$L$433:$L$435,$AE240),0)</f>
        <v>0</v>
      </c>
      <c r="AH325" s="8">
        <f ca="1">SUMIFS(Q$372:Q$374,$L$372:$L$374,$AE240)+IF(OR(AND('Aggregate summary'!$L$3="Yes",'Aggregate summary'!$E$3="POD"),AND('Aggregate summary'!$U$3="Process",'Aggregate summary'!$T$76="Clearance + downstream effects")),SUMIFS(Q$433:Q$435,$L$433:$L$435,$AE240),0)</f>
        <v>0</v>
      </c>
      <c r="AI325" s="8">
        <f ca="1">SUMIFS(R$372:R$374,$L$372:$L$374,$AE240)+IF(OR(AND('Aggregate summary'!$L$3="Yes",'Aggregate summary'!$E$3="POD"),AND('Aggregate summary'!$U$3="Process",'Aggregate summary'!$T$76="Clearance + downstream effects")),SUMIFS(R$433:R$435,$L$433:$L$435,$AE240),0)</f>
        <v>0</v>
      </c>
      <c r="AJ325" s="8">
        <f ca="1">SUMIFS(S$372:S$374,$L$372:$L$374,$AE240)+IF(OR(AND('Aggregate summary'!$L$3="Yes",'Aggregate summary'!$E$3="POD"),AND('Aggregate summary'!$U$3="Process",'Aggregate summary'!$T$76="Clearance + downstream effects")),SUMIFS(S$433:S$435,$L$433:$L$435,$AE240),0)</f>
        <v>0</v>
      </c>
      <c r="AK325" s="8">
        <f ca="1">SUMIFS(T$372:T$374,$L$372:$L$374,$AE240)+IF(OR(AND('Aggregate summary'!$L$3="Yes",'Aggregate summary'!$E$3="POD"),AND('Aggregate summary'!$U$3="Process",'Aggregate summary'!$T$76="Clearance + downstream effects")),SUMIFS(T$433:T$435,$L$433:$L$435,$AE240),0)</f>
        <v>0</v>
      </c>
      <c r="AL325" s="8">
        <f ca="1">SUMIFS(U$372:U$374,$L$372:$L$374,$AE240)+IF(OR(AND('Aggregate summary'!$L$3="Yes",'Aggregate summary'!$E$3="POD"),AND('Aggregate summary'!$U$3="Process",'Aggregate summary'!$T$76="Clearance + downstream effects")),SUMIFS(U$433:U$435,$L$433:$L$435,$AE240),0)</f>
        <v>0</v>
      </c>
      <c r="AM325" s="8">
        <f ca="1">SUMIFS(V$372:V$374,$L$372:$L$374,$AE240)+IF(OR(AND('Aggregate summary'!$L$3="Yes",'Aggregate summary'!$E$3="POD"),AND('Aggregate summary'!$U$3="Process",'Aggregate summary'!$T$76="Clearance + downstream effects")),SUMIFS(V$433:V$435,$L$433:$L$435,$AE240),0)</f>
        <v>0</v>
      </c>
      <c r="AN325" s="8">
        <f ca="1">SUMIFS(W$372:W$374,$L$372:$L$374,$AE240)+IF(OR(AND('Aggregate summary'!$L$3="Yes",'Aggregate summary'!$E$3="POD"),AND('Aggregate summary'!$U$3="Process",'Aggregate summary'!$T$76="Clearance + downstream effects")),SUMIFS(W$433:W$435,$L$433:$L$435,$AE240),0)</f>
        <v>0</v>
      </c>
      <c r="AO325" s="8">
        <f ca="1">SUMIFS(X$372:X$374,$L$372:$L$374,$AE240)+IF(OR(AND('Aggregate summary'!$L$3="Yes",'Aggregate summary'!$E$3="POD"),AND('Aggregate summary'!$U$3="Process",'Aggregate summary'!$T$76="Clearance + downstream effects")),SUMIFS(X$433:X$435,$L$433:$L$435,$AE240),0)</f>
        <v>0</v>
      </c>
      <c r="AP325" s="8">
        <f ca="1">SUMIFS(Y$372:Y$374,$L$372:$L$374,$AE240)+IF(OR(AND('Aggregate summary'!$L$3="Yes",'Aggregate summary'!$E$3="POD"),AND('Aggregate summary'!$U$3="Process",'Aggregate summary'!$T$76="Clearance + downstream effects")),SUMIFS(Y$433:Y$435,$L$433:$L$435,$AE240),0)</f>
        <v>0</v>
      </c>
      <c r="AQ325" s="8">
        <f ca="1">SUMIFS(Z$372:Z$374,$L$372:$L$374,$AE240)+IF(OR(AND('Aggregate summary'!$L$3="Yes",'Aggregate summary'!$E$3="POD"),AND('Aggregate summary'!$U$3="Process",'Aggregate summary'!$T$76="Clearance + downstream effects")),SUMIFS(Z$433:Z$435,$L$433:$L$435,$AE240),0)</f>
        <v>0</v>
      </c>
    </row>
    <row r="326" spans="1:43" x14ac:dyDescent="0.25">
      <c r="A326">
        <f>1</f>
        <v>1</v>
      </c>
      <c r="B326" s="85">
        <f t="shared" si="136"/>
        <v>44114</v>
      </c>
      <c r="C326" s="85">
        <f t="shared" si="132"/>
        <v>44109</v>
      </c>
      <c r="D326">
        <f t="shared" ca="1" si="133"/>
        <v>0</v>
      </c>
      <c r="E326" s="85">
        <f t="shared" si="134"/>
        <v>44105</v>
      </c>
      <c r="F326">
        <f t="shared" si="135"/>
        <v>41</v>
      </c>
      <c r="L326" t="str">
        <f t="shared" ca="1" si="142"/>
        <v/>
      </c>
      <c r="M326">
        <v>1</v>
      </c>
      <c r="N326">
        <v>3</v>
      </c>
      <c r="O326" s="6">
        <f t="array" aca="1" ref="O326" ca="1">SUM(OFFSET($FC$43,0,($M326*3)+$N326,53,1)*O$43:O$95)</f>
        <v>0</v>
      </c>
      <c r="P326" s="6">
        <f t="array" aca="1" ref="P326" ca="1">SUM(OFFSET($FC$43,0,($M326*3)+$N326,53,1)*P$43:P$95)</f>
        <v>0</v>
      </c>
      <c r="Q326" s="6">
        <f t="array" aca="1" ref="Q326" ca="1">SUM(OFFSET($FC$43,0,($M326*3)+$N326,53,1)*Q$43:Q$95)</f>
        <v>0</v>
      </c>
      <c r="R326" s="6">
        <f t="array" aca="1" ref="R326" ca="1">SUM(OFFSET($FC$43,0,($M326*3)+$N326,53,1)*R$43:R$95)</f>
        <v>0</v>
      </c>
      <c r="S326" s="6">
        <f t="array" aca="1" ref="S326" ca="1">SUM(OFFSET($FC$43,0,($M326*3)+$N326,53,1)*S$43:S$95)</f>
        <v>0</v>
      </c>
      <c r="T326" s="6">
        <f t="array" aca="1" ref="T326" ca="1">SUM(OFFSET($FC$43,0,($M326*3)+$N326,53,1)*T$43:T$95)</f>
        <v>0</v>
      </c>
      <c r="U326" s="6">
        <f t="array" aca="1" ref="U326" ca="1">SUM(OFFSET($FC$43,0,($M326*3)+$N326,53,1)*U$43:U$95)</f>
        <v>0</v>
      </c>
      <c r="V326" s="6">
        <f t="array" aca="1" ref="V326" ca="1">SUM(OFFSET($FC$43,0,($M326*3)+$N326,53,1)*V$43:V$95)</f>
        <v>0</v>
      </c>
      <c r="W326" s="6">
        <f t="array" aca="1" ref="W326" ca="1">SUM(OFFSET($FC$43,0,($M326*3)+$N326,53,1)*W$43:W$95)</f>
        <v>0</v>
      </c>
      <c r="X326" s="6">
        <f t="array" aca="1" ref="X326" ca="1">SUM(OFFSET($FC$43,0,($M326*3)+$N326,53,1)*X$43:X$95)</f>
        <v>0</v>
      </c>
      <c r="Y326" s="6">
        <f t="array" aca="1" ref="Y326" ca="1">SUM(OFFSET($FC$43,0,($M326*3)+$N326,53,1)*Y$43:Y$95)</f>
        <v>0</v>
      </c>
      <c r="Z326" s="6">
        <f t="array" aca="1" ref="Z326" ca="1">SUM(OFFSET($FC$43,0,($M326*3)+$N326,53,1)*Z$43:Z$95)</f>
        <v>0</v>
      </c>
      <c r="AA326" s="6">
        <f t="shared" ca="1" si="141"/>
        <v>0</v>
      </c>
      <c r="AB326" s="6" t="str">
        <f t="shared" si="143"/>
        <v/>
      </c>
      <c r="AD326" s="8" t="s">
        <v>1227</v>
      </c>
      <c r="AE326" t="str">
        <f t="shared" si="137"/>
        <v>Diagnostic (FU)</v>
      </c>
      <c r="AF326" s="8">
        <f ca="1">SUMIFS(O$372:O$374,$L$372:$L$374,$AE241)+IF(OR(AND('Aggregate summary'!$L$3="Yes",'Aggregate summary'!$E$3="POD"),AND('Aggregate summary'!$U$3="Process",'Aggregate summary'!$T$76="Clearance + downstream effects")),SUMIFS(O$433:O$435,$L$433:$L$435,$AE241),0)</f>
        <v>0</v>
      </c>
      <c r="AG326" s="8">
        <f ca="1">SUMIFS(P$372:P$374,$L$372:$L$374,$AE241)+IF(OR(AND('Aggregate summary'!$L$3="Yes",'Aggregate summary'!$E$3="POD"),AND('Aggregate summary'!$U$3="Process",'Aggregate summary'!$T$76="Clearance + downstream effects")),SUMIFS(P$433:P$435,$L$433:$L$435,$AE241),0)</f>
        <v>0</v>
      </c>
      <c r="AH326" s="8">
        <f ca="1">SUMIFS(Q$372:Q$374,$L$372:$L$374,$AE241)+IF(OR(AND('Aggregate summary'!$L$3="Yes",'Aggregate summary'!$E$3="POD"),AND('Aggregate summary'!$U$3="Process",'Aggregate summary'!$T$76="Clearance + downstream effects")),SUMIFS(Q$433:Q$435,$L$433:$L$435,$AE241),0)</f>
        <v>0</v>
      </c>
      <c r="AI326" s="8">
        <f ca="1">SUMIFS(R$372:R$374,$L$372:$L$374,$AE241)+IF(OR(AND('Aggregate summary'!$L$3="Yes",'Aggregate summary'!$E$3="POD"),AND('Aggregate summary'!$U$3="Process",'Aggregate summary'!$T$76="Clearance + downstream effects")),SUMIFS(R$433:R$435,$L$433:$L$435,$AE241),0)</f>
        <v>0</v>
      </c>
      <c r="AJ326" s="8">
        <f ca="1">SUMIFS(S$372:S$374,$L$372:$L$374,$AE241)+IF(OR(AND('Aggregate summary'!$L$3="Yes",'Aggregate summary'!$E$3="POD"),AND('Aggregate summary'!$U$3="Process",'Aggregate summary'!$T$76="Clearance + downstream effects")),SUMIFS(S$433:S$435,$L$433:$L$435,$AE241),0)</f>
        <v>0</v>
      </c>
      <c r="AK326" s="8">
        <f ca="1">SUMIFS(T$372:T$374,$L$372:$L$374,$AE241)+IF(OR(AND('Aggregate summary'!$L$3="Yes",'Aggregate summary'!$E$3="POD"),AND('Aggregate summary'!$U$3="Process",'Aggregate summary'!$T$76="Clearance + downstream effects")),SUMIFS(T$433:T$435,$L$433:$L$435,$AE241),0)</f>
        <v>0</v>
      </c>
      <c r="AL326" s="8">
        <f ca="1">SUMIFS(U$372:U$374,$L$372:$L$374,$AE241)+IF(OR(AND('Aggregate summary'!$L$3="Yes",'Aggregate summary'!$E$3="POD"),AND('Aggregate summary'!$U$3="Process",'Aggregate summary'!$T$76="Clearance + downstream effects")),SUMIFS(U$433:U$435,$L$433:$L$435,$AE241),0)</f>
        <v>0</v>
      </c>
      <c r="AM326" s="8">
        <f ca="1">SUMIFS(V$372:V$374,$L$372:$L$374,$AE241)+IF(OR(AND('Aggregate summary'!$L$3="Yes",'Aggregate summary'!$E$3="POD"),AND('Aggregate summary'!$U$3="Process",'Aggregate summary'!$T$76="Clearance + downstream effects")),SUMIFS(V$433:V$435,$L$433:$L$435,$AE241),0)</f>
        <v>0</v>
      </c>
      <c r="AN326" s="8">
        <f ca="1">SUMIFS(W$372:W$374,$L$372:$L$374,$AE241)+IF(OR(AND('Aggregate summary'!$L$3="Yes",'Aggregate summary'!$E$3="POD"),AND('Aggregate summary'!$U$3="Process",'Aggregate summary'!$T$76="Clearance + downstream effects")),SUMIFS(W$433:W$435,$L$433:$L$435,$AE241),0)</f>
        <v>0</v>
      </c>
      <c r="AO326" s="8">
        <f ca="1">SUMIFS(X$372:X$374,$L$372:$L$374,$AE241)+IF(OR(AND('Aggregate summary'!$L$3="Yes",'Aggregate summary'!$E$3="POD"),AND('Aggregate summary'!$U$3="Process",'Aggregate summary'!$T$76="Clearance + downstream effects")),SUMIFS(X$433:X$435,$L$433:$L$435,$AE241),0)</f>
        <v>0</v>
      </c>
      <c r="AP326" s="8">
        <f ca="1">SUMIFS(Y$372:Y$374,$L$372:$L$374,$AE241)+IF(OR(AND('Aggregate summary'!$L$3="Yes",'Aggregate summary'!$E$3="POD"),AND('Aggregate summary'!$U$3="Process",'Aggregate summary'!$T$76="Clearance + downstream effects")),SUMIFS(Y$433:Y$435,$L$433:$L$435,$AE241),0)</f>
        <v>0</v>
      </c>
      <c r="AQ326" s="8">
        <f ca="1">SUMIFS(Z$372:Z$374,$L$372:$L$374,$AE241)+IF(OR(AND('Aggregate summary'!$L$3="Yes",'Aggregate summary'!$E$3="POD"),AND('Aggregate summary'!$U$3="Process",'Aggregate summary'!$T$76="Clearance + downstream effects")),SUMIFS(Z$433:Z$435,$L$433:$L$435,$AE241),0)</f>
        <v>0</v>
      </c>
    </row>
    <row r="327" spans="1:43" x14ac:dyDescent="0.25">
      <c r="A327">
        <f>1</f>
        <v>1</v>
      </c>
      <c r="B327" s="85">
        <f t="shared" si="136"/>
        <v>44115</v>
      </c>
      <c r="C327" s="85">
        <f t="shared" si="132"/>
        <v>44109</v>
      </c>
      <c r="D327">
        <f t="shared" ca="1" si="133"/>
        <v>0</v>
      </c>
      <c r="E327" s="85">
        <f t="shared" si="134"/>
        <v>44105</v>
      </c>
      <c r="F327">
        <f t="shared" si="135"/>
        <v>41</v>
      </c>
      <c r="L327" t="str">
        <f t="shared" ca="1" si="142"/>
        <v/>
      </c>
      <c r="M327">
        <v>2</v>
      </c>
      <c r="N327">
        <v>1</v>
      </c>
      <c r="O327" s="6">
        <f t="array" aca="1" ref="O327" ca="1">SUM(OFFSET($FC$43,0,($M327*3)+$N327,53,1)*O$43:O$95)</f>
        <v>0</v>
      </c>
      <c r="P327" s="6">
        <f t="array" aca="1" ref="P327" ca="1">SUM(OFFSET($FC$43,0,($M327*3)+$N327,53,1)*P$43:P$95)</f>
        <v>0</v>
      </c>
      <c r="Q327" s="6">
        <f t="array" aca="1" ref="Q327" ca="1">SUM(OFFSET($FC$43,0,($M327*3)+$N327,53,1)*Q$43:Q$95)</f>
        <v>0</v>
      </c>
      <c r="R327" s="6">
        <f t="array" aca="1" ref="R327" ca="1">SUM(OFFSET($FC$43,0,($M327*3)+$N327,53,1)*R$43:R$95)</f>
        <v>0</v>
      </c>
      <c r="S327" s="6">
        <f t="array" aca="1" ref="S327" ca="1">SUM(OFFSET($FC$43,0,($M327*3)+$N327,53,1)*S$43:S$95)</f>
        <v>0</v>
      </c>
      <c r="T327" s="6">
        <f t="array" aca="1" ref="T327" ca="1">SUM(OFFSET($FC$43,0,($M327*3)+$N327,53,1)*T$43:T$95)</f>
        <v>0</v>
      </c>
      <c r="U327" s="6">
        <f t="array" aca="1" ref="U327" ca="1">SUM(OFFSET($FC$43,0,($M327*3)+$N327,53,1)*U$43:U$95)</f>
        <v>0</v>
      </c>
      <c r="V327" s="6">
        <f t="array" aca="1" ref="V327" ca="1">SUM(OFFSET($FC$43,0,($M327*3)+$N327,53,1)*V$43:V$95)</f>
        <v>0</v>
      </c>
      <c r="W327" s="6">
        <f t="array" aca="1" ref="W327" ca="1">SUM(OFFSET($FC$43,0,($M327*3)+$N327,53,1)*W$43:W$95)</f>
        <v>0</v>
      </c>
      <c r="X327" s="6">
        <f t="array" aca="1" ref="X327" ca="1">SUM(OFFSET($FC$43,0,($M327*3)+$N327,53,1)*X$43:X$95)</f>
        <v>0</v>
      </c>
      <c r="Y327" s="6">
        <f t="array" aca="1" ref="Y327" ca="1">SUM(OFFSET($FC$43,0,($M327*3)+$N327,53,1)*Y$43:Y$95)</f>
        <v>0</v>
      </c>
      <c r="Z327" s="6">
        <f t="array" aca="1" ref="Z327" ca="1">SUM(OFFSET($FC$43,0,($M327*3)+$N327,53,1)*Z$43:Z$95)</f>
        <v>0</v>
      </c>
      <c r="AA327" s="6">
        <f t="shared" ca="1" si="141"/>
        <v>0</v>
      </c>
      <c r="AB327" s="6" t="str">
        <f t="shared" si="143"/>
        <v/>
      </c>
      <c r="AD327" s="8" t="s">
        <v>1227</v>
      </c>
      <c r="AE327" t="str">
        <f t="shared" si="137"/>
        <v>Admission</v>
      </c>
      <c r="AF327" s="8">
        <f ca="1">SUMIFS(O$372:O$374,$L$372:$L$374,$AE242)+IF(OR(AND('Aggregate summary'!$L$3="Yes",'Aggregate summary'!$E$3="POD"),AND('Aggregate summary'!$U$3="Process",'Aggregate summary'!$T$76="Clearance + downstream effects")),SUMIFS(O$433:O$435,$L$433:$L$435,$AE242),0)</f>
        <v>0</v>
      </c>
      <c r="AG327" s="8">
        <f ca="1">SUMIFS(P$372:P$374,$L$372:$L$374,$AE242)+IF(OR(AND('Aggregate summary'!$L$3="Yes",'Aggregate summary'!$E$3="POD"),AND('Aggregate summary'!$U$3="Process",'Aggregate summary'!$T$76="Clearance + downstream effects")),SUMIFS(P$433:P$435,$L$433:$L$435,$AE242),0)</f>
        <v>0</v>
      </c>
      <c r="AH327" s="8">
        <f ca="1">SUMIFS(Q$372:Q$374,$L$372:$L$374,$AE242)+IF(OR(AND('Aggregate summary'!$L$3="Yes",'Aggregate summary'!$E$3="POD"),AND('Aggregate summary'!$U$3="Process",'Aggregate summary'!$T$76="Clearance + downstream effects")),SUMIFS(Q$433:Q$435,$L$433:$L$435,$AE242),0)</f>
        <v>0</v>
      </c>
      <c r="AI327" s="8">
        <f ca="1">SUMIFS(R$372:R$374,$L$372:$L$374,$AE242)+IF(OR(AND('Aggregate summary'!$L$3="Yes",'Aggregate summary'!$E$3="POD"),AND('Aggregate summary'!$U$3="Process",'Aggregate summary'!$T$76="Clearance + downstream effects")),SUMIFS(R$433:R$435,$L$433:$L$435,$AE242),0)</f>
        <v>0</v>
      </c>
      <c r="AJ327" s="8">
        <f ca="1">SUMIFS(S$372:S$374,$L$372:$L$374,$AE242)+IF(OR(AND('Aggregate summary'!$L$3="Yes",'Aggregate summary'!$E$3="POD"),AND('Aggregate summary'!$U$3="Process",'Aggregate summary'!$T$76="Clearance + downstream effects")),SUMIFS(S$433:S$435,$L$433:$L$435,$AE242),0)</f>
        <v>0</v>
      </c>
      <c r="AK327" s="8">
        <f ca="1">SUMIFS(T$372:T$374,$L$372:$L$374,$AE242)+IF(OR(AND('Aggregate summary'!$L$3="Yes",'Aggregate summary'!$E$3="POD"),AND('Aggregate summary'!$U$3="Process",'Aggregate summary'!$T$76="Clearance + downstream effects")),SUMIFS(T$433:T$435,$L$433:$L$435,$AE242),0)</f>
        <v>0</v>
      </c>
      <c r="AL327" s="8">
        <f ca="1">SUMIFS(U$372:U$374,$L$372:$L$374,$AE242)+IF(OR(AND('Aggregate summary'!$L$3="Yes",'Aggregate summary'!$E$3="POD"),AND('Aggregate summary'!$U$3="Process",'Aggregate summary'!$T$76="Clearance + downstream effects")),SUMIFS(U$433:U$435,$L$433:$L$435,$AE242),0)</f>
        <v>0</v>
      </c>
      <c r="AM327" s="8">
        <f ca="1">SUMIFS(V$372:V$374,$L$372:$L$374,$AE242)+IF(OR(AND('Aggregate summary'!$L$3="Yes",'Aggregate summary'!$E$3="POD"),AND('Aggregate summary'!$U$3="Process",'Aggregate summary'!$T$76="Clearance + downstream effects")),SUMIFS(V$433:V$435,$L$433:$L$435,$AE242),0)</f>
        <v>0</v>
      </c>
      <c r="AN327" s="8">
        <f ca="1">SUMIFS(W$372:W$374,$L$372:$L$374,$AE242)+IF(OR(AND('Aggregate summary'!$L$3="Yes",'Aggregate summary'!$E$3="POD"),AND('Aggregate summary'!$U$3="Process",'Aggregate summary'!$T$76="Clearance + downstream effects")),SUMIFS(W$433:W$435,$L$433:$L$435,$AE242),0)</f>
        <v>0</v>
      </c>
      <c r="AO327" s="8">
        <f ca="1">SUMIFS(X$372:X$374,$L$372:$L$374,$AE242)+IF(OR(AND('Aggregate summary'!$L$3="Yes",'Aggregate summary'!$E$3="POD"),AND('Aggregate summary'!$U$3="Process",'Aggregate summary'!$T$76="Clearance + downstream effects")),SUMIFS(X$433:X$435,$L$433:$L$435,$AE242),0)</f>
        <v>0</v>
      </c>
      <c r="AP327" s="8">
        <f ca="1">SUMIFS(Y$372:Y$374,$L$372:$L$374,$AE242)+IF(OR(AND('Aggregate summary'!$L$3="Yes",'Aggregate summary'!$E$3="POD"),AND('Aggregate summary'!$U$3="Process",'Aggregate summary'!$T$76="Clearance + downstream effects")),SUMIFS(Y$433:Y$435,$L$433:$L$435,$AE242),0)</f>
        <v>0</v>
      </c>
      <c r="AQ327" s="8">
        <f ca="1">SUMIFS(Z$372:Z$374,$L$372:$L$374,$AE242)+IF(OR(AND('Aggregate summary'!$L$3="Yes",'Aggregate summary'!$E$3="POD"),AND('Aggregate summary'!$U$3="Process",'Aggregate summary'!$T$76="Clearance + downstream effects")),SUMIFS(Z$433:Z$435,$L$433:$L$435,$AE242),0)</f>
        <v>0</v>
      </c>
    </row>
    <row r="328" spans="1:43" x14ac:dyDescent="0.25">
      <c r="A328">
        <f>1</f>
        <v>1</v>
      </c>
      <c r="B328" s="85">
        <f t="shared" si="136"/>
        <v>44116</v>
      </c>
      <c r="C328" s="85">
        <f t="shared" si="132"/>
        <v>44116</v>
      </c>
      <c r="D328">
        <f t="shared" ca="1" si="133"/>
        <v>1</v>
      </c>
      <c r="E328" s="85">
        <f t="shared" si="134"/>
        <v>44105</v>
      </c>
      <c r="F328">
        <f t="shared" si="135"/>
        <v>42</v>
      </c>
      <c r="L328" t="str">
        <f t="shared" ca="1" si="142"/>
        <v/>
      </c>
      <c r="M328">
        <v>2</v>
      </c>
      <c r="N328">
        <v>2</v>
      </c>
      <c r="O328" s="6">
        <f t="array" aca="1" ref="O328" ca="1">SUM(OFFSET($FC$43,0,($M328*3)+$N328,53,1)*O$43:O$95)</f>
        <v>0</v>
      </c>
      <c r="P328" s="6">
        <f t="array" aca="1" ref="P328" ca="1">SUM(OFFSET($FC$43,0,($M328*3)+$N328,53,1)*P$43:P$95)</f>
        <v>0</v>
      </c>
      <c r="Q328" s="6">
        <f t="array" aca="1" ref="Q328" ca="1">SUM(OFFSET($FC$43,0,($M328*3)+$N328,53,1)*Q$43:Q$95)</f>
        <v>0</v>
      </c>
      <c r="R328" s="6">
        <f t="array" aca="1" ref="R328" ca="1">SUM(OFFSET($FC$43,0,($M328*3)+$N328,53,1)*R$43:R$95)</f>
        <v>0</v>
      </c>
      <c r="S328" s="6">
        <f t="array" aca="1" ref="S328" ca="1">SUM(OFFSET($FC$43,0,($M328*3)+$N328,53,1)*S$43:S$95)</f>
        <v>0</v>
      </c>
      <c r="T328" s="6">
        <f t="array" aca="1" ref="T328" ca="1">SUM(OFFSET($FC$43,0,($M328*3)+$N328,53,1)*T$43:T$95)</f>
        <v>0</v>
      </c>
      <c r="U328" s="6">
        <f t="array" aca="1" ref="U328" ca="1">SUM(OFFSET($FC$43,0,($M328*3)+$N328,53,1)*U$43:U$95)</f>
        <v>0</v>
      </c>
      <c r="V328" s="6">
        <f t="array" aca="1" ref="V328" ca="1">SUM(OFFSET($FC$43,0,($M328*3)+$N328,53,1)*V$43:V$95)</f>
        <v>0</v>
      </c>
      <c r="W328" s="6">
        <f t="array" aca="1" ref="W328" ca="1">SUM(OFFSET($FC$43,0,($M328*3)+$N328,53,1)*W$43:W$95)</f>
        <v>0</v>
      </c>
      <c r="X328" s="6">
        <f t="array" aca="1" ref="X328" ca="1">SUM(OFFSET($FC$43,0,($M328*3)+$N328,53,1)*X$43:X$95)</f>
        <v>0</v>
      </c>
      <c r="Y328" s="6">
        <f t="array" aca="1" ref="Y328" ca="1">SUM(OFFSET($FC$43,0,($M328*3)+$N328,53,1)*Y$43:Y$95)</f>
        <v>0</v>
      </c>
      <c r="Z328" s="6">
        <f t="array" aca="1" ref="Z328" ca="1">SUM(OFFSET($FC$43,0,($M328*3)+$N328,53,1)*Z$43:Z$95)</f>
        <v>0</v>
      </c>
      <c r="AA328" s="6">
        <f t="shared" ca="1" si="141"/>
        <v>0</v>
      </c>
      <c r="AB328" s="6" t="str">
        <f t="shared" si="143"/>
        <v/>
      </c>
      <c r="AD328" s="8">
        <v>19</v>
      </c>
      <c r="AE328" t="str">
        <f t="shared" si="137"/>
        <v>New</v>
      </c>
      <c r="AF328" s="8">
        <f ca="1">SUMIFS(O$375:O$377,$L$375:$L$377,$AE238)+IF(OR(AND('Aggregate summary'!$L$3="Yes",'Aggregate summary'!$E$3="POD"),AND('Aggregate summary'!$U$3="Process",'Aggregate summary'!$T$76="Clearance + downstream effects")),SUMIFS(O$436:O$438,$L$436:$L$438,$AE238),0)</f>
        <v>0</v>
      </c>
      <c r="AG328" s="8">
        <f ca="1">SUMIFS(P$375:P$377,$L$375:$L$377,$AE238)+IF(OR(AND('Aggregate summary'!$L$3="Yes",'Aggregate summary'!$E$3="POD"),AND('Aggregate summary'!$U$3="Process",'Aggregate summary'!$T$76="Clearance + downstream effects")),SUMIFS(P$436:P$438,$L$436:$L$438,$AE238),0)</f>
        <v>0</v>
      </c>
      <c r="AH328" s="8">
        <f ca="1">SUMIFS(Q$375:Q$377,$L$375:$L$377,$AE238)+IF(OR(AND('Aggregate summary'!$L$3="Yes",'Aggregate summary'!$E$3="POD"),AND('Aggregate summary'!$U$3="Process",'Aggregate summary'!$T$76="Clearance + downstream effects")),SUMIFS(Q$436:Q$438,$L$436:$L$438,$AE238),0)</f>
        <v>0</v>
      </c>
      <c r="AI328" s="8">
        <f ca="1">SUMIFS(R$375:R$377,$L$375:$L$377,$AE238)+IF(OR(AND('Aggregate summary'!$L$3="Yes",'Aggregate summary'!$E$3="POD"),AND('Aggregate summary'!$U$3="Process",'Aggregate summary'!$T$76="Clearance + downstream effects")),SUMIFS(R$436:R$438,$L$436:$L$438,$AE238),0)</f>
        <v>0</v>
      </c>
      <c r="AJ328" s="8">
        <f ca="1">SUMIFS(S$375:S$377,$L$375:$L$377,$AE238)+IF(OR(AND('Aggregate summary'!$L$3="Yes",'Aggregate summary'!$E$3="POD"),AND('Aggregate summary'!$U$3="Process",'Aggregate summary'!$T$76="Clearance + downstream effects")),SUMIFS(S$436:S$438,$L$436:$L$438,$AE238),0)</f>
        <v>0</v>
      </c>
      <c r="AK328" s="8">
        <f ca="1">SUMIFS(T$375:T$377,$L$375:$L$377,$AE238)+IF(OR(AND('Aggregate summary'!$L$3="Yes",'Aggregate summary'!$E$3="POD"),AND('Aggregate summary'!$U$3="Process",'Aggregate summary'!$T$76="Clearance + downstream effects")),SUMIFS(T$436:T$438,$L$436:$L$438,$AE238),0)</f>
        <v>0</v>
      </c>
      <c r="AL328" s="8">
        <f ca="1">SUMIFS(U$375:U$377,$L$375:$L$377,$AE238)+IF(OR(AND('Aggregate summary'!$L$3="Yes",'Aggregate summary'!$E$3="POD"),AND('Aggregate summary'!$U$3="Process",'Aggregate summary'!$T$76="Clearance + downstream effects")),SUMIFS(U$436:U$438,$L$436:$L$438,$AE238),0)</f>
        <v>0</v>
      </c>
      <c r="AM328" s="8">
        <f ca="1">SUMIFS(V$375:V$377,$L$375:$L$377,$AE238)+IF(OR(AND('Aggregate summary'!$L$3="Yes",'Aggregate summary'!$E$3="POD"),AND('Aggregate summary'!$U$3="Process",'Aggregate summary'!$T$76="Clearance + downstream effects")),SUMIFS(V$436:V$438,$L$436:$L$438,$AE238),0)</f>
        <v>0</v>
      </c>
      <c r="AN328" s="8">
        <f ca="1">SUMIFS(W$375:W$377,$L$375:$L$377,$AE238)+IF(OR(AND('Aggregate summary'!$L$3="Yes",'Aggregate summary'!$E$3="POD"),AND('Aggregate summary'!$U$3="Process",'Aggregate summary'!$T$76="Clearance + downstream effects")),SUMIFS(W$436:W$438,$L$436:$L$438,$AE238),0)</f>
        <v>0</v>
      </c>
      <c r="AO328" s="8">
        <f ca="1">SUMIFS(X$375:X$377,$L$375:$L$377,$AE238)+IF(OR(AND('Aggregate summary'!$L$3="Yes",'Aggregate summary'!$E$3="POD"),AND('Aggregate summary'!$U$3="Process",'Aggregate summary'!$T$76="Clearance + downstream effects")),SUMIFS(X$436:X$438,$L$436:$L$438,$AE238),0)</f>
        <v>0</v>
      </c>
      <c r="AP328" s="8">
        <f ca="1">SUMIFS(Y$375:Y$377,$L$375:$L$377,$AE238)+IF(OR(AND('Aggregate summary'!$L$3="Yes",'Aggregate summary'!$E$3="POD"),AND('Aggregate summary'!$U$3="Process",'Aggregate summary'!$T$76="Clearance + downstream effects")),SUMIFS(Y$436:Y$438,$L$436:$L$438,$AE238),0)</f>
        <v>0</v>
      </c>
      <c r="AQ328" s="8">
        <f ca="1">SUMIFS(Z$375:Z$377,$L$375:$L$377,$AE238)+IF(OR(AND('Aggregate summary'!$L$3="Yes",'Aggregate summary'!$E$3="POD"),AND('Aggregate summary'!$U$3="Process",'Aggregate summary'!$T$76="Clearance + downstream effects")),SUMIFS(Z$436:Z$438,$L$436:$L$438,$AE238),0)</f>
        <v>0</v>
      </c>
    </row>
    <row r="329" spans="1:43" x14ac:dyDescent="0.25">
      <c r="A329">
        <f>1</f>
        <v>1</v>
      </c>
      <c r="B329" s="85">
        <f t="shared" si="136"/>
        <v>44117</v>
      </c>
      <c r="C329" s="85">
        <f t="shared" si="132"/>
        <v>44116</v>
      </c>
      <c r="D329">
        <f t="shared" ca="1" si="133"/>
        <v>1</v>
      </c>
      <c r="E329" s="85">
        <f t="shared" si="134"/>
        <v>44105</v>
      </c>
      <c r="F329">
        <f t="shared" si="135"/>
        <v>42</v>
      </c>
      <c r="L329" t="str">
        <f t="shared" ca="1" si="142"/>
        <v/>
      </c>
      <c r="M329">
        <v>2</v>
      </c>
      <c r="N329">
        <v>3</v>
      </c>
      <c r="O329" s="6">
        <f t="array" aca="1" ref="O329" ca="1">SUM(OFFSET($FC$43,0,($M329*3)+$N329,53,1)*O$43:O$95)</f>
        <v>0</v>
      </c>
      <c r="P329" s="6">
        <f t="array" aca="1" ref="P329" ca="1">SUM(OFFSET($FC$43,0,($M329*3)+$N329,53,1)*P$43:P$95)</f>
        <v>0</v>
      </c>
      <c r="Q329" s="6">
        <f t="array" aca="1" ref="Q329" ca="1">SUM(OFFSET($FC$43,0,($M329*3)+$N329,53,1)*Q$43:Q$95)</f>
        <v>0</v>
      </c>
      <c r="R329" s="6">
        <f t="array" aca="1" ref="R329" ca="1">SUM(OFFSET($FC$43,0,($M329*3)+$N329,53,1)*R$43:R$95)</f>
        <v>0</v>
      </c>
      <c r="S329" s="6">
        <f t="array" aca="1" ref="S329" ca="1">SUM(OFFSET($FC$43,0,($M329*3)+$N329,53,1)*S$43:S$95)</f>
        <v>0</v>
      </c>
      <c r="T329" s="6">
        <f t="array" aca="1" ref="T329" ca="1">SUM(OFFSET($FC$43,0,($M329*3)+$N329,53,1)*T$43:T$95)</f>
        <v>0</v>
      </c>
      <c r="U329" s="6">
        <f t="array" aca="1" ref="U329" ca="1">SUM(OFFSET($FC$43,0,($M329*3)+$N329,53,1)*U$43:U$95)</f>
        <v>0</v>
      </c>
      <c r="V329" s="6">
        <f t="array" aca="1" ref="V329" ca="1">SUM(OFFSET($FC$43,0,($M329*3)+$N329,53,1)*V$43:V$95)</f>
        <v>0</v>
      </c>
      <c r="W329" s="6">
        <f t="array" aca="1" ref="W329" ca="1">SUM(OFFSET($FC$43,0,($M329*3)+$N329,53,1)*W$43:W$95)</f>
        <v>0</v>
      </c>
      <c r="X329" s="6">
        <f t="array" aca="1" ref="X329" ca="1">SUM(OFFSET($FC$43,0,($M329*3)+$N329,53,1)*X$43:X$95)</f>
        <v>0</v>
      </c>
      <c r="Y329" s="6">
        <f t="array" aca="1" ref="Y329" ca="1">SUM(OFFSET($FC$43,0,($M329*3)+$N329,53,1)*Y$43:Y$95)</f>
        <v>0</v>
      </c>
      <c r="Z329" s="6">
        <f t="array" aca="1" ref="Z329" ca="1">SUM(OFFSET($FC$43,0,($M329*3)+$N329,53,1)*Z$43:Z$95)</f>
        <v>0</v>
      </c>
      <c r="AA329" s="6">
        <f t="shared" ca="1" si="141"/>
        <v>0</v>
      </c>
      <c r="AB329" s="6" t="str">
        <f t="shared" si="143"/>
        <v/>
      </c>
      <c r="AD329" s="8" t="s">
        <v>1227</v>
      </c>
      <c r="AE329" t="str">
        <f t="shared" si="137"/>
        <v>Diagnostic (N)</v>
      </c>
      <c r="AF329" s="8">
        <f ca="1">SUMIFS(O$375:O$377,$L$375:$L$377,$AE239)+IF(OR(AND('Aggregate summary'!$L$3="Yes",'Aggregate summary'!$E$3="POD"),AND('Aggregate summary'!$U$3="Process",'Aggregate summary'!$T$76="Clearance + downstream effects")),SUMIFS(O$436:O$438,$L$436:$L$438,$AE239),0)</f>
        <v>0</v>
      </c>
      <c r="AG329" s="8">
        <f ca="1">SUMIFS(P$375:P$377,$L$375:$L$377,$AE239)+IF(OR(AND('Aggregate summary'!$L$3="Yes",'Aggregate summary'!$E$3="POD"),AND('Aggregate summary'!$U$3="Process",'Aggregate summary'!$T$76="Clearance + downstream effects")),SUMIFS(P$436:P$438,$L$436:$L$438,$AE239),0)</f>
        <v>0</v>
      </c>
      <c r="AH329" s="8">
        <f ca="1">SUMIFS(Q$375:Q$377,$L$375:$L$377,$AE239)+IF(OR(AND('Aggregate summary'!$L$3="Yes",'Aggregate summary'!$E$3="POD"),AND('Aggregate summary'!$U$3="Process",'Aggregate summary'!$T$76="Clearance + downstream effects")),SUMIFS(Q$436:Q$438,$L$436:$L$438,$AE239),0)</f>
        <v>0</v>
      </c>
      <c r="AI329" s="8">
        <f ca="1">SUMIFS(R$375:R$377,$L$375:$L$377,$AE239)+IF(OR(AND('Aggregate summary'!$L$3="Yes",'Aggregate summary'!$E$3="POD"),AND('Aggregate summary'!$U$3="Process",'Aggregate summary'!$T$76="Clearance + downstream effects")),SUMIFS(R$436:R$438,$L$436:$L$438,$AE239),0)</f>
        <v>0</v>
      </c>
      <c r="AJ329" s="8">
        <f ca="1">SUMIFS(S$375:S$377,$L$375:$L$377,$AE239)+IF(OR(AND('Aggregate summary'!$L$3="Yes",'Aggregate summary'!$E$3="POD"),AND('Aggregate summary'!$U$3="Process",'Aggregate summary'!$T$76="Clearance + downstream effects")),SUMIFS(S$436:S$438,$L$436:$L$438,$AE239),0)</f>
        <v>0</v>
      </c>
      <c r="AK329" s="8">
        <f ca="1">SUMIFS(T$375:T$377,$L$375:$L$377,$AE239)+IF(OR(AND('Aggregate summary'!$L$3="Yes",'Aggregate summary'!$E$3="POD"),AND('Aggregate summary'!$U$3="Process",'Aggregate summary'!$T$76="Clearance + downstream effects")),SUMIFS(T$436:T$438,$L$436:$L$438,$AE239),0)</f>
        <v>0</v>
      </c>
      <c r="AL329" s="8">
        <f ca="1">SUMIFS(U$375:U$377,$L$375:$L$377,$AE239)+IF(OR(AND('Aggregate summary'!$L$3="Yes",'Aggregate summary'!$E$3="POD"),AND('Aggregate summary'!$U$3="Process",'Aggregate summary'!$T$76="Clearance + downstream effects")),SUMIFS(U$436:U$438,$L$436:$L$438,$AE239),0)</f>
        <v>0</v>
      </c>
      <c r="AM329" s="8">
        <f ca="1">SUMIFS(V$375:V$377,$L$375:$L$377,$AE239)+IF(OR(AND('Aggregate summary'!$L$3="Yes",'Aggregate summary'!$E$3="POD"),AND('Aggregate summary'!$U$3="Process",'Aggregate summary'!$T$76="Clearance + downstream effects")),SUMIFS(V$436:V$438,$L$436:$L$438,$AE239),0)</f>
        <v>0</v>
      </c>
      <c r="AN329" s="8">
        <f ca="1">SUMIFS(W$375:W$377,$L$375:$L$377,$AE239)+IF(OR(AND('Aggregate summary'!$L$3="Yes",'Aggregate summary'!$E$3="POD"),AND('Aggregate summary'!$U$3="Process",'Aggregate summary'!$T$76="Clearance + downstream effects")),SUMIFS(W$436:W$438,$L$436:$L$438,$AE239),0)</f>
        <v>0</v>
      </c>
      <c r="AO329" s="8">
        <f ca="1">SUMIFS(X$375:X$377,$L$375:$L$377,$AE239)+IF(OR(AND('Aggregate summary'!$L$3="Yes",'Aggregate summary'!$E$3="POD"),AND('Aggregate summary'!$U$3="Process",'Aggregate summary'!$T$76="Clearance + downstream effects")),SUMIFS(X$436:X$438,$L$436:$L$438,$AE239),0)</f>
        <v>0</v>
      </c>
      <c r="AP329" s="8">
        <f ca="1">SUMIFS(Y$375:Y$377,$L$375:$L$377,$AE239)+IF(OR(AND('Aggregate summary'!$L$3="Yes",'Aggregate summary'!$E$3="POD"),AND('Aggregate summary'!$U$3="Process",'Aggregate summary'!$T$76="Clearance + downstream effects")),SUMIFS(Y$436:Y$438,$L$436:$L$438,$AE239),0)</f>
        <v>0</v>
      </c>
      <c r="AQ329" s="8">
        <f ca="1">SUMIFS(Z$375:Z$377,$L$375:$L$377,$AE239)+IF(OR(AND('Aggregate summary'!$L$3="Yes",'Aggregate summary'!$E$3="POD"),AND('Aggregate summary'!$U$3="Process",'Aggregate summary'!$T$76="Clearance + downstream effects")),SUMIFS(Z$436:Z$438,$L$436:$L$438,$AE239),0)</f>
        <v>0</v>
      </c>
    </row>
    <row r="330" spans="1:43" x14ac:dyDescent="0.25">
      <c r="A330">
        <f>1</f>
        <v>1</v>
      </c>
      <c r="B330" s="85">
        <f t="shared" si="136"/>
        <v>44118</v>
      </c>
      <c r="C330" s="85">
        <f t="shared" si="132"/>
        <v>44116</v>
      </c>
      <c r="D330">
        <f t="shared" ca="1" si="133"/>
        <v>1</v>
      </c>
      <c r="E330" s="85">
        <f t="shared" si="134"/>
        <v>44105</v>
      </c>
      <c r="F330">
        <f t="shared" si="135"/>
        <v>42</v>
      </c>
      <c r="L330" t="str">
        <f t="shared" ca="1" si="142"/>
        <v/>
      </c>
      <c r="M330">
        <v>3</v>
      </c>
      <c r="N330">
        <v>1</v>
      </c>
      <c r="O330" s="6">
        <f t="array" aca="1" ref="O330" ca="1">SUM(OFFSET($FC$43,0,($M330*3)+$N330,53,1)*O$43:O$95)</f>
        <v>0</v>
      </c>
      <c r="P330" s="6">
        <f t="array" aca="1" ref="P330" ca="1">SUM(OFFSET($FC$43,0,($M330*3)+$N330,53,1)*P$43:P$95)</f>
        <v>0</v>
      </c>
      <c r="Q330" s="6">
        <f t="array" aca="1" ref="Q330" ca="1">SUM(OFFSET($FC$43,0,($M330*3)+$N330,53,1)*Q$43:Q$95)</f>
        <v>0</v>
      </c>
      <c r="R330" s="6">
        <f t="array" aca="1" ref="R330" ca="1">SUM(OFFSET($FC$43,0,($M330*3)+$N330,53,1)*R$43:R$95)</f>
        <v>0</v>
      </c>
      <c r="S330" s="6">
        <f t="array" aca="1" ref="S330" ca="1">SUM(OFFSET($FC$43,0,($M330*3)+$N330,53,1)*S$43:S$95)</f>
        <v>0</v>
      </c>
      <c r="T330" s="6">
        <f t="array" aca="1" ref="T330" ca="1">SUM(OFFSET($FC$43,0,($M330*3)+$N330,53,1)*T$43:T$95)</f>
        <v>0</v>
      </c>
      <c r="U330" s="6">
        <f t="array" aca="1" ref="U330" ca="1">SUM(OFFSET($FC$43,0,($M330*3)+$N330,53,1)*U$43:U$95)</f>
        <v>0</v>
      </c>
      <c r="V330" s="6">
        <f t="array" aca="1" ref="V330" ca="1">SUM(OFFSET($FC$43,0,($M330*3)+$N330,53,1)*V$43:V$95)</f>
        <v>0</v>
      </c>
      <c r="W330" s="6">
        <f t="array" aca="1" ref="W330" ca="1">SUM(OFFSET($FC$43,0,($M330*3)+$N330,53,1)*W$43:W$95)</f>
        <v>0</v>
      </c>
      <c r="X330" s="6">
        <f t="array" aca="1" ref="X330" ca="1">SUM(OFFSET($FC$43,0,($M330*3)+$N330,53,1)*X$43:X$95)</f>
        <v>0</v>
      </c>
      <c r="Y330" s="6">
        <f t="array" aca="1" ref="Y330" ca="1">SUM(OFFSET($FC$43,0,($M330*3)+$N330,53,1)*Y$43:Y$95)</f>
        <v>0</v>
      </c>
      <c r="Z330" s="6">
        <f t="array" aca="1" ref="Z330" ca="1">SUM(OFFSET($FC$43,0,($M330*3)+$N330,53,1)*Z$43:Z$95)</f>
        <v>0</v>
      </c>
      <c r="AA330" s="6">
        <f t="shared" ca="1" si="141"/>
        <v>0</v>
      </c>
      <c r="AB330" s="6" t="str">
        <f t="shared" si="143"/>
        <v/>
      </c>
      <c r="AD330" s="8" t="s">
        <v>1227</v>
      </c>
      <c r="AE330" t="str">
        <f t="shared" si="137"/>
        <v>Follow Up</v>
      </c>
      <c r="AF330" s="8">
        <f ca="1">SUMIFS(O$375:O$377,$L$375:$L$377,$AE240)+IF(OR(AND('Aggregate summary'!$L$3="Yes",'Aggregate summary'!$E$3="POD"),AND('Aggregate summary'!$U$3="Process",'Aggregate summary'!$T$76="Clearance + downstream effects")),SUMIFS(O$436:O$438,$L$436:$L$438,$AE240),0)</f>
        <v>0</v>
      </c>
      <c r="AG330" s="8">
        <f ca="1">SUMIFS(P$375:P$377,$L$375:$L$377,$AE240)+IF(OR(AND('Aggregate summary'!$L$3="Yes",'Aggregate summary'!$E$3="POD"),AND('Aggregate summary'!$U$3="Process",'Aggregate summary'!$T$76="Clearance + downstream effects")),SUMIFS(P$436:P$438,$L$436:$L$438,$AE240),0)</f>
        <v>0</v>
      </c>
      <c r="AH330" s="8">
        <f ca="1">SUMIFS(Q$375:Q$377,$L$375:$L$377,$AE240)+IF(OR(AND('Aggregate summary'!$L$3="Yes",'Aggregate summary'!$E$3="POD"),AND('Aggregate summary'!$U$3="Process",'Aggregate summary'!$T$76="Clearance + downstream effects")),SUMIFS(Q$436:Q$438,$L$436:$L$438,$AE240),0)</f>
        <v>0</v>
      </c>
      <c r="AI330" s="8">
        <f ca="1">SUMIFS(R$375:R$377,$L$375:$L$377,$AE240)+IF(OR(AND('Aggregate summary'!$L$3="Yes",'Aggregate summary'!$E$3="POD"),AND('Aggregate summary'!$U$3="Process",'Aggregate summary'!$T$76="Clearance + downstream effects")),SUMIFS(R$436:R$438,$L$436:$L$438,$AE240),0)</f>
        <v>0</v>
      </c>
      <c r="AJ330" s="8">
        <f ca="1">SUMIFS(S$375:S$377,$L$375:$L$377,$AE240)+IF(OR(AND('Aggregate summary'!$L$3="Yes",'Aggregate summary'!$E$3="POD"),AND('Aggregate summary'!$U$3="Process",'Aggregate summary'!$T$76="Clearance + downstream effects")),SUMIFS(S$436:S$438,$L$436:$L$438,$AE240),0)</f>
        <v>0</v>
      </c>
      <c r="AK330" s="8">
        <f ca="1">SUMIFS(T$375:T$377,$L$375:$L$377,$AE240)+IF(OR(AND('Aggregate summary'!$L$3="Yes",'Aggregate summary'!$E$3="POD"),AND('Aggregate summary'!$U$3="Process",'Aggregate summary'!$T$76="Clearance + downstream effects")),SUMIFS(T$436:T$438,$L$436:$L$438,$AE240),0)</f>
        <v>0</v>
      </c>
      <c r="AL330" s="8">
        <f ca="1">SUMIFS(U$375:U$377,$L$375:$L$377,$AE240)+IF(OR(AND('Aggregate summary'!$L$3="Yes",'Aggregate summary'!$E$3="POD"),AND('Aggregate summary'!$U$3="Process",'Aggregate summary'!$T$76="Clearance + downstream effects")),SUMIFS(U$436:U$438,$L$436:$L$438,$AE240),0)</f>
        <v>0</v>
      </c>
      <c r="AM330" s="8">
        <f ca="1">SUMIFS(V$375:V$377,$L$375:$L$377,$AE240)+IF(OR(AND('Aggregate summary'!$L$3="Yes",'Aggregate summary'!$E$3="POD"),AND('Aggregate summary'!$U$3="Process",'Aggregate summary'!$T$76="Clearance + downstream effects")),SUMIFS(V$436:V$438,$L$436:$L$438,$AE240),0)</f>
        <v>0</v>
      </c>
      <c r="AN330" s="8">
        <f ca="1">SUMIFS(W$375:W$377,$L$375:$L$377,$AE240)+IF(OR(AND('Aggregate summary'!$L$3="Yes",'Aggregate summary'!$E$3="POD"),AND('Aggregate summary'!$U$3="Process",'Aggregate summary'!$T$76="Clearance + downstream effects")),SUMIFS(W$436:W$438,$L$436:$L$438,$AE240),0)</f>
        <v>0</v>
      </c>
      <c r="AO330" s="8">
        <f ca="1">SUMIFS(X$375:X$377,$L$375:$L$377,$AE240)+IF(OR(AND('Aggregate summary'!$L$3="Yes",'Aggregate summary'!$E$3="POD"),AND('Aggregate summary'!$U$3="Process",'Aggregate summary'!$T$76="Clearance + downstream effects")),SUMIFS(X$436:X$438,$L$436:$L$438,$AE240),0)</f>
        <v>0</v>
      </c>
      <c r="AP330" s="8">
        <f ca="1">SUMIFS(Y$375:Y$377,$L$375:$L$377,$AE240)+IF(OR(AND('Aggregate summary'!$L$3="Yes",'Aggregate summary'!$E$3="POD"),AND('Aggregate summary'!$U$3="Process",'Aggregate summary'!$T$76="Clearance + downstream effects")),SUMIFS(Y$436:Y$438,$L$436:$L$438,$AE240),0)</f>
        <v>0</v>
      </c>
      <c r="AQ330" s="8">
        <f ca="1">SUMIFS(Z$375:Z$377,$L$375:$L$377,$AE240)+IF(OR(AND('Aggregate summary'!$L$3="Yes",'Aggregate summary'!$E$3="POD"),AND('Aggregate summary'!$U$3="Process",'Aggregate summary'!$T$76="Clearance + downstream effects")),SUMIFS(Z$436:Z$438,$L$436:$L$438,$AE240),0)</f>
        <v>0</v>
      </c>
    </row>
    <row r="331" spans="1:43" x14ac:dyDescent="0.25">
      <c r="A331">
        <f>1</f>
        <v>1</v>
      </c>
      <c r="B331" s="85">
        <f t="shared" si="136"/>
        <v>44119</v>
      </c>
      <c r="C331" s="85">
        <f t="shared" si="132"/>
        <v>44116</v>
      </c>
      <c r="D331">
        <f t="shared" ca="1" si="133"/>
        <v>1</v>
      </c>
      <c r="E331" s="85">
        <f t="shared" si="134"/>
        <v>44105</v>
      </c>
      <c r="F331">
        <f t="shared" si="135"/>
        <v>42</v>
      </c>
      <c r="L331" t="str">
        <f t="shared" ca="1" si="142"/>
        <v/>
      </c>
      <c r="M331">
        <v>3</v>
      </c>
      <c r="N331">
        <v>2</v>
      </c>
      <c r="O331" s="6">
        <f t="array" aca="1" ref="O331" ca="1">SUM(OFFSET($FC$43,0,($M331*3)+$N331,53,1)*O$43:O$95)</f>
        <v>0</v>
      </c>
      <c r="P331" s="6">
        <f t="array" aca="1" ref="P331" ca="1">SUM(OFFSET($FC$43,0,($M331*3)+$N331,53,1)*P$43:P$95)</f>
        <v>0</v>
      </c>
      <c r="Q331" s="6">
        <f t="array" aca="1" ref="Q331" ca="1">SUM(OFFSET($FC$43,0,($M331*3)+$N331,53,1)*Q$43:Q$95)</f>
        <v>0</v>
      </c>
      <c r="R331" s="6">
        <f t="array" aca="1" ref="R331" ca="1">SUM(OFFSET($FC$43,0,($M331*3)+$N331,53,1)*R$43:R$95)</f>
        <v>0</v>
      </c>
      <c r="S331" s="6">
        <f t="array" aca="1" ref="S331" ca="1">SUM(OFFSET($FC$43,0,($M331*3)+$N331,53,1)*S$43:S$95)</f>
        <v>0</v>
      </c>
      <c r="T331" s="6">
        <f t="array" aca="1" ref="T331" ca="1">SUM(OFFSET($FC$43,0,($M331*3)+$N331,53,1)*T$43:T$95)</f>
        <v>0</v>
      </c>
      <c r="U331" s="6">
        <f t="array" aca="1" ref="U331" ca="1">SUM(OFFSET($FC$43,0,($M331*3)+$N331,53,1)*U$43:U$95)</f>
        <v>0</v>
      </c>
      <c r="V331" s="6">
        <f t="array" aca="1" ref="V331" ca="1">SUM(OFFSET($FC$43,0,($M331*3)+$N331,53,1)*V$43:V$95)</f>
        <v>0</v>
      </c>
      <c r="W331" s="6">
        <f t="array" aca="1" ref="W331" ca="1">SUM(OFFSET($FC$43,0,($M331*3)+$N331,53,1)*W$43:W$95)</f>
        <v>0</v>
      </c>
      <c r="X331" s="6">
        <f t="array" aca="1" ref="X331" ca="1">SUM(OFFSET($FC$43,0,($M331*3)+$N331,53,1)*X$43:X$95)</f>
        <v>0</v>
      </c>
      <c r="Y331" s="6">
        <f t="array" aca="1" ref="Y331" ca="1">SUM(OFFSET($FC$43,0,($M331*3)+$N331,53,1)*Y$43:Y$95)</f>
        <v>0</v>
      </c>
      <c r="Z331" s="6">
        <f t="array" aca="1" ref="Z331" ca="1">SUM(OFFSET($FC$43,0,($M331*3)+$N331,53,1)*Z$43:Z$95)</f>
        <v>0</v>
      </c>
      <c r="AA331" s="6">
        <f t="shared" ca="1" si="141"/>
        <v>0</v>
      </c>
      <c r="AB331" s="6" t="str">
        <f t="shared" si="143"/>
        <v/>
      </c>
      <c r="AD331" s="8" t="s">
        <v>1227</v>
      </c>
      <c r="AE331" t="str">
        <f t="shared" si="137"/>
        <v>Diagnostic (FU)</v>
      </c>
      <c r="AF331" s="8">
        <f ca="1">SUMIFS(O$375:O$377,$L$375:$L$377,$AE241)+IF(OR(AND('Aggregate summary'!$L$3="Yes",'Aggregate summary'!$E$3="POD"),AND('Aggregate summary'!$U$3="Process",'Aggregate summary'!$T$76="Clearance + downstream effects")),SUMIFS(O$436:O$438,$L$436:$L$438,$AE241),0)</f>
        <v>0</v>
      </c>
      <c r="AG331" s="8">
        <f ca="1">SUMIFS(P$375:P$377,$L$375:$L$377,$AE241)+IF(OR(AND('Aggregate summary'!$L$3="Yes",'Aggregate summary'!$E$3="POD"),AND('Aggregate summary'!$U$3="Process",'Aggregate summary'!$T$76="Clearance + downstream effects")),SUMIFS(P$436:P$438,$L$436:$L$438,$AE241),0)</f>
        <v>0</v>
      </c>
      <c r="AH331" s="8">
        <f ca="1">SUMIFS(Q$375:Q$377,$L$375:$L$377,$AE241)+IF(OR(AND('Aggregate summary'!$L$3="Yes",'Aggregate summary'!$E$3="POD"),AND('Aggregate summary'!$U$3="Process",'Aggregate summary'!$T$76="Clearance + downstream effects")),SUMIFS(Q$436:Q$438,$L$436:$L$438,$AE241),0)</f>
        <v>0</v>
      </c>
      <c r="AI331" s="8">
        <f ca="1">SUMIFS(R$375:R$377,$L$375:$L$377,$AE241)+IF(OR(AND('Aggregate summary'!$L$3="Yes",'Aggregate summary'!$E$3="POD"),AND('Aggregate summary'!$U$3="Process",'Aggregate summary'!$T$76="Clearance + downstream effects")),SUMIFS(R$436:R$438,$L$436:$L$438,$AE241),0)</f>
        <v>0</v>
      </c>
      <c r="AJ331" s="8">
        <f ca="1">SUMIFS(S$375:S$377,$L$375:$L$377,$AE241)+IF(OR(AND('Aggregate summary'!$L$3="Yes",'Aggregate summary'!$E$3="POD"),AND('Aggregate summary'!$U$3="Process",'Aggregate summary'!$T$76="Clearance + downstream effects")),SUMIFS(S$436:S$438,$L$436:$L$438,$AE241),0)</f>
        <v>0</v>
      </c>
      <c r="AK331" s="8">
        <f ca="1">SUMIFS(T$375:T$377,$L$375:$L$377,$AE241)+IF(OR(AND('Aggregate summary'!$L$3="Yes",'Aggregate summary'!$E$3="POD"),AND('Aggregate summary'!$U$3="Process",'Aggregate summary'!$T$76="Clearance + downstream effects")),SUMIFS(T$436:T$438,$L$436:$L$438,$AE241),0)</f>
        <v>0</v>
      </c>
      <c r="AL331" s="8">
        <f ca="1">SUMIFS(U$375:U$377,$L$375:$L$377,$AE241)+IF(OR(AND('Aggregate summary'!$L$3="Yes",'Aggregate summary'!$E$3="POD"),AND('Aggregate summary'!$U$3="Process",'Aggregate summary'!$T$76="Clearance + downstream effects")),SUMIFS(U$436:U$438,$L$436:$L$438,$AE241),0)</f>
        <v>0</v>
      </c>
      <c r="AM331" s="8">
        <f ca="1">SUMIFS(V$375:V$377,$L$375:$L$377,$AE241)+IF(OR(AND('Aggregate summary'!$L$3="Yes",'Aggregate summary'!$E$3="POD"),AND('Aggregate summary'!$U$3="Process",'Aggregate summary'!$T$76="Clearance + downstream effects")),SUMIFS(V$436:V$438,$L$436:$L$438,$AE241),0)</f>
        <v>0</v>
      </c>
      <c r="AN331" s="8">
        <f ca="1">SUMIFS(W$375:W$377,$L$375:$L$377,$AE241)+IF(OR(AND('Aggregate summary'!$L$3="Yes",'Aggregate summary'!$E$3="POD"),AND('Aggregate summary'!$U$3="Process",'Aggregate summary'!$T$76="Clearance + downstream effects")),SUMIFS(W$436:W$438,$L$436:$L$438,$AE241),0)</f>
        <v>0</v>
      </c>
      <c r="AO331" s="8">
        <f ca="1">SUMIFS(X$375:X$377,$L$375:$L$377,$AE241)+IF(OR(AND('Aggregate summary'!$L$3="Yes",'Aggregate summary'!$E$3="POD"),AND('Aggregate summary'!$U$3="Process",'Aggregate summary'!$T$76="Clearance + downstream effects")),SUMIFS(X$436:X$438,$L$436:$L$438,$AE241),0)</f>
        <v>0</v>
      </c>
      <c r="AP331" s="8">
        <f ca="1">SUMIFS(Y$375:Y$377,$L$375:$L$377,$AE241)+IF(OR(AND('Aggregate summary'!$L$3="Yes",'Aggregate summary'!$E$3="POD"),AND('Aggregate summary'!$U$3="Process",'Aggregate summary'!$T$76="Clearance + downstream effects")),SUMIFS(Y$436:Y$438,$L$436:$L$438,$AE241),0)</f>
        <v>0</v>
      </c>
      <c r="AQ331" s="8">
        <f ca="1">SUMIFS(Z$375:Z$377,$L$375:$L$377,$AE241)+IF(OR(AND('Aggregate summary'!$L$3="Yes",'Aggregate summary'!$E$3="POD"),AND('Aggregate summary'!$U$3="Process",'Aggregate summary'!$T$76="Clearance + downstream effects")),SUMIFS(Z$436:Z$438,$L$436:$L$438,$AE241),0)</f>
        <v>0</v>
      </c>
    </row>
    <row r="332" spans="1:43" x14ac:dyDescent="0.25">
      <c r="A332">
        <f>1</f>
        <v>1</v>
      </c>
      <c r="B332" s="85">
        <f t="shared" si="136"/>
        <v>44120</v>
      </c>
      <c r="C332" s="85">
        <f t="shared" si="132"/>
        <v>44116</v>
      </c>
      <c r="D332">
        <f t="shared" ca="1" si="133"/>
        <v>1</v>
      </c>
      <c r="E332" s="85">
        <f t="shared" si="134"/>
        <v>44105</v>
      </c>
      <c r="F332">
        <f t="shared" si="135"/>
        <v>42</v>
      </c>
      <c r="L332" t="str">
        <f t="shared" ca="1" si="142"/>
        <v/>
      </c>
      <c r="M332">
        <v>3</v>
      </c>
      <c r="N332">
        <v>3</v>
      </c>
      <c r="O332" s="6">
        <f t="array" aca="1" ref="O332" ca="1">SUM(OFFSET($FC$43,0,($M332*3)+$N332,53,1)*O$43:O$95)</f>
        <v>0</v>
      </c>
      <c r="P332" s="6">
        <f t="array" aca="1" ref="P332" ca="1">SUM(OFFSET($FC$43,0,($M332*3)+$N332,53,1)*P$43:P$95)</f>
        <v>0</v>
      </c>
      <c r="Q332" s="6">
        <f t="array" aca="1" ref="Q332" ca="1">SUM(OFFSET($FC$43,0,($M332*3)+$N332,53,1)*Q$43:Q$95)</f>
        <v>0</v>
      </c>
      <c r="R332" s="6">
        <f t="array" aca="1" ref="R332" ca="1">SUM(OFFSET($FC$43,0,($M332*3)+$N332,53,1)*R$43:R$95)</f>
        <v>0</v>
      </c>
      <c r="S332" s="6">
        <f t="array" aca="1" ref="S332" ca="1">SUM(OFFSET($FC$43,0,($M332*3)+$N332,53,1)*S$43:S$95)</f>
        <v>0</v>
      </c>
      <c r="T332" s="6">
        <f t="array" aca="1" ref="T332" ca="1">SUM(OFFSET($FC$43,0,($M332*3)+$N332,53,1)*T$43:T$95)</f>
        <v>0</v>
      </c>
      <c r="U332" s="6">
        <f t="array" aca="1" ref="U332" ca="1">SUM(OFFSET($FC$43,0,($M332*3)+$N332,53,1)*U$43:U$95)</f>
        <v>0</v>
      </c>
      <c r="V332" s="6">
        <f t="array" aca="1" ref="V332" ca="1">SUM(OFFSET($FC$43,0,($M332*3)+$N332,53,1)*V$43:V$95)</f>
        <v>0</v>
      </c>
      <c r="W332" s="6">
        <f t="array" aca="1" ref="W332" ca="1">SUM(OFFSET($FC$43,0,($M332*3)+$N332,53,1)*W$43:W$95)</f>
        <v>0</v>
      </c>
      <c r="X332" s="6">
        <f t="array" aca="1" ref="X332" ca="1">SUM(OFFSET($FC$43,0,($M332*3)+$N332,53,1)*X$43:X$95)</f>
        <v>0</v>
      </c>
      <c r="Y332" s="6">
        <f t="array" aca="1" ref="Y332" ca="1">SUM(OFFSET($FC$43,0,($M332*3)+$N332,53,1)*Y$43:Y$95)</f>
        <v>0</v>
      </c>
      <c r="Z332" s="6">
        <f t="array" aca="1" ref="Z332" ca="1">SUM(OFFSET($FC$43,0,($M332*3)+$N332,53,1)*Z$43:Z$95)</f>
        <v>0</v>
      </c>
      <c r="AA332" s="6">
        <f t="shared" ca="1" si="141"/>
        <v>0</v>
      </c>
      <c r="AB332" s="6" t="str">
        <f t="shared" si="143"/>
        <v/>
      </c>
      <c r="AD332" s="8" t="s">
        <v>1227</v>
      </c>
      <c r="AE332" t="str">
        <f t="shared" si="137"/>
        <v>Admission</v>
      </c>
      <c r="AF332" s="8">
        <f ca="1">SUMIFS(O$375:O$377,$L$375:$L$377,$AE242)+IF(OR(AND('Aggregate summary'!$L$3="Yes",'Aggregate summary'!$E$3="POD"),AND('Aggregate summary'!$U$3="Process",'Aggregate summary'!$T$76="Clearance + downstream effects")),SUMIFS(O$436:O$438,$L$436:$L$438,$AE242),0)</f>
        <v>0</v>
      </c>
      <c r="AG332" s="8">
        <f ca="1">SUMIFS(P$375:P$377,$L$375:$L$377,$AE242)+IF(OR(AND('Aggregate summary'!$L$3="Yes",'Aggregate summary'!$E$3="POD"),AND('Aggregate summary'!$U$3="Process",'Aggregate summary'!$T$76="Clearance + downstream effects")),SUMIFS(P$436:P$438,$L$436:$L$438,$AE242),0)</f>
        <v>0</v>
      </c>
      <c r="AH332" s="8">
        <f ca="1">SUMIFS(Q$375:Q$377,$L$375:$L$377,$AE242)+IF(OR(AND('Aggregate summary'!$L$3="Yes",'Aggregate summary'!$E$3="POD"),AND('Aggregate summary'!$U$3="Process",'Aggregate summary'!$T$76="Clearance + downstream effects")),SUMIFS(Q$436:Q$438,$L$436:$L$438,$AE242),0)</f>
        <v>0</v>
      </c>
      <c r="AI332" s="8">
        <f ca="1">SUMIFS(R$375:R$377,$L$375:$L$377,$AE242)+IF(OR(AND('Aggregate summary'!$L$3="Yes",'Aggregate summary'!$E$3="POD"),AND('Aggregate summary'!$U$3="Process",'Aggregate summary'!$T$76="Clearance + downstream effects")),SUMIFS(R$436:R$438,$L$436:$L$438,$AE242),0)</f>
        <v>0</v>
      </c>
      <c r="AJ332" s="8">
        <f ca="1">SUMIFS(S$375:S$377,$L$375:$L$377,$AE242)+IF(OR(AND('Aggregate summary'!$L$3="Yes",'Aggregate summary'!$E$3="POD"),AND('Aggregate summary'!$U$3="Process",'Aggregate summary'!$T$76="Clearance + downstream effects")),SUMIFS(S$436:S$438,$L$436:$L$438,$AE242),0)</f>
        <v>0</v>
      </c>
      <c r="AK332" s="8">
        <f ca="1">SUMIFS(T$375:T$377,$L$375:$L$377,$AE242)+IF(OR(AND('Aggregate summary'!$L$3="Yes",'Aggregate summary'!$E$3="POD"),AND('Aggregate summary'!$U$3="Process",'Aggregate summary'!$T$76="Clearance + downstream effects")),SUMIFS(T$436:T$438,$L$436:$L$438,$AE242),0)</f>
        <v>0</v>
      </c>
      <c r="AL332" s="8">
        <f ca="1">SUMIFS(U$375:U$377,$L$375:$L$377,$AE242)+IF(OR(AND('Aggregate summary'!$L$3="Yes",'Aggregate summary'!$E$3="POD"),AND('Aggregate summary'!$U$3="Process",'Aggregate summary'!$T$76="Clearance + downstream effects")),SUMIFS(U$436:U$438,$L$436:$L$438,$AE242),0)</f>
        <v>0</v>
      </c>
      <c r="AM332" s="8">
        <f ca="1">SUMIFS(V$375:V$377,$L$375:$L$377,$AE242)+IF(OR(AND('Aggregate summary'!$L$3="Yes",'Aggregate summary'!$E$3="POD"),AND('Aggregate summary'!$U$3="Process",'Aggregate summary'!$T$76="Clearance + downstream effects")),SUMIFS(V$436:V$438,$L$436:$L$438,$AE242),0)</f>
        <v>0</v>
      </c>
      <c r="AN332" s="8">
        <f ca="1">SUMIFS(W$375:W$377,$L$375:$L$377,$AE242)+IF(OR(AND('Aggregate summary'!$L$3="Yes",'Aggregate summary'!$E$3="POD"),AND('Aggregate summary'!$U$3="Process",'Aggregate summary'!$T$76="Clearance + downstream effects")),SUMIFS(W$436:W$438,$L$436:$L$438,$AE242),0)</f>
        <v>0</v>
      </c>
      <c r="AO332" s="8">
        <f ca="1">SUMIFS(X$375:X$377,$L$375:$L$377,$AE242)+IF(OR(AND('Aggregate summary'!$L$3="Yes",'Aggregate summary'!$E$3="POD"),AND('Aggregate summary'!$U$3="Process",'Aggregate summary'!$T$76="Clearance + downstream effects")),SUMIFS(X$436:X$438,$L$436:$L$438,$AE242),0)</f>
        <v>0</v>
      </c>
      <c r="AP332" s="8">
        <f ca="1">SUMIFS(Y$375:Y$377,$L$375:$L$377,$AE242)+IF(OR(AND('Aggregate summary'!$L$3="Yes",'Aggregate summary'!$E$3="POD"),AND('Aggregate summary'!$U$3="Process",'Aggregate summary'!$T$76="Clearance + downstream effects")),SUMIFS(Y$436:Y$438,$L$436:$L$438,$AE242),0)</f>
        <v>0</v>
      </c>
      <c r="AQ332" s="8">
        <f ca="1">SUMIFS(Z$375:Z$377,$L$375:$L$377,$AE242)+IF(OR(AND('Aggregate summary'!$L$3="Yes",'Aggregate summary'!$E$3="POD"),AND('Aggregate summary'!$U$3="Process",'Aggregate summary'!$T$76="Clearance + downstream effects")),SUMIFS(Z$436:Z$438,$L$436:$L$438,$AE242),0)</f>
        <v>0</v>
      </c>
    </row>
    <row r="333" spans="1:43" x14ac:dyDescent="0.25">
      <c r="A333">
        <f>1</f>
        <v>1</v>
      </c>
      <c r="B333" s="85">
        <f t="shared" si="136"/>
        <v>44121</v>
      </c>
      <c r="C333" s="85">
        <f t="shared" si="132"/>
        <v>44116</v>
      </c>
      <c r="D333">
        <f t="shared" ca="1" si="133"/>
        <v>0</v>
      </c>
      <c r="E333" s="85">
        <f t="shared" si="134"/>
        <v>44105</v>
      </c>
      <c r="F333">
        <f t="shared" si="135"/>
        <v>42</v>
      </c>
      <c r="L333" t="str">
        <f t="shared" ca="1" si="142"/>
        <v/>
      </c>
      <c r="M333">
        <v>4</v>
      </c>
      <c r="N333">
        <v>1</v>
      </c>
      <c r="O333" s="6">
        <f t="array" aca="1" ref="O333" ca="1">SUM(OFFSET($FC$43,0,($M333*3)+$N333,53,1)*O$43:O$95)</f>
        <v>0</v>
      </c>
      <c r="P333" s="6">
        <f t="array" aca="1" ref="P333" ca="1">SUM(OFFSET($FC$43,0,($M333*3)+$N333,53,1)*P$43:P$95)</f>
        <v>0</v>
      </c>
      <c r="Q333" s="6">
        <f t="array" aca="1" ref="Q333" ca="1">SUM(OFFSET($FC$43,0,($M333*3)+$N333,53,1)*Q$43:Q$95)</f>
        <v>0</v>
      </c>
      <c r="R333" s="6">
        <f t="array" aca="1" ref="R333" ca="1">SUM(OFFSET($FC$43,0,($M333*3)+$N333,53,1)*R$43:R$95)</f>
        <v>0</v>
      </c>
      <c r="S333" s="6">
        <f t="array" aca="1" ref="S333" ca="1">SUM(OFFSET($FC$43,0,($M333*3)+$N333,53,1)*S$43:S$95)</f>
        <v>0</v>
      </c>
      <c r="T333" s="6">
        <f t="array" aca="1" ref="T333" ca="1">SUM(OFFSET($FC$43,0,($M333*3)+$N333,53,1)*T$43:T$95)</f>
        <v>0</v>
      </c>
      <c r="U333" s="6">
        <f t="array" aca="1" ref="U333" ca="1">SUM(OFFSET($FC$43,0,($M333*3)+$N333,53,1)*U$43:U$95)</f>
        <v>0</v>
      </c>
      <c r="V333" s="6">
        <f t="array" aca="1" ref="V333" ca="1">SUM(OFFSET($FC$43,0,($M333*3)+$N333,53,1)*V$43:V$95)</f>
        <v>0</v>
      </c>
      <c r="W333" s="6">
        <f t="array" aca="1" ref="W333" ca="1">SUM(OFFSET($FC$43,0,($M333*3)+$N333,53,1)*W$43:W$95)</f>
        <v>0</v>
      </c>
      <c r="X333" s="6">
        <f t="array" aca="1" ref="X333" ca="1">SUM(OFFSET($FC$43,0,($M333*3)+$N333,53,1)*X$43:X$95)</f>
        <v>0</v>
      </c>
      <c r="Y333" s="6">
        <f t="array" aca="1" ref="Y333" ca="1">SUM(OFFSET($FC$43,0,($M333*3)+$N333,53,1)*Y$43:Y$95)</f>
        <v>0</v>
      </c>
      <c r="Z333" s="6">
        <f t="array" aca="1" ref="Z333" ca="1">SUM(OFFSET($FC$43,0,($M333*3)+$N333,53,1)*Z$43:Z$95)</f>
        <v>0</v>
      </c>
      <c r="AA333" s="6">
        <f t="shared" ca="1" si="141"/>
        <v>0</v>
      </c>
      <c r="AB333" s="6" t="str">
        <f t="shared" si="143"/>
        <v/>
      </c>
      <c r="AD333" s="8">
        <v>20</v>
      </c>
      <c r="AE333" t="str">
        <f t="shared" si="137"/>
        <v>New</v>
      </c>
      <c r="AF333" s="8">
        <f ca="1">SUMIFS(O$378:O$380,$L$378:$L$380,$AE238)+IF(OR(AND('Aggregate summary'!$L$3="Yes",'Aggregate summary'!$E$3="POD"),AND('Aggregate summary'!$U$3="Process",'Aggregate summary'!$T$76="Clearance + downstream effects")),SUMIFS(O$439:O$441,$L$439:$L$441,$AE238),0)</f>
        <v>0</v>
      </c>
      <c r="AG333" s="8">
        <f ca="1">SUMIFS(P$378:P$380,$L$378:$L$380,$AE238)+IF(OR(AND('Aggregate summary'!$L$3="Yes",'Aggregate summary'!$E$3="POD"),AND('Aggregate summary'!$U$3="Process",'Aggregate summary'!$T$76="Clearance + downstream effects")),SUMIFS(P$439:P$441,$L$439:$L$441,$AE238),0)</f>
        <v>0</v>
      </c>
      <c r="AH333" s="8">
        <f ca="1">SUMIFS(Q$378:Q$380,$L$378:$L$380,$AE238)+IF(OR(AND('Aggregate summary'!$L$3="Yes",'Aggregate summary'!$E$3="POD"),AND('Aggregate summary'!$U$3="Process",'Aggregate summary'!$T$76="Clearance + downstream effects")),SUMIFS(Q$439:Q$441,$L$439:$L$441,$AE238),0)</f>
        <v>0</v>
      </c>
      <c r="AI333" s="8">
        <f ca="1">SUMIFS(R$378:R$380,$L$378:$L$380,$AE238)+IF(OR(AND('Aggregate summary'!$L$3="Yes",'Aggregate summary'!$E$3="POD"),AND('Aggregate summary'!$U$3="Process",'Aggregate summary'!$T$76="Clearance + downstream effects")),SUMIFS(R$439:R$441,$L$439:$L$441,$AE238),0)</f>
        <v>0</v>
      </c>
      <c r="AJ333" s="8">
        <f ca="1">SUMIFS(S$378:S$380,$L$378:$L$380,$AE238)+IF(OR(AND('Aggregate summary'!$L$3="Yes",'Aggregate summary'!$E$3="POD"),AND('Aggregate summary'!$U$3="Process",'Aggregate summary'!$T$76="Clearance + downstream effects")),SUMIFS(S$439:S$441,$L$439:$L$441,$AE238),0)</f>
        <v>0</v>
      </c>
      <c r="AK333" s="8">
        <f ca="1">SUMIFS(T$378:T$380,$L$378:$L$380,$AE238)+IF(OR(AND('Aggregate summary'!$L$3="Yes",'Aggregate summary'!$E$3="POD"),AND('Aggregate summary'!$U$3="Process",'Aggregate summary'!$T$76="Clearance + downstream effects")),SUMIFS(T$439:T$441,$L$439:$L$441,$AE238),0)</f>
        <v>0</v>
      </c>
      <c r="AL333" s="8">
        <f ca="1">SUMIFS(U$378:U$380,$L$378:$L$380,$AE238)+IF(OR(AND('Aggregate summary'!$L$3="Yes",'Aggregate summary'!$E$3="POD"),AND('Aggregate summary'!$U$3="Process",'Aggregate summary'!$T$76="Clearance + downstream effects")),SUMIFS(U$439:U$441,$L$439:$L$441,$AE238),0)</f>
        <v>0</v>
      </c>
      <c r="AM333" s="8">
        <f ca="1">SUMIFS(V$378:V$380,$L$378:$L$380,$AE238)+IF(OR(AND('Aggregate summary'!$L$3="Yes",'Aggregate summary'!$E$3="POD"),AND('Aggregate summary'!$U$3="Process",'Aggregate summary'!$T$76="Clearance + downstream effects")),SUMIFS(V$439:V$441,$L$439:$L$441,$AE238),0)</f>
        <v>0</v>
      </c>
      <c r="AN333" s="8">
        <f ca="1">SUMIFS(W$378:W$380,$L$378:$L$380,$AE238)+IF(OR(AND('Aggregate summary'!$L$3="Yes",'Aggregate summary'!$E$3="POD"),AND('Aggregate summary'!$U$3="Process",'Aggregate summary'!$T$76="Clearance + downstream effects")),SUMIFS(W$439:W$441,$L$439:$L$441,$AE238),0)</f>
        <v>0</v>
      </c>
      <c r="AO333" s="8">
        <f ca="1">SUMIFS(X$378:X$380,$L$378:$L$380,$AE238)+IF(OR(AND('Aggregate summary'!$L$3="Yes",'Aggregate summary'!$E$3="POD"),AND('Aggregate summary'!$U$3="Process",'Aggregate summary'!$T$76="Clearance + downstream effects")),SUMIFS(X$439:X$441,$L$439:$L$441,$AE238),0)</f>
        <v>0</v>
      </c>
      <c r="AP333" s="8">
        <f ca="1">SUMIFS(Y$378:Y$380,$L$378:$L$380,$AE238)+IF(OR(AND('Aggregate summary'!$L$3="Yes",'Aggregate summary'!$E$3="POD"),AND('Aggregate summary'!$U$3="Process",'Aggregate summary'!$T$76="Clearance + downstream effects")),SUMIFS(Y$439:Y$441,$L$439:$L$441,$AE238),0)</f>
        <v>0</v>
      </c>
      <c r="AQ333" s="8">
        <f ca="1">SUMIFS(Z$378:Z$380,$L$378:$L$380,$AE238)+IF(OR(AND('Aggregate summary'!$L$3="Yes",'Aggregate summary'!$E$3="POD"),AND('Aggregate summary'!$U$3="Process",'Aggregate summary'!$T$76="Clearance + downstream effects")),SUMIFS(Z$439:Z$441,$L$439:$L$441,$AE238),0)</f>
        <v>0</v>
      </c>
    </row>
    <row r="334" spans="1:43" x14ac:dyDescent="0.25">
      <c r="A334">
        <f>1</f>
        <v>1</v>
      </c>
      <c r="B334" s="85">
        <f t="shared" si="136"/>
        <v>44122</v>
      </c>
      <c r="C334" s="85">
        <f t="shared" si="132"/>
        <v>44116</v>
      </c>
      <c r="D334">
        <f t="shared" ca="1" si="133"/>
        <v>0</v>
      </c>
      <c r="E334" s="85">
        <f t="shared" si="134"/>
        <v>44105</v>
      </c>
      <c r="F334">
        <f t="shared" si="135"/>
        <v>42</v>
      </c>
      <c r="L334" t="str">
        <f t="shared" ca="1" si="142"/>
        <v/>
      </c>
      <c r="M334">
        <v>4</v>
      </c>
      <c r="N334">
        <v>2</v>
      </c>
      <c r="O334" s="6">
        <f t="array" aca="1" ref="O334" ca="1">SUM(OFFSET($FC$43,0,($M334*3)+$N334,53,1)*O$43:O$95)</f>
        <v>0</v>
      </c>
      <c r="P334" s="6">
        <f t="array" aca="1" ref="P334" ca="1">SUM(OFFSET($FC$43,0,($M334*3)+$N334,53,1)*P$43:P$95)</f>
        <v>0</v>
      </c>
      <c r="Q334" s="6">
        <f t="array" aca="1" ref="Q334" ca="1">SUM(OFFSET($FC$43,0,($M334*3)+$N334,53,1)*Q$43:Q$95)</f>
        <v>0</v>
      </c>
      <c r="R334" s="6">
        <f t="array" aca="1" ref="R334" ca="1">SUM(OFFSET($FC$43,0,($M334*3)+$N334,53,1)*R$43:R$95)</f>
        <v>0</v>
      </c>
      <c r="S334" s="6">
        <f t="array" aca="1" ref="S334" ca="1">SUM(OFFSET($FC$43,0,($M334*3)+$N334,53,1)*S$43:S$95)</f>
        <v>0</v>
      </c>
      <c r="T334" s="6">
        <f t="array" aca="1" ref="T334" ca="1">SUM(OFFSET($FC$43,0,($M334*3)+$N334,53,1)*T$43:T$95)</f>
        <v>0</v>
      </c>
      <c r="U334" s="6">
        <f t="array" aca="1" ref="U334" ca="1">SUM(OFFSET($FC$43,0,($M334*3)+$N334,53,1)*U$43:U$95)</f>
        <v>0</v>
      </c>
      <c r="V334" s="6">
        <f t="array" aca="1" ref="V334" ca="1">SUM(OFFSET($FC$43,0,($M334*3)+$N334,53,1)*V$43:V$95)</f>
        <v>0</v>
      </c>
      <c r="W334" s="6">
        <f t="array" aca="1" ref="W334" ca="1">SUM(OFFSET($FC$43,0,($M334*3)+$N334,53,1)*W$43:W$95)</f>
        <v>0</v>
      </c>
      <c r="X334" s="6">
        <f t="array" aca="1" ref="X334" ca="1">SUM(OFFSET($FC$43,0,($M334*3)+$N334,53,1)*X$43:X$95)</f>
        <v>0</v>
      </c>
      <c r="Y334" s="6">
        <f t="array" aca="1" ref="Y334" ca="1">SUM(OFFSET($FC$43,0,($M334*3)+$N334,53,1)*Y$43:Y$95)</f>
        <v>0</v>
      </c>
      <c r="Z334" s="6">
        <f t="array" aca="1" ref="Z334" ca="1">SUM(OFFSET($FC$43,0,($M334*3)+$N334,53,1)*Z$43:Z$95)</f>
        <v>0</v>
      </c>
      <c r="AA334" s="6">
        <f t="shared" ca="1" si="141"/>
        <v>0</v>
      </c>
      <c r="AB334" s="6" t="str">
        <f t="shared" si="143"/>
        <v/>
      </c>
      <c r="AD334" s="8" t="s">
        <v>1227</v>
      </c>
      <c r="AE334" t="str">
        <f t="shared" si="137"/>
        <v>Diagnostic (N)</v>
      </c>
      <c r="AF334" s="8">
        <f ca="1">SUMIFS(O$378:O$380,$L$378:$L$380,$AE239)+IF(OR(AND('Aggregate summary'!$L$3="Yes",'Aggregate summary'!$E$3="POD"),AND('Aggregate summary'!$U$3="Process",'Aggregate summary'!$T$76="Clearance + downstream effects")),SUMIFS(O$439:O$441,$L$439:$L$441,$AE239),0)</f>
        <v>0</v>
      </c>
      <c r="AG334" s="8">
        <f ca="1">SUMIFS(P$378:P$380,$L$378:$L$380,$AE239)+IF(OR(AND('Aggregate summary'!$L$3="Yes",'Aggregate summary'!$E$3="POD"),AND('Aggregate summary'!$U$3="Process",'Aggregate summary'!$T$76="Clearance + downstream effects")),SUMIFS(P$439:P$441,$L$439:$L$441,$AE239),0)</f>
        <v>0</v>
      </c>
      <c r="AH334" s="8">
        <f ca="1">SUMIFS(Q$378:Q$380,$L$378:$L$380,$AE239)+IF(OR(AND('Aggregate summary'!$L$3="Yes",'Aggregate summary'!$E$3="POD"),AND('Aggregate summary'!$U$3="Process",'Aggregate summary'!$T$76="Clearance + downstream effects")),SUMIFS(Q$439:Q$441,$L$439:$L$441,$AE239),0)</f>
        <v>0</v>
      </c>
      <c r="AI334" s="8">
        <f ca="1">SUMIFS(R$378:R$380,$L$378:$L$380,$AE239)+IF(OR(AND('Aggregate summary'!$L$3="Yes",'Aggregate summary'!$E$3="POD"),AND('Aggregate summary'!$U$3="Process",'Aggregate summary'!$T$76="Clearance + downstream effects")),SUMIFS(R$439:R$441,$L$439:$L$441,$AE239),0)</f>
        <v>0</v>
      </c>
      <c r="AJ334" s="8">
        <f ca="1">SUMIFS(S$378:S$380,$L$378:$L$380,$AE239)+IF(OR(AND('Aggregate summary'!$L$3="Yes",'Aggregate summary'!$E$3="POD"),AND('Aggregate summary'!$U$3="Process",'Aggregate summary'!$T$76="Clearance + downstream effects")),SUMIFS(S$439:S$441,$L$439:$L$441,$AE239),0)</f>
        <v>0</v>
      </c>
      <c r="AK334" s="8">
        <f ca="1">SUMIFS(T$378:T$380,$L$378:$L$380,$AE239)+IF(OR(AND('Aggregate summary'!$L$3="Yes",'Aggregate summary'!$E$3="POD"),AND('Aggregate summary'!$U$3="Process",'Aggregate summary'!$T$76="Clearance + downstream effects")),SUMIFS(T$439:T$441,$L$439:$L$441,$AE239),0)</f>
        <v>0</v>
      </c>
      <c r="AL334" s="8">
        <f ca="1">SUMIFS(U$378:U$380,$L$378:$L$380,$AE239)+IF(OR(AND('Aggregate summary'!$L$3="Yes",'Aggregate summary'!$E$3="POD"),AND('Aggregate summary'!$U$3="Process",'Aggregate summary'!$T$76="Clearance + downstream effects")),SUMIFS(U$439:U$441,$L$439:$L$441,$AE239),0)</f>
        <v>0</v>
      </c>
      <c r="AM334" s="8">
        <f ca="1">SUMIFS(V$378:V$380,$L$378:$L$380,$AE239)+IF(OR(AND('Aggregate summary'!$L$3="Yes",'Aggregate summary'!$E$3="POD"),AND('Aggregate summary'!$U$3="Process",'Aggregate summary'!$T$76="Clearance + downstream effects")),SUMIFS(V$439:V$441,$L$439:$L$441,$AE239),0)</f>
        <v>0</v>
      </c>
      <c r="AN334" s="8">
        <f ca="1">SUMIFS(W$378:W$380,$L$378:$L$380,$AE239)+IF(OR(AND('Aggregate summary'!$L$3="Yes",'Aggregate summary'!$E$3="POD"),AND('Aggregate summary'!$U$3="Process",'Aggregate summary'!$T$76="Clearance + downstream effects")),SUMIFS(W$439:W$441,$L$439:$L$441,$AE239),0)</f>
        <v>0</v>
      </c>
      <c r="AO334" s="8">
        <f ca="1">SUMIFS(X$378:X$380,$L$378:$L$380,$AE239)+IF(OR(AND('Aggregate summary'!$L$3="Yes",'Aggregate summary'!$E$3="POD"),AND('Aggregate summary'!$U$3="Process",'Aggregate summary'!$T$76="Clearance + downstream effects")),SUMIFS(X$439:X$441,$L$439:$L$441,$AE239),0)</f>
        <v>0</v>
      </c>
      <c r="AP334" s="8">
        <f ca="1">SUMIFS(Y$378:Y$380,$L$378:$L$380,$AE239)+IF(OR(AND('Aggregate summary'!$L$3="Yes",'Aggregate summary'!$E$3="POD"),AND('Aggregate summary'!$U$3="Process",'Aggregate summary'!$T$76="Clearance + downstream effects")),SUMIFS(Y$439:Y$441,$L$439:$L$441,$AE239),0)</f>
        <v>0</v>
      </c>
      <c r="AQ334" s="8">
        <f ca="1">SUMIFS(Z$378:Z$380,$L$378:$L$380,$AE239)+IF(OR(AND('Aggregate summary'!$L$3="Yes",'Aggregate summary'!$E$3="POD"),AND('Aggregate summary'!$U$3="Process",'Aggregate summary'!$T$76="Clearance + downstream effects")),SUMIFS(Z$439:Z$441,$L$439:$L$441,$AE239),0)</f>
        <v>0</v>
      </c>
    </row>
    <row r="335" spans="1:43" x14ac:dyDescent="0.25">
      <c r="A335">
        <f>1</f>
        <v>1</v>
      </c>
      <c r="B335" s="85">
        <f t="shared" si="136"/>
        <v>44123</v>
      </c>
      <c r="C335" s="85">
        <f t="shared" si="132"/>
        <v>44123</v>
      </c>
      <c r="D335">
        <f t="shared" ca="1" si="133"/>
        <v>1</v>
      </c>
      <c r="E335" s="85">
        <f t="shared" si="134"/>
        <v>44105</v>
      </c>
      <c r="F335">
        <f t="shared" si="135"/>
        <v>43</v>
      </c>
      <c r="L335" t="str">
        <f t="shared" ca="1" si="142"/>
        <v/>
      </c>
      <c r="M335">
        <v>4</v>
      </c>
      <c r="N335">
        <v>3</v>
      </c>
      <c r="O335" s="6">
        <f t="array" aca="1" ref="O335" ca="1">SUM(OFFSET($FC$43,0,($M335*3)+$N335,53,1)*O$43:O$95)</f>
        <v>0</v>
      </c>
      <c r="P335" s="6">
        <f t="array" aca="1" ref="P335" ca="1">SUM(OFFSET($FC$43,0,($M335*3)+$N335,53,1)*P$43:P$95)</f>
        <v>0</v>
      </c>
      <c r="Q335" s="6">
        <f t="array" aca="1" ref="Q335" ca="1">SUM(OFFSET($FC$43,0,($M335*3)+$N335,53,1)*Q$43:Q$95)</f>
        <v>0</v>
      </c>
      <c r="R335" s="6">
        <f t="array" aca="1" ref="R335" ca="1">SUM(OFFSET($FC$43,0,($M335*3)+$N335,53,1)*R$43:R$95)</f>
        <v>0</v>
      </c>
      <c r="S335" s="6">
        <f t="array" aca="1" ref="S335" ca="1">SUM(OFFSET($FC$43,0,($M335*3)+$N335,53,1)*S$43:S$95)</f>
        <v>0</v>
      </c>
      <c r="T335" s="6">
        <f t="array" aca="1" ref="T335" ca="1">SUM(OFFSET($FC$43,0,($M335*3)+$N335,53,1)*T$43:T$95)</f>
        <v>0</v>
      </c>
      <c r="U335" s="6">
        <f t="array" aca="1" ref="U335" ca="1">SUM(OFFSET($FC$43,0,($M335*3)+$N335,53,1)*U$43:U$95)</f>
        <v>0</v>
      </c>
      <c r="V335" s="6">
        <f t="array" aca="1" ref="V335" ca="1">SUM(OFFSET($FC$43,0,($M335*3)+$N335,53,1)*V$43:V$95)</f>
        <v>0</v>
      </c>
      <c r="W335" s="6">
        <f t="array" aca="1" ref="W335" ca="1">SUM(OFFSET($FC$43,0,($M335*3)+$N335,53,1)*W$43:W$95)</f>
        <v>0</v>
      </c>
      <c r="X335" s="6">
        <f t="array" aca="1" ref="X335" ca="1">SUM(OFFSET($FC$43,0,($M335*3)+$N335,53,1)*X$43:X$95)</f>
        <v>0</v>
      </c>
      <c r="Y335" s="6">
        <f t="array" aca="1" ref="Y335" ca="1">SUM(OFFSET($FC$43,0,($M335*3)+$N335,53,1)*Y$43:Y$95)</f>
        <v>0</v>
      </c>
      <c r="Z335" s="6">
        <f t="array" aca="1" ref="Z335" ca="1">SUM(OFFSET($FC$43,0,($M335*3)+$N335,53,1)*Z$43:Z$95)</f>
        <v>0</v>
      </c>
      <c r="AA335" s="6">
        <f t="shared" ca="1" si="141"/>
        <v>0</v>
      </c>
      <c r="AB335" s="6" t="str">
        <f t="shared" si="143"/>
        <v/>
      </c>
      <c r="AD335" s="8" t="s">
        <v>1227</v>
      </c>
      <c r="AE335" t="str">
        <f t="shared" si="137"/>
        <v>Follow Up</v>
      </c>
      <c r="AF335" s="8">
        <f ca="1">SUMIFS(O$378:O$380,$L$378:$L$380,$AE240)+IF(OR(AND('Aggregate summary'!$L$3="Yes",'Aggregate summary'!$E$3="POD"),AND('Aggregate summary'!$U$3="Process",'Aggregate summary'!$T$76="Clearance + downstream effects")),SUMIFS(O$439:O$441,$L$439:$L$441,$AE240),0)</f>
        <v>0</v>
      </c>
      <c r="AG335" s="8">
        <f ca="1">SUMIFS(P$378:P$380,$L$378:$L$380,$AE240)+IF(OR(AND('Aggregate summary'!$L$3="Yes",'Aggregate summary'!$E$3="POD"),AND('Aggregate summary'!$U$3="Process",'Aggregate summary'!$T$76="Clearance + downstream effects")),SUMIFS(P$439:P$441,$L$439:$L$441,$AE240),0)</f>
        <v>0</v>
      </c>
      <c r="AH335" s="8">
        <f ca="1">SUMIFS(Q$378:Q$380,$L$378:$L$380,$AE240)+IF(OR(AND('Aggregate summary'!$L$3="Yes",'Aggregate summary'!$E$3="POD"),AND('Aggregate summary'!$U$3="Process",'Aggregate summary'!$T$76="Clearance + downstream effects")),SUMIFS(Q$439:Q$441,$L$439:$L$441,$AE240),0)</f>
        <v>0</v>
      </c>
      <c r="AI335" s="8">
        <f ca="1">SUMIFS(R$378:R$380,$L$378:$L$380,$AE240)+IF(OR(AND('Aggregate summary'!$L$3="Yes",'Aggregate summary'!$E$3="POD"),AND('Aggregate summary'!$U$3="Process",'Aggregate summary'!$T$76="Clearance + downstream effects")),SUMIFS(R$439:R$441,$L$439:$L$441,$AE240),0)</f>
        <v>0</v>
      </c>
      <c r="AJ335" s="8">
        <f ca="1">SUMIFS(S$378:S$380,$L$378:$L$380,$AE240)+IF(OR(AND('Aggregate summary'!$L$3="Yes",'Aggregate summary'!$E$3="POD"),AND('Aggregate summary'!$U$3="Process",'Aggregate summary'!$T$76="Clearance + downstream effects")),SUMIFS(S$439:S$441,$L$439:$L$441,$AE240),0)</f>
        <v>0</v>
      </c>
      <c r="AK335" s="8">
        <f ca="1">SUMIFS(T$378:T$380,$L$378:$L$380,$AE240)+IF(OR(AND('Aggregate summary'!$L$3="Yes",'Aggregate summary'!$E$3="POD"),AND('Aggregate summary'!$U$3="Process",'Aggregate summary'!$T$76="Clearance + downstream effects")),SUMIFS(T$439:T$441,$L$439:$L$441,$AE240),0)</f>
        <v>0</v>
      </c>
      <c r="AL335" s="8">
        <f ca="1">SUMIFS(U$378:U$380,$L$378:$L$380,$AE240)+IF(OR(AND('Aggregate summary'!$L$3="Yes",'Aggregate summary'!$E$3="POD"),AND('Aggregate summary'!$U$3="Process",'Aggregate summary'!$T$76="Clearance + downstream effects")),SUMIFS(U$439:U$441,$L$439:$L$441,$AE240),0)</f>
        <v>0</v>
      </c>
      <c r="AM335" s="8">
        <f ca="1">SUMIFS(V$378:V$380,$L$378:$L$380,$AE240)+IF(OR(AND('Aggregate summary'!$L$3="Yes",'Aggregate summary'!$E$3="POD"),AND('Aggregate summary'!$U$3="Process",'Aggregate summary'!$T$76="Clearance + downstream effects")),SUMIFS(V$439:V$441,$L$439:$L$441,$AE240),0)</f>
        <v>0</v>
      </c>
      <c r="AN335" s="8">
        <f ca="1">SUMIFS(W$378:W$380,$L$378:$L$380,$AE240)+IF(OR(AND('Aggregate summary'!$L$3="Yes",'Aggregate summary'!$E$3="POD"),AND('Aggregate summary'!$U$3="Process",'Aggregate summary'!$T$76="Clearance + downstream effects")),SUMIFS(W$439:W$441,$L$439:$L$441,$AE240),0)</f>
        <v>0</v>
      </c>
      <c r="AO335" s="8">
        <f ca="1">SUMIFS(X$378:X$380,$L$378:$L$380,$AE240)+IF(OR(AND('Aggregate summary'!$L$3="Yes",'Aggregate summary'!$E$3="POD"),AND('Aggregate summary'!$U$3="Process",'Aggregate summary'!$T$76="Clearance + downstream effects")),SUMIFS(X$439:X$441,$L$439:$L$441,$AE240),0)</f>
        <v>0</v>
      </c>
      <c r="AP335" s="8">
        <f ca="1">SUMIFS(Y$378:Y$380,$L$378:$L$380,$AE240)+IF(OR(AND('Aggregate summary'!$L$3="Yes",'Aggregate summary'!$E$3="POD"),AND('Aggregate summary'!$U$3="Process",'Aggregate summary'!$T$76="Clearance + downstream effects")),SUMIFS(Y$439:Y$441,$L$439:$L$441,$AE240),0)</f>
        <v>0</v>
      </c>
      <c r="AQ335" s="8">
        <f ca="1">SUMIFS(Z$378:Z$380,$L$378:$L$380,$AE240)+IF(OR(AND('Aggregate summary'!$L$3="Yes",'Aggregate summary'!$E$3="POD"),AND('Aggregate summary'!$U$3="Process",'Aggregate summary'!$T$76="Clearance + downstream effects")),SUMIFS(Z$439:Z$441,$L$439:$L$441,$AE240),0)</f>
        <v>0</v>
      </c>
    </row>
    <row r="336" spans="1:43" x14ac:dyDescent="0.25">
      <c r="A336">
        <f>1</f>
        <v>1</v>
      </c>
      <c r="B336" s="85">
        <f t="shared" si="136"/>
        <v>44124</v>
      </c>
      <c r="C336" s="85">
        <f t="shared" si="132"/>
        <v>44123</v>
      </c>
      <c r="D336">
        <f t="shared" ca="1" si="133"/>
        <v>1</v>
      </c>
      <c r="E336" s="85">
        <f t="shared" si="134"/>
        <v>44105</v>
      </c>
      <c r="F336">
        <f t="shared" si="135"/>
        <v>43</v>
      </c>
      <c r="L336" t="str">
        <f t="shared" ca="1" si="142"/>
        <v/>
      </c>
      <c r="M336">
        <v>5</v>
      </c>
      <c r="N336">
        <v>1</v>
      </c>
      <c r="O336" s="6">
        <f t="array" aca="1" ref="O336" ca="1">SUM(OFFSET($FC$43,0,($M336*3)+$N336,53,1)*O$43:O$95)</f>
        <v>0</v>
      </c>
      <c r="P336" s="6">
        <f t="array" aca="1" ref="P336" ca="1">SUM(OFFSET($FC$43,0,($M336*3)+$N336,53,1)*P$43:P$95)</f>
        <v>0</v>
      </c>
      <c r="Q336" s="6">
        <f t="array" aca="1" ref="Q336" ca="1">SUM(OFFSET($FC$43,0,($M336*3)+$N336,53,1)*Q$43:Q$95)</f>
        <v>0</v>
      </c>
      <c r="R336" s="6">
        <f t="array" aca="1" ref="R336" ca="1">SUM(OFFSET($FC$43,0,($M336*3)+$N336,53,1)*R$43:R$95)</f>
        <v>0</v>
      </c>
      <c r="S336" s="6">
        <f t="array" aca="1" ref="S336" ca="1">SUM(OFFSET($FC$43,0,($M336*3)+$N336,53,1)*S$43:S$95)</f>
        <v>0</v>
      </c>
      <c r="T336" s="6">
        <f t="array" aca="1" ref="T336" ca="1">SUM(OFFSET($FC$43,0,($M336*3)+$N336,53,1)*T$43:T$95)</f>
        <v>0</v>
      </c>
      <c r="U336" s="6">
        <f t="array" aca="1" ref="U336" ca="1">SUM(OFFSET($FC$43,0,($M336*3)+$N336,53,1)*U$43:U$95)</f>
        <v>0</v>
      </c>
      <c r="V336" s="6">
        <f t="array" aca="1" ref="V336" ca="1">SUM(OFFSET($FC$43,0,($M336*3)+$N336,53,1)*V$43:V$95)</f>
        <v>0</v>
      </c>
      <c r="W336" s="6">
        <f t="array" aca="1" ref="W336" ca="1">SUM(OFFSET($FC$43,0,($M336*3)+$N336,53,1)*W$43:W$95)</f>
        <v>0</v>
      </c>
      <c r="X336" s="6">
        <f t="array" aca="1" ref="X336" ca="1">SUM(OFFSET($FC$43,0,($M336*3)+$N336,53,1)*X$43:X$95)</f>
        <v>0</v>
      </c>
      <c r="Y336" s="6">
        <f t="array" aca="1" ref="Y336" ca="1">SUM(OFFSET($FC$43,0,($M336*3)+$N336,53,1)*Y$43:Y$95)</f>
        <v>0</v>
      </c>
      <c r="Z336" s="6">
        <f t="array" aca="1" ref="Z336" ca="1">SUM(OFFSET($FC$43,0,($M336*3)+$N336,53,1)*Z$43:Z$95)</f>
        <v>0</v>
      </c>
      <c r="AA336" s="6">
        <f t="shared" ca="1" si="141"/>
        <v>0</v>
      </c>
      <c r="AB336" s="6" t="str">
        <f t="shared" si="143"/>
        <v/>
      </c>
      <c r="AD336" s="8" t="s">
        <v>1227</v>
      </c>
      <c r="AE336" t="str">
        <f t="shared" si="137"/>
        <v>Diagnostic (FU)</v>
      </c>
      <c r="AF336" s="8">
        <f ca="1">SUMIFS(O$378:O$380,$L$378:$L$380,$AE241)+IF(OR(AND('Aggregate summary'!$L$3="Yes",'Aggregate summary'!$E$3="POD"),AND('Aggregate summary'!$U$3="Process",'Aggregate summary'!$T$76="Clearance + downstream effects")),SUMIFS(O$439:O$441,$L$439:$L$441,$AE241),0)</f>
        <v>0</v>
      </c>
      <c r="AG336" s="8">
        <f ca="1">SUMIFS(P$378:P$380,$L$378:$L$380,$AE241)+IF(OR(AND('Aggregate summary'!$L$3="Yes",'Aggregate summary'!$E$3="POD"),AND('Aggregate summary'!$U$3="Process",'Aggregate summary'!$T$76="Clearance + downstream effects")),SUMIFS(P$439:P$441,$L$439:$L$441,$AE241),0)</f>
        <v>0</v>
      </c>
      <c r="AH336" s="8">
        <f ca="1">SUMIFS(Q$378:Q$380,$L$378:$L$380,$AE241)+IF(OR(AND('Aggregate summary'!$L$3="Yes",'Aggregate summary'!$E$3="POD"),AND('Aggregate summary'!$U$3="Process",'Aggregate summary'!$T$76="Clearance + downstream effects")),SUMIFS(Q$439:Q$441,$L$439:$L$441,$AE241),0)</f>
        <v>0</v>
      </c>
      <c r="AI336" s="8">
        <f ca="1">SUMIFS(R$378:R$380,$L$378:$L$380,$AE241)+IF(OR(AND('Aggregate summary'!$L$3="Yes",'Aggregate summary'!$E$3="POD"),AND('Aggregate summary'!$U$3="Process",'Aggregate summary'!$T$76="Clearance + downstream effects")),SUMIFS(R$439:R$441,$L$439:$L$441,$AE241),0)</f>
        <v>0</v>
      </c>
      <c r="AJ336" s="8">
        <f ca="1">SUMIFS(S$378:S$380,$L$378:$L$380,$AE241)+IF(OR(AND('Aggregate summary'!$L$3="Yes",'Aggregate summary'!$E$3="POD"),AND('Aggregate summary'!$U$3="Process",'Aggregate summary'!$T$76="Clearance + downstream effects")),SUMIFS(S$439:S$441,$L$439:$L$441,$AE241),0)</f>
        <v>0</v>
      </c>
      <c r="AK336" s="8">
        <f ca="1">SUMIFS(T$378:T$380,$L$378:$L$380,$AE241)+IF(OR(AND('Aggregate summary'!$L$3="Yes",'Aggregate summary'!$E$3="POD"),AND('Aggregate summary'!$U$3="Process",'Aggregate summary'!$T$76="Clearance + downstream effects")),SUMIFS(T$439:T$441,$L$439:$L$441,$AE241),0)</f>
        <v>0</v>
      </c>
      <c r="AL336" s="8">
        <f ca="1">SUMIFS(U$378:U$380,$L$378:$L$380,$AE241)+IF(OR(AND('Aggregate summary'!$L$3="Yes",'Aggregate summary'!$E$3="POD"),AND('Aggregate summary'!$U$3="Process",'Aggregate summary'!$T$76="Clearance + downstream effects")),SUMIFS(U$439:U$441,$L$439:$L$441,$AE241),0)</f>
        <v>0</v>
      </c>
      <c r="AM336" s="8">
        <f ca="1">SUMIFS(V$378:V$380,$L$378:$L$380,$AE241)+IF(OR(AND('Aggregate summary'!$L$3="Yes",'Aggregate summary'!$E$3="POD"),AND('Aggregate summary'!$U$3="Process",'Aggregate summary'!$T$76="Clearance + downstream effects")),SUMIFS(V$439:V$441,$L$439:$L$441,$AE241),0)</f>
        <v>0</v>
      </c>
      <c r="AN336" s="8">
        <f ca="1">SUMIFS(W$378:W$380,$L$378:$L$380,$AE241)+IF(OR(AND('Aggregate summary'!$L$3="Yes",'Aggregate summary'!$E$3="POD"),AND('Aggregate summary'!$U$3="Process",'Aggregate summary'!$T$76="Clearance + downstream effects")),SUMIFS(W$439:W$441,$L$439:$L$441,$AE241),0)</f>
        <v>0</v>
      </c>
      <c r="AO336" s="8">
        <f ca="1">SUMIFS(X$378:X$380,$L$378:$L$380,$AE241)+IF(OR(AND('Aggregate summary'!$L$3="Yes",'Aggregate summary'!$E$3="POD"),AND('Aggregate summary'!$U$3="Process",'Aggregate summary'!$T$76="Clearance + downstream effects")),SUMIFS(X$439:X$441,$L$439:$L$441,$AE241),0)</f>
        <v>0</v>
      </c>
      <c r="AP336" s="8">
        <f ca="1">SUMIFS(Y$378:Y$380,$L$378:$L$380,$AE241)+IF(OR(AND('Aggregate summary'!$L$3="Yes",'Aggregate summary'!$E$3="POD"),AND('Aggregate summary'!$U$3="Process",'Aggregate summary'!$T$76="Clearance + downstream effects")),SUMIFS(Y$439:Y$441,$L$439:$L$441,$AE241),0)</f>
        <v>0</v>
      </c>
      <c r="AQ336" s="8">
        <f ca="1">SUMIFS(Z$378:Z$380,$L$378:$L$380,$AE241)+IF(OR(AND('Aggregate summary'!$L$3="Yes",'Aggregate summary'!$E$3="POD"),AND('Aggregate summary'!$U$3="Process",'Aggregate summary'!$T$76="Clearance + downstream effects")),SUMIFS(Z$439:Z$441,$L$439:$L$441,$AE241),0)</f>
        <v>0</v>
      </c>
    </row>
    <row r="337" spans="1:43" x14ac:dyDescent="0.25">
      <c r="A337">
        <f>1</f>
        <v>1</v>
      </c>
      <c r="B337" s="85">
        <f t="shared" si="136"/>
        <v>44125</v>
      </c>
      <c r="C337" s="85">
        <f t="shared" si="132"/>
        <v>44123</v>
      </c>
      <c r="D337">
        <f t="shared" ca="1" si="133"/>
        <v>1</v>
      </c>
      <c r="E337" s="85">
        <f t="shared" si="134"/>
        <v>44105</v>
      </c>
      <c r="F337">
        <f t="shared" si="135"/>
        <v>43</v>
      </c>
      <c r="L337" t="str">
        <f t="shared" ca="1" si="142"/>
        <v/>
      </c>
      <c r="M337">
        <v>5</v>
      </c>
      <c r="N337">
        <v>2</v>
      </c>
      <c r="O337" s="6">
        <f t="array" aca="1" ref="O337" ca="1">SUM(OFFSET($FC$43,0,($M337*3)+$N337,53,1)*O$43:O$95)</f>
        <v>0</v>
      </c>
      <c r="P337" s="6">
        <f t="array" aca="1" ref="P337" ca="1">SUM(OFFSET($FC$43,0,($M337*3)+$N337,53,1)*P$43:P$95)</f>
        <v>0</v>
      </c>
      <c r="Q337" s="6">
        <f t="array" aca="1" ref="Q337" ca="1">SUM(OFFSET($FC$43,0,($M337*3)+$N337,53,1)*Q$43:Q$95)</f>
        <v>0</v>
      </c>
      <c r="R337" s="6">
        <f t="array" aca="1" ref="R337" ca="1">SUM(OFFSET($FC$43,0,($M337*3)+$N337,53,1)*R$43:R$95)</f>
        <v>0</v>
      </c>
      <c r="S337" s="6">
        <f t="array" aca="1" ref="S337" ca="1">SUM(OFFSET($FC$43,0,($M337*3)+$N337,53,1)*S$43:S$95)</f>
        <v>0</v>
      </c>
      <c r="T337" s="6">
        <f t="array" aca="1" ref="T337" ca="1">SUM(OFFSET($FC$43,0,($M337*3)+$N337,53,1)*T$43:T$95)</f>
        <v>0</v>
      </c>
      <c r="U337" s="6">
        <f t="array" aca="1" ref="U337" ca="1">SUM(OFFSET($FC$43,0,($M337*3)+$N337,53,1)*U$43:U$95)</f>
        <v>0</v>
      </c>
      <c r="V337" s="6">
        <f t="array" aca="1" ref="V337" ca="1">SUM(OFFSET($FC$43,0,($M337*3)+$N337,53,1)*V$43:V$95)</f>
        <v>0</v>
      </c>
      <c r="W337" s="6">
        <f t="array" aca="1" ref="W337" ca="1">SUM(OFFSET($FC$43,0,($M337*3)+$N337,53,1)*W$43:W$95)</f>
        <v>0</v>
      </c>
      <c r="X337" s="6">
        <f t="array" aca="1" ref="X337" ca="1">SUM(OFFSET($FC$43,0,($M337*3)+$N337,53,1)*X$43:X$95)</f>
        <v>0</v>
      </c>
      <c r="Y337" s="6">
        <f t="array" aca="1" ref="Y337" ca="1">SUM(OFFSET($FC$43,0,($M337*3)+$N337,53,1)*Y$43:Y$95)</f>
        <v>0</v>
      </c>
      <c r="Z337" s="6">
        <f t="array" aca="1" ref="Z337" ca="1">SUM(OFFSET($FC$43,0,($M337*3)+$N337,53,1)*Z$43:Z$95)</f>
        <v>0</v>
      </c>
      <c r="AA337" s="6">
        <f t="shared" ca="1" si="141"/>
        <v>0</v>
      </c>
      <c r="AB337" s="6" t="str">
        <f t="shared" si="143"/>
        <v/>
      </c>
      <c r="AD337" s="8" t="s">
        <v>1227</v>
      </c>
      <c r="AE337" t="str">
        <f t="shared" si="137"/>
        <v>Admission</v>
      </c>
      <c r="AF337" s="8">
        <f ca="1">SUMIFS(O$378:O$380,$L$378:$L$380,$AE242)+IF(OR(AND('Aggregate summary'!$L$3="Yes",'Aggregate summary'!$E$3="POD"),AND('Aggregate summary'!$U$3="Process",'Aggregate summary'!$T$76="Clearance + downstream effects")),SUMIFS(O$439:O$441,$L$439:$L$441,$AE242),0)</f>
        <v>0</v>
      </c>
      <c r="AG337" s="8">
        <f ca="1">SUMIFS(P$378:P$380,$L$378:$L$380,$AE242)+IF(OR(AND('Aggregate summary'!$L$3="Yes",'Aggregate summary'!$E$3="POD"),AND('Aggregate summary'!$U$3="Process",'Aggregate summary'!$T$76="Clearance + downstream effects")),SUMIFS(P$439:P$441,$L$439:$L$441,$AE242),0)</f>
        <v>0</v>
      </c>
      <c r="AH337" s="8">
        <f ca="1">SUMIFS(Q$378:Q$380,$L$378:$L$380,$AE242)+IF(OR(AND('Aggregate summary'!$L$3="Yes",'Aggregate summary'!$E$3="POD"),AND('Aggregate summary'!$U$3="Process",'Aggregate summary'!$T$76="Clearance + downstream effects")),SUMIFS(Q$439:Q$441,$L$439:$L$441,$AE242),0)</f>
        <v>0</v>
      </c>
      <c r="AI337" s="8">
        <f ca="1">SUMIFS(R$378:R$380,$L$378:$L$380,$AE242)+IF(OR(AND('Aggregate summary'!$L$3="Yes",'Aggregate summary'!$E$3="POD"),AND('Aggregate summary'!$U$3="Process",'Aggregate summary'!$T$76="Clearance + downstream effects")),SUMIFS(R$439:R$441,$L$439:$L$441,$AE242),0)</f>
        <v>0</v>
      </c>
      <c r="AJ337" s="8">
        <f ca="1">SUMIFS(S$378:S$380,$L$378:$L$380,$AE242)+IF(OR(AND('Aggregate summary'!$L$3="Yes",'Aggregate summary'!$E$3="POD"),AND('Aggregate summary'!$U$3="Process",'Aggregate summary'!$T$76="Clearance + downstream effects")),SUMIFS(S$439:S$441,$L$439:$L$441,$AE242),0)</f>
        <v>0</v>
      </c>
      <c r="AK337" s="8">
        <f ca="1">SUMIFS(T$378:T$380,$L$378:$L$380,$AE242)+IF(OR(AND('Aggregate summary'!$L$3="Yes",'Aggregate summary'!$E$3="POD"),AND('Aggregate summary'!$U$3="Process",'Aggregate summary'!$T$76="Clearance + downstream effects")),SUMIFS(T$439:T$441,$L$439:$L$441,$AE242),0)</f>
        <v>0</v>
      </c>
      <c r="AL337" s="8">
        <f ca="1">SUMIFS(U$378:U$380,$L$378:$L$380,$AE242)+IF(OR(AND('Aggregate summary'!$L$3="Yes",'Aggregate summary'!$E$3="POD"),AND('Aggregate summary'!$U$3="Process",'Aggregate summary'!$T$76="Clearance + downstream effects")),SUMIFS(U$439:U$441,$L$439:$L$441,$AE242),0)</f>
        <v>0</v>
      </c>
      <c r="AM337" s="8">
        <f ca="1">SUMIFS(V$378:V$380,$L$378:$L$380,$AE242)+IF(OR(AND('Aggregate summary'!$L$3="Yes",'Aggregate summary'!$E$3="POD"),AND('Aggregate summary'!$U$3="Process",'Aggregate summary'!$T$76="Clearance + downstream effects")),SUMIFS(V$439:V$441,$L$439:$L$441,$AE242),0)</f>
        <v>0</v>
      </c>
      <c r="AN337" s="8">
        <f ca="1">SUMIFS(W$378:W$380,$L$378:$L$380,$AE242)+IF(OR(AND('Aggregate summary'!$L$3="Yes",'Aggregate summary'!$E$3="POD"),AND('Aggregate summary'!$U$3="Process",'Aggregate summary'!$T$76="Clearance + downstream effects")),SUMIFS(W$439:W$441,$L$439:$L$441,$AE242),0)</f>
        <v>0</v>
      </c>
      <c r="AO337" s="8">
        <f ca="1">SUMIFS(X$378:X$380,$L$378:$L$380,$AE242)+IF(OR(AND('Aggregate summary'!$L$3="Yes",'Aggregate summary'!$E$3="POD"),AND('Aggregate summary'!$U$3="Process",'Aggregate summary'!$T$76="Clearance + downstream effects")),SUMIFS(X$439:X$441,$L$439:$L$441,$AE242),0)</f>
        <v>0</v>
      </c>
      <c r="AP337" s="8">
        <f ca="1">SUMIFS(Y$378:Y$380,$L$378:$L$380,$AE242)+IF(OR(AND('Aggregate summary'!$L$3="Yes",'Aggregate summary'!$E$3="POD"),AND('Aggregate summary'!$U$3="Process",'Aggregate summary'!$T$76="Clearance + downstream effects")),SUMIFS(Y$439:Y$441,$L$439:$L$441,$AE242),0)</f>
        <v>0</v>
      </c>
      <c r="AQ337" s="8">
        <f ca="1">SUMIFS(Z$378:Z$380,$L$378:$L$380,$AE242)+IF(OR(AND('Aggregate summary'!$L$3="Yes",'Aggregate summary'!$E$3="POD"),AND('Aggregate summary'!$U$3="Process",'Aggregate summary'!$T$76="Clearance + downstream effects")),SUMIFS(Z$439:Z$441,$L$439:$L$441,$AE242),0)</f>
        <v>0</v>
      </c>
    </row>
    <row r="338" spans="1:43" x14ac:dyDescent="0.25">
      <c r="A338">
        <f>1</f>
        <v>1</v>
      </c>
      <c r="B338" s="85">
        <f t="shared" si="136"/>
        <v>44126</v>
      </c>
      <c r="C338" s="85">
        <f t="shared" si="132"/>
        <v>44123</v>
      </c>
      <c r="D338">
        <f t="shared" ca="1" si="133"/>
        <v>1</v>
      </c>
      <c r="E338" s="85">
        <f t="shared" si="134"/>
        <v>44105</v>
      </c>
      <c r="F338">
        <f t="shared" si="135"/>
        <v>43</v>
      </c>
      <c r="L338" t="str">
        <f t="shared" ca="1" si="142"/>
        <v/>
      </c>
      <c r="M338">
        <v>5</v>
      </c>
      <c r="N338">
        <v>3</v>
      </c>
      <c r="O338" s="6">
        <f t="array" aca="1" ref="O338" ca="1">SUM(OFFSET($FC$43,0,($M338*3)+$N338,53,1)*O$43:O$95)</f>
        <v>0</v>
      </c>
      <c r="P338" s="6">
        <f t="array" aca="1" ref="P338" ca="1">SUM(OFFSET($FC$43,0,($M338*3)+$N338,53,1)*P$43:P$95)</f>
        <v>0</v>
      </c>
      <c r="Q338" s="6">
        <f t="array" aca="1" ref="Q338" ca="1">SUM(OFFSET($FC$43,0,($M338*3)+$N338,53,1)*Q$43:Q$95)</f>
        <v>0</v>
      </c>
      <c r="R338" s="6">
        <f t="array" aca="1" ref="R338" ca="1">SUM(OFFSET($FC$43,0,($M338*3)+$N338,53,1)*R$43:R$95)</f>
        <v>0</v>
      </c>
      <c r="S338" s="6">
        <f t="array" aca="1" ref="S338" ca="1">SUM(OFFSET($FC$43,0,($M338*3)+$N338,53,1)*S$43:S$95)</f>
        <v>0</v>
      </c>
      <c r="T338" s="6">
        <f t="array" aca="1" ref="T338" ca="1">SUM(OFFSET($FC$43,0,($M338*3)+$N338,53,1)*T$43:T$95)</f>
        <v>0</v>
      </c>
      <c r="U338" s="6">
        <f t="array" aca="1" ref="U338" ca="1">SUM(OFFSET($FC$43,0,($M338*3)+$N338,53,1)*U$43:U$95)</f>
        <v>0</v>
      </c>
      <c r="V338" s="6">
        <f t="array" aca="1" ref="V338" ca="1">SUM(OFFSET($FC$43,0,($M338*3)+$N338,53,1)*V$43:V$95)</f>
        <v>0</v>
      </c>
      <c r="W338" s="6">
        <f t="array" aca="1" ref="W338" ca="1">SUM(OFFSET($FC$43,0,($M338*3)+$N338,53,1)*W$43:W$95)</f>
        <v>0</v>
      </c>
      <c r="X338" s="6">
        <f t="array" aca="1" ref="X338" ca="1">SUM(OFFSET($FC$43,0,($M338*3)+$N338,53,1)*X$43:X$95)</f>
        <v>0</v>
      </c>
      <c r="Y338" s="6">
        <f t="array" aca="1" ref="Y338" ca="1">SUM(OFFSET($FC$43,0,($M338*3)+$N338,53,1)*Y$43:Y$95)</f>
        <v>0</v>
      </c>
      <c r="Z338" s="6">
        <f t="array" aca="1" ref="Z338" ca="1">SUM(OFFSET($FC$43,0,($M338*3)+$N338,53,1)*Z$43:Z$95)</f>
        <v>0</v>
      </c>
      <c r="AA338" s="6">
        <f t="shared" ca="1" si="141"/>
        <v>0</v>
      </c>
      <c r="AB338" s="6" t="str">
        <f t="shared" si="143"/>
        <v/>
      </c>
      <c r="AD338" s="8"/>
      <c r="AF338" s="8"/>
      <c r="AG338" s="8"/>
      <c r="AH338" s="8"/>
      <c r="AI338" s="8"/>
      <c r="AJ338" s="8"/>
      <c r="AK338" s="8"/>
      <c r="AL338" s="8"/>
      <c r="AM338" s="8"/>
      <c r="AN338" s="8"/>
      <c r="AO338" s="8"/>
      <c r="AP338" s="8"/>
      <c r="AQ338" s="8"/>
    </row>
    <row r="339" spans="1:43" x14ac:dyDescent="0.25">
      <c r="A339">
        <f>1</f>
        <v>1</v>
      </c>
      <c r="B339" s="85">
        <f t="shared" si="136"/>
        <v>44127</v>
      </c>
      <c r="C339" s="85">
        <f t="shared" si="132"/>
        <v>44123</v>
      </c>
      <c r="D339">
        <f t="shared" ca="1" si="133"/>
        <v>1</v>
      </c>
      <c r="E339" s="85">
        <f t="shared" si="134"/>
        <v>44105</v>
      </c>
      <c r="F339">
        <f t="shared" si="135"/>
        <v>43</v>
      </c>
      <c r="L339" t="str">
        <f t="shared" ca="1" si="142"/>
        <v/>
      </c>
      <c r="M339">
        <v>6</v>
      </c>
      <c r="N339">
        <v>1</v>
      </c>
      <c r="O339" s="6">
        <f t="array" aca="1" ref="O339" ca="1">SUM(OFFSET($FC$43,0,($M339*3)+$N339,53,1)*O$43:O$95)</f>
        <v>0</v>
      </c>
      <c r="P339" s="6">
        <f t="array" aca="1" ref="P339" ca="1">SUM(OFFSET($FC$43,0,($M339*3)+$N339,53,1)*P$43:P$95)</f>
        <v>0</v>
      </c>
      <c r="Q339" s="6">
        <f t="array" aca="1" ref="Q339" ca="1">SUM(OFFSET($FC$43,0,($M339*3)+$N339,53,1)*Q$43:Q$95)</f>
        <v>0</v>
      </c>
      <c r="R339" s="6">
        <f t="array" aca="1" ref="R339" ca="1">SUM(OFFSET($FC$43,0,($M339*3)+$N339,53,1)*R$43:R$95)</f>
        <v>0</v>
      </c>
      <c r="S339" s="6">
        <f t="array" aca="1" ref="S339" ca="1">SUM(OFFSET($FC$43,0,($M339*3)+$N339,53,1)*S$43:S$95)</f>
        <v>0</v>
      </c>
      <c r="T339" s="6">
        <f t="array" aca="1" ref="T339" ca="1">SUM(OFFSET($FC$43,0,($M339*3)+$N339,53,1)*T$43:T$95)</f>
        <v>0</v>
      </c>
      <c r="U339" s="6">
        <f t="array" aca="1" ref="U339" ca="1">SUM(OFFSET($FC$43,0,($M339*3)+$N339,53,1)*U$43:U$95)</f>
        <v>0</v>
      </c>
      <c r="V339" s="6">
        <f t="array" aca="1" ref="V339" ca="1">SUM(OFFSET($FC$43,0,($M339*3)+$N339,53,1)*V$43:V$95)</f>
        <v>0</v>
      </c>
      <c r="W339" s="6">
        <f t="array" aca="1" ref="W339" ca="1">SUM(OFFSET($FC$43,0,($M339*3)+$N339,53,1)*W$43:W$95)</f>
        <v>0</v>
      </c>
      <c r="X339" s="6">
        <f t="array" aca="1" ref="X339" ca="1">SUM(OFFSET($FC$43,0,($M339*3)+$N339,53,1)*X$43:X$95)</f>
        <v>0</v>
      </c>
      <c r="Y339" s="6">
        <f t="array" aca="1" ref="Y339" ca="1">SUM(OFFSET($FC$43,0,($M339*3)+$N339,53,1)*Y$43:Y$95)</f>
        <v>0</v>
      </c>
      <c r="Z339" s="6">
        <f t="array" aca="1" ref="Z339" ca="1">SUM(OFFSET($FC$43,0,($M339*3)+$N339,53,1)*Z$43:Z$95)</f>
        <v>0</v>
      </c>
      <c r="AA339" s="6">
        <f t="shared" ca="1" si="141"/>
        <v>0</v>
      </c>
      <c r="AB339" s="6" t="str">
        <f t="shared" si="143"/>
        <v/>
      </c>
      <c r="AD339" s="8"/>
      <c r="AF339" s="8"/>
      <c r="AG339" s="8"/>
      <c r="AH339" s="8"/>
      <c r="AI339" s="8"/>
      <c r="AJ339" s="8"/>
      <c r="AK339" s="8"/>
      <c r="AL339" s="8"/>
      <c r="AM339" s="8"/>
      <c r="AN339" s="8"/>
      <c r="AO339" s="8"/>
      <c r="AP339" s="8"/>
      <c r="AQ339" s="8"/>
    </row>
    <row r="340" spans="1:43" x14ac:dyDescent="0.25">
      <c r="A340">
        <f>1</f>
        <v>1</v>
      </c>
      <c r="B340" s="85">
        <f t="shared" si="136"/>
        <v>44128</v>
      </c>
      <c r="C340" s="85">
        <f t="shared" si="132"/>
        <v>44123</v>
      </c>
      <c r="D340">
        <f t="shared" ca="1" si="133"/>
        <v>0</v>
      </c>
      <c r="E340" s="85">
        <f t="shared" si="134"/>
        <v>44105</v>
      </c>
      <c r="F340">
        <f t="shared" si="135"/>
        <v>43</v>
      </c>
      <c r="L340" t="str">
        <f t="shared" ca="1" si="142"/>
        <v/>
      </c>
      <c r="M340">
        <v>6</v>
      </c>
      <c r="N340">
        <v>2</v>
      </c>
      <c r="O340" s="6">
        <f t="array" aca="1" ref="O340" ca="1">SUM(OFFSET($FC$43,0,($M340*3)+$N340,53,1)*O$43:O$95)</f>
        <v>0</v>
      </c>
      <c r="P340" s="6">
        <f t="array" aca="1" ref="P340" ca="1">SUM(OFFSET($FC$43,0,($M340*3)+$N340,53,1)*P$43:P$95)</f>
        <v>0</v>
      </c>
      <c r="Q340" s="6">
        <f t="array" aca="1" ref="Q340" ca="1">SUM(OFFSET($FC$43,0,($M340*3)+$N340,53,1)*Q$43:Q$95)</f>
        <v>0</v>
      </c>
      <c r="R340" s="6">
        <f t="array" aca="1" ref="R340" ca="1">SUM(OFFSET($FC$43,0,($M340*3)+$N340,53,1)*R$43:R$95)</f>
        <v>0</v>
      </c>
      <c r="S340" s="6">
        <f t="array" aca="1" ref="S340" ca="1">SUM(OFFSET($FC$43,0,($M340*3)+$N340,53,1)*S$43:S$95)</f>
        <v>0</v>
      </c>
      <c r="T340" s="6">
        <f t="array" aca="1" ref="T340" ca="1">SUM(OFFSET($FC$43,0,($M340*3)+$N340,53,1)*T$43:T$95)</f>
        <v>0</v>
      </c>
      <c r="U340" s="6">
        <f t="array" aca="1" ref="U340" ca="1">SUM(OFFSET($FC$43,0,($M340*3)+$N340,53,1)*U$43:U$95)</f>
        <v>0</v>
      </c>
      <c r="V340" s="6">
        <f t="array" aca="1" ref="V340" ca="1">SUM(OFFSET($FC$43,0,($M340*3)+$N340,53,1)*V$43:V$95)</f>
        <v>0</v>
      </c>
      <c r="W340" s="6">
        <f t="array" aca="1" ref="W340" ca="1">SUM(OFFSET($FC$43,0,($M340*3)+$N340,53,1)*W$43:W$95)</f>
        <v>0</v>
      </c>
      <c r="X340" s="6">
        <f t="array" aca="1" ref="X340" ca="1">SUM(OFFSET($FC$43,0,($M340*3)+$N340,53,1)*X$43:X$95)</f>
        <v>0</v>
      </c>
      <c r="Y340" s="6">
        <f t="array" aca="1" ref="Y340" ca="1">SUM(OFFSET($FC$43,0,($M340*3)+$N340,53,1)*Y$43:Y$95)</f>
        <v>0</v>
      </c>
      <c r="Z340" s="6">
        <f t="array" aca="1" ref="Z340" ca="1">SUM(OFFSET($FC$43,0,($M340*3)+$N340,53,1)*Z$43:Z$95)</f>
        <v>0</v>
      </c>
      <c r="AA340" s="6">
        <f t="shared" ca="1" si="141"/>
        <v>0</v>
      </c>
      <c r="AB340" s="6" t="str">
        <f t="shared" si="143"/>
        <v/>
      </c>
      <c r="AD340" s="8"/>
      <c r="AF340" s="8"/>
      <c r="AG340" s="8"/>
      <c r="AH340" s="8"/>
      <c r="AI340" s="8"/>
      <c r="AJ340" s="8"/>
      <c r="AK340" s="8"/>
      <c r="AL340" s="8"/>
      <c r="AM340" s="8"/>
      <c r="AN340" s="8"/>
      <c r="AO340" s="8"/>
      <c r="AP340" s="8"/>
      <c r="AQ340" s="8"/>
    </row>
    <row r="341" spans="1:43" x14ac:dyDescent="0.25">
      <c r="A341">
        <f>1</f>
        <v>1</v>
      </c>
      <c r="B341" s="85">
        <f t="shared" si="136"/>
        <v>44129</v>
      </c>
      <c r="C341" s="85">
        <f t="shared" si="132"/>
        <v>44123</v>
      </c>
      <c r="D341">
        <f t="shared" ca="1" si="133"/>
        <v>0</v>
      </c>
      <c r="E341" s="85">
        <f t="shared" si="134"/>
        <v>44105</v>
      </c>
      <c r="F341">
        <f t="shared" si="135"/>
        <v>43</v>
      </c>
      <c r="L341" t="str">
        <f t="shared" ca="1" si="142"/>
        <v/>
      </c>
      <c r="M341">
        <v>6</v>
      </c>
      <c r="N341">
        <v>3</v>
      </c>
      <c r="O341" s="6">
        <f t="array" aca="1" ref="O341" ca="1">SUM(OFFSET($FC$43,0,($M341*3)+$N341,53,1)*O$43:O$95)</f>
        <v>0</v>
      </c>
      <c r="P341" s="6">
        <f t="array" aca="1" ref="P341" ca="1">SUM(OFFSET($FC$43,0,($M341*3)+$N341,53,1)*P$43:P$95)</f>
        <v>0</v>
      </c>
      <c r="Q341" s="6">
        <f t="array" aca="1" ref="Q341" ca="1">SUM(OFFSET($FC$43,0,($M341*3)+$N341,53,1)*Q$43:Q$95)</f>
        <v>0</v>
      </c>
      <c r="R341" s="6">
        <f t="array" aca="1" ref="R341" ca="1">SUM(OFFSET($FC$43,0,($M341*3)+$N341,53,1)*R$43:R$95)</f>
        <v>0</v>
      </c>
      <c r="S341" s="6">
        <f t="array" aca="1" ref="S341" ca="1">SUM(OFFSET($FC$43,0,($M341*3)+$N341,53,1)*S$43:S$95)</f>
        <v>0</v>
      </c>
      <c r="T341" s="6">
        <f t="array" aca="1" ref="T341" ca="1">SUM(OFFSET($FC$43,0,($M341*3)+$N341,53,1)*T$43:T$95)</f>
        <v>0</v>
      </c>
      <c r="U341" s="6">
        <f t="array" aca="1" ref="U341" ca="1">SUM(OFFSET($FC$43,0,($M341*3)+$N341,53,1)*U$43:U$95)</f>
        <v>0</v>
      </c>
      <c r="V341" s="6">
        <f t="array" aca="1" ref="V341" ca="1">SUM(OFFSET($FC$43,0,($M341*3)+$N341,53,1)*V$43:V$95)</f>
        <v>0</v>
      </c>
      <c r="W341" s="6">
        <f t="array" aca="1" ref="W341" ca="1">SUM(OFFSET($FC$43,0,($M341*3)+$N341,53,1)*W$43:W$95)</f>
        <v>0</v>
      </c>
      <c r="X341" s="6">
        <f t="array" aca="1" ref="X341" ca="1">SUM(OFFSET($FC$43,0,($M341*3)+$N341,53,1)*X$43:X$95)</f>
        <v>0</v>
      </c>
      <c r="Y341" s="6">
        <f t="array" aca="1" ref="Y341" ca="1">SUM(OFFSET($FC$43,0,($M341*3)+$N341,53,1)*Y$43:Y$95)</f>
        <v>0</v>
      </c>
      <c r="Z341" s="6">
        <f t="array" aca="1" ref="Z341" ca="1">SUM(OFFSET($FC$43,0,($M341*3)+$N341,53,1)*Z$43:Z$95)</f>
        <v>0</v>
      </c>
      <c r="AA341" s="6">
        <f t="shared" ca="1" si="141"/>
        <v>0</v>
      </c>
      <c r="AB341" s="6" t="str">
        <f t="shared" si="143"/>
        <v/>
      </c>
    </row>
    <row r="342" spans="1:43" x14ac:dyDescent="0.25">
      <c r="A342">
        <f>1</f>
        <v>1</v>
      </c>
      <c r="B342" s="85">
        <f t="shared" si="136"/>
        <v>44130</v>
      </c>
      <c r="C342" s="85">
        <f t="shared" si="132"/>
        <v>44130</v>
      </c>
      <c r="D342">
        <f t="shared" ca="1" si="133"/>
        <v>1</v>
      </c>
      <c r="E342" s="85">
        <f t="shared" si="134"/>
        <v>44105</v>
      </c>
      <c r="F342">
        <f t="shared" si="135"/>
        <v>44</v>
      </c>
      <c r="L342" t="str">
        <f t="shared" ca="1" si="142"/>
        <v/>
      </c>
      <c r="M342">
        <v>7</v>
      </c>
      <c r="N342">
        <v>1</v>
      </c>
      <c r="O342" s="6">
        <f t="array" aca="1" ref="O342" ca="1">SUM(OFFSET($FC$43,0,($M342*3)+$N342,53,1)*O$43:O$95)</f>
        <v>0</v>
      </c>
      <c r="P342" s="6">
        <f t="array" aca="1" ref="P342" ca="1">SUM(OFFSET($FC$43,0,($M342*3)+$N342,53,1)*P$43:P$95)</f>
        <v>0</v>
      </c>
      <c r="Q342" s="6">
        <f t="array" aca="1" ref="Q342" ca="1">SUM(OFFSET($FC$43,0,($M342*3)+$N342,53,1)*Q$43:Q$95)</f>
        <v>0</v>
      </c>
      <c r="R342" s="6">
        <f t="array" aca="1" ref="R342" ca="1">SUM(OFFSET($FC$43,0,($M342*3)+$N342,53,1)*R$43:R$95)</f>
        <v>0</v>
      </c>
      <c r="S342" s="6">
        <f t="array" aca="1" ref="S342" ca="1">SUM(OFFSET($FC$43,0,($M342*3)+$N342,53,1)*S$43:S$95)</f>
        <v>0</v>
      </c>
      <c r="T342" s="6">
        <f t="array" aca="1" ref="T342" ca="1">SUM(OFFSET($FC$43,0,($M342*3)+$N342,53,1)*T$43:T$95)</f>
        <v>0</v>
      </c>
      <c r="U342" s="6">
        <f t="array" aca="1" ref="U342" ca="1">SUM(OFFSET($FC$43,0,($M342*3)+$N342,53,1)*U$43:U$95)</f>
        <v>0</v>
      </c>
      <c r="V342" s="6">
        <f t="array" aca="1" ref="V342" ca="1">SUM(OFFSET($FC$43,0,($M342*3)+$N342,53,1)*V$43:V$95)</f>
        <v>0</v>
      </c>
      <c r="W342" s="6">
        <f t="array" aca="1" ref="W342" ca="1">SUM(OFFSET($FC$43,0,($M342*3)+$N342,53,1)*W$43:W$95)</f>
        <v>0</v>
      </c>
      <c r="X342" s="6">
        <f t="array" aca="1" ref="X342" ca="1">SUM(OFFSET($FC$43,0,($M342*3)+$N342,53,1)*X$43:X$95)</f>
        <v>0</v>
      </c>
      <c r="Y342" s="6">
        <f t="array" aca="1" ref="Y342" ca="1">SUM(OFFSET($FC$43,0,($M342*3)+$N342,53,1)*Y$43:Y$95)</f>
        <v>0</v>
      </c>
      <c r="Z342" s="6">
        <f t="array" aca="1" ref="Z342" ca="1">SUM(OFFSET($FC$43,0,($M342*3)+$N342,53,1)*Z$43:Z$95)</f>
        <v>0</v>
      </c>
      <c r="AA342" s="6">
        <f t="shared" ca="1" si="141"/>
        <v>0</v>
      </c>
      <c r="AB342" s="6" t="str">
        <f t="shared" si="143"/>
        <v/>
      </c>
    </row>
    <row r="343" spans="1:43" x14ac:dyDescent="0.25">
      <c r="A343">
        <f>1</f>
        <v>1</v>
      </c>
      <c r="B343" s="85">
        <f t="shared" si="136"/>
        <v>44131</v>
      </c>
      <c r="C343" s="85">
        <f t="shared" si="132"/>
        <v>44130</v>
      </c>
      <c r="D343">
        <f t="shared" ca="1" si="133"/>
        <v>1</v>
      </c>
      <c r="E343" s="85">
        <f t="shared" si="134"/>
        <v>44105</v>
      </c>
      <c r="F343">
        <f t="shared" si="135"/>
        <v>44</v>
      </c>
      <c r="L343" t="str">
        <f t="shared" ca="1" si="142"/>
        <v/>
      </c>
      <c r="M343">
        <v>7</v>
      </c>
      <c r="N343">
        <v>2</v>
      </c>
      <c r="O343" s="6">
        <f t="array" aca="1" ref="O343" ca="1">SUM(OFFSET($FC$43,0,($M343*3)+$N343,53,1)*O$43:O$95)</f>
        <v>0</v>
      </c>
      <c r="P343" s="6">
        <f t="array" aca="1" ref="P343" ca="1">SUM(OFFSET($FC$43,0,($M343*3)+$N343,53,1)*P$43:P$95)</f>
        <v>0</v>
      </c>
      <c r="Q343" s="6">
        <f t="array" aca="1" ref="Q343" ca="1">SUM(OFFSET($FC$43,0,($M343*3)+$N343,53,1)*Q$43:Q$95)</f>
        <v>0</v>
      </c>
      <c r="R343" s="6">
        <f t="array" aca="1" ref="R343" ca="1">SUM(OFFSET($FC$43,0,($M343*3)+$N343,53,1)*R$43:R$95)</f>
        <v>0</v>
      </c>
      <c r="S343" s="6">
        <f t="array" aca="1" ref="S343" ca="1">SUM(OFFSET($FC$43,0,($M343*3)+$N343,53,1)*S$43:S$95)</f>
        <v>0</v>
      </c>
      <c r="T343" s="6">
        <f t="array" aca="1" ref="T343" ca="1">SUM(OFFSET($FC$43,0,($M343*3)+$N343,53,1)*T$43:T$95)</f>
        <v>0</v>
      </c>
      <c r="U343" s="6">
        <f t="array" aca="1" ref="U343" ca="1">SUM(OFFSET($FC$43,0,($M343*3)+$N343,53,1)*U$43:U$95)</f>
        <v>0</v>
      </c>
      <c r="V343" s="6">
        <f t="array" aca="1" ref="V343" ca="1">SUM(OFFSET($FC$43,0,($M343*3)+$N343,53,1)*V$43:V$95)</f>
        <v>0</v>
      </c>
      <c r="W343" s="6">
        <f t="array" aca="1" ref="W343" ca="1">SUM(OFFSET($FC$43,0,($M343*3)+$N343,53,1)*W$43:W$95)</f>
        <v>0</v>
      </c>
      <c r="X343" s="6">
        <f t="array" aca="1" ref="X343" ca="1">SUM(OFFSET($FC$43,0,($M343*3)+$N343,53,1)*X$43:X$95)</f>
        <v>0</v>
      </c>
      <c r="Y343" s="6">
        <f t="array" aca="1" ref="Y343" ca="1">SUM(OFFSET($FC$43,0,($M343*3)+$N343,53,1)*Y$43:Y$95)</f>
        <v>0</v>
      </c>
      <c r="Z343" s="6">
        <f t="array" aca="1" ref="Z343" ca="1">SUM(OFFSET($FC$43,0,($M343*3)+$N343,53,1)*Z$43:Z$95)</f>
        <v>0</v>
      </c>
      <c r="AA343" s="6">
        <f t="shared" ca="1" si="141"/>
        <v>0</v>
      </c>
      <c r="AB343" s="6" t="str">
        <f t="shared" si="143"/>
        <v/>
      </c>
    </row>
    <row r="344" spans="1:43" x14ac:dyDescent="0.25">
      <c r="A344">
        <f>1</f>
        <v>1</v>
      </c>
      <c r="B344" s="85">
        <f t="shared" si="136"/>
        <v>44132</v>
      </c>
      <c r="C344" s="85">
        <f t="shared" si="132"/>
        <v>44130</v>
      </c>
      <c r="D344">
        <f t="shared" ca="1" si="133"/>
        <v>1</v>
      </c>
      <c r="E344" s="85">
        <f t="shared" si="134"/>
        <v>44105</v>
      </c>
      <c r="F344">
        <f t="shared" si="135"/>
        <v>44</v>
      </c>
      <c r="L344" t="str">
        <f t="shared" ca="1" si="142"/>
        <v/>
      </c>
      <c r="M344">
        <v>7</v>
      </c>
      <c r="N344">
        <v>3</v>
      </c>
      <c r="O344" s="6">
        <f t="array" aca="1" ref="O344" ca="1">SUM(OFFSET($FC$43,0,($M344*3)+$N344,53,1)*O$43:O$95)</f>
        <v>0</v>
      </c>
      <c r="P344" s="6">
        <f t="array" aca="1" ref="P344" ca="1">SUM(OFFSET($FC$43,0,($M344*3)+$N344,53,1)*P$43:P$95)</f>
        <v>0</v>
      </c>
      <c r="Q344" s="6">
        <f t="array" aca="1" ref="Q344" ca="1">SUM(OFFSET($FC$43,0,($M344*3)+$N344,53,1)*Q$43:Q$95)</f>
        <v>0</v>
      </c>
      <c r="R344" s="6">
        <f t="array" aca="1" ref="R344" ca="1">SUM(OFFSET($FC$43,0,($M344*3)+$N344,53,1)*R$43:R$95)</f>
        <v>0</v>
      </c>
      <c r="S344" s="6">
        <f t="array" aca="1" ref="S344" ca="1">SUM(OFFSET($FC$43,0,($M344*3)+$N344,53,1)*S$43:S$95)</f>
        <v>0</v>
      </c>
      <c r="T344" s="6">
        <f t="array" aca="1" ref="T344" ca="1">SUM(OFFSET($FC$43,0,($M344*3)+$N344,53,1)*T$43:T$95)</f>
        <v>0</v>
      </c>
      <c r="U344" s="6">
        <f t="array" aca="1" ref="U344" ca="1">SUM(OFFSET($FC$43,0,($M344*3)+$N344,53,1)*U$43:U$95)</f>
        <v>0</v>
      </c>
      <c r="V344" s="6">
        <f t="array" aca="1" ref="V344" ca="1">SUM(OFFSET($FC$43,0,($M344*3)+$N344,53,1)*V$43:V$95)</f>
        <v>0</v>
      </c>
      <c r="W344" s="6">
        <f t="array" aca="1" ref="W344" ca="1">SUM(OFFSET($FC$43,0,($M344*3)+$N344,53,1)*W$43:W$95)</f>
        <v>0</v>
      </c>
      <c r="X344" s="6">
        <f t="array" aca="1" ref="X344" ca="1">SUM(OFFSET($FC$43,0,($M344*3)+$N344,53,1)*X$43:X$95)</f>
        <v>0</v>
      </c>
      <c r="Y344" s="6">
        <f t="array" aca="1" ref="Y344" ca="1">SUM(OFFSET($FC$43,0,($M344*3)+$N344,53,1)*Y$43:Y$95)</f>
        <v>0</v>
      </c>
      <c r="Z344" s="6">
        <f t="array" aca="1" ref="Z344" ca="1">SUM(OFFSET($FC$43,0,($M344*3)+$N344,53,1)*Z$43:Z$95)</f>
        <v>0</v>
      </c>
      <c r="AA344" s="6">
        <f t="shared" ca="1" si="141"/>
        <v>0</v>
      </c>
      <c r="AB344" s="6" t="str">
        <f t="shared" si="143"/>
        <v/>
      </c>
    </row>
    <row r="345" spans="1:43" x14ac:dyDescent="0.25">
      <c r="A345">
        <f>1</f>
        <v>1</v>
      </c>
      <c r="B345" s="85">
        <f t="shared" si="136"/>
        <v>44133</v>
      </c>
      <c r="C345" s="85">
        <f t="shared" si="132"/>
        <v>44130</v>
      </c>
      <c r="D345">
        <f t="shared" ca="1" si="133"/>
        <v>1</v>
      </c>
      <c r="E345" s="85">
        <f t="shared" si="134"/>
        <v>44105</v>
      </c>
      <c r="F345">
        <f t="shared" si="135"/>
        <v>44</v>
      </c>
      <c r="L345" t="str">
        <f t="shared" ca="1" si="142"/>
        <v/>
      </c>
      <c r="M345">
        <v>8</v>
      </c>
      <c r="N345">
        <v>1</v>
      </c>
      <c r="O345" s="6">
        <f t="array" aca="1" ref="O345" ca="1">SUM(OFFSET($FC$43,0,($M345*3)+$N345,53,1)*O$43:O$95)</f>
        <v>0</v>
      </c>
      <c r="P345" s="6">
        <f t="array" aca="1" ref="P345" ca="1">SUM(OFFSET($FC$43,0,($M345*3)+$N345,53,1)*P$43:P$95)</f>
        <v>0</v>
      </c>
      <c r="Q345" s="6">
        <f t="array" aca="1" ref="Q345" ca="1">SUM(OFFSET($FC$43,0,($M345*3)+$N345,53,1)*Q$43:Q$95)</f>
        <v>0</v>
      </c>
      <c r="R345" s="6">
        <f t="array" aca="1" ref="R345" ca="1">SUM(OFFSET($FC$43,0,($M345*3)+$N345,53,1)*R$43:R$95)</f>
        <v>0</v>
      </c>
      <c r="S345" s="6">
        <f t="array" aca="1" ref="S345" ca="1">SUM(OFFSET($FC$43,0,($M345*3)+$N345,53,1)*S$43:S$95)</f>
        <v>0</v>
      </c>
      <c r="T345" s="6">
        <f t="array" aca="1" ref="T345" ca="1">SUM(OFFSET($FC$43,0,($M345*3)+$N345,53,1)*T$43:T$95)</f>
        <v>0</v>
      </c>
      <c r="U345" s="6">
        <f t="array" aca="1" ref="U345" ca="1">SUM(OFFSET($FC$43,0,($M345*3)+$N345,53,1)*U$43:U$95)</f>
        <v>0</v>
      </c>
      <c r="V345" s="6">
        <f t="array" aca="1" ref="V345" ca="1">SUM(OFFSET($FC$43,0,($M345*3)+$N345,53,1)*V$43:V$95)</f>
        <v>0</v>
      </c>
      <c r="W345" s="6">
        <f t="array" aca="1" ref="W345" ca="1">SUM(OFFSET($FC$43,0,($M345*3)+$N345,53,1)*W$43:W$95)</f>
        <v>0</v>
      </c>
      <c r="X345" s="6">
        <f t="array" aca="1" ref="X345" ca="1">SUM(OFFSET($FC$43,0,($M345*3)+$N345,53,1)*X$43:X$95)</f>
        <v>0</v>
      </c>
      <c r="Y345" s="6">
        <f t="array" aca="1" ref="Y345" ca="1">SUM(OFFSET($FC$43,0,($M345*3)+$N345,53,1)*Y$43:Y$95)</f>
        <v>0</v>
      </c>
      <c r="Z345" s="6">
        <f t="array" aca="1" ref="Z345" ca="1">SUM(OFFSET($FC$43,0,($M345*3)+$N345,53,1)*Z$43:Z$95)</f>
        <v>0</v>
      </c>
      <c r="AA345" s="6">
        <f t="shared" ca="1" si="141"/>
        <v>0</v>
      </c>
      <c r="AB345" s="6" t="str">
        <f t="shared" si="143"/>
        <v/>
      </c>
    </row>
    <row r="346" spans="1:43" x14ac:dyDescent="0.25">
      <c r="A346">
        <f>1</f>
        <v>1</v>
      </c>
      <c r="B346" s="85">
        <f t="shared" si="136"/>
        <v>44134</v>
      </c>
      <c r="C346" s="85">
        <f t="shared" si="132"/>
        <v>44130</v>
      </c>
      <c r="D346">
        <f t="shared" ca="1" si="133"/>
        <v>1</v>
      </c>
      <c r="E346" s="85">
        <f t="shared" si="134"/>
        <v>44105</v>
      </c>
      <c r="F346">
        <f t="shared" si="135"/>
        <v>44</v>
      </c>
      <c r="L346" t="str">
        <f t="shared" ca="1" si="142"/>
        <v/>
      </c>
      <c r="M346">
        <v>8</v>
      </c>
      <c r="N346">
        <v>2</v>
      </c>
      <c r="O346" s="6">
        <f t="array" aca="1" ref="O346" ca="1">SUM(OFFSET($FC$43,0,($M346*3)+$N346,53,1)*O$43:O$95)</f>
        <v>0</v>
      </c>
      <c r="P346" s="6">
        <f t="array" aca="1" ref="P346" ca="1">SUM(OFFSET($FC$43,0,($M346*3)+$N346,53,1)*P$43:P$95)</f>
        <v>0</v>
      </c>
      <c r="Q346" s="6">
        <f t="array" aca="1" ref="Q346" ca="1">SUM(OFFSET($FC$43,0,($M346*3)+$N346,53,1)*Q$43:Q$95)</f>
        <v>0</v>
      </c>
      <c r="R346" s="6">
        <f t="array" aca="1" ref="R346" ca="1">SUM(OFFSET($FC$43,0,($M346*3)+$N346,53,1)*R$43:R$95)</f>
        <v>0</v>
      </c>
      <c r="S346" s="6">
        <f t="array" aca="1" ref="S346" ca="1">SUM(OFFSET($FC$43,0,($M346*3)+$N346,53,1)*S$43:S$95)</f>
        <v>0</v>
      </c>
      <c r="T346" s="6">
        <f t="array" aca="1" ref="T346" ca="1">SUM(OFFSET($FC$43,0,($M346*3)+$N346,53,1)*T$43:T$95)</f>
        <v>0</v>
      </c>
      <c r="U346" s="6">
        <f t="array" aca="1" ref="U346" ca="1">SUM(OFFSET($FC$43,0,($M346*3)+$N346,53,1)*U$43:U$95)</f>
        <v>0</v>
      </c>
      <c r="V346" s="6">
        <f t="array" aca="1" ref="V346" ca="1">SUM(OFFSET($FC$43,0,($M346*3)+$N346,53,1)*V$43:V$95)</f>
        <v>0</v>
      </c>
      <c r="W346" s="6">
        <f t="array" aca="1" ref="W346" ca="1">SUM(OFFSET($FC$43,0,($M346*3)+$N346,53,1)*W$43:W$95)</f>
        <v>0</v>
      </c>
      <c r="X346" s="6">
        <f t="array" aca="1" ref="X346" ca="1">SUM(OFFSET($FC$43,0,($M346*3)+$N346,53,1)*X$43:X$95)</f>
        <v>0</v>
      </c>
      <c r="Y346" s="6">
        <f t="array" aca="1" ref="Y346" ca="1">SUM(OFFSET($FC$43,0,($M346*3)+$N346,53,1)*Y$43:Y$95)</f>
        <v>0</v>
      </c>
      <c r="Z346" s="6">
        <f t="array" aca="1" ref="Z346" ca="1">SUM(OFFSET($FC$43,0,($M346*3)+$N346,53,1)*Z$43:Z$95)</f>
        <v>0</v>
      </c>
      <c r="AA346" s="6">
        <f t="shared" ca="1" si="141"/>
        <v>0</v>
      </c>
      <c r="AB346" s="6" t="str">
        <f t="shared" si="143"/>
        <v/>
      </c>
    </row>
    <row r="347" spans="1:43" x14ac:dyDescent="0.25">
      <c r="A347">
        <f>1</f>
        <v>1</v>
      </c>
      <c r="B347" s="85">
        <f t="shared" si="136"/>
        <v>44135</v>
      </c>
      <c r="C347" s="85">
        <f t="shared" si="132"/>
        <v>44130</v>
      </c>
      <c r="D347">
        <f t="shared" ca="1" si="133"/>
        <v>0</v>
      </c>
      <c r="E347" s="85">
        <f t="shared" si="134"/>
        <v>44105</v>
      </c>
      <c r="F347">
        <f t="shared" si="135"/>
        <v>44</v>
      </c>
      <c r="L347" t="str">
        <f t="shared" ca="1" si="142"/>
        <v/>
      </c>
      <c r="M347">
        <v>8</v>
      </c>
      <c r="N347">
        <v>3</v>
      </c>
      <c r="O347" s="6">
        <f t="array" aca="1" ref="O347" ca="1">SUM(OFFSET($FC$43,0,($M347*3)+$N347,53,1)*O$43:O$95)</f>
        <v>0</v>
      </c>
      <c r="P347" s="6">
        <f t="array" aca="1" ref="P347" ca="1">SUM(OFFSET($FC$43,0,($M347*3)+$N347,53,1)*P$43:P$95)</f>
        <v>0</v>
      </c>
      <c r="Q347" s="6">
        <f t="array" aca="1" ref="Q347" ca="1">SUM(OFFSET($FC$43,0,($M347*3)+$N347,53,1)*Q$43:Q$95)</f>
        <v>0</v>
      </c>
      <c r="R347" s="6">
        <f t="array" aca="1" ref="R347" ca="1">SUM(OFFSET($FC$43,0,($M347*3)+$N347,53,1)*R$43:R$95)</f>
        <v>0</v>
      </c>
      <c r="S347" s="6">
        <f t="array" aca="1" ref="S347" ca="1">SUM(OFFSET($FC$43,0,($M347*3)+$N347,53,1)*S$43:S$95)</f>
        <v>0</v>
      </c>
      <c r="T347" s="6">
        <f t="array" aca="1" ref="T347" ca="1">SUM(OFFSET($FC$43,0,($M347*3)+$N347,53,1)*T$43:T$95)</f>
        <v>0</v>
      </c>
      <c r="U347" s="6">
        <f t="array" aca="1" ref="U347" ca="1">SUM(OFFSET($FC$43,0,($M347*3)+$N347,53,1)*U$43:U$95)</f>
        <v>0</v>
      </c>
      <c r="V347" s="6">
        <f t="array" aca="1" ref="V347" ca="1">SUM(OFFSET($FC$43,0,($M347*3)+$N347,53,1)*V$43:V$95)</f>
        <v>0</v>
      </c>
      <c r="W347" s="6">
        <f t="array" aca="1" ref="W347" ca="1">SUM(OFFSET($FC$43,0,($M347*3)+$N347,53,1)*W$43:W$95)</f>
        <v>0</v>
      </c>
      <c r="X347" s="6">
        <f t="array" aca="1" ref="X347" ca="1">SUM(OFFSET($FC$43,0,($M347*3)+$N347,53,1)*X$43:X$95)</f>
        <v>0</v>
      </c>
      <c r="Y347" s="6">
        <f t="array" aca="1" ref="Y347" ca="1">SUM(OFFSET($FC$43,0,($M347*3)+$N347,53,1)*Y$43:Y$95)</f>
        <v>0</v>
      </c>
      <c r="Z347" s="6">
        <f t="array" aca="1" ref="Z347" ca="1">SUM(OFFSET($FC$43,0,($M347*3)+$N347,53,1)*Z$43:Z$95)</f>
        <v>0</v>
      </c>
      <c r="AA347" s="6">
        <f t="shared" ca="1" si="141"/>
        <v>0</v>
      </c>
      <c r="AB347" s="6" t="str">
        <f t="shared" si="143"/>
        <v/>
      </c>
    </row>
    <row r="348" spans="1:43" x14ac:dyDescent="0.25">
      <c r="A348">
        <f>1</f>
        <v>1</v>
      </c>
      <c r="B348" s="85">
        <f t="shared" si="136"/>
        <v>44136</v>
      </c>
      <c r="C348" s="85">
        <f t="shared" si="132"/>
        <v>44130</v>
      </c>
      <c r="D348">
        <f t="shared" ca="1" si="133"/>
        <v>0</v>
      </c>
      <c r="E348" s="85">
        <f t="shared" si="134"/>
        <v>44136</v>
      </c>
      <c r="F348">
        <f t="shared" si="135"/>
        <v>44</v>
      </c>
      <c r="L348" t="str">
        <f t="shared" ca="1" si="142"/>
        <v/>
      </c>
      <c r="M348">
        <v>9</v>
      </c>
      <c r="N348">
        <v>1</v>
      </c>
      <c r="O348" s="6">
        <f t="array" aca="1" ref="O348" ca="1">SUM(OFFSET($FC$43,0,($M348*3)+$N348,53,1)*O$43:O$95)</f>
        <v>0</v>
      </c>
      <c r="P348" s="6">
        <f t="array" aca="1" ref="P348" ca="1">SUM(OFFSET($FC$43,0,($M348*3)+$N348,53,1)*P$43:P$95)</f>
        <v>0</v>
      </c>
      <c r="Q348" s="6">
        <f t="array" aca="1" ref="Q348" ca="1">SUM(OFFSET($FC$43,0,($M348*3)+$N348,53,1)*Q$43:Q$95)</f>
        <v>0</v>
      </c>
      <c r="R348" s="6">
        <f t="array" aca="1" ref="R348" ca="1">SUM(OFFSET($FC$43,0,($M348*3)+$N348,53,1)*R$43:R$95)</f>
        <v>0</v>
      </c>
      <c r="S348" s="6">
        <f t="array" aca="1" ref="S348" ca="1">SUM(OFFSET($FC$43,0,($M348*3)+$N348,53,1)*S$43:S$95)</f>
        <v>0</v>
      </c>
      <c r="T348" s="6">
        <f t="array" aca="1" ref="T348" ca="1">SUM(OFFSET($FC$43,0,($M348*3)+$N348,53,1)*T$43:T$95)</f>
        <v>0</v>
      </c>
      <c r="U348" s="6">
        <f t="array" aca="1" ref="U348" ca="1">SUM(OFFSET($FC$43,0,($M348*3)+$N348,53,1)*U$43:U$95)</f>
        <v>0</v>
      </c>
      <c r="V348" s="6">
        <f t="array" aca="1" ref="V348" ca="1">SUM(OFFSET($FC$43,0,($M348*3)+$N348,53,1)*V$43:V$95)</f>
        <v>0</v>
      </c>
      <c r="W348" s="6">
        <f t="array" aca="1" ref="W348" ca="1">SUM(OFFSET($FC$43,0,($M348*3)+$N348,53,1)*W$43:W$95)</f>
        <v>0</v>
      </c>
      <c r="X348" s="6">
        <f t="array" aca="1" ref="X348" ca="1">SUM(OFFSET($FC$43,0,($M348*3)+$N348,53,1)*X$43:X$95)</f>
        <v>0</v>
      </c>
      <c r="Y348" s="6">
        <f t="array" aca="1" ref="Y348" ca="1">SUM(OFFSET($FC$43,0,($M348*3)+$N348,53,1)*Y$43:Y$95)</f>
        <v>0</v>
      </c>
      <c r="Z348" s="6">
        <f t="array" aca="1" ref="Z348" ca="1">SUM(OFFSET($FC$43,0,($M348*3)+$N348,53,1)*Z$43:Z$95)</f>
        <v>0</v>
      </c>
      <c r="AA348" s="6">
        <f t="shared" ca="1" si="141"/>
        <v>0</v>
      </c>
      <c r="AB348" s="6" t="str">
        <f t="shared" si="143"/>
        <v/>
      </c>
    </row>
    <row r="349" spans="1:43" x14ac:dyDescent="0.25">
      <c r="A349">
        <f>1</f>
        <v>1</v>
      </c>
      <c r="B349" s="85">
        <f t="shared" si="136"/>
        <v>44137</v>
      </c>
      <c r="C349" s="85">
        <f t="shared" si="132"/>
        <v>44137</v>
      </c>
      <c r="D349">
        <f t="shared" ca="1" si="133"/>
        <v>1</v>
      </c>
      <c r="E349" s="85">
        <f t="shared" si="134"/>
        <v>44136</v>
      </c>
      <c r="F349">
        <f t="shared" si="135"/>
        <v>45</v>
      </c>
      <c r="L349" t="str">
        <f t="shared" ca="1" si="142"/>
        <v/>
      </c>
      <c r="M349">
        <v>9</v>
      </c>
      <c r="N349">
        <v>2</v>
      </c>
      <c r="O349" s="6">
        <f t="array" aca="1" ref="O349" ca="1">SUM(OFFSET($FC$43,0,($M349*3)+$N349,53,1)*O$43:O$95)</f>
        <v>0</v>
      </c>
      <c r="P349" s="6">
        <f t="array" aca="1" ref="P349" ca="1">SUM(OFFSET($FC$43,0,($M349*3)+$N349,53,1)*P$43:P$95)</f>
        <v>0</v>
      </c>
      <c r="Q349" s="6">
        <f t="array" aca="1" ref="Q349" ca="1">SUM(OFFSET($FC$43,0,($M349*3)+$N349,53,1)*Q$43:Q$95)</f>
        <v>0</v>
      </c>
      <c r="R349" s="6">
        <f t="array" aca="1" ref="R349" ca="1">SUM(OFFSET($FC$43,0,($M349*3)+$N349,53,1)*R$43:R$95)</f>
        <v>0</v>
      </c>
      <c r="S349" s="6">
        <f t="array" aca="1" ref="S349" ca="1">SUM(OFFSET($FC$43,0,($M349*3)+$N349,53,1)*S$43:S$95)</f>
        <v>0</v>
      </c>
      <c r="T349" s="6">
        <f t="array" aca="1" ref="T349" ca="1">SUM(OFFSET($FC$43,0,($M349*3)+$N349,53,1)*T$43:T$95)</f>
        <v>0</v>
      </c>
      <c r="U349" s="6">
        <f t="array" aca="1" ref="U349" ca="1">SUM(OFFSET($FC$43,0,($M349*3)+$N349,53,1)*U$43:U$95)</f>
        <v>0</v>
      </c>
      <c r="V349" s="6">
        <f t="array" aca="1" ref="V349" ca="1">SUM(OFFSET($FC$43,0,($M349*3)+$N349,53,1)*V$43:V$95)</f>
        <v>0</v>
      </c>
      <c r="W349" s="6">
        <f t="array" aca="1" ref="W349" ca="1">SUM(OFFSET($FC$43,0,($M349*3)+$N349,53,1)*W$43:W$95)</f>
        <v>0</v>
      </c>
      <c r="X349" s="6">
        <f t="array" aca="1" ref="X349" ca="1">SUM(OFFSET($FC$43,0,($M349*3)+$N349,53,1)*X$43:X$95)</f>
        <v>0</v>
      </c>
      <c r="Y349" s="6">
        <f t="array" aca="1" ref="Y349" ca="1">SUM(OFFSET($FC$43,0,($M349*3)+$N349,53,1)*Y$43:Y$95)</f>
        <v>0</v>
      </c>
      <c r="Z349" s="6">
        <f t="array" aca="1" ref="Z349" ca="1">SUM(OFFSET($FC$43,0,($M349*3)+$N349,53,1)*Z$43:Z$95)</f>
        <v>0</v>
      </c>
      <c r="AA349" s="6">
        <f t="shared" ca="1" si="141"/>
        <v>0</v>
      </c>
      <c r="AB349" s="6" t="str">
        <f t="shared" si="143"/>
        <v/>
      </c>
    </row>
    <row r="350" spans="1:43" x14ac:dyDescent="0.25">
      <c r="A350">
        <f>1</f>
        <v>1</v>
      </c>
      <c r="B350" s="85">
        <f t="shared" si="136"/>
        <v>44138</v>
      </c>
      <c r="C350" s="85">
        <f t="shared" si="132"/>
        <v>44137</v>
      </c>
      <c r="D350">
        <f t="shared" ca="1" si="133"/>
        <v>1</v>
      </c>
      <c r="E350" s="85">
        <f t="shared" si="134"/>
        <v>44136</v>
      </c>
      <c r="F350">
        <f t="shared" si="135"/>
        <v>45</v>
      </c>
      <c r="L350" t="str">
        <f t="shared" ca="1" si="142"/>
        <v/>
      </c>
      <c r="M350">
        <v>9</v>
      </c>
      <c r="N350">
        <v>3</v>
      </c>
      <c r="O350" s="6">
        <f t="array" aca="1" ref="O350" ca="1">SUM(OFFSET($FC$43,0,($M350*3)+$N350,53,1)*O$43:O$95)</f>
        <v>0</v>
      </c>
      <c r="P350" s="6">
        <f t="array" aca="1" ref="P350" ca="1">SUM(OFFSET($FC$43,0,($M350*3)+$N350,53,1)*P$43:P$95)</f>
        <v>0</v>
      </c>
      <c r="Q350" s="6">
        <f t="array" aca="1" ref="Q350" ca="1">SUM(OFFSET($FC$43,0,($M350*3)+$N350,53,1)*Q$43:Q$95)</f>
        <v>0</v>
      </c>
      <c r="R350" s="6">
        <f t="array" aca="1" ref="R350" ca="1">SUM(OFFSET($FC$43,0,($M350*3)+$N350,53,1)*R$43:R$95)</f>
        <v>0</v>
      </c>
      <c r="S350" s="6">
        <f t="array" aca="1" ref="S350" ca="1">SUM(OFFSET($FC$43,0,($M350*3)+$N350,53,1)*S$43:S$95)</f>
        <v>0</v>
      </c>
      <c r="T350" s="6">
        <f t="array" aca="1" ref="T350" ca="1">SUM(OFFSET($FC$43,0,($M350*3)+$N350,53,1)*T$43:T$95)</f>
        <v>0</v>
      </c>
      <c r="U350" s="6">
        <f t="array" aca="1" ref="U350" ca="1">SUM(OFFSET($FC$43,0,($M350*3)+$N350,53,1)*U$43:U$95)</f>
        <v>0</v>
      </c>
      <c r="V350" s="6">
        <f t="array" aca="1" ref="V350" ca="1">SUM(OFFSET($FC$43,0,($M350*3)+$N350,53,1)*V$43:V$95)</f>
        <v>0</v>
      </c>
      <c r="W350" s="6">
        <f t="array" aca="1" ref="W350" ca="1">SUM(OFFSET($FC$43,0,($M350*3)+$N350,53,1)*W$43:W$95)</f>
        <v>0</v>
      </c>
      <c r="X350" s="6">
        <f t="array" aca="1" ref="X350" ca="1">SUM(OFFSET($FC$43,0,($M350*3)+$N350,53,1)*X$43:X$95)</f>
        <v>0</v>
      </c>
      <c r="Y350" s="6">
        <f t="array" aca="1" ref="Y350" ca="1">SUM(OFFSET($FC$43,0,($M350*3)+$N350,53,1)*Y$43:Y$95)</f>
        <v>0</v>
      </c>
      <c r="Z350" s="6">
        <f t="array" aca="1" ref="Z350" ca="1">SUM(OFFSET($FC$43,0,($M350*3)+$N350,53,1)*Z$43:Z$95)</f>
        <v>0</v>
      </c>
      <c r="AA350" s="6">
        <f t="shared" ca="1" si="141"/>
        <v>0</v>
      </c>
      <c r="AB350" s="6" t="str">
        <f t="shared" si="143"/>
        <v/>
      </c>
    </row>
    <row r="351" spans="1:43" x14ac:dyDescent="0.25">
      <c r="A351">
        <f>1</f>
        <v>1</v>
      </c>
      <c r="B351" s="85">
        <f t="shared" si="136"/>
        <v>44139</v>
      </c>
      <c r="C351" s="85">
        <f t="shared" si="132"/>
        <v>44137</v>
      </c>
      <c r="D351">
        <f t="shared" ca="1" si="133"/>
        <v>1</v>
      </c>
      <c r="E351" s="85">
        <f t="shared" si="134"/>
        <v>44136</v>
      </c>
      <c r="F351">
        <f t="shared" si="135"/>
        <v>45</v>
      </c>
      <c r="L351" t="str">
        <f t="shared" ca="1" si="142"/>
        <v/>
      </c>
      <c r="M351">
        <v>10</v>
      </c>
      <c r="N351">
        <v>1</v>
      </c>
      <c r="O351" s="6">
        <f t="array" aca="1" ref="O351" ca="1">SUM(OFFSET($FC$43,0,($M351*3)+$N351,53,1)*O$43:O$95)</f>
        <v>0</v>
      </c>
      <c r="P351" s="6">
        <f t="array" aca="1" ref="P351" ca="1">SUM(OFFSET($FC$43,0,($M351*3)+$N351,53,1)*P$43:P$95)</f>
        <v>0</v>
      </c>
      <c r="Q351" s="6">
        <f t="array" aca="1" ref="Q351" ca="1">SUM(OFFSET($FC$43,0,($M351*3)+$N351,53,1)*Q$43:Q$95)</f>
        <v>0</v>
      </c>
      <c r="R351" s="6">
        <f t="array" aca="1" ref="R351" ca="1">SUM(OFFSET($FC$43,0,($M351*3)+$N351,53,1)*R$43:R$95)</f>
        <v>0</v>
      </c>
      <c r="S351" s="6">
        <f t="array" aca="1" ref="S351" ca="1">SUM(OFFSET($FC$43,0,($M351*3)+$N351,53,1)*S$43:S$95)</f>
        <v>0</v>
      </c>
      <c r="T351" s="6">
        <f t="array" aca="1" ref="T351" ca="1">SUM(OFFSET($FC$43,0,($M351*3)+$N351,53,1)*T$43:T$95)</f>
        <v>0</v>
      </c>
      <c r="U351" s="6">
        <f t="array" aca="1" ref="U351" ca="1">SUM(OFFSET($FC$43,0,($M351*3)+$N351,53,1)*U$43:U$95)</f>
        <v>0</v>
      </c>
      <c r="V351" s="6">
        <f t="array" aca="1" ref="V351" ca="1">SUM(OFFSET($FC$43,0,($M351*3)+$N351,53,1)*V$43:V$95)</f>
        <v>0</v>
      </c>
      <c r="W351" s="6">
        <f t="array" aca="1" ref="W351" ca="1">SUM(OFFSET($FC$43,0,($M351*3)+$N351,53,1)*W$43:W$95)</f>
        <v>0</v>
      </c>
      <c r="X351" s="6">
        <f t="array" aca="1" ref="X351" ca="1">SUM(OFFSET($FC$43,0,($M351*3)+$N351,53,1)*X$43:X$95)</f>
        <v>0</v>
      </c>
      <c r="Y351" s="6">
        <f t="array" aca="1" ref="Y351" ca="1">SUM(OFFSET($FC$43,0,($M351*3)+$N351,53,1)*Y$43:Y$95)</f>
        <v>0</v>
      </c>
      <c r="Z351" s="6">
        <f t="array" aca="1" ref="Z351" ca="1">SUM(OFFSET($FC$43,0,($M351*3)+$N351,53,1)*Z$43:Z$95)</f>
        <v>0</v>
      </c>
      <c r="AA351" s="6">
        <f t="shared" ca="1" si="141"/>
        <v>0</v>
      </c>
      <c r="AB351" s="6" t="str">
        <f t="shared" si="143"/>
        <v/>
      </c>
    </row>
    <row r="352" spans="1:43" x14ac:dyDescent="0.25">
      <c r="A352">
        <f>1</f>
        <v>1</v>
      </c>
      <c r="B352" s="85">
        <f t="shared" si="136"/>
        <v>44140</v>
      </c>
      <c r="C352" s="85">
        <f t="shared" si="132"/>
        <v>44137</v>
      </c>
      <c r="D352">
        <f t="shared" ca="1" si="133"/>
        <v>1</v>
      </c>
      <c r="E352" s="85">
        <f t="shared" si="134"/>
        <v>44136</v>
      </c>
      <c r="F352">
        <f t="shared" si="135"/>
        <v>45</v>
      </c>
      <c r="L352" t="str">
        <f t="shared" ca="1" si="142"/>
        <v/>
      </c>
      <c r="M352">
        <v>10</v>
      </c>
      <c r="N352">
        <v>2</v>
      </c>
      <c r="O352" s="6">
        <f t="array" aca="1" ref="O352" ca="1">SUM(OFFSET($FC$43,0,($M352*3)+$N352,53,1)*O$43:O$95)</f>
        <v>0</v>
      </c>
      <c r="P352" s="6">
        <f t="array" aca="1" ref="P352" ca="1">SUM(OFFSET($FC$43,0,($M352*3)+$N352,53,1)*P$43:P$95)</f>
        <v>0</v>
      </c>
      <c r="Q352" s="6">
        <f t="array" aca="1" ref="Q352" ca="1">SUM(OFFSET($FC$43,0,($M352*3)+$N352,53,1)*Q$43:Q$95)</f>
        <v>0</v>
      </c>
      <c r="R352" s="6">
        <f t="array" aca="1" ref="R352" ca="1">SUM(OFFSET($FC$43,0,($M352*3)+$N352,53,1)*R$43:R$95)</f>
        <v>0</v>
      </c>
      <c r="S352" s="6">
        <f t="array" aca="1" ref="S352" ca="1">SUM(OFFSET($FC$43,0,($M352*3)+$N352,53,1)*S$43:S$95)</f>
        <v>0</v>
      </c>
      <c r="T352" s="6">
        <f t="array" aca="1" ref="T352" ca="1">SUM(OFFSET($FC$43,0,($M352*3)+$N352,53,1)*T$43:T$95)</f>
        <v>0</v>
      </c>
      <c r="U352" s="6">
        <f t="array" aca="1" ref="U352" ca="1">SUM(OFFSET($FC$43,0,($M352*3)+$N352,53,1)*U$43:U$95)</f>
        <v>0</v>
      </c>
      <c r="V352" s="6">
        <f t="array" aca="1" ref="V352" ca="1">SUM(OFFSET($FC$43,0,($M352*3)+$N352,53,1)*V$43:V$95)</f>
        <v>0</v>
      </c>
      <c r="W352" s="6">
        <f t="array" aca="1" ref="W352" ca="1">SUM(OFFSET($FC$43,0,($M352*3)+$N352,53,1)*W$43:W$95)</f>
        <v>0</v>
      </c>
      <c r="X352" s="6">
        <f t="array" aca="1" ref="X352" ca="1">SUM(OFFSET($FC$43,0,($M352*3)+$N352,53,1)*X$43:X$95)</f>
        <v>0</v>
      </c>
      <c r="Y352" s="6">
        <f t="array" aca="1" ref="Y352" ca="1">SUM(OFFSET($FC$43,0,($M352*3)+$N352,53,1)*Y$43:Y$95)</f>
        <v>0</v>
      </c>
      <c r="Z352" s="6">
        <f t="array" aca="1" ref="Z352" ca="1">SUM(OFFSET($FC$43,0,($M352*3)+$N352,53,1)*Z$43:Z$95)</f>
        <v>0</v>
      </c>
      <c r="AA352" s="6">
        <f t="shared" ca="1" si="141"/>
        <v>0</v>
      </c>
      <c r="AB352" s="6" t="str">
        <f t="shared" si="143"/>
        <v/>
      </c>
    </row>
    <row r="353" spans="1:28" x14ac:dyDescent="0.25">
      <c r="A353">
        <f>1</f>
        <v>1</v>
      </c>
      <c r="B353" s="85">
        <f t="shared" si="136"/>
        <v>44141</v>
      </c>
      <c r="C353" s="85">
        <f t="shared" si="132"/>
        <v>44137</v>
      </c>
      <c r="D353">
        <f t="shared" ca="1" si="133"/>
        <v>1</v>
      </c>
      <c r="E353" s="85">
        <f t="shared" si="134"/>
        <v>44136</v>
      </c>
      <c r="F353">
        <f t="shared" si="135"/>
        <v>45</v>
      </c>
      <c r="L353" t="str">
        <f t="shared" ca="1" si="142"/>
        <v/>
      </c>
      <c r="M353">
        <v>10</v>
      </c>
      <c r="N353">
        <v>3</v>
      </c>
      <c r="O353" s="6">
        <f t="array" aca="1" ref="O353" ca="1">SUM(OFFSET($FC$43,0,($M353*3)+$N353,53,1)*O$43:O$95)</f>
        <v>0</v>
      </c>
      <c r="P353" s="6">
        <f t="array" aca="1" ref="P353" ca="1">SUM(OFFSET($FC$43,0,($M353*3)+$N353,53,1)*P$43:P$95)</f>
        <v>0</v>
      </c>
      <c r="Q353" s="6">
        <f t="array" aca="1" ref="Q353" ca="1">SUM(OFFSET($FC$43,0,($M353*3)+$N353,53,1)*Q$43:Q$95)</f>
        <v>0</v>
      </c>
      <c r="R353" s="6">
        <f t="array" aca="1" ref="R353" ca="1">SUM(OFFSET($FC$43,0,($M353*3)+$N353,53,1)*R$43:R$95)</f>
        <v>0</v>
      </c>
      <c r="S353" s="6">
        <f t="array" aca="1" ref="S353" ca="1">SUM(OFFSET($FC$43,0,($M353*3)+$N353,53,1)*S$43:S$95)</f>
        <v>0</v>
      </c>
      <c r="T353" s="6">
        <f t="array" aca="1" ref="T353" ca="1">SUM(OFFSET($FC$43,0,($M353*3)+$N353,53,1)*T$43:T$95)</f>
        <v>0</v>
      </c>
      <c r="U353" s="6">
        <f t="array" aca="1" ref="U353" ca="1">SUM(OFFSET($FC$43,0,($M353*3)+$N353,53,1)*U$43:U$95)</f>
        <v>0</v>
      </c>
      <c r="V353" s="6">
        <f t="array" aca="1" ref="V353" ca="1">SUM(OFFSET($FC$43,0,($M353*3)+$N353,53,1)*V$43:V$95)</f>
        <v>0</v>
      </c>
      <c r="W353" s="6">
        <f t="array" aca="1" ref="W353" ca="1">SUM(OFFSET($FC$43,0,($M353*3)+$N353,53,1)*W$43:W$95)</f>
        <v>0</v>
      </c>
      <c r="X353" s="6">
        <f t="array" aca="1" ref="X353" ca="1">SUM(OFFSET($FC$43,0,($M353*3)+$N353,53,1)*X$43:X$95)</f>
        <v>0</v>
      </c>
      <c r="Y353" s="6">
        <f t="array" aca="1" ref="Y353" ca="1">SUM(OFFSET($FC$43,0,($M353*3)+$N353,53,1)*Y$43:Y$95)</f>
        <v>0</v>
      </c>
      <c r="Z353" s="6">
        <f t="array" aca="1" ref="Z353" ca="1">SUM(OFFSET($FC$43,0,($M353*3)+$N353,53,1)*Z$43:Z$95)</f>
        <v>0</v>
      </c>
      <c r="AA353" s="6">
        <f t="shared" ref="AA353:AA380" ca="1" si="144">SUM(O353:Z353)</f>
        <v>0</v>
      </c>
      <c r="AB353" s="6" t="str">
        <f t="shared" si="143"/>
        <v/>
      </c>
    </row>
    <row r="354" spans="1:28" x14ac:dyDescent="0.25">
      <c r="A354">
        <f>1</f>
        <v>1</v>
      </c>
      <c r="B354" s="85">
        <f t="shared" si="136"/>
        <v>44142</v>
      </c>
      <c r="C354" s="85">
        <f t="shared" si="132"/>
        <v>44137</v>
      </c>
      <c r="D354">
        <f t="shared" ca="1" si="133"/>
        <v>0</v>
      </c>
      <c r="E354" s="85">
        <f t="shared" si="134"/>
        <v>44136</v>
      </c>
      <c r="F354">
        <f t="shared" si="135"/>
        <v>45</v>
      </c>
      <c r="L354" t="str">
        <f t="shared" ca="1" si="142"/>
        <v/>
      </c>
      <c r="M354">
        <v>11</v>
      </c>
      <c r="N354">
        <v>1</v>
      </c>
      <c r="O354" s="6">
        <f t="array" aca="1" ref="O354" ca="1">SUM(OFFSET($FC$43,0,($M354*3)+$N354,53,1)*O$43:O$95)</f>
        <v>0</v>
      </c>
      <c r="P354" s="6">
        <f t="array" aca="1" ref="P354" ca="1">SUM(OFFSET($FC$43,0,($M354*3)+$N354,53,1)*P$43:P$95)</f>
        <v>0</v>
      </c>
      <c r="Q354" s="6">
        <f t="array" aca="1" ref="Q354" ca="1">SUM(OFFSET($FC$43,0,($M354*3)+$N354,53,1)*Q$43:Q$95)</f>
        <v>0</v>
      </c>
      <c r="R354" s="6">
        <f t="array" aca="1" ref="R354" ca="1">SUM(OFFSET($FC$43,0,($M354*3)+$N354,53,1)*R$43:R$95)</f>
        <v>0</v>
      </c>
      <c r="S354" s="6">
        <f t="array" aca="1" ref="S354" ca="1">SUM(OFFSET($FC$43,0,($M354*3)+$N354,53,1)*S$43:S$95)</f>
        <v>0</v>
      </c>
      <c r="T354" s="6">
        <f t="array" aca="1" ref="T354" ca="1">SUM(OFFSET($FC$43,0,($M354*3)+$N354,53,1)*T$43:T$95)</f>
        <v>0</v>
      </c>
      <c r="U354" s="6">
        <f t="array" aca="1" ref="U354" ca="1">SUM(OFFSET($FC$43,0,($M354*3)+$N354,53,1)*U$43:U$95)</f>
        <v>0</v>
      </c>
      <c r="V354" s="6">
        <f t="array" aca="1" ref="V354" ca="1">SUM(OFFSET($FC$43,0,($M354*3)+$N354,53,1)*V$43:V$95)</f>
        <v>0</v>
      </c>
      <c r="W354" s="6">
        <f t="array" aca="1" ref="W354" ca="1">SUM(OFFSET($FC$43,0,($M354*3)+$N354,53,1)*W$43:W$95)</f>
        <v>0</v>
      </c>
      <c r="X354" s="6">
        <f t="array" aca="1" ref="X354" ca="1">SUM(OFFSET($FC$43,0,($M354*3)+$N354,53,1)*X$43:X$95)</f>
        <v>0</v>
      </c>
      <c r="Y354" s="6">
        <f t="array" aca="1" ref="Y354" ca="1">SUM(OFFSET($FC$43,0,($M354*3)+$N354,53,1)*Y$43:Y$95)</f>
        <v>0</v>
      </c>
      <c r="Z354" s="6">
        <f t="array" aca="1" ref="Z354" ca="1">SUM(OFFSET($FC$43,0,($M354*3)+$N354,53,1)*Z$43:Z$95)</f>
        <v>0</v>
      </c>
      <c r="AA354" s="6">
        <f t="shared" ca="1" si="144"/>
        <v>0</v>
      </c>
      <c r="AB354" s="6" t="str">
        <f t="shared" si="143"/>
        <v/>
      </c>
    </row>
    <row r="355" spans="1:28" x14ac:dyDescent="0.25">
      <c r="A355">
        <f>1</f>
        <v>1</v>
      </c>
      <c r="B355" s="85">
        <f t="shared" si="136"/>
        <v>44143</v>
      </c>
      <c r="C355" s="85">
        <f t="shared" si="132"/>
        <v>44137</v>
      </c>
      <c r="D355">
        <f t="shared" ca="1" si="133"/>
        <v>0</v>
      </c>
      <c r="E355" s="85">
        <f t="shared" si="134"/>
        <v>44136</v>
      </c>
      <c r="F355">
        <f t="shared" si="135"/>
        <v>45</v>
      </c>
      <c r="L355" t="str">
        <f t="shared" ca="1" si="142"/>
        <v/>
      </c>
      <c r="M355">
        <v>11</v>
      </c>
      <c r="N355">
        <v>2</v>
      </c>
      <c r="O355" s="6">
        <f t="array" aca="1" ref="O355" ca="1">SUM(OFFSET($FC$43,0,($M355*3)+$N355,53,1)*O$43:O$95)</f>
        <v>0</v>
      </c>
      <c r="P355" s="6">
        <f t="array" aca="1" ref="P355" ca="1">SUM(OFFSET($FC$43,0,($M355*3)+$N355,53,1)*P$43:P$95)</f>
        <v>0</v>
      </c>
      <c r="Q355" s="6">
        <f t="array" aca="1" ref="Q355" ca="1">SUM(OFFSET($FC$43,0,($M355*3)+$N355,53,1)*Q$43:Q$95)</f>
        <v>0</v>
      </c>
      <c r="R355" s="6">
        <f t="array" aca="1" ref="R355" ca="1">SUM(OFFSET($FC$43,0,($M355*3)+$N355,53,1)*R$43:R$95)</f>
        <v>0</v>
      </c>
      <c r="S355" s="6">
        <f t="array" aca="1" ref="S355" ca="1">SUM(OFFSET($FC$43,0,($M355*3)+$N355,53,1)*S$43:S$95)</f>
        <v>0</v>
      </c>
      <c r="T355" s="6">
        <f t="array" aca="1" ref="T355" ca="1">SUM(OFFSET($FC$43,0,($M355*3)+$N355,53,1)*T$43:T$95)</f>
        <v>0</v>
      </c>
      <c r="U355" s="6">
        <f t="array" aca="1" ref="U355" ca="1">SUM(OFFSET($FC$43,0,($M355*3)+$N355,53,1)*U$43:U$95)</f>
        <v>0</v>
      </c>
      <c r="V355" s="6">
        <f t="array" aca="1" ref="V355" ca="1">SUM(OFFSET($FC$43,0,($M355*3)+$N355,53,1)*V$43:V$95)</f>
        <v>0</v>
      </c>
      <c r="W355" s="6">
        <f t="array" aca="1" ref="W355" ca="1">SUM(OFFSET($FC$43,0,($M355*3)+$N355,53,1)*W$43:W$95)</f>
        <v>0</v>
      </c>
      <c r="X355" s="6">
        <f t="array" aca="1" ref="X355" ca="1">SUM(OFFSET($FC$43,0,($M355*3)+$N355,53,1)*X$43:X$95)</f>
        <v>0</v>
      </c>
      <c r="Y355" s="6">
        <f t="array" aca="1" ref="Y355" ca="1">SUM(OFFSET($FC$43,0,($M355*3)+$N355,53,1)*Y$43:Y$95)</f>
        <v>0</v>
      </c>
      <c r="Z355" s="6">
        <f t="array" aca="1" ref="Z355" ca="1">SUM(OFFSET($FC$43,0,($M355*3)+$N355,53,1)*Z$43:Z$95)</f>
        <v>0</v>
      </c>
      <c r="AA355" s="6">
        <f t="shared" ca="1" si="144"/>
        <v>0</v>
      </c>
      <c r="AB355" s="6" t="str">
        <f t="shared" si="143"/>
        <v/>
      </c>
    </row>
    <row r="356" spans="1:28" x14ac:dyDescent="0.25">
      <c r="A356">
        <f>1</f>
        <v>1</v>
      </c>
      <c r="B356" s="85">
        <f t="shared" si="136"/>
        <v>44144</v>
      </c>
      <c r="C356" s="85">
        <f t="shared" si="132"/>
        <v>44144</v>
      </c>
      <c r="D356">
        <f t="shared" ca="1" si="133"/>
        <v>1</v>
      </c>
      <c r="E356" s="85">
        <f t="shared" si="134"/>
        <v>44136</v>
      </c>
      <c r="F356">
        <f t="shared" si="135"/>
        <v>46</v>
      </c>
      <c r="L356" t="str">
        <f t="shared" ca="1" si="142"/>
        <v/>
      </c>
      <c r="M356">
        <v>11</v>
      </c>
      <c r="N356">
        <v>3</v>
      </c>
      <c r="O356" s="6">
        <f t="array" aca="1" ref="O356" ca="1">SUM(OFFSET($FC$43,0,($M356*3)+$N356,53,1)*O$43:O$95)</f>
        <v>0</v>
      </c>
      <c r="P356" s="6">
        <f t="array" aca="1" ref="P356" ca="1">SUM(OFFSET($FC$43,0,($M356*3)+$N356,53,1)*P$43:P$95)</f>
        <v>0</v>
      </c>
      <c r="Q356" s="6">
        <f t="array" aca="1" ref="Q356" ca="1">SUM(OFFSET($FC$43,0,($M356*3)+$N356,53,1)*Q$43:Q$95)</f>
        <v>0</v>
      </c>
      <c r="R356" s="6">
        <f t="array" aca="1" ref="R356" ca="1">SUM(OFFSET($FC$43,0,($M356*3)+$N356,53,1)*R$43:R$95)</f>
        <v>0</v>
      </c>
      <c r="S356" s="6">
        <f t="array" aca="1" ref="S356" ca="1">SUM(OFFSET($FC$43,0,($M356*3)+$N356,53,1)*S$43:S$95)</f>
        <v>0</v>
      </c>
      <c r="T356" s="6">
        <f t="array" aca="1" ref="T356" ca="1">SUM(OFFSET($FC$43,0,($M356*3)+$N356,53,1)*T$43:T$95)</f>
        <v>0</v>
      </c>
      <c r="U356" s="6">
        <f t="array" aca="1" ref="U356" ca="1">SUM(OFFSET($FC$43,0,($M356*3)+$N356,53,1)*U$43:U$95)</f>
        <v>0</v>
      </c>
      <c r="V356" s="6">
        <f t="array" aca="1" ref="V356" ca="1">SUM(OFFSET($FC$43,0,($M356*3)+$N356,53,1)*V$43:V$95)</f>
        <v>0</v>
      </c>
      <c r="W356" s="6">
        <f t="array" aca="1" ref="W356" ca="1">SUM(OFFSET($FC$43,0,($M356*3)+$N356,53,1)*W$43:W$95)</f>
        <v>0</v>
      </c>
      <c r="X356" s="6">
        <f t="array" aca="1" ref="X356" ca="1">SUM(OFFSET($FC$43,0,($M356*3)+$N356,53,1)*X$43:X$95)</f>
        <v>0</v>
      </c>
      <c r="Y356" s="6">
        <f t="array" aca="1" ref="Y356" ca="1">SUM(OFFSET($FC$43,0,($M356*3)+$N356,53,1)*Y$43:Y$95)</f>
        <v>0</v>
      </c>
      <c r="Z356" s="6">
        <f t="array" aca="1" ref="Z356" ca="1">SUM(OFFSET($FC$43,0,($M356*3)+$N356,53,1)*Z$43:Z$95)</f>
        <v>0</v>
      </c>
      <c r="AA356" s="6">
        <f t="shared" ca="1" si="144"/>
        <v>0</v>
      </c>
      <c r="AB356" s="6" t="str">
        <f t="shared" si="143"/>
        <v/>
      </c>
    </row>
    <row r="357" spans="1:28" x14ac:dyDescent="0.25">
      <c r="A357">
        <f>1</f>
        <v>1</v>
      </c>
      <c r="B357" s="85">
        <f t="shared" si="136"/>
        <v>44145</v>
      </c>
      <c r="C357" s="85">
        <f t="shared" si="132"/>
        <v>44144</v>
      </c>
      <c r="D357">
        <f t="shared" ca="1" si="133"/>
        <v>1</v>
      </c>
      <c r="E357" s="85">
        <f t="shared" si="134"/>
        <v>44136</v>
      </c>
      <c r="F357">
        <f t="shared" si="135"/>
        <v>46</v>
      </c>
      <c r="L357" t="str">
        <f t="shared" ca="1" si="142"/>
        <v/>
      </c>
      <c r="M357">
        <v>12</v>
      </c>
      <c r="N357">
        <v>1</v>
      </c>
      <c r="O357" s="6">
        <f t="array" aca="1" ref="O357" ca="1">SUM(OFFSET($FC$43,0,($M357*3)+$N357,53,1)*O$43:O$95)</f>
        <v>0</v>
      </c>
      <c r="P357" s="6">
        <f t="array" aca="1" ref="P357" ca="1">SUM(OFFSET($FC$43,0,($M357*3)+$N357,53,1)*P$43:P$95)</f>
        <v>0</v>
      </c>
      <c r="Q357" s="6">
        <f t="array" aca="1" ref="Q357" ca="1">SUM(OFFSET($FC$43,0,($M357*3)+$N357,53,1)*Q$43:Q$95)</f>
        <v>0</v>
      </c>
      <c r="R357" s="6">
        <f t="array" aca="1" ref="R357" ca="1">SUM(OFFSET($FC$43,0,($M357*3)+$N357,53,1)*R$43:R$95)</f>
        <v>0</v>
      </c>
      <c r="S357" s="6">
        <f t="array" aca="1" ref="S357" ca="1">SUM(OFFSET($FC$43,0,($M357*3)+$N357,53,1)*S$43:S$95)</f>
        <v>0</v>
      </c>
      <c r="T357" s="6">
        <f t="array" aca="1" ref="T357" ca="1">SUM(OFFSET($FC$43,0,($M357*3)+$N357,53,1)*T$43:T$95)</f>
        <v>0</v>
      </c>
      <c r="U357" s="6">
        <f t="array" aca="1" ref="U357" ca="1">SUM(OFFSET($FC$43,0,($M357*3)+$N357,53,1)*U$43:U$95)</f>
        <v>0</v>
      </c>
      <c r="V357" s="6">
        <f t="array" aca="1" ref="V357" ca="1">SUM(OFFSET($FC$43,0,($M357*3)+$N357,53,1)*V$43:V$95)</f>
        <v>0</v>
      </c>
      <c r="W357" s="6">
        <f t="array" aca="1" ref="W357" ca="1">SUM(OFFSET($FC$43,0,($M357*3)+$N357,53,1)*W$43:W$95)</f>
        <v>0</v>
      </c>
      <c r="X357" s="6">
        <f t="array" aca="1" ref="X357" ca="1">SUM(OFFSET($FC$43,0,($M357*3)+$N357,53,1)*X$43:X$95)</f>
        <v>0</v>
      </c>
      <c r="Y357" s="6">
        <f t="array" aca="1" ref="Y357" ca="1">SUM(OFFSET($FC$43,0,($M357*3)+$N357,53,1)*Y$43:Y$95)</f>
        <v>0</v>
      </c>
      <c r="Z357" s="6">
        <f t="array" aca="1" ref="Z357" ca="1">SUM(OFFSET($FC$43,0,($M357*3)+$N357,53,1)*Z$43:Z$95)</f>
        <v>0</v>
      </c>
      <c r="AA357" s="6">
        <f t="shared" ca="1" si="144"/>
        <v>0</v>
      </c>
      <c r="AB357" s="6" t="str">
        <f t="shared" si="143"/>
        <v/>
      </c>
    </row>
    <row r="358" spans="1:28" x14ac:dyDescent="0.25">
      <c r="A358">
        <f>1</f>
        <v>1</v>
      </c>
      <c r="B358" s="85">
        <f t="shared" si="136"/>
        <v>44146</v>
      </c>
      <c r="C358" s="85">
        <f t="shared" si="132"/>
        <v>44144</v>
      </c>
      <c r="D358">
        <f t="shared" ca="1" si="133"/>
        <v>1</v>
      </c>
      <c r="E358" s="85">
        <f t="shared" si="134"/>
        <v>44136</v>
      </c>
      <c r="F358">
        <f t="shared" si="135"/>
        <v>46</v>
      </c>
      <c r="L358" t="str">
        <f t="shared" ca="1" si="142"/>
        <v/>
      </c>
      <c r="M358">
        <v>12</v>
      </c>
      <c r="N358">
        <v>2</v>
      </c>
      <c r="O358" s="6">
        <f t="array" aca="1" ref="O358" ca="1">SUM(OFFSET($FC$43,0,($M358*3)+$N358,53,1)*O$43:O$95)</f>
        <v>0</v>
      </c>
      <c r="P358" s="6">
        <f t="array" aca="1" ref="P358" ca="1">SUM(OFFSET($FC$43,0,($M358*3)+$N358,53,1)*P$43:P$95)</f>
        <v>0</v>
      </c>
      <c r="Q358" s="6">
        <f t="array" aca="1" ref="Q358" ca="1">SUM(OFFSET($FC$43,0,($M358*3)+$N358,53,1)*Q$43:Q$95)</f>
        <v>0</v>
      </c>
      <c r="R358" s="6">
        <f t="array" aca="1" ref="R358" ca="1">SUM(OFFSET($FC$43,0,($M358*3)+$N358,53,1)*R$43:R$95)</f>
        <v>0</v>
      </c>
      <c r="S358" s="6">
        <f t="array" aca="1" ref="S358" ca="1">SUM(OFFSET($FC$43,0,($M358*3)+$N358,53,1)*S$43:S$95)</f>
        <v>0</v>
      </c>
      <c r="T358" s="6">
        <f t="array" aca="1" ref="T358" ca="1">SUM(OFFSET($FC$43,0,($M358*3)+$N358,53,1)*T$43:T$95)</f>
        <v>0</v>
      </c>
      <c r="U358" s="6">
        <f t="array" aca="1" ref="U358" ca="1">SUM(OFFSET($FC$43,0,($M358*3)+$N358,53,1)*U$43:U$95)</f>
        <v>0</v>
      </c>
      <c r="V358" s="6">
        <f t="array" aca="1" ref="V358" ca="1">SUM(OFFSET($FC$43,0,($M358*3)+$N358,53,1)*V$43:V$95)</f>
        <v>0</v>
      </c>
      <c r="W358" s="6">
        <f t="array" aca="1" ref="W358" ca="1">SUM(OFFSET($FC$43,0,($M358*3)+$N358,53,1)*W$43:W$95)</f>
        <v>0</v>
      </c>
      <c r="X358" s="6">
        <f t="array" aca="1" ref="X358" ca="1">SUM(OFFSET($FC$43,0,($M358*3)+$N358,53,1)*X$43:X$95)</f>
        <v>0</v>
      </c>
      <c r="Y358" s="6">
        <f t="array" aca="1" ref="Y358" ca="1">SUM(OFFSET($FC$43,0,($M358*3)+$N358,53,1)*Y$43:Y$95)</f>
        <v>0</v>
      </c>
      <c r="Z358" s="6">
        <f t="array" aca="1" ref="Z358" ca="1">SUM(OFFSET($FC$43,0,($M358*3)+$N358,53,1)*Z$43:Z$95)</f>
        <v>0</v>
      </c>
      <c r="AA358" s="6">
        <f t="shared" ca="1" si="144"/>
        <v>0</v>
      </c>
      <c r="AB358" s="6" t="str">
        <f t="shared" si="143"/>
        <v/>
      </c>
    </row>
    <row r="359" spans="1:28" x14ac:dyDescent="0.25">
      <c r="A359">
        <f>1</f>
        <v>1</v>
      </c>
      <c r="B359" s="85">
        <f t="shared" si="136"/>
        <v>44147</v>
      </c>
      <c r="C359" s="85">
        <f t="shared" si="132"/>
        <v>44144</v>
      </c>
      <c r="D359">
        <f t="shared" ca="1" si="133"/>
        <v>1</v>
      </c>
      <c r="E359" s="85">
        <f t="shared" si="134"/>
        <v>44136</v>
      </c>
      <c r="F359">
        <f t="shared" si="135"/>
        <v>46</v>
      </c>
      <c r="L359" t="str">
        <f t="shared" ca="1" si="142"/>
        <v/>
      </c>
      <c r="M359">
        <v>12</v>
      </c>
      <c r="N359">
        <v>3</v>
      </c>
      <c r="O359" s="6">
        <f t="array" aca="1" ref="O359" ca="1">SUM(OFFSET($FC$43,0,($M359*3)+$N359,53,1)*O$43:O$95)</f>
        <v>0</v>
      </c>
      <c r="P359" s="6">
        <f t="array" aca="1" ref="P359" ca="1">SUM(OFFSET($FC$43,0,($M359*3)+$N359,53,1)*P$43:P$95)</f>
        <v>0</v>
      </c>
      <c r="Q359" s="6">
        <f t="array" aca="1" ref="Q359" ca="1">SUM(OFFSET($FC$43,0,($M359*3)+$N359,53,1)*Q$43:Q$95)</f>
        <v>0</v>
      </c>
      <c r="R359" s="6">
        <f t="array" aca="1" ref="R359" ca="1">SUM(OFFSET($FC$43,0,($M359*3)+$N359,53,1)*R$43:R$95)</f>
        <v>0</v>
      </c>
      <c r="S359" s="6">
        <f t="array" aca="1" ref="S359" ca="1">SUM(OFFSET($FC$43,0,($M359*3)+$N359,53,1)*S$43:S$95)</f>
        <v>0</v>
      </c>
      <c r="T359" s="6">
        <f t="array" aca="1" ref="T359" ca="1">SUM(OFFSET($FC$43,0,($M359*3)+$N359,53,1)*T$43:T$95)</f>
        <v>0</v>
      </c>
      <c r="U359" s="6">
        <f t="array" aca="1" ref="U359" ca="1">SUM(OFFSET($FC$43,0,($M359*3)+$N359,53,1)*U$43:U$95)</f>
        <v>0</v>
      </c>
      <c r="V359" s="6">
        <f t="array" aca="1" ref="V359" ca="1">SUM(OFFSET($FC$43,0,($M359*3)+$N359,53,1)*V$43:V$95)</f>
        <v>0</v>
      </c>
      <c r="W359" s="6">
        <f t="array" aca="1" ref="W359" ca="1">SUM(OFFSET($FC$43,0,($M359*3)+$N359,53,1)*W$43:W$95)</f>
        <v>0</v>
      </c>
      <c r="X359" s="6">
        <f t="array" aca="1" ref="X359" ca="1">SUM(OFFSET($FC$43,0,($M359*3)+$N359,53,1)*X$43:X$95)</f>
        <v>0</v>
      </c>
      <c r="Y359" s="6">
        <f t="array" aca="1" ref="Y359" ca="1">SUM(OFFSET($FC$43,0,($M359*3)+$N359,53,1)*Y$43:Y$95)</f>
        <v>0</v>
      </c>
      <c r="Z359" s="6">
        <f t="array" aca="1" ref="Z359" ca="1">SUM(OFFSET($FC$43,0,($M359*3)+$N359,53,1)*Z$43:Z$95)</f>
        <v>0</v>
      </c>
      <c r="AA359" s="6">
        <f t="shared" ca="1" si="144"/>
        <v>0</v>
      </c>
      <c r="AB359" s="6" t="str">
        <f t="shared" si="143"/>
        <v/>
      </c>
    </row>
    <row r="360" spans="1:28" x14ac:dyDescent="0.25">
      <c r="A360">
        <f>1</f>
        <v>1</v>
      </c>
      <c r="B360" s="85">
        <f t="shared" si="136"/>
        <v>44148</v>
      </c>
      <c r="C360" s="85">
        <f t="shared" si="132"/>
        <v>44144</v>
      </c>
      <c r="D360">
        <f t="shared" ca="1" si="133"/>
        <v>1</v>
      </c>
      <c r="E360" s="85">
        <f t="shared" si="134"/>
        <v>44136</v>
      </c>
      <c r="F360">
        <f t="shared" si="135"/>
        <v>46</v>
      </c>
      <c r="L360" t="str">
        <f t="shared" ca="1" si="142"/>
        <v/>
      </c>
      <c r="M360">
        <v>13</v>
      </c>
      <c r="N360">
        <v>1</v>
      </c>
      <c r="O360" s="6">
        <f t="array" aca="1" ref="O360" ca="1">SUM(OFFSET($FC$43,0,($M360*3)+$N360,53,1)*O$43:O$95)</f>
        <v>0</v>
      </c>
      <c r="P360" s="6">
        <f t="array" aca="1" ref="P360" ca="1">SUM(OFFSET($FC$43,0,($M360*3)+$N360,53,1)*P$43:P$95)</f>
        <v>0</v>
      </c>
      <c r="Q360" s="6">
        <f t="array" aca="1" ref="Q360" ca="1">SUM(OFFSET($FC$43,0,($M360*3)+$N360,53,1)*Q$43:Q$95)</f>
        <v>0</v>
      </c>
      <c r="R360" s="6">
        <f t="array" aca="1" ref="R360" ca="1">SUM(OFFSET($FC$43,0,($M360*3)+$N360,53,1)*R$43:R$95)</f>
        <v>0</v>
      </c>
      <c r="S360" s="6">
        <f t="array" aca="1" ref="S360" ca="1">SUM(OFFSET($FC$43,0,($M360*3)+$N360,53,1)*S$43:S$95)</f>
        <v>0</v>
      </c>
      <c r="T360" s="6">
        <f t="array" aca="1" ref="T360" ca="1">SUM(OFFSET($FC$43,0,($M360*3)+$N360,53,1)*T$43:T$95)</f>
        <v>0</v>
      </c>
      <c r="U360" s="6">
        <f t="array" aca="1" ref="U360" ca="1">SUM(OFFSET($FC$43,0,($M360*3)+$N360,53,1)*U$43:U$95)</f>
        <v>0</v>
      </c>
      <c r="V360" s="6">
        <f t="array" aca="1" ref="V360" ca="1">SUM(OFFSET($FC$43,0,($M360*3)+$N360,53,1)*V$43:V$95)</f>
        <v>0</v>
      </c>
      <c r="W360" s="6">
        <f t="array" aca="1" ref="W360" ca="1">SUM(OFFSET($FC$43,0,($M360*3)+$N360,53,1)*W$43:W$95)</f>
        <v>0</v>
      </c>
      <c r="X360" s="6">
        <f t="array" aca="1" ref="X360" ca="1">SUM(OFFSET($FC$43,0,($M360*3)+$N360,53,1)*X$43:X$95)</f>
        <v>0</v>
      </c>
      <c r="Y360" s="6">
        <f t="array" aca="1" ref="Y360" ca="1">SUM(OFFSET($FC$43,0,($M360*3)+$N360,53,1)*Y$43:Y$95)</f>
        <v>0</v>
      </c>
      <c r="Z360" s="6">
        <f t="array" aca="1" ref="Z360" ca="1">SUM(OFFSET($FC$43,0,($M360*3)+$N360,53,1)*Z$43:Z$95)</f>
        <v>0</v>
      </c>
      <c r="AA360" s="6">
        <f t="shared" ca="1" si="144"/>
        <v>0</v>
      </c>
      <c r="AB360" s="6" t="str">
        <f t="shared" si="143"/>
        <v/>
      </c>
    </row>
    <row r="361" spans="1:28" x14ac:dyDescent="0.25">
      <c r="A361">
        <f>1</f>
        <v>1</v>
      </c>
      <c r="B361" s="85">
        <f t="shared" si="136"/>
        <v>44149</v>
      </c>
      <c r="C361" s="85">
        <f t="shared" si="132"/>
        <v>44144</v>
      </c>
      <c r="D361">
        <f t="shared" ca="1" si="133"/>
        <v>0</v>
      </c>
      <c r="E361" s="85">
        <f t="shared" si="134"/>
        <v>44136</v>
      </c>
      <c r="F361">
        <f t="shared" si="135"/>
        <v>46</v>
      </c>
      <c r="L361" t="str">
        <f t="shared" ca="1" si="142"/>
        <v/>
      </c>
      <c r="M361">
        <v>13</v>
      </c>
      <c r="N361">
        <v>2</v>
      </c>
      <c r="O361" s="6">
        <f t="array" aca="1" ref="O361" ca="1">SUM(OFFSET($FC$43,0,($M361*3)+$N361,53,1)*O$43:O$95)</f>
        <v>0</v>
      </c>
      <c r="P361" s="6">
        <f t="array" aca="1" ref="P361" ca="1">SUM(OFFSET($FC$43,0,($M361*3)+$N361,53,1)*P$43:P$95)</f>
        <v>0</v>
      </c>
      <c r="Q361" s="6">
        <f t="array" aca="1" ref="Q361" ca="1">SUM(OFFSET($FC$43,0,($M361*3)+$N361,53,1)*Q$43:Q$95)</f>
        <v>0</v>
      </c>
      <c r="R361" s="6">
        <f t="array" aca="1" ref="R361" ca="1">SUM(OFFSET($FC$43,0,($M361*3)+$N361,53,1)*R$43:R$95)</f>
        <v>0</v>
      </c>
      <c r="S361" s="6">
        <f t="array" aca="1" ref="S361" ca="1">SUM(OFFSET($FC$43,0,($M361*3)+$N361,53,1)*S$43:S$95)</f>
        <v>0</v>
      </c>
      <c r="T361" s="6">
        <f t="array" aca="1" ref="T361" ca="1">SUM(OFFSET($FC$43,0,($M361*3)+$N361,53,1)*T$43:T$95)</f>
        <v>0</v>
      </c>
      <c r="U361" s="6">
        <f t="array" aca="1" ref="U361" ca="1">SUM(OFFSET($FC$43,0,($M361*3)+$N361,53,1)*U$43:U$95)</f>
        <v>0</v>
      </c>
      <c r="V361" s="6">
        <f t="array" aca="1" ref="V361" ca="1">SUM(OFFSET($FC$43,0,($M361*3)+$N361,53,1)*V$43:V$95)</f>
        <v>0</v>
      </c>
      <c r="W361" s="6">
        <f t="array" aca="1" ref="W361" ca="1">SUM(OFFSET($FC$43,0,($M361*3)+$N361,53,1)*W$43:W$95)</f>
        <v>0</v>
      </c>
      <c r="X361" s="6">
        <f t="array" aca="1" ref="X361" ca="1">SUM(OFFSET($FC$43,0,($M361*3)+$N361,53,1)*X$43:X$95)</f>
        <v>0</v>
      </c>
      <c r="Y361" s="6">
        <f t="array" aca="1" ref="Y361" ca="1">SUM(OFFSET($FC$43,0,($M361*3)+$N361,53,1)*Y$43:Y$95)</f>
        <v>0</v>
      </c>
      <c r="Z361" s="6">
        <f t="array" aca="1" ref="Z361" ca="1">SUM(OFFSET($FC$43,0,($M361*3)+$N361,53,1)*Z$43:Z$95)</f>
        <v>0</v>
      </c>
      <c r="AA361" s="6">
        <f t="shared" ca="1" si="144"/>
        <v>0</v>
      </c>
      <c r="AB361" s="6" t="str">
        <f t="shared" si="143"/>
        <v/>
      </c>
    </row>
    <row r="362" spans="1:28" x14ac:dyDescent="0.25">
      <c r="A362">
        <f>1</f>
        <v>1</v>
      </c>
      <c r="B362" s="85">
        <f t="shared" si="136"/>
        <v>44150</v>
      </c>
      <c r="C362" s="85">
        <f t="shared" si="132"/>
        <v>44144</v>
      </c>
      <c r="D362">
        <f t="shared" ca="1" si="133"/>
        <v>0</v>
      </c>
      <c r="E362" s="85">
        <f t="shared" si="134"/>
        <v>44136</v>
      </c>
      <c r="F362">
        <f t="shared" si="135"/>
        <v>46</v>
      </c>
      <c r="L362" t="str">
        <f t="shared" ca="1" si="142"/>
        <v/>
      </c>
      <c r="M362">
        <v>13</v>
      </c>
      <c r="N362">
        <v>3</v>
      </c>
      <c r="O362" s="6">
        <f t="array" aca="1" ref="O362" ca="1">SUM(OFFSET($FC$43,0,($M362*3)+$N362,53,1)*O$43:O$95)</f>
        <v>0</v>
      </c>
      <c r="P362" s="6">
        <f t="array" aca="1" ref="P362" ca="1">SUM(OFFSET($FC$43,0,($M362*3)+$N362,53,1)*P$43:P$95)</f>
        <v>0</v>
      </c>
      <c r="Q362" s="6">
        <f t="array" aca="1" ref="Q362" ca="1">SUM(OFFSET($FC$43,0,($M362*3)+$N362,53,1)*Q$43:Q$95)</f>
        <v>0</v>
      </c>
      <c r="R362" s="6">
        <f t="array" aca="1" ref="R362" ca="1">SUM(OFFSET($FC$43,0,($M362*3)+$N362,53,1)*R$43:R$95)</f>
        <v>0</v>
      </c>
      <c r="S362" s="6">
        <f t="array" aca="1" ref="S362" ca="1">SUM(OFFSET($FC$43,0,($M362*3)+$N362,53,1)*S$43:S$95)</f>
        <v>0</v>
      </c>
      <c r="T362" s="6">
        <f t="array" aca="1" ref="T362" ca="1">SUM(OFFSET($FC$43,0,($M362*3)+$N362,53,1)*T$43:T$95)</f>
        <v>0</v>
      </c>
      <c r="U362" s="6">
        <f t="array" aca="1" ref="U362" ca="1">SUM(OFFSET($FC$43,0,($M362*3)+$N362,53,1)*U$43:U$95)</f>
        <v>0</v>
      </c>
      <c r="V362" s="6">
        <f t="array" aca="1" ref="V362" ca="1">SUM(OFFSET($FC$43,0,($M362*3)+$N362,53,1)*V$43:V$95)</f>
        <v>0</v>
      </c>
      <c r="W362" s="6">
        <f t="array" aca="1" ref="W362" ca="1">SUM(OFFSET($FC$43,0,($M362*3)+$N362,53,1)*W$43:W$95)</f>
        <v>0</v>
      </c>
      <c r="X362" s="6">
        <f t="array" aca="1" ref="X362" ca="1">SUM(OFFSET($FC$43,0,($M362*3)+$N362,53,1)*X$43:X$95)</f>
        <v>0</v>
      </c>
      <c r="Y362" s="6">
        <f t="array" aca="1" ref="Y362" ca="1">SUM(OFFSET($FC$43,0,($M362*3)+$N362,53,1)*Y$43:Y$95)</f>
        <v>0</v>
      </c>
      <c r="Z362" s="6">
        <f t="array" aca="1" ref="Z362" ca="1">SUM(OFFSET($FC$43,0,($M362*3)+$N362,53,1)*Z$43:Z$95)</f>
        <v>0</v>
      </c>
      <c r="AA362" s="6">
        <f t="shared" ca="1" si="144"/>
        <v>0</v>
      </c>
      <c r="AB362" s="6" t="str">
        <f t="shared" si="143"/>
        <v/>
      </c>
    </row>
    <row r="363" spans="1:28" x14ac:dyDescent="0.25">
      <c r="A363">
        <f>1</f>
        <v>1</v>
      </c>
      <c r="B363" s="85">
        <f t="shared" si="136"/>
        <v>44151</v>
      </c>
      <c r="C363" s="85">
        <f t="shared" ref="C363:C408" si="145">B363-WEEKDAY(B363,3)</f>
        <v>44151</v>
      </c>
      <c r="D363">
        <f t="shared" ref="D363:D408" ca="1" si="146">IF(WEEKDAY(B363,3)&gt;=5,0,IF(ISNA(MATCH(B363,OFFSET($A$6,$C$40,1,1,13),0))=FALSE,0,1))</f>
        <v>1</v>
      </c>
      <c r="E363" s="85">
        <f t="shared" ref="E363:E408" si="147">DATE(YEAR(B363),MONTH(B363),1)</f>
        <v>44136</v>
      </c>
      <c r="F363">
        <f t="shared" si="135"/>
        <v>47</v>
      </c>
      <c r="L363" t="str">
        <f t="shared" ca="1" si="142"/>
        <v/>
      </c>
      <c r="M363">
        <v>14</v>
      </c>
      <c r="N363">
        <v>1</v>
      </c>
      <c r="O363" s="6">
        <f t="array" aca="1" ref="O363" ca="1">SUM(OFFSET($FC$43,0,($M363*3)+$N363,53,1)*O$43:O$95)</f>
        <v>0</v>
      </c>
      <c r="P363" s="6">
        <f t="array" aca="1" ref="P363" ca="1">SUM(OFFSET($FC$43,0,($M363*3)+$N363,53,1)*P$43:P$95)</f>
        <v>0</v>
      </c>
      <c r="Q363" s="6">
        <f t="array" aca="1" ref="Q363" ca="1">SUM(OFFSET($FC$43,0,($M363*3)+$N363,53,1)*Q$43:Q$95)</f>
        <v>0</v>
      </c>
      <c r="R363" s="6">
        <f t="array" aca="1" ref="R363" ca="1">SUM(OFFSET($FC$43,0,($M363*3)+$N363,53,1)*R$43:R$95)</f>
        <v>0</v>
      </c>
      <c r="S363" s="6">
        <f t="array" aca="1" ref="S363" ca="1">SUM(OFFSET($FC$43,0,($M363*3)+$N363,53,1)*S$43:S$95)</f>
        <v>0</v>
      </c>
      <c r="T363" s="6">
        <f t="array" aca="1" ref="T363" ca="1">SUM(OFFSET($FC$43,0,($M363*3)+$N363,53,1)*T$43:T$95)</f>
        <v>0</v>
      </c>
      <c r="U363" s="6">
        <f t="array" aca="1" ref="U363" ca="1">SUM(OFFSET($FC$43,0,($M363*3)+$N363,53,1)*U$43:U$95)</f>
        <v>0</v>
      </c>
      <c r="V363" s="6">
        <f t="array" aca="1" ref="V363" ca="1">SUM(OFFSET($FC$43,0,($M363*3)+$N363,53,1)*V$43:V$95)</f>
        <v>0</v>
      </c>
      <c r="W363" s="6">
        <f t="array" aca="1" ref="W363" ca="1">SUM(OFFSET($FC$43,0,($M363*3)+$N363,53,1)*W$43:W$95)</f>
        <v>0</v>
      </c>
      <c r="X363" s="6">
        <f t="array" aca="1" ref="X363" ca="1">SUM(OFFSET($FC$43,0,($M363*3)+$N363,53,1)*X$43:X$95)</f>
        <v>0</v>
      </c>
      <c r="Y363" s="6">
        <f t="array" aca="1" ref="Y363" ca="1">SUM(OFFSET($FC$43,0,($M363*3)+$N363,53,1)*Y$43:Y$95)</f>
        <v>0</v>
      </c>
      <c r="Z363" s="6">
        <f t="array" aca="1" ref="Z363" ca="1">SUM(OFFSET($FC$43,0,($M363*3)+$N363,53,1)*Z$43:Z$95)</f>
        <v>0</v>
      </c>
      <c r="AA363" s="6">
        <f t="shared" ca="1" si="144"/>
        <v>0</v>
      </c>
      <c r="AB363" s="6" t="str">
        <f t="shared" si="143"/>
        <v/>
      </c>
    </row>
    <row r="364" spans="1:28" x14ac:dyDescent="0.25">
      <c r="A364">
        <f>1</f>
        <v>1</v>
      </c>
      <c r="B364" s="85">
        <f t="shared" si="136"/>
        <v>44152</v>
      </c>
      <c r="C364" s="85">
        <f t="shared" si="145"/>
        <v>44151</v>
      </c>
      <c r="D364">
        <f t="shared" ca="1" si="146"/>
        <v>1</v>
      </c>
      <c r="E364" s="85">
        <f t="shared" si="147"/>
        <v>44136</v>
      </c>
      <c r="F364">
        <f t="shared" ref="F364:F408" si="148">WEEKNUM(B364,21)</f>
        <v>47</v>
      </c>
      <c r="L364" t="str">
        <f t="shared" ca="1" si="142"/>
        <v/>
      </c>
      <c r="M364">
        <v>14</v>
      </c>
      <c r="N364">
        <v>2</v>
      </c>
      <c r="O364" s="6">
        <f t="array" aca="1" ref="O364" ca="1">SUM(OFFSET($FC$43,0,($M364*3)+$N364,53,1)*O$43:O$95)</f>
        <v>0</v>
      </c>
      <c r="P364" s="6">
        <f t="array" aca="1" ref="P364" ca="1">SUM(OFFSET($FC$43,0,($M364*3)+$N364,53,1)*P$43:P$95)</f>
        <v>0</v>
      </c>
      <c r="Q364" s="6">
        <f t="array" aca="1" ref="Q364" ca="1">SUM(OFFSET($FC$43,0,($M364*3)+$N364,53,1)*Q$43:Q$95)</f>
        <v>0</v>
      </c>
      <c r="R364" s="6">
        <f t="array" aca="1" ref="R364" ca="1">SUM(OFFSET($FC$43,0,($M364*3)+$N364,53,1)*R$43:R$95)</f>
        <v>0</v>
      </c>
      <c r="S364" s="6">
        <f t="array" aca="1" ref="S364" ca="1">SUM(OFFSET($FC$43,0,($M364*3)+$N364,53,1)*S$43:S$95)</f>
        <v>0</v>
      </c>
      <c r="T364" s="6">
        <f t="array" aca="1" ref="T364" ca="1">SUM(OFFSET($FC$43,0,($M364*3)+$N364,53,1)*T$43:T$95)</f>
        <v>0</v>
      </c>
      <c r="U364" s="6">
        <f t="array" aca="1" ref="U364" ca="1">SUM(OFFSET($FC$43,0,($M364*3)+$N364,53,1)*U$43:U$95)</f>
        <v>0</v>
      </c>
      <c r="V364" s="6">
        <f t="array" aca="1" ref="V364" ca="1">SUM(OFFSET($FC$43,0,($M364*3)+$N364,53,1)*V$43:V$95)</f>
        <v>0</v>
      </c>
      <c r="W364" s="6">
        <f t="array" aca="1" ref="W364" ca="1">SUM(OFFSET($FC$43,0,($M364*3)+$N364,53,1)*W$43:W$95)</f>
        <v>0</v>
      </c>
      <c r="X364" s="6">
        <f t="array" aca="1" ref="X364" ca="1">SUM(OFFSET($FC$43,0,($M364*3)+$N364,53,1)*X$43:X$95)</f>
        <v>0</v>
      </c>
      <c r="Y364" s="6">
        <f t="array" aca="1" ref="Y364" ca="1">SUM(OFFSET($FC$43,0,($M364*3)+$N364,53,1)*Y$43:Y$95)</f>
        <v>0</v>
      </c>
      <c r="Z364" s="6">
        <f t="array" aca="1" ref="Z364" ca="1">SUM(OFFSET($FC$43,0,($M364*3)+$N364,53,1)*Z$43:Z$95)</f>
        <v>0</v>
      </c>
      <c r="AA364" s="6">
        <f t="shared" ca="1" si="144"/>
        <v>0</v>
      </c>
      <c r="AB364" s="6" t="str">
        <f t="shared" si="143"/>
        <v/>
      </c>
    </row>
    <row r="365" spans="1:28" x14ac:dyDescent="0.25">
      <c r="A365">
        <f>1</f>
        <v>1</v>
      </c>
      <c r="B365" s="85">
        <f t="shared" ref="B365:B408" si="149">B364+1</f>
        <v>44153</v>
      </c>
      <c r="C365" s="85">
        <f t="shared" si="145"/>
        <v>44151</v>
      </c>
      <c r="D365">
        <f t="shared" ca="1" si="146"/>
        <v>1</v>
      </c>
      <c r="E365" s="85">
        <f t="shared" si="147"/>
        <v>44136</v>
      </c>
      <c r="F365">
        <f t="shared" si="148"/>
        <v>47</v>
      </c>
      <c r="L365" t="str">
        <f t="shared" ca="1" si="142"/>
        <v/>
      </c>
      <c r="M365">
        <v>14</v>
      </c>
      <c r="N365">
        <v>3</v>
      </c>
      <c r="O365" s="6">
        <f t="array" aca="1" ref="O365" ca="1">SUM(OFFSET($FC$43,0,($M365*3)+$N365,53,1)*O$43:O$95)</f>
        <v>0</v>
      </c>
      <c r="P365" s="6">
        <f t="array" aca="1" ref="P365" ca="1">SUM(OFFSET($FC$43,0,($M365*3)+$N365,53,1)*P$43:P$95)</f>
        <v>0</v>
      </c>
      <c r="Q365" s="6">
        <f t="array" aca="1" ref="Q365" ca="1">SUM(OFFSET($FC$43,0,($M365*3)+$N365,53,1)*Q$43:Q$95)</f>
        <v>0</v>
      </c>
      <c r="R365" s="6">
        <f t="array" aca="1" ref="R365" ca="1">SUM(OFFSET($FC$43,0,($M365*3)+$N365,53,1)*R$43:R$95)</f>
        <v>0</v>
      </c>
      <c r="S365" s="6">
        <f t="array" aca="1" ref="S365" ca="1">SUM(OFFSET($FC$43,0,($M365*3)+$N365,53,1)*S$43:S$95)</f>
        <v>0</v>
      </c>
      <c r="T365" s="6">
        <f t="array" aca="1" ref="T365" ca="1">SUM(OFFSET($FC$43,0,($M365*3)+$N365,53,1)*T$43:T$95)</f>
        <v>0</v>
      </c>
      <c r="U365" s="6">
        <f t="array" aca="1" ref="U365" ca="1">SUM(OFFSET($FC$43,0,($M365*3)+$N365,53,1)*U$43:U$95)</f>
        <v>0</v>
      </c>
      <c r="V365" s="6">
        <f t="array" aca="1" ref="V365" ca="1">SUM(OFFSET($FC$43,0,($M365*3)+$N365,53,1)*V$43:V$95)</f>
        <v>0</v>
      </c>
      <c r="W365" s="6">
        <f t="array" aca="1" ref="W365" ca="1">SUM(OFFSET($FC$43,0,($M365*3)+$N365,53,1)*W$43:W$95)</f>
        <v>0</v>
      </c>
      <c r="X365" s="6">
        <f t="array" aca="1" ref="X365" ca="1">SUM(OFFSET($FC$43,0,($M365*3)+$N365,53,1)*X$43:X$95)</f>
        <v>0</v>
      </c>
      <c r="Y365" s="6">
        <f t="array" aca="1" ref="Y365" ca="1">SUM(OFFSET($FC$43,0,($M365*3)+$N365,53,1)*Y$43:Y$95)</f>
        <v>0</v>
      </c>
      <c r="Z365" s="6">
        <f t="array" aca="1" ref="Z365" ca="1">SUM(OFFSET($FC$43,0,($M365*3)+$N365,53,1)*Z$43:Z$95)</f>
        <v>0</v>
      </c>
      <c r="AA365" s="6">
        <f t="shared" ca="1" si="144"/>
        <v>0</v>
      </c>
      <c r="AB365" s="6" t="str">
        <f t="shared" si="143"/>
        <v/>
      </c>
    </row>
    <row r="366" spans="1:28" x14ac:dyDescent="0.25">
      <c r="A366">
        <f>1</f>
        <v>1</v>
      </c>
      <c r="B366" s="85">
        <f t="shared" si="149"/>
        <v>44154</v>
      </c>
      <c r="C366" s="85">
        <f t="shared" si="145"/>
        <v>44151</v>
      </c>
      <c r="D366">
        <f t="shared" ca="1" si="146"/>
        <v>1</v>
      </c>
      <c r="E366" s="85">
        <f t="shared" si="147"/>
        <v>44136</v>
      </c>
      <c r="F366">
        <f t="shared" si="148"/>
        <v>47</v>
      </c>
      <c r="L366" t="str">
        <f t="shared" ca="1" si="142"/>
        <v/>
      </c>
      <c r="M366">
        <v>15</v>
      </c>
      <c r="N366">
        <v>1</v>
      </c>
      <c r="O366" s="6">
        <f t="array" aca="1" ref="O366" ca="1">SUM(OFFSET($FC$43,0,($M366*3)+$N366,53,1)*O$43:O$95)</f>
        <v>0</v>
      </c>
      <c r="P366" s="6">
        <f t="array" aca="1" ref="P366" ca="1">SUM(OFFSET($FC$43,0,($M366*3)+$N366,53,1)*P$43:P$95)</f>
        <v>0</v>
      </c>
      <c r="Q366" s="6">
        <f t="array" aca="1" ref="Q366" ca="1">SUM(OFFSET($FC$43,0,($M366*3)+$N366,53,1)*Q$43:Q$95)</f>
        <v>0</v>
      </c>
      <c r="R366" s="6">
        <f t="array" aca="1" ref="R366" ca="1">SUM(OFFSET($FC$43,0,($M366*3)+$N366,53,1)*R$43:R$95)</f>
        <v>0</v>
      </c>
      <c r="S366" s="6">
        <f t="array" aca="1" ref="S366" ca="1">SUM(OFFSET($FC$43,0,($M366*3)+$N366,53,1)*S$43:S$95)</f>
        <v>0</v>
      </c>
      <c r="T366" s="6">
        <f t="array" aca="1" ref="T366" ca="1">SUM(OFFSET($FC$43,0,($M366*3)+$N366,53,1)*T$43:T$95)</f>
        <v>0</v>
      </c>
      <c r="U366" s="6">
        <f t="array" aca="1" ref="U366" ca="1">SUM(OFFSET($FC$43,0,($M366*3)+$N366,53,1)*U$43:U$95)</f>
        <v>0</v>
      </c>
      <c r="V366" s="6">
        <f t="array" aca="1" ref="V366" ca="1">SUM(OFFSET($FC$43,0,($M366*3)+$N366,53,1)*V$43:V$95)</f>
        <v>0</v>
      </c>
      <c r="W366" s="6">
        <f t="array" aca="1" ref="W366" ca="1">SUM(OFFSET($FC$43,0,($M366*3)+$N366,53,1)*W$43:W$95)</f>
        <v>0</v>
      </c>
      <c r="X366" s="6">
        <f t="array" aca="1" ref="X366" ca="1">SUM(OFFSET($FC$43,0,($M366*3)+$N366,53,1)*X$43:X$95)</f>
        <v>0</v>
      </c>
      <c r="Y366" s="6">
        <f t="array" aca="1" ref="Y366" ca="1">SUM(OFFSET($FC$43,0,($M366*3)+$N366,53,1)*Y$43:Y$95)</f>
        <v>0</v>
      </c>
      <c r="Z366" s="6">
        <f t="array" aca="1" ref="Z366" ca="1">SUM(OFFSET($FC$43,0,($M366*3)+$N366,53,1)*Z$43:Z$95)</f>
        <v>0</v>
      </c>
      <c r="AA366" s="6">
        <f t="shared" ca="1" si="144"/>
        <v>0</v>
      </c>
      <c r="AB366" s="6" t="str">
        <f t="shared" si="143"/>
        <v/>
      </c>
    </row>
    <row r="367" spans="1:28" x14ac:dyDescent="0.25">
      <c r="A367">
        <f>1</f>
        <v>1</v>
      </c>
      <c r="B367" s="85">
        <f t="shared" si="149"/>
        <v>44155</v>
      </c>
      <c r="C367" s="85">
        <f t="shared" si="145"/>
        <v>44151</v>
      </c>
      <c r="D367">
        <f t="shared" ca="1" si="146"/>
        <v>1</v>
      </c>
      <c r="E367" s="85">
        <f t="shared" si="147"/>
        <v>44136</v>
      </c>
      <c r="F367">
        <f t="shared" si="148"/>
        <v>47</v>
      </c>
      <c r="L367" t="str">
        <f t="shared" ca="1" si="142"/>
        <v/>
      </c>
      <c r="M367">
        <v>15</v>
      </c>
      <c r="N367">
        <v>2</v>
      </c>
      <c r="O367" s="6">
        <f t="array" aca="1" ref="O367" ca="1">SUM(OFFSET($FC$43,0,($M367*3)+$N367,53,1)*O$43:O$95)</f>
        <v>0</v>
      </c>
      <c r="P367" s="6">
        <f t="array" aca="1" ref="P367" ca="1">SUM(OFFSET($FC$43,0,($M367*3)+$N367,53,1)*P$43:P$95)</f>
        <v>0</v>
      </c>
      <c r="Q367" s="6">
        <f t="array" aca="1" ref="Q367" ca="1">SUM(OFFSET($FC$43,0,($M367*3)+$N367,53,1)*Q$43:Q$95)</f>
        <v>0</v>
      </c>
      <c r="R367" s="6">
        <f t="array" aca="1" ref="R367" ca="1">SUM(OFFSET($FC$43,0,($M367*3)+$N367,53,1)*R$43:R$95)</f>
        <v>0</v>
      </c>
      <c r="S367" s="6">
        <f t="array" aca="1" ref="S367" ca="1">SUM(OFFSET($FC$43,0,($M367*3)+$N367,53,1)*S$43:S$95)</f>
        <v>0</v>
      </c>
      <c r="T367" s="6">
        <f t="array" aca="1" ref="T367" ca="1">SUM(OFFSET($FC$43,0,($M367*3)+$N367,53,1)*T$43:T$95)</f>
        <v>0</v>
      </c>
      <c r="U367" s="6">
        <f t="array" aca="1" ref="U367" ca="1">SUM(OFFSET($FC$43,0,($M367*3)+$N367,53,1)*U$43:U$95)</f>
        <v>0</v>
      </c>
      <c r="V367" s="6">
        <f t="array" aca="1" ref="V367" ca="1">SUM(OFFSET($FC$43,0,($M367*3)+$N367,53,1)*V$43:V$95)</f>
        <v>0</v>
      </c>
      <c r="W367" s="6">
        <f t="array" aca="1" ref="W367" ca="1">SUM(OFFSET($FC$43,0,($M367*3)+$N367,53,1)*W$43:W$95)</f>
        <v>0</v>
      </c>
      <c r="X367" s="6">
        <f t="array" aca="1" ref="X367" ca="1">SUM(OFFSET($FC$43,0,($M367*3)+$N367,53,1)*X$43:X$95)</f>
        <v>0</v>
      </c>
      <c r="Y367" s="6">
        <f t="array" aca="1" ref="Y367" ca="1">SUM(OFFSET($FC$43,0,($M367*3)+$N367,53,1)*Y$43:Y$95)</f>
        <v>0</v>
      </c>
      <c r="Z367" s="6">
        <f t="array" aca="1" ref="Z367" ca="1">SUM(OFFSET($FC$43,0,($M367*3)+$N367,53,1)*Z$43:Z$95)</f>
        <v>0</v>
      </c>
      <c r="AA367" s="6">
        <f t="shared" ca="1" si="144"/>
        <v>0</v>
      </c>
      <c r="AB367" s="6" t="str">
        <f t="shared" si="143"/>
        <v/>
      </c>
    </row>
    <row r="368" spans="1:28" x14ac:dyDescent="0.25">
      <c r="A368">
        <f>1</f>
        <v>1</v>
      </c>
      <c r="B368" s="85">
        <f t="shared" si="149"/>
        <v>44156</v>
      </c>
      <c r="C368" s="85">
        <f t="shared" si="145"/>
        <v>44151</v>
      </c>
      <c r="D368">
        <f t="shared" ca="1" si="146"/>
        <v>0</v>
      </c>
      <c r="E368" s="85">
        <f t="shared" si="147"/>
        <v>44136</v>
      </c>
      <c r="F368">
        <f t="shared" si="148"/>
        <v>47</v>
      </c>
      <c r="L368" t="str">
        <f t="shared" ca="1" si="142"/>
        <v/>
      </c>
      <c r="M368">
        <v>15</v>
      </c>
      <c r="N368">
        <v>3</v>
      </c>
      <c r="O368" s="6">
        <f t="array" aca="1" ref="O368" ca="1">SUM(OFFSET($FC$43,0,($M368*3)+$N368,53,1)*O$43:O$95)</f>
        <v>0</v>
      </c>
      <c r="P368" s="6">
        <f t="array" aca="1" ref="P368" ca="1">SUM(OFFSET($FC$43,0,($M368*3)+$N368,53,1)*P$43:P$95)</f>
        <v>0</v>
      </c>
      <c r="Q368" s="6">
        <f t="array" aca="1" ref="Q368" ca="1">SUM(OFFSET($FC$43,0,($M368*3)+$N368,53,1)*Q$43:Q$95)</f>
        <v>0</v>
      </c>
      <c r="R368" s="6">
        <f t="array" aca="1" ref="R368" ca="1">SUM(OFFSET($FC$43,0,($M368*3)+$N368,53,1)*R$43:R$95)</f>
        <v>0</v>
      </c>
      <c r="S368" s="6">
        <f t="array" aca="1" ref="S368" ca="1">SUM(OFFSET($FC$43,0,($M368*3)+$N368,53,1)*S$43:S$95)</f>
        <v>0</v>
      </c>
      <c r="T368" s="6">
        <f t="array" aca="1" ref="T368" ca="1">SUM(OFFSET($FC$43,0,($M368*3)+$N368,53,1)*T$43:T$95)</f>
        <v>0</v>
      </c>
      <c r="U368" s="6">
        <f t="array" aca="1" ref="U368" ca="1">SUM(OFFSET($FC$43,0,($M368*3)+$N368,53,1)*U$43:U$95)</f>
        <v>0</v>
      </c>
      <c r="V368" s="6">
        <f t="array" aca="1" ref="V368" ca="1">SUM(OFFSET($FC$43,0,($M368*3)+$N368,53,1)*V$43:V$95)</f>
        <v>0</v>
      </c>
      <c r="W368" s="6">
        <f t="array" aca="1" ref="W368" ca="1">SUM(OFFSET($FC$43,0,($M368*3)+$N368,53,1)*W$43:W$95)</f>
        <v>0</v>
      </c>
      <c r="X368" s="6">
        <f t="array" aca="1" ref="X368" ca="1">SUM(OFFSET($FC$43,0,($M368*3)+$N368,53,1)*X$43:X$95)</f>
        <v>0</v>
      </c>
      <c r="Y368" s="6">
        <f t="array" aca="1" ref="Y368" ca="1">SUM(OFFSET($FC$43,0,($M368*3)+$N368,53,1)*Y$43:Y$95)</f>
        <v>0</v>
      </c>
      <c r="Z368" s="6">
        <f t="array" aca="1" ref="Z368" ca="1">SUM(OFFSET($FC$43,0,($M368*3)+$N368,53,1)*Z$43:Z$95)</f>
        <v>0</v>
      </c>
      <c r="AA368" s="6">
        <f t="shared" ca="1" si="144"/>
        <v>0</v>
      </c>
      <c r="AB368" s="6" t="str">
        <f t="shared" si="143"/>
        <v/>
      </c>
    </row>
    <row r="369" spans="1:28" x14ac:dyDescent="0.25">
      <c r="A369">
        <f>1</f>
        <v>1</v>
      </c>
      <c r="B369" s="85">
        <f t="shared" si="149"/>
        <v>44157</v>
      </c>
      <c r="C369" s="85">
        <f t="shared" si="145"/>
        <v>44151</v>
      </c>
      <c r="D369">
        <f t="shared" ca="1" si="146"/>
        <v>0</v>
      </c>
      <c r="E369" s="85">
        <f t="shared" si="147"/>
        <v>44136</v>
      </c>
      <c r="F369">
        <f t="shared" si="148"/>
        <v>47</v>
      </c>
      <c r="L369" t="str">
        <f t="shared" ca="1" si="142"/>
        <v/>
      </c>
      <c r="M369">
        <v>16</v>
      </c>
      <c r="N369">
        <v>1</v>
      </c>
      <c r="O369" s="6">
        <f t="array" aca="1" ref="O369" ca="1">SUM(OFFSET($FC$43,0,($M369*3)+$N369,53,1)*O$43:O$95)</f>
        <v>0</v>
      </c>
      <c r="P369" s="6">
        <f t="array" aca="1" ref="P369" ca="1">SUM(OFFSET($FC$43,0,($M369*3)+$N369,53,1)*P$43:P$95)</f>
        <v>0</v>
      </c>
      <c r="Q369" s="6">
        <f t="array" aca="1" ref="Q369" ca="1">SUM(OFFSET($FC$43,0,($M369*3)+$N369,53,1)*Q$43:Q$95)</f>
        <v>0</v>
      </c>
      <c r="R369" s="6">
        <f t="array" aca="1" ref="R369" ca="1">SUM(OFFSET($FC$43,0,($M369*3)+$N369,53,1)*R$43:R$95)</f>
        <v>0</v>
      </c>
      <c r="S369" s="6">
        <f t="array" aca="1" ref="S369" ca="1">SUM(OFFSET($FC$43,0,($M369*3)+$N369,53,1)*S$43:S$95)</f>
        <v>0</v>
      </c>
      <c r="T369" s="6">
        <f t="array" aca="1" ref="T369" ca="1">SUM(OFFSET($FC$43,0,($M369*3)+$N369,53,1)*T$43:T$95)</f>
        <v>0</v>
      </c>
      <c r="U369" s="6">
        <f t="array" aca="1" ref="U369" ca="1">SUM(OFFSET($FC$43,0,($M369*3)+$N369,53,1)*U$43:U$95)</f>
        <v>0</v>
      </c>
      <c r="V369" s="6">
        <f t="array" aca="1" ref="V369" ca="1">SUM(OFFSET($FC$43,0,($M369*3)+$N369,53,1)*V$43:V$95)</f>
        <v>0</v>
      </c>
      <c r="W369" s="6">
        <f t="array" aca="1" ref="W369" ca="1">SUM(OFFSET($FC$43,0,($M369*3)+$N369,53,1)*W$43:W$95)</f>
        <v>0</v>
      </c>
      <c r="X369" s="6">
        <f t="array" aca="1" ref="X369" ca="1">SUM(OFFSET($FC$43,0,($M369*3)+$N369,53,1)*X$43:X$95)</f>
        <v>0</v>
      </c>
      <c r="Y369" s="6">
        <f t="array" aca="1" ref="Y369" ca="1">SUM(OFFSET($FC$43,0,($M369*3)+$N369,53,1)*Y$43:Y$95)</f>
        <v>0</v>
      </c>
      <c r="Z369" s="6">
        <f t="array" aca="1" ref="Z369" ca="1">SUM(OFFSET($FC$43,0,($M369*3)+$N369,53,1)*Z$43:Z$95)</f>
        <v>0</v>
      </c>
      <c r="AA369" s="6">
        <f t="shared" ca="1" si="144"/>
        <v>0</v>
      </c>
      <c r="AB369" s="6" t="str">
        <f t="shared" si="143"/>
        <v/>
      </c>
    </row>
    <row r="370" spans="1:28" x14ac:dyDescent="0.25">
      <c r="A370">
        <f>1</f>
        <v>1</v>
      </c>
      <c r="B370" s="85">
        <f t="shared" si="149"/>
        <v>44158</v>
      </c>
      <c r="C370" s="85">
        <f t="shared" si="145"/>
        <v>44158</v>
      </c>
      <c r="D370">
        <f t="shared" ca="1" si="146"/>
        <v>1</v>
      </c>
      <c r="E370" s="85">
        <f t="shared" si="147"/>
        <v>44136</v>
      </c>
      <c r="F370">
        <f t="shared" si="148"/>
        <v>48</v>
      </c>
      <c r="L370" t="str">
        <f t="shared" ca="1" si="142"/>
        <v/>
      </c>
      <c r="M370">
        <v>16</v>
      </c>
      <c r="N370">
        <v>2</v>
      </c>
      <c r="O370" s="6">
        <f t="array" aca="1" ref="O370" ca="1">SUM(OFFSET($FC$43,0,($M370*3)+$N370,53,1)*O$43:O$95)</f>
        <v>0</v>
      </c>
      <c r="P370" s="6">
        <f t="array" aca="1" ref="P370" ca="1">SUM(OFFSET($FC$43,0,($M370*3)+$N370,53,1)*P$43:P$95)</f>
        <v>0</v>
      </c>
      <c r="Q370" s="6">
        <f t="array" aca="1" ref="Q370" ca="1">SUM(OFFSET($FC$43,0,($M370*3)+$N370,53,1)*Q$43:Q$95)</f>
        <v>0</v>
      </c>
      <c r="R370" s="6">
        <f t="array" aca="1" ref="R370" ca="1">SUM(OFFSET($FC$43,0,($M370*3)+$N370,53,1)*R$43:R$95)</f>
        <v>0</v>
      </c>
      <c r="S370" s="6">
        <f t="array" aca="1" ref="S370" ca="1">SUM(OFFSET($FC$43,0,($M370*3)+$N370,53,1)*S$43:S$95)</f>
        <v>0</v>
      </c>
      <c r="T370" s="6">
        <f t="array" aca="1" ref="T370" ca="1">SUM(OFFSET($FC$43,0,($M370*3)+$N370,53,1)*T$43:T$95)</f>
        <v>0</v>
      </c>
      <c r="U370" s="6">
        <f t="array" aca="1" ref="U370" ca="1">SUM(OFFSET($FC$43,0,($M370*3)+$N370,53,1)*U$43:U$95)</f>
        <v>0</v>
      </c>
      <c r="V370" s="6">
        <f t="array" aca="1" ref="V370" ca="1">SUM(OFFSET($FC$43,0,($M370*3)+$N370,53,1)*V$43:V$95)</f>
        <v>0</v>
      </c>
      <c r="W370" s="6">
        <f t="array" aca="1" ref="W370" ca="1">SUM(OFFSET($FC$43,0,($M370*3)+$N370,53,1)*W$43:W$95)</f>
        <v>0</v>
      </c>
      <c r="X370" s="6">
        <f t="array" aca="1" ref="X370" ca="1">SUM(OFFSET($FC$43,0,($M370*3)+$N370,53,1)*X$43:X$95)</f>
        <v>0</v>
      </c>
      <c r="Y370" s="6">
        <f t="array" aca="1" ref="Y370" ca="1">SUM(OFFSET($FC$43,0,($M370*3)+$N370,53,1)*Y$43:Y$95)</f>
        <v>0</v>
      </c>
      <c r="Z370" s="6">
        <f t="array" aca="1" ref="Z370" ca="1">SUM(OFFSET($FC$43,0,($M370*3)+$N370,53,1)*Z$43:Z$95)</f>
        <v>0</v>
      </c>
      <c r="AA370" s="6">
        <f t="shared" ca="1" si="144"/>
        <v>0</v>
      </c>
      <c r="AB370" s="6" t="str">
        <f t="shared" si="143"/>
        <v/>
      </c>
    </row>
    <row r="371" spans="1:28" x14ac:dyDescent="0.25">
      <c r="A371">
        <f>1</f>
        <v>1</v>
      </c>
      <c r="B371" s="85">
        <f t="shared" si="149"/>
        <v>44159</v>
      </c>
      <c r="C371" s="85">
        <f t="shared" si="145"/>
        <v>44158</v>
      </c>
      <c r="D371">
        <f t="shared" ca="1" si="146"/>
        <v>1</v>
      </c>
      <c r="E371" s="85">
        <f t="shared" si="147"/>
        <v>44136</v>
      </c>
      <c r="F371">
        <f t="shared" si="148"/>
        <v>48</v>
      </c>
      <c r="L371" t="str">
        <f t="shared" ca="1" si="142"/>
        <v/>
      </c>
      <c r="M371">
        <v>16</v>
      </c>
      <c r="N371">
        <v>3</v>
      </c>
      <c r="O371" s="6">
        <f t="array" aca="1" ref="O371" ca="1">SUM(OFFSET($FC$43,0,($M371*3)+$N371,53,1)*O$43:O$95)</f>
        <v>0</v>
      </c>
      <c r="P371" s="6">
        <f t="array" aca="1" ref="P371" ca="1">SUM(OFFSET($FC$43,0,($M371*3)+$N371,53,1)*P$43:P$95)</f>
        <v>0</v>
      </c>
      <c r="Q371" s="6">
        <f t="array" aca="1" ref="Q371" ca="1">SUM(OFFSET($FC$43,0,($M371*3)+$N371,53,1)*Q$43:Q$95)</f>
        <v>0</v>
      </c>
      <c r="R371" s="6">
        <f t="array" aca="1" ref="R371" ca="1">SUM(OFFSET($FC$43,0,($M371*3)+$N371,53,1)*R$43:R$95)</f>
        <v>0</v>
      </c>
      <c r="S371" s="6">
        <f t="array" aca="1" ref="S371" ca="1">SUM(OFFSET($FC$43,0,($M371*3)+$N371,53,1)*S$43:S$95)</f>
        <v>0</v>
      </c>
      <c r="T371" s="6">
        <f t="array" aca="1" ref="T371" ca="1">SUM(OFFSET($FC$43,0,($M371*3)+$N371,53,1)*T$43:T$95)</f>
        <v>0</v>
      </c>
      <c r="U371" s="6">
        <f t="array" aca="1" ref="U371" ca="1">SUM(OFFSET($FC$43,0,($M371*3)+$N371,53,1)*U$43:U$95)</f>
        <v>0</v>
      </c>
      <c r="V371" s="6">
        <f t="array" aca="1" ref="V371" ca="1">SUM(OFFSET($FC$43,0,($M371*3)+$N371,53,1)*V$43:V$95)</f>
        <v>0</v>
      </c>
      <c r="W371" s="6">
        <f t="array" aca="1" ref="W371" ca="1">SUM(OFFSET($FC$43,0,($M371*3)+$N371,53,1)*W$43:W$95)</f>
        <v>0</v>
      </c>
      <c r="X371" s="6">
        <f t="array" aca="1" ref="X371" ca="1">SUM(OFFSET($FC$43,0,($M371*3)+$N371,53,1)*X$43:X$95)</f>
        <v>0</v>
      </c>
      <c r="Y371" s="6">
        <f t="array" aca="1" ref="Y371" ca="1">SUM(OFFSET($FC$43,0,($M371*3)+$N371,53,1)*Y$43:Y$95)</f>
        <v>0</v>
      </c>
      <c r="Z371" s="6">
        <f t="array" aca="1" ref="Z371" ca="1">SUM(OFFSET($FC$43,0,($M371*3)+$N371,53,1)*Z$43:Z$95)</f>
        <v>0</v>
      </c>
      <c r="AA371" s="6">
        <f t="shared" ca="1" si="144"/>
        <v>0</v>
      </c>
      <c r="AB371" s="6" t="str">
        <f t="shared" si="143"/>
        <v/>
      </c>
    </row>
    <row r="372" spans="1:28" x14ac:dyDescent="0.25">
      <c r="A372">
        <f>1</f>
        <v>1</v>
      </c>
      <c r="B372" s="85">
        <f t="shared" si="149"/>
        <v>44160</v>
      </c>
      <c r="C372" s="85">
        <f t="shared" si="145"/>
        <v>44158</v>
      </c>
      <c r="D372">
        <f t="shared" ca="1" si="146"/>
        <v>1</v>
      </c>
      <c r="E372" s="85">
        <f t="shared" si="147"/>
        <v>44136</v>
      </c>
      <c r="F372">
        <f t="shared" si="148"/>
        <v>48</v>
      </c>
      <c r="L372" t="str">
        <f t="shared" ca="1" si="142"/>
        <v/>
      </c>
      <c r="M372">
        <v>17</v>
      </c>
      <c r="N372">
        <v>1</v>
      </c>
      <c r="O372" s="6">
        <f t="array" aca="1" ref="O372" ca="1">SUM(OFFSET($FC$43,0,($M372*3)+$N372,53,1)*O$43:O$95)</f>
        <v>0</v>
      </c>
      <c r="P372" s="6">
        <f t="array" aca="1" ref="P372" ca="1">SUM(OFFSET($FC$43,0,($M372*3)+$N372,53,1)*P$43:P$95)</f>
        <v>0</v>
      </c>
      <c r="Q372" s="6">
        <f t="array" aca="1" ref="Q372" ca="1">SUM(OFFSET($FC$43,0,($M372*3)+$N372,53,1)*Q$43:Q$95)</f>
        <v>0</v>
      </c>
      <c r="R372" s="6">
        <f t="array" aca="1" ref="R372" ca="1">SUM(OFFSET($FC$43,0,($M372*3)+$N372,53,1)*R$43:R$95)</f>
        <v>0</v>
      </c>
      <c r="S372" s="6">
        <f t="array" aca="1" ref="S372" ca="1">SUM(OFFSET($FC$43,0,($M372*3)+$N372,53,1)*S$43:S$95)</f>
        <v>0</v>
      </c>
      <c r="T372" s="6">
        <f t="array" aca="1" ref="T372" ca="1">SUM(OFFSET($FC$43,0,($M372*3)+$N372,53,1)*T$43:T$95)</f>
        <v>0</v>
      </c>
      <c r="U372" s="6">
        <f t="array" aca="1" ref="U372" ca="1">SUM(OFFSET($FC$43,0,($M372*3)+$N372,53,1)*U$43:U$95)</f>
        <v>0</v>
      </c>
      <c r="V372" s="6">
        <f t="array" aca="1" ref="V372" ca="1">SUM(OFFSET($FC$43,0,($M372*3)+$N372,53,1)*V$43:V$95)</f>
        <v>0</v>
      </c>
      <c r="W372" s="6">
        <f t="array" aca="1" ref="W372" ca="1">SUM(OFFSET($FC$43,0,($M372*3)+$N372,53,1)*W$43:W$95)</f>
        <v>0</v>
      </c>
      <c r="X372" s="6">
        <f t="array" aca="1" ref="X372" ca="1">SUM(OFFSET($FC$43,0,($M372*3)+$N372,53,1)*X$43:X$95)</f>
        <v>0</v>
      </c>
      <c r="Y372" s="6">
        <f t="array" aca="1" ref="Y372" ca="1">SUM(OFFSET($FC$43,0,($M372*3)+$N372,53,1)*Y$43:Y$95)</f>
        <v>0</v>
      </c>
      <c r="Z372" s="6">
        <f t="array" aca="1" ref="Z372" ca="1">SUM(OFFSET($FC$43,0,($M372*3)+$N372,53,1)*Z$43:Z$95)</f>
        <v>0</v>
      </c>
      <c r="AA372" s="6">
        <f t="shared" ca="1" si="144"/>
        <v>0</v>
      </c>
      <c r="AB372" s="6" t="str">
        <f t="shared" si="143"/>
        <v/>
      </c>
    </row>
    <row r="373" spans="1:28" x14ac:dyDescent="0.25">
      <c r="A373">
        <f>1</f>
        <v>1</v>
      </c>
      <c r="B373" s="85">
        <f t="shared" si="149"/>
        <v>44161</v>
      </c>
      <c r="C373" s="85">
        <f t="shared" si="145"/>
        <v>44158</v>
      </c>
      <c r="D373">
        <f t="shared" ca="1" si="146"/>
        <v>1</v>
      </c>
      <c r="E373" s="85">
        <f t="shared" si="147"/>
        <v>44136</v>
      </c>
      <c r="F373">
        <f t="shared" si="148"/>
        <v>48</v>
      </c>
      <c r="L373" t="str">
        <f t="shared" ca="1" si="142"/>
        <v/>
      </c>
      <c r="M373">
        <v>17</v>
      </c>
      <c r="N373">
        <v>2</v>
      </c>
      <c r="O373" s="6">
        <f t="array" aca="1" ref="O373" ca="1">SUM(OFFSET($FC$43,0,($M373*3)+$N373,53,1)*O$43:O$95)</f>
        <v>0</v>
      </c>
      <c r="P373" s="6">
        <f t="array" aca="1" ref="P373" ca="1">SUM(OFFSET($FC$43,0,($M373*3)+$N373,53,1)*P$43:P$95)</f>
        <v>0</v>
      </c>
      <c r="Q373" s="6">
        <f t="array" aca="1" ref="Q373" ca="1">SUM(OFFSET($FC$43,0,($M373*3)+$N373,53,1)*Q$43:Q$95)</f>
        <v>0</v>
      </c>
      <c r="R373" s="6">
        <f t="array" aca="1" ref="R373" ca="1">SUM(OFFSET($FC$43,0,($M373*3)+$N373,53,1)*R$43:R$95)</f>
        <v>0</v>
      </c>
      <c r="S373" s="6">
        <f t="array" aca="1" ref="S373" ca="1">SUM(OFFSET($FC$43,0,($M373*3)+$N373,53,1)*S$43:S$95)</f>
        <v>0</v>
      </c>
      <c r="T373" s="6">
        <f t="array" aca="1" ref="T373" ca="1">SUM(OFFSET($FC$43,0,($M373*3)+$N373,53,1)*T$43:T$95)</f>
        <v>0</v>
      </c>
      <c r="U373" s="6">
        <f t="array" aca="1" ref="U373" ca="1">SUM(OFFSET($FC$43,0,($M373*3)+$N373,53,1)*U$43:U$95)</f>
        <v>0</v>
      </c>
      <c r="V373" s="6">
        <f t="array" aca="1" ref="V373" ca="1">SUM(OFFSET($FC$43,0,($M373*3)+$N373,53,1)*V$43:V$95)</f>
        <v>0</v>
      </c>
      <c r="W373" s="6">
        <f t="array" aca="1" ref="W373" ca="1">SUM(OFFSET($FC$43,0,($M373*3)+$N373,53,1)*W$43:W$95)</f>
        <v>0</v>
      </c>
      <c r="X373" s="6">
        <f t="array" aca="1" ref="X373" ca="1">SUM(OFFSET($FC$43,0,($M373*3)+$N373,53,1)*X$43:X$95)</f>
        <v>0</v>
      </c>
      <c r="Y373" s="6">
        <f t="array" aca="1" ref="Y373" ca="1">SUM(OFFSET($FC$43,0,($M373*3)+$N373,53,1)*Y$43:Y$95)</f>
        <v>0</v>
      </c>
      <c r="Z373" s="6">
        <f t="array" aca="1" ref="Z373" ca="1">SUM(OFFSET($FC$43,0,($M373*3)+$N373,53,1)*Z$43:Z$95)</f>
        <v>0</v>
      </c>
      <c r="AA373" s="6">
        <f t="shared" ca="1" si="144"/>
        <v>0</v>
      </c>
      <c r="AB373" s="6" t="str">
        <f t="shared" si="143"/>
        <v/>
      </c>
    </row>
    <row r="374" spans="1:28" x14ac:dyDescent="0.25">
      <c r="A374">
        <f>1</f>
        <v>1</v>
      </c>
      <c r="B374" s="85">
        <f t="shared" si="149"/>
        <v>44162</v>
      </c>
      <c r="C374" s="85">
        <f t="shared" si="145"/>
        <v>44158</v>
      </c>
      <c r="D374">
        <f t="shared" ca="1" si="146"/>
        <v>1</v>
      </c>
      <c r="E374" s="85">
        <f t="shared" si="147"/>
        <v>44136</v>
      </c>
      <c r="F374">
        <f t="shared" si="148"/>
        <v>48</v>
      </c>
      <c r="L374" t="str">
        <f t="shared" ca="1" si="142"/>
        <v/>
      </c>
      <c r="M374">
        <v>17</v>
      </c>
      <c r="N374">
        <v>3</v>
      </c>
      <c r="O374" s="6">
        <f t="array" aca="1" ref="O374" ca="1">SUM(OFFSET($FC$43,0,($M374*3)+$N374,53,1)*O$43:O$95)</f>
        <v>0</v>
      </c>
      <c r="P374" s="6">
        <f t="array" aca="1" ref="P374" ca="1">SUM(OFFSET($FC$43,0,($M374*3)+$N374,53,1)*P$43:P$95)</f>
        <v>0</v>
      </c>
      <c r="Q374" s="6">
        <f t="array" aca="1" ref="Q374" ca="1">SUM(OFFSET($FC$43,0,($M374*3)+$N374,53,1)*Q$43:Q$95)</f>
        <v>0</v>
      </c>
      <c r="R374" s="6">
        <f t="array" aca="1" ref="R374" ca="1">SUM(OFFSET($FC$43,0,($M374*3)+$N374,53,1)*R$43:R$95)</f>
        <v>0</v>
      </c>
      <c r="S374" s="6">
        <f t="array" aca="1" ref="S374" ca="1">SUM(OFFSET($FC$43,0,($M374*3)+$N374,53,1)*S$43:S$95)</f>
        <v>0</v>
      </c>
      <c r="T374" s="6">
        <f t="array" aca="1" ref="T374" ca="1">SUM(OFFSET($FC$43,0,($M374*3)+$N374,53,1)*T$43:T$95)</f>
        <v>0</v>
      </c>
      <c r="U374" s="6">
        <f t="array" aca="1" ref="U374" ca="1">SUM(OFFSET($FC$43,0,($M374*3)+$N374,53,1)*U$43:U$95)</f>
        <v>0</v>
      </c>
      <c r="V374" s="6">
        <f t="array" aca="1" ref="V374" ca="1">SUM(OFFSET($FC$43,0,($M374*3)+$N374,53,1)*V$43:V$95)</f>
        <v>0</v>
      </c>
      <c r="W374" s="6">
        <f t="array" aca="1" ref="W374" ca="1">SUM(OFFSET($FC$43,0,($M374*3)+$N374,53,1)*W$43:W$95)</f>
        <v>0</v>
      </c>
      <c r="X374" s="6">
        <f t="array" aca="1" ref="X374" ca="1">SUM(OFFSET($FC$43,0,($M374*3)+$N374,53,1)*X$43:X$95)</f>
        <v>0</v>
      </c>
      <c r="Y374" s="6">
        <f t="array" aca="1" ref="Y374" ca="1">SUM(OFFSET($FC$43,0,($M374*3)+$N374,53,1)*Y$43:Y$95)</f>
        <v>0</v>
      </c>
      <c r="Z374" s="6">
        <f t="array" aca="1" ref="Z374" ca="1">SUM(OFFSET($FC$43,0,($M374*3)+$N374,53,1)*Z$43:Z$95)</f>
        <v>0</v>
      </c>
      <c r="AA374" s="6">
        <f t="shared" ca="1" si="144"/>
        <v>0</v>
      </c>
      <c r="AB374" s="6" t="str">
        <f t="shared" si="143"/>
        <v/>
      </c>
    </row>
    <row r="375" spans="1:28" x14ac:dyDescent="0.25">
      <c r="A375">
        <f>1</f>
        <v>1</v>
      </c>
      <c r="B375" s="85">
        <f t="shared" si="149"/>
        <v>44163</v>
      </c>
      <c r="C375" s="85">
        <f t="shared" si="145"/>
        <v>44158</v>
      </c>
      <c r="D375">
        <f t="shared" ca="1" si="146"/>
        <v>0</v>
      </c>
      <c r="E375" s="85">
        <f t="shared" si="147"/>
        <v>44136</v>
      </c>
      <c r="F375">
        <f t="shared" si="148"/>
        <v>48</v>
      </c>
      <c r="L375" t="str">
        <f t="shared" ca="1" si="142"/>
        <v/>
      </c>
      <c r="M375">
        <v>18</v>
      </c>
      <c r="N375">
        <v>1</v>
      </c>
      <c r="O375" s="6">
        <f t="array" aca="1" ref="O375" ca="1">SUM(OFFSET($FC$43,0,($M375*3)+$N375,53,1)*O$43:O$95)</f>
        <v>0</v>
      </c>
      <c r="P375" s="6">
        <f t="array" aca="1" ref="P375" ca="1">SUM(OFFSET($FC$43,0,($M375*3)+$N375,53,1)*P$43:P$95)</f>
        <v>0</v>
      </c>
      <c r="Q375" s="6">
        <f t="array" aca="1" ref="Q375" ca="1">SUM(OFFSET($FC$43,0,($M375*3)+$N375,53,1)*Q$43:Q$95)</f>
        <v>0</v>
      </c>
      <c r="R375" s="6">
        <f t="array" aca="1" ref="R375" ca="1">SUM(OFFSET($FC$43,0,($M375*3)+$N375,53,1)*R$43:R$95)</f>
        <v>0</v>
      </c>
      <c r="S375" s="6">
        <f t="array" aca="1" ref="S375" ca="1">SUM(OFFSET($FC$43,0,($M375*3)+$N375,53,1)*S$43:S$95)</f>
        <v>0</v>
      </c>
      <c r="T375" s="6">
        <f t="array" aca="1" ref="T375" ca="1">SUM(OFFSET($FC$43,0,($M375*3)+$N375,53,1)*T$43:T$95)</f>
        <v>0</v>
      </c>
      <c r="U375" s="6">
        <f t="array" aca="1" ref="U375" ca="1">SUM(OFFSET($FC$43,0,($M375*3)+$N375,53,1)*U$43:U$95)</f>
        <v>0</v>
      </c>
      <c r="V375" s="6">
        <f t="array" aca="1" ref="V375" ca="1">SUM(OFFSET($FC$43,0,($M375*3)+$N375,53,1)*V$43:V$95)</f>
        <v>0</v>
      </c>
      <c r="W375" s="6">
        <f t="array" aca="1" ref="W375" ca="1">SUM(OFFSET($FC$43,0,($M375*3)+$N375,53,1)*W$43:W$95)</f>
        <v>0</v>
      </c>
      <c r="X375" s="6">
        <f t="array" aca="1" ref="X375" ca="1">SUM(OFFSET($FC$43,0,($M375*3)+$N375,53,1)*X$43:X$95)</f>
        <v>0</v>
      </c>
      <c r="Y375" s="6">
        <f t="array" aca="1" ref="Y375" ca="1">SUM(OFFSET($FC$43,0,($M375*3)+$N375,53,1)*Y$43:Y$95)</f>
        <v>0</v>
      </c>
      <c r="Z375" s="6">
        <f t="array" aca="1" ref="Z375" ca="1">SUM(OFFSET($FC$43,0,($M375*3)+$N375,53,1)*Z$43:Z$95)</f>
        <v>0</v>
      </c>
      <c r="AA375" s="6">
        <f t="shared" ca="1" si="144"/>
        <v>0</v>
      </c>
      <c r="AB375" s="6" t="str">
        <f t="shared" si="143"/>
        <v/>
      </c>
    </row>
    <row r="376" spans="1:28" x14ac:dyDescent="0.25">
      <c r="A376">
        <f>1</f>
        <v>1</v>
      </c>
      <c r="B376" s="85">
        <f t="shared" si="149"/>
        <v>44164</v>
      </c>
      <c r="C376" s="85">
        <f t="shared" si="145"/>
        <v>44158</v>
      </c>
      <c r="D376">
        <f t="shared" ca="1" si="146"/>
        <v>0</v>
      </c>
      <c r="E376" s="85">
        <f t="shared" si="147"/>
        <v>44136</v>
      </c>
      <c r="F376">
        <f t="shared" si="148"/>
        <v>48</v>
      </c>
      <c r="L376" t="str">
        <f t="shared" ca="1" si="142"/>
        <v/>
      </c>
      <c r="M376">
        <v>18</v>
      </c>
      <c r="N376">
        <v>2</v>
      </c>
      <c r="O376" s="6">
        <f t="array" aca="1" ref="O376" ca="1">SUM(OFFSET($FC$43,0,($M376*3)+$N376,53,1)*O$43:O$95)</f>
        <v>0</v>
      </c>
      <c r="P376" s="6">
        <f t="array" aca="1" ref="P376" ca="1">SUM(OFFSET($FC$43,0,($M376*3)+$N376,53,1)*P$43:P$95)</f>
        <v>0</v>
      </c>
      <c r="Q376" s="6">
        <f t="array" aca="1" ref="Q376" ca="1">SUM(OFFSET($FC$43,0,($M376*3)+$N376,53,1)*Q$43:Q$95)</f>
        <v>0</v>
      </c>
      <c r="R376" s="6">
        <f t="array" aca="1" ref="R376" ca="1">SUM(OFFSET($FC$43,0,($M376*3)+$N376,53,1)*R$43:R$95)</f>
        <v>0</v>
      </c>
      <c r="S376" s="6">
        <f t="array" aca="1" ref="S376" ca="1">SUM(OFFSET($FC$43,0,($M376*3)+$N376,53,1)*S$43:S$95)</f>
        <v>0</v>
      </c>
      <c r="T376" s="6">
        <f t="array" aca="1" ref="T376" ca="1">SUM(OFFSET($FC$43,0,($M376*3)+$N376,53,1)*T$43:T$95)</f>
        <v>0</v>
      </c>
      <c r="U376" s="6">
        <f t="array" aca="1" ref="U376" ca="1">SUM(OFFSET($FC$43,0,($M376*3)+$N376,53,1)*U$43:U$95)</f>
        <v>0</v>
      </c>
      <c r="V376" s="6">
        <f t="array" aca="1" ref="V376" ca="1">SUM(OFFSET($FC$43,0,($M376*3)+$N376,53,1)*V$43:V$95)</f>
        <v>0</v>
      </c>
      <c r="W376" s="6">
        <f t="array" aca="1" ref="W376" ca="1">SUM(OFFSET($FC$43,0,($M376*3)+$N376,53,1)*W$43:W$95)</f>
        <v>0</v>
      </c>
      <c r="X376" s="6">
        <f t="array" aca="1" ref="X376" ca="1">SUM(OFFSET($FC$43,0,($M376*3)+$N376,53,1)*X$43:X$95)</f>
        <v>0</v>
      </c>
      <c r="Y376" s="6">
        <f t="array" aca="1" ref="Y376" ca="1">SUM(OFFSET($FC$43,0,($M376*3)+$N376,53,1)*Y$43:Y$95)</f>
        <v>0</v>
      </c>
      <c r="Z376" s="6">
        <f t="array" aca="1" ref="Z376" ca="1">SUM(OFFSET($FC$43,0,($M376*3)+$N376,53,1)*Z$43:Z$95)</f>
        <v>0</v>
      </c>
      <c r="AA376" s="6">
        <f t="shared" ca="1" si="144"/>
        <v>0</v>
      </c>
      <c r="AB376" s="6" t="str">
        <f t="shared" si="143"/>
        <v/>
      </c>
    </row>
    <row r="377" spans="1:28" x14ac:dyDescent="0.25">
      <c r="A377">
        <f>1</f>
        <v>1</v>
      </c>
      <c r="B377" s="85">
        <f t="shared" si="149"/>
        <v>44165</v>
      </c>
      <c r="C377" s="85">
        <f t="shared" si="145"/>
        <v>44165</v>
      </c>
      <c r="D377">
        <f t="shared" ca="1" si="146"/>
        <v>1</v>
      </c>
      <c r="E377" s="85">
        <f t="shared" si="147"/>
        <v>44136</v>
      </c>
      <c r="F377">
        <f t="shared" si="148"/>
        <v>49</v>
      </c>
      <c r="L377" t="str">
        <f t="shared" ca="1" si="142"/>
        <v/>
      </c>
      <c r="M377">
        <v>18</v>
      </c>
      <c r="N377">
        <v>3</v>
      </c>
      <c r="O377" s="6">
        <f t="array" aca="1" ref="O377" ca="1">SUM(OFFSET($FC$43,0,($M377*3)+$N377,53,1)*O$43:O$95)</f>
        <v>0</v>
      </c>
      <c r="P377" s="6">
        <f t="array" aca="1" ref="P377" ca="1">SUM(OFFSET($FC$43,0,($M377*3)+$N377,53,1)*P$43:P$95)</f>
        <v>0</v>
      </c>
      <c r="Q377" s="6">
        <f t="array" aca="1" ref="Q377" ca="1">SUM(OFFSET($FC$43,0,($M377*3)+$N377,53,1)*Q$43:Q$95)</f>
        <v>0</v>
      </c>
      <c r="R377" s="6">
        <f t="array" aca="1" ref="R377" ca="1">SUM(OFFSET($FC$43,0,($M377*3)+$N377,53,1)*R$43:R$95)</f>
        <v>0</v>
      </c>
      <c r="S377" s="6">
        <f t="array" aca="1" ref="S377" ca="1">SUM(OFFSET($FC$43,0,($M377*3)+$N377,53,1)*S$43:S$95)</f>
        <v>0</v>
      </c>
      <c r="T377" s="6">
        <f t="array" aca="1" ref="T377" ca="1">SUM(OFFSET($FC$43,0,($M377*3)+$N377,53,1)*T$43:T$95)</f>
        <v>0</v>
      </c>
      <c r="U377" s="6">
        <f t="array" aca="1" ref="U377" ca="1">SUM(OFFSET($FC$43,0,($M377*3)+$N377,53,1)*U$43:U$95)</f>
        <v>0</v>
      </c>
      <c r="V377" s="6">
        <f t="array" aca="1" ref="V377" ca="1">SUM(OFFSET($FC$43,0,($M377*3)+$N377,53,1)*V$43:V$95)</f>
        <v>0</v>
      </c>
      <c r="W377" s="6">
        <f t="array" aca="1" ref="W377" ca="1">SUM(OFFSET($FC$43,0,($M377*3)+$N377,53,1)*W$43:W$95)</f>
        <v>0</v>
      </c>
      <c r="X377" s="6">
        <f t="array" aca="1" ref="X377" ca="1">SUM(OFFSET($FC$43,0,($M377*3)+$N377,53,1)*X$43:X$95)</f>
        <v>0</v>
      </c>
      <c r="Y377" s="6">
        <f t="array" aca="1" ref="Y377" ca="1">SUM(OFFSET($FC$43,0,($M377*3)+$N377,53,1)*Y$43:Y$95)</f>
        <v>0</v>
      </c>
      <c r="Z377" s="6">
        <f t="array" aca="1" ref="Z377" ca="1">SUM(OFFSET($FC$43,0,($M377*3)+$N377,53,1)*Z$43:Z$95)</f>
        <v>0</v>
      </c>
      <c r="AA377" s="6">
        <f t="shared" ca="1" si="144"/>
        <v>0</v>
      </c>
      <c r="AB377" s="6" t="str">
        <f t="shared" si="143"/>
        <v/>
      </c>
    </row>
    <row r="378" spans="1:28" x14ac:dyDescent="0.25">
      <c r="A378">
        <f>1</f>
        <v>1</v>
      </c>
      <c r="B378" s="85">
        <f t="shared" si="149"/>
        <v>44166</v>
      </c>
      <c r="C378" s="85">
        <f t="shared" si="145"/>
        <v>44165</v>
      </c>
      <c r="D378">
        <f t="shared" ca="1" si="146"/>
        <v>1</v>
      </c>
      <c r="E378" s="85">
        <f t="shared" si="147"/>
        <v>44166</v>
      </c>
      <c r="F378">
        <f t="shared" si="148"/>
        <v>49</v>
      </c>
      <c r="L378" t="str">
        <f t="shared" ca="1" si="142"/>
        <v/>
      </c>
      <c r="M378">
        <v>19</v>
      </c>
      <c r="N378">
        <v>1</v>
      </c>
      <c r="O378" s="6">
        <f t="array" aca="1" ref="O378" ca="1">SUM(OFFSET($FC$43,0,($M378*3)+$N378,53,1)*O$43:O$95)</f>
        <v>0</v>
      </c>
      <c r="P378" s="6">
        <f t="array" aca="1" ref="P378" ca="1">SUM(OFFSET($FC$43,0,($M378*3)+$N378,53,1)*P$43:P$95)</f>
        <v>0</v>
      </c>
      <c r="Q378" s="6">
        <f t="array" aca="1" ref="Q378" ca="1">SUM(OFFSET($FC$43,0,($M378*3)+$N378,53,1)*Q$43:Q$95)</f>
        <v>0</v>
      </c>
      <c r="R378" s="6">
        <f t="array" aca="1" ref="R378" ca="1">SUM(OFFSET($FC$43,0,($M378*3)+$N378,53,1)*R$43:R$95)</f>
        <v>0</v>
      </c>
      <c r="S378" s="6">
        <f t="array" aca="1" ref="S378" ca="1">SUM(OFFSET($FC$43,0,($M378*3)+$N378,53,1)*S$43:S$95)</f>
        <v>0</v>
      </c>
      <c r="T378" s="6">
        <f t="array" aca="1" ref="T378" ca="1">SUM(OFFSET($FC$43,0,($M378*3)+$N378,53,1)*T$43:T$95)</f>
        <v>0</v>
      </c>
      <c r="U378" s="6">
        <f t="array" aca="1" ref="U378" ca="1">SUM(OFFSET($FC$43,0,($M378*3)+$N378,53,1)*U$43:U$95)</f>
        <v>0</v>
      </c>
      <c r="V378" s="6">
        <f t="array" aca="1" ref="V378" ca="1">SUM(OFFSET($FC$43,0,($M378*3)+$N378,53,1)*V$43:V$95)</f>
        <v>0</v>
      </c>
      <c r="W378" s="6">
        <f t="array" aca="1" ref="W378" ca="1">SUM(OFFSET($FC$43,0,($M378*3)+$N378,53,1)*W$43:W$95)</f>
        <v>0</v>
      </c>
      <c r="X378" s="6">
        <f t="array" aca="1" ref="X378" ca="1">SUM(OFFSET($FC$43,0,($M378*3)+$N378,53,1)*X$43:X$95)</f>
        <v>0</v>
      </c>
      <c r="Y378" s="6">
        <f t="array" aca="1" ref="Y378" ca="1">SUM(OFFSET($FC$43,0,($M378*3)+$N378,53,1)*Y$43:Y$95)</f>
        <v>0</v>
      </c>
      <c r="Z378" s="6">
        <f t="array" aca="1" ref="Z378" ca="1">SUM(OFFSET($FC$43,0,($M378*3)+$N378,53,1)*Z$43:Z$95)</f>
        <v>0</v>
      </c>
      <c r="AA378" s="6">
        <f t="shared" ca="1" si="144"/>
        <v>0</v>
      </c>
      <c r="AB378" s="6" t="str">
        <f t="shared" si="143"/>
        <v/>
      </c>
    </row>
    <row r="379" spans="1:28" x14ac:dyDescent="0.25">
      <c r="A379">
        <f>1</f>
        <v>1</v>
      </c>
      <c r="B379" s="85">
        <f t="shared" si="149"/>
        <v>44167</v>
      </c>
      <c r="C379" s="85">
        <f t="shared" si="145"/>
        <v>44165</v>
      </c>
      <c r="D379">
        <f t="shared" ca="1" si="146"/>
        <v>1</v>
      </c>
      <c r="E379" s="85">
        <f t="shared" si="147"/>
        <v>44166</v>
      </c>
      <c r="F379">
        <f t="shared" si="148"/>
        <v>49</v>
      </c>
      <c r="L379" t="str">
        <f t="shared" ca="1" si="142"/>
        <v/>
      </c>
      <c r="M379">
        <v>19</v>
      </c>
      <c r="N379">
        <v>2</v>
      </c>
      <c r="O379" s="6">
        <f t="array" aca="1" ref="O379" ca="1">SUM(OFFSET($FC$43,0,($M379*3)+$N379,53,1)*O$43:O$95)</f>
        <v>0</v>
      </c>
      <c r="P379" s="6">
        <f t="array" aca="1" ref="P379" ca="1">SUM(OFFSET($FC$43,0,($M379*3)+$N379,53,1)*P$43:P$95)</f>
        <v>0</v>
      </c>
      <c r="Q379" s="6">
        <f t="array" aca="1" ref="Q379" ca="1">SUM(OFFSET($FC$43,0,($M379*3)+$N379,53,1)*Q$43:Q$95)</f>
        <v>0</v>
      </c>
      <c r="R379" s="6">
        <f t="array" aca="1" ref="R379" ca="1">SUM(OFFSET($FC$43,0,($M379*3)+$N379,53,1)*R$43:R$95)</f>
        <v>0</v>
      </c>
      <c r="S379" s="6">
        <f t="array" aca="1" ref="S379" ca="1">SUM(OFFSET($FC$43,0,($M379*3)+$N379,53,1)*S$43:S$95)</f>
        <v>0</v>
      </c>
      <c r="T379" s="6">
        <f t="array" aca="1" ref="T379" ca="1">SUM(OFFSET($FC$43,0,($M379*3)+$N379,53,1)*T$43:T$95)</f>
        <v>0</v>
      </c>
      <c r="U379" s="6">
        <f t="array" aca="1" ref="U379" ca="1">SUM(OFFSET($FC$43,0,($M379*3)+$N379,53,1)*U$43:U$95)</f>
        <v>0</v>
      </c>
      <c r="V379" s="6">
        <f t="array" aca="1" ref="V379" ca="1">SUM(OFFSET($FC$43,0,($M379*3)+$N379,53,1)*V$43:V$95)</f>
        <v>0</v>
      </c>
      <c r="W379" s="6">
        <f t="array" aca="1" ref="W379" ca="1">SUM(OFFSET($FC$43,0,($M379*3)+$N379,53,1)*W$43:W$95)</f>
        <v>0</v>
      </c>
      <c r="X379" s="6">
        <f t="array" aca="1" ref="X379" ca="1">SUM(OFFSET($FC$43,0,($M379*3)+$N379,53,1)*X$43:X$95)</f>
        <v>0</v>
      </c>
      <c r="Y379" s="6">
        <f t="array" aca="1" ref="Y379" ca="1">SUM(OFFSET($FC$43,0,($M379*3)+$N379,53,1)*Y$43:Y$95)</f>
        <v>0</v>
      </c>
      <c r="Z379" s="6">
        <f t="array" aca="1" ref="Z379" ca="1">SUM(OFFSET($FC$43,0,($M379*3)+$N379,53,1)*Z$43:Z$95)</f>
        <v>0</v>
      </c>
      <c r="AA379" s="6">
        <f t="shared" ca="1" si="144"/>
        <v>0</v>
      </c>
      <c r="AB379" s="6" t="str">
        <f t="shared" si="143"/>
        <v/>
      </c>
    </row>
    <row r="380" spans="1:28" x14ac:dyDescent="0.25">
      <c r="A380">
        <f>1</f>
        <v>1</v>
      </c>
      <c r="B380" s="85">
        <f t="shared" si="149"/>
        <v>44168</v>
      </c>
      <c r="C380" s="85">
        <f t="shared" si="145"/>
        <v>44165</v>
      </c>
      <c r="D380">
        <f t="shared" ca="1" si="146"/>
        <v>1</v>
      </c>
      <c r="E380" s="85">
        <f t="shared" si="147"/>
        <v>44166</v>
      </c>
      <c r="F380">
        <f t="shared" si="148"/>
        <v>49</v>
      </c>
      <c r="L380" t="str">
        <f t="shared" ca="1" si="142"/>
        <v/>
      </c>
      <c r="M380">
        <v>19</v>
      </c>
      <c r="N380">
        <v>3</v>
      </c>
      <c r="O380" s="6">
        <f t="array" aca="1" ref="O380" ca="1">SUM(OFFSET($FC$43,0,($M380*3)+$N380,53,1)*O$43:O$95)</f>
        <v>0</v>
      </c>
      <c r="P380" s="6">
        <f t="array" aca="1" ref="P380" ca="1">SUM(OFFSET($FC$43,0,($M380*3)+$N380,53,1)*P$43:P$95)</f>
        <v>0</v>
      </c>
      <c r="Q380" s="6">
        <f t="array" aca="1" ref="Q380" ca="1">SUM(OFFSET($FC$43,0,($M380*3)+$N380,53,1)*Q$43:Q$95)</f>
        <v>0</v>
      </c>
      <c r="R380" s="6">
        <f t="array" aca="1" ref="R380" ca="1">SUM(OFFSET($FC$43,0,($M380*3)+$N380,53,1)*R$43:R$95)</f>
        <v>0</v>
      </c>
      <c r="S380" s="6">
        <f t="array" aca="1" ref="S380" ca="1">SUM(OFFSET($FC$43,0,($M380*3)+$N380,53,1)*S$43:S$95)</f>
        <v>0</v>
      </c>
      <c r="T380" s="6">
        <f t="array" aca="1" ref="T380" ca="1">SUM(OFFSET($FC$43,0,($M380*3)+$N380,53,1)*T$43:T$95)</f>
        <v>0</v>
      </c>
      <c r="U380" s="6">
        <f t="array" aca="1" ref="U380" ca="1">SUM(OFFSET($FC$43,0,($M380*3)+$N380,53,1)*U$43:U$95)</f>
        <v>0</v>
      </c>
      <c r="V380" s="6">
        <f t="array" aca="1" ref="V380" ca="1">SUM(OFFSET($FC$43,0,($M380*3)+$N380,53,1)*V$43:V$95)</f>
        <v>0</v>
      </c>
      <c r="W380" s="6">
        <f t="array" aca="1" ref="W380" ca="1">SUM(OFFSET($FC$43,0,($M380*3)+$N380,53,1)*W$43:W$95)</f>
        <v>0</v>
      </c>
      <c r="X380" s="6">
        <f t="array" aca="1" ref="X380" ca="1">SUM(OFFSET($FC$43,0,($M380*3)+$N380,53,1)*X$43:X$95)</f>
        <v>0</v>
      </c>
      <c r="Y380" s="6">
        <f t="array" aca="1" ref="Y380" ca="1">SUM(OFFSET($FC$43,0,($M380*3)+$N380,53,1)*Y$43:Y$95)</f>
        <v>0</v>
      </c>
      <c r="Z380" s="6">
        <f t="array" aca="1" ref="Z380" ca="1">SUM(OFFSET($FC$43,0,($M380*3)+$N380,53,1)*Z$43:Z$95)</f>
        <v>0</v>
      </c>
      <c r="AA380" s="6">
        <f t="shared" ca="1" si="144"/>
        <v>0</v>
      </c>
      <c r="AB380" s="6" t="str">
        <f t="shared" si="143"/>
        <v/>
      </c>
    </row>
    <row r="381" spans="1:28" x14ac:dyDescent="0.25">
      <c r="A381">
        <f>1</f>
        <v>1</v>
      </c>
      <c r="B381" s="85">
        <f t="shared" si="149"/>
        <v>44169</v>
      </c>
      <c r="C381" s="85">
        <f t="shared" si="145"/>
        <v>44165</v>
      </c>
      <c r="D381">
        <f t="shared" ca="1" si="146"/>
        <v>1</v>
      </c>
      <c r="E381" s="85">
        <f t="shared" si="147"/>
        <v>44166</v>
      </c>
      <c r="F381">
        <f t="shared" si="148"/>
        <v>49</v>
      </c>
      <c r="L381" t="s">
        <v>1367</v>
      </c>
      <c r="O381" s="6"/>
      <c r="P381" s="6"/>
      <c r="Q381" s="6"/>
      <c r="R381" s="6"/>
      <c r="S381" s="6"/>
      <c r="T381" s="6"/>
      <c r="U381" s="6"/>
      <c r="V381" s="6"/>
      <c r="W381" s="6"/>
      <c r="X381" s="6"/>
      <c r="Y381" s="6"/>
      <c r="Z381" s="6"/>
      <c r="AA381" s="6"/>
      <c r="AB381" s="6"/>
    </row>
    <row r="382" spans="1:28" x14ac:dyDescent="0.25">
      <c r="A382">
        <f>1</f>
        <v>1</v>
      </c>
      <c r="B382" s="85">
        <f t="shared" si="149"/>
        <v>44170</v>
      </c>
      <c r="C382" s="85">
        <f t="shared" si="145"/>
        <v>44165</v>
      </c>
      <c r="D382">
        <f t="shared" ca="1" si="146"/>
        <v>0</v>
      </c>
      <c r="E382" s="85">
        <f t="shared" si="147"/>
        <v>44166</v>
      </c>
      <c r="F382">
        <f t="shared" si="148"/>
        <v>49</v>
      </c>
      <c r="L382" t="str">
        <f ca="1">L321</f>
        <v>New</v>
      </c>
      <c r="M382">
        <v>0</v>
      </c>
      <c r="N382">
        <v>1</v>
      </c>
      <c r="O382" s="6">
        <f t="array" aca="1" ref="O382" ca="1">SUM(OFFSET($KE$43,0,($M382*3)+$N382,53,1)*O$43:O$95)</f>
        <v>0</v>
      </c>
      <c r="P382" s="6">
        <f t="array" aca="1" ref="P382" ca="1">SUM(OFFSET($KE$43,0,($M382*3)+$N382,53,1)*P$43:P$95)</f>
        <v>0</v>
      </c>
      <c r="Q382" s="6">
        <f t="array" aca="1" ref="Q382" ca="1">SUM(OFFSET($KE$43,0,($M382*3)+$N382,53,1)*Q$43:Q$95)</f>
        <v>0</v>
      </c>
      <c r="R382" s="6">
        <f t="array" aca="1" ref="R382" ca="1">SUM(OFFSET($KE$43,0,($M382*3)+$N382,53,1)*R$43:R$95)</f>
        <v>0</v>
      </c>
      <c r="S382" s="6">
        <f t="array" aca="1" ref="S382" ca="1">SUM(OFFSET($KE$43,0,($M382*3)+$N382,53,1)*S$43:S$95)</f>
        <v>0</v>
      </c>
      <c r="T382" s="6">
        <f t="array" aca="1" ref="T382" ca="1">SUM(OFFSET($KE$43,0,($M382*3)+$N382,53,1)*T$43:T$95)</f>
        <v>0</v>
      </c>
      <c r="U382" s="6">
        <f t="array" aca="1" ref="U382" ca="1">SUM(OFFSET($KE$43,0,($M382*3)+$N382,53,1)*U$43:U$95)</f>
        <v>0</v>
      </c>
      <c r="V382" s="6">
        <f t="array" aca="1" ref="V382" ca="1">SUM(OFFSET($KE$43,0,($M382*3)+$N382,53,1)*V$43:V$95)</f>
        <v>0</v>
      </c>
      <c r="W382" s="6">
        <f t="array" aca="1" ref="W382" ca="1">SUM(OFFSET($KE$43,0,($M382*3)+$N382,53,1)*W$43:W$95)</f>
        <v>0</v>
      </c>
      <c r="X382" s="6">
        <f t="array" aca="1" ref="X382" ca="1">SUM(OFFSET($KE$43,0,($M382*3)+$N382,53,1)*X$43:X$95)</f>
        <v>0</v>
      </c>
      <c r="Y382" s="6">
        <f t="array" aca="1" ref="Y382" ca="1">SUM(OFFSET($KE$43,0,($M382*3)+$N382,53,1)*Y$43:Y$95)</f>
        <v>0</v>
      </c>
      <c r="Z382" s="6">
        <f t="array" aca="1" ref="Z382" ca="1">SUM(OFFSET($KE$43,0,($M382*3)+$N382,53,1)*Z$43:Z$95)</f>
        <v>0</v>
      </c>
      <c r="AA382" s="6">
        <f t="shared" ref="AA382:AA413" ca="1" si="150">SUM(O382:Z382)</f>
        <v>0</v>
      </c>
      <c r="AB382" s="6" t="str">
        <f>IF($J$105="","",IF($J$105&lt;=12,INDEX(O382:Z382,$J$105),AVERAGE(O382:Z382)))</f>
        <v/>
      </c>
    </row>
    <row r="383" spans="1:28" x14ac:dyDescent="0.25">
      <c r="A383">
        <f>1</f>
        <v>1</v>
      </c>
      <c r="B383" s="85">
        <f t="shared" si="149"/>
        <v>44171</v>
      </c>
      <c r="C383" s="85">
        <f t="shared" si="145"/>
        <v>44165</v>
      </c>
      <c r="D383">
        <f t="shared" ca="1" si="146"/>
        <v>0</v>
      </c>
      <c r="E383" s="85">
        <f t="shared" si="147"/>
        <v>44166</v>
      </c>
      <c r="F383">
        <f t="shared" si="148"/>
        <v>49</v>
      </c>
      <c r="L383" t="str">
        <f t="shared" ref="L383:L441" ca="1" si="151">L322</f>
        <v/>
      </c>
      <c r="M383">
        <v>0</v>
      </c>
      <c r="N383">
        <v>2</v>
      </c>
      <c r="O383" s="6">
        <f t="array" aca="1" ref="O383" ca="1">SUM(OFFSET($KE$43,0,($M383*3)+$N383,53,1)*O$43:O$95)</f>
        <v>0</v>
      </c>
      <c r="P383" s="6">
        <f t="array" aca="1" ref="P383" ca="1">SUM(OFFSET($KE$43,0,($M383*3)+$N383,53,1)*P$43:P$95)</f>
        <v>0</v>
      </c>
      <c r="Q383" s="6">
        <f t="array" aca="1" ref="Q383" ca="1">SUM(OFFSET($KE$43,0,($M383*3)+$N383,53,1)*Q$43:Q$95)</f>
        <v>0</v>
      </c>
      <c r="R383" s="6">
        <f t="array" aca="1" ref="R383" ca="1">SUM(OFFSET($KE$43,0,($M383*3)+$N383,53,1)*R$43:R$95)</f>
        <v>0</v>
      </c>
      <c r="S383" s="6">
        <f t="array" aca="1" ref="S383" ca="1">SUM(OFFSET($KE$43,0,($M383*3)+$N383,53,1)*S$43:S$95)</f>
        <v>0</v>
      </c>
      <c r="T383" s="6">
        <f t="array" aca="1" ref="T383" ca="1">SUM(OFFSET($KE$43,0,($M383*3)+$N383,53,1)*T$43:T$95)</f>
        <v>0</v>
      </c>
      <c r="U383" s="6">
        <f t="array" aca="1" ref="U383" ca="1">SUM(OFFSET($KE$43,0,($M383*3)+$N383,53,1)*U$43:U$95)</f>
        <v>0</v>
      </c>
      <c r="V383" s="6">
        <f t="array" aca="1" ref="V383" ca="1">SUM(OFFSET($KE$43,0,($M383*3)+$N383,53,1)*V$43:V$95)</f>
        <v>0</v>
      </c>
      <c r="W383" s="6">
        <f t="array" aca="1" ref="W383" ca="1">SUM(OFFSET($KE$43,0,($M383*3)+$N383,53,1)*W$43:W$95)</f>
        <v>0</v>
      </c>
      <c r="X383" s="6">
        <f t="array" aca="1" ref="X383" ca="1">SUM(OFFSET($KE$43,0,($M383*3)+$N383,53,1)*X$43:X$95)</f>
        <v>0</v>
      </c>
      <c r="Y383" s="6">
        <f t="array" aca="1" ref="Y383" ca="1">SUM(OFFSET($KE$43,0,($M383*3)+$N383,53,1)*Y$43:Y$95)</f>
        <v>0</v>
      </c>
      <c r="Z383" s="6">
        <f t="array" aca="1" ref="Z383" ca="1">SUM(OFFSET($KE$43,0,($M383*3)+$N383,53,1)*Z$43:Z$95)</f>
        <v>0</v>
      </c>
      <c r="AA383" s="6">
        <f t="shared" ca="1" si="150"/>
        <v>0</v>
      </c>
      <c r="AB383" s="6" t="str">
        <f t="shared" ref="AB383:AB441" si="152">IF($J$105="","",IF($J$105&lt;=12,INDEX(O383:Z383,$J$105),AVERAGE(O383:Z383)))</f>
        <v/>
      </c>
    </row>
    <row r="384" spans="1:28" x14ac:dyDescent="0.25">
      <c r="A384">
        <f>1</f>
        <v>1</v>
      </c>
      <c r="B384" s="85">
        <f t="shared" si="149"/>
        <v>44172</v>
      </c>
      <c r="C384" s="85">
        <f t="shared" si="145"/>
        <v>44172</v>
      </c>
      <c r="D384">
        <f t="shared" ca="1" si="146"/>
        <v>1</v>
      </c>
      <c r="E384" s="85">
        <f t="shared" si="147"/>
        <v>44166</v>
      </c>
      <c r="F384">
        <f t="shared" si="148"/>
        <v>50</v>
      </c>
      <c r="L384" t="str">
        <f t="shared" ca="1" si="151"/>
        <v/>
      </c>
      <c r="M384">
        <v>0</v>
      </c>
      <c r="N384">
        <v>3</v>
      </c>
      <c r="O384" s="6">
        <f t="array" aca="1" ref="O384" ca="1">SUM(OFFSET($KE$43,0,($M384*3)+$N384,53,1)*O$43:O$95)</f>
        <v>0</v>
      </c>
      <c r="P384" s="6">
        <f t="array" aca="1" ref="P384" ca="1">SUM(OFFSET($KE$43,0,($M384*3)+$N384,53,1)*P$43:P$95)</f>
        <v>0</v>
      </c>
      <c r="Q384" s="6">
        <f t="array" aca="1" ref="Q384" ca="1">SUM(OFFSET($KE$43,0,($M384*3)+$N384,53,1)*Q$43:Q$95)</f>
        <v>0</v>
      </c>
      <c r="R384" s="6">
        <f t="array" aca="1" ref="R384" ca="1">SUM(OFFSET($KE$43,0,($M384*3)+$N384,53,1)*R$43:R$95)</f>
        <v>0</v>
      </c>
      <c r="S384" s="6">
        <f t="array" aca="1" ref="S384" ca="1">SUM(OFFSET($KE$43,0,($M384*3)+$N384,53,1)*S$43:S$95)</f>
        <v>0</v>
      </c>
      <c r="T384" s="6">
        <f t="array" aca="1" ref="T384" ca="1">SUM(OFFSET($KE$43,0,($M384*3)+$N384,53,1)*T$43:T$95)</f>
        <v>0</v>
      </c>
      <c r="U384" s="6">
        <f t="array" aca="1" ref="U384" ca="1">SUM(OFFSET($KE$43,0,($M384*3)+$N384,53,1)*U$43:U$95)</f>
        <v>0</v>
      </c>
      <c r="V384" s="6">
        <f t="array" aca="1" ref="V384" ca="1">SUM(OFFSET($KE$43,0,($M384*3)+$N384,53,1)*V$43:V$95)</f>
        <v>0</v>
      </c>
      <c r="W384" s="6">
        <f t="array" aca="1" ref="W384" ca="1">SUM(OFFSET($KE$43,0,($M384*3)+$N384,53,1)*W$43:W$95)</f>
        <v>0</v>
      </c>
      <c r="X384" s="6">
        <f t="array" aca="1" ref="X384" ca="1">SUM(OFFSET($KE$43,0,($M384*3)+$N384,53,1)*X$43:X$95)</f>
        <v>0</v>
      </c>
      <c r="Y384" s="6">
        <f t="array" aca="1" ref="Y384" ca="1">SUM(OFFSET($KE$43,0,($M384*3)+$N384,53,1)*Y$43:Y$95)</f>
        <v>0</v>
      </c>
      <c r="Z384" s="6">
        <f t="array" aca="1" ref="Z384" ca="1">SUM(OFFSET($KE$43,0,($M384*3)+$N384,53,1)*Z$43:Z$95)</f>
        <v>0</v>
      </c>
      <c r="AA384" s="6">
        <f t="shared" ca="1" si="150"/>
        <v>0</v>
      </c>
      <c r="AB384" s="6" t="str">
        <f t="shared" si="152"/>
        <v/>
      </c>
    </row>
    <row r="385" spans="1:28" x14ac:dyDescent="0.25">
      <c r="A385">
        <f>1</f>
        <v>1</v>
      </c>
      <c r="B385" s="85">
        <f t="shared" si="149"/>
        <v>44173</v>
      </c>
      <c r="C385" s="85">
        <f t="shared" si="145"/>
        <v>44172</v>
      </c>
      <c r="D385">
        <f t="shared" ca="1" si="146"/>
        <v>1</v>
      </c>
      <c r="E385" s="85">
        <f t="shared" si="147"/>
        <v>44166</v>
      </c>
      <c r="F385">
        <f t="shared" si="148"/>
        <v>50</v>
      </c>
      <c r="L385" t="str">
        <f t="shared" ca="1" si="151"/>
        <v/>
      </c>
      <c r="M385">
        <v>1</v>
      </c>
      <c r="N385">
        <v>1</v>
      </c>
      <c r="O385" s="6">
        <f t="array" aca="1" ref="O385" ca="1">SUM(OFFSET($KE$43,0,($M385*3)+$N385,53,1)*O$43:O$95)</f>
        <v>0</v>
      </c>
      <c r="P385" s="6">
        <f t="array" aca="1" ref="P385" ca="1">SUM(OFFSET($KE$43,0,($M385*3)+$N385,53,1)*P$43:P$95)</f>
        <v>0</v>
      </c>
      <c r="Q385" s="6">
        <f t="array" aca="1" ref="Q385" ca="1">SUM(OFFSET($KE$43,0,($M385*3)+$N385,53,1)*Q$43:Q$95)</f>
        <v>0</v>
      </c>
      <c r="R385" s="6">
        <f t="array" aca="1" ref="R385" ca="1">SUM(OFFSET($KE$43,0,($M385*3)+$N385,53,1)*R$43:R$95)</f>
        <v>0</v>
      </c>
      <c r="S385" s="6">
        <f t="array" aca="1" ref="S385" ca="1">SUM(OFFSET($KE$43,0,($M385*3)+$N385,53,1)*S$43:S$95)</f>
        <v>0</v>
      </c>
      <c r="T385" s="6">
        <f t="array" aca="1" ref="T385" ca="1">SUM(OFFSET($KE$43,0,($M385*3)+$N385,53,1)*T$43:T$95)</f>
        <v>0</v>
      </c>
      <c r="U385" s="6">
        <f t="array" aca="1" ref="U385" ca="1">SUM(OFFSET($KE$43,0,($M385*3)+$N385,53,1)*U$43:U$95)</f>
        <v>0</v>
      </c>
      <c r="V385" s="6">
        <f t="array" aca="1" ref="V385" ca="1">SUM(OFFSET($KE$43,0,($M385*3)+$N385,53,1)*V$43:V$95)</f>
        <v>0</v>
      </c>
      <c r="W385" s="6">
        <f t="array" aca="1" ref="W385" ca="1">SUM(OFFSET($KE$43,0,($M385*3)+$N385,53,1)*W$43:W$95)</f>
        <v>0</v>
      </c>
      <c r="X385" s="6">
        <f t="array" aca="1" ref="X385" ca="1">SUM(OFFSET($KE$43,0,($M385*3)+$N385,53,1)*X$43:X$95)</f>
        <v>0</v>
      </c>
      <c r="Y385" s="6">
        <f t="array" aca="1" ref="Y385" ca="1">SUM(OFFSET($KE$43,0,($M385*3)+$N385,53,1)*Y$43:Y$95)</f>
        <v>0</v>
      </c>
      <c r="Z385" s="6">
        <f t="array" aca="1" ref="Z385" ca="1">SUM(OFFSET($KE$43,0,($M385*3)+$N385,53,1)*Z$43:Z$95)</f>
        <v>0</v>
      </c>
      <c r="AA385" s="6">
        <f t="shared" ca="1" si="150"/>
        <v>0</v>
      </c>
      <c r="AB385" s="6" t="str">
        <f t="shared" si="152"/>
        <v/>
      </c>
    </row>
    <row r="386" spans="1:28" x14ac:dyDescent="0.25">
      <c r="A386">
        <f>1</f>
        <v>1</v>
      </c>
      <c r="B386" s="85">
        <f t="shared" si="149"/>
        <v>44174</v>
      </c>
      <c r="C386" s="85">
        <f t="shared" si="145"/>
        <v>44172</v>
      </c>
      <c r="D386">
        <f t="shared" ca="1" si="146"/>
        <v>1</v>
      </c>
      <c r="E386" s="85">
        <f t="shared" si="147"/>
        <v>44166</v>
      </c>
      <c r="F386">
        <f t="shared" si="148"/>
        <v>50</v>
      </c>
      <c r="L386" t="str">
        <f t="shared" ca="1" si="151"/>
        <v/>
      </c>
      <c r="M386">
        <v>1</v>
      </c>
      <c r="N386">
        <v>2</v>
      </c>
      <c r="O386" s="6">
        <f t="array" aca="1" ref="O386" ca="1">SUM(OFFSET($KE$43,0,($M386*3)+$N386,53,1)*O$43:O$95)</f>
        <v>0</v>
      </c>
      <c r="P386" s="6">
        <f t="array" aca="1" ref="P386" ca="1">SUM(OFFSET($KE$43,0,($M386*3)+$N386,53,1)*P$43:P$95)</f>
        <v>0</v>
      </c>
      <c r="Q386" s="6">
        <f t="array" aca="1" ref="Q386" ca="1">SUM(OFFSET($KE$43,0,($M386*3)+$N386,53,1)*Q$43:Q$95)</f>
        <v>0</v>
      </c>
      <c r="R386" s="6">
        <f t="array" aca="1" ref="R386" ca="1">SUM(OFFSET($KE$43,0,($M386*3)+$N386,53,1)*R$43:R$95)</f>
        <v>0</v>
      </c>
      <c r="S386" s="6">
        <f t="array" aca="1" ref="S386" ca="1">SUM(OFFSET($KE$43,0,($M386*3)+$N386,53,1)*S$43:S$95)</f>
        <v>0</v>
      </c>
      <c r="T386" s="6">
        <f t="array" aca="1" ref="T386" ca="1">SUM(OFFSET($KE$43,0,($M386*3)+$N386,53,1)*T$43:T$95)</f>
        <v>0</v>
      </c>
      <c r="U386" s="6">
        <f t="array" aca="1" ref="U386" ca="1">SUM(OFFSET($KE$43,0,($M386*3)+$N386,53,1)*U$43:U$95)</f>
        <v>0</v>
      </c>
      <c r="V386" s="6">
        <f t="array" aca="1" ref="V386" ca="1">SUM(OFFSET($KE$43,0,($M386*3)+$N386,53,1)*V$43:V$95)</f>
        <v>0</v>
      </c>
      <c r="W386" s="6">
        <f t="array" aca="1" ref="W386" ca="1">SUM(OFFSET($KE$43,0,($M386*3)+$N386,53,1)*W$43:W$95)</f>
        <v>0</v>
      </c>
      <c r="X386" s="6">
        <f t="array" aca="1" ref="X386" ca="1">SUM(OFFSET($KE$43,0,($M386*3)+$N386,53,1)*X$43:X$95)</f>
        <v>0</v>
      </c>
      <c r="Y386" s="6">
        <f t="array" aca="1" ref="Y386" ca="1">SUM(OFFSET($KE$43,0,($M386*3)+$N386,53,1)*Y$43:Y$95)</f>
        <v>0</v>
      </c>
      <c r="Z386" s="6">
        <f t="array" aca="1" ref="Z386" ca="1">SUM(OFFSET($KE$43,0,($M386*3)+$N386,53,1)*Z$43:Z$95)</f>
        <v>0</v>
      </c>
      <c r="AA386" s="6">
        <f t="shared" ca="1" si="150"/>
        <v>0</v>
      </c>
      <c r="AB386" s="6" t="str">
        <f t="shared" si="152"/>
        <v/>
      </c>
    </row>
    <row r="387" spans="1:28" x14ac:dyDescent="0.25">
      <c r="A387">
        <f>1</f>
        <v>1</v>
      </c>
      <c r="B387" s="85">
        <f t="shared" si="149"/>
        <v>44175</v>
      </c>
      <c r="C387" s="85">
        <f t="shared" si="145"/>
        <v>44172</v>
      </c>
      <c r="D387">
        <f t="shared" ca="1" si="146"/>
        <v>1</v>
      </c>
      <c r="E387" s="85">
        <f t="shared" si="147"/>
        <v>44166</v>
      </c>
      <c r="F387">
        <f t="shared" si="148"/>
        <v>50</v>
      </c>
      <c r="L387" t="str">
        <f t="shared" ca="1" si="151"/>
        <v/>
      </c>
      <c r="M387">
        <v>1</v>
      </c>
      <c r="N387">
        <v>3</v>
      </c>
      <c r="O387" s="6">
        <f t="array" aca="1" ref="O387" ca="1">SUM(OFFSET($KE$43,0,($M387*3)+$N387,53,1)*O$43:O$95)</f>
        <v>0</v>
      </c>
      <c r="P387" s="6">
        <f t="array" aca="1" ref="P387" ca="1">SUM(OFFSET($KE$43,0,($M387*3)+$N387,53,1)*P$43:P$95)</f>
        <v>0</v>
      </c>
      <c r="Q387" s="6">
        <f t="array" aca="1" ref="Q387" ca="1">SUM(OFFSET($KE$43,0,($M387*3)+$N387,53,1)*Q$43:Q$95)</f>
        <v>0</v>
      </c>
      <c r="R387" s="6">
        <f t="array" aca="1" ref="R387" ca="1">SUM(OFFSET($KE$43,0,($M387*3)+$N387,53,1)*R$43:R$95)</f>
        <v>0</v>
      </c>
      <c r="S387" s="6">
        <f t="array" aca="1" ref="S387" ca="1">SUM(OFFSET($KE$43,0,($M387*3)+$N387,53,1)*S$43:S$95)</f>
        <v>0</v>
      </c>
      <c r="T387" s="6">
        <f t="array" aca="1" ref="T387" ca="1">SUM(OFFSET($KE$43,0,($M387*3)+$N387,53,1)*T$43:T$95)</f>
        <v>0</v>
      </c>
      <c r="U387" s="6">
        <f t="array" aca="1" ref="U387" ca="1">SUM(OFFSET($KE$43,0,($M387*3)+$N387,53,1)*U$43:U$95)</f>
        <v>0</v>
      </c>
      <c r="V387" s="6">
        <f t="array" aca="1" ref="V387" ca="1">SUM(OFFSET($KE$43,0,($M387*3)+$N387,53,1)*V$43:V$95)</f>
        <v>0</v>
      </c>
      <c r="W387" s="6">
        <f t="array" aca="1" ref="W387" ca="1">SUM(OFFSET($KE$43,0,($M387*3)+$N387,53,1)*W$43:W$95)</f>
        <v>0</v>
      </c>
      <c r="X387" s="6">
        <f t="array" aca="1" ref="X387" ca="1">SUM(OFFSET($KE$43,0,($M387*3)+$N387,53,1)*X$43:X$95)</f>
        <v>0</v>
      </c>
      <c r="Y387" s="6">
        <f t="array" aca="1" ref="Y387" ca="1">SUM(OFFSET($KE$43,0,($M387*3)+$N387,53,1)*Y$43:Y$95)</f>
        <v>0</v>
      </c>
      <c r="Z387" s="6">
        <f t="array" aca="1" ref="Z387" ca="1">SUM(OFFSET($KE$43,0,($M387*3)+$N387,53,1)*Z$43:Z$95)</f>
        <v>0</v>
      </c>
      <c r="AA387" s="6">
        <f t="shared" ca="1" si="150"/>
        <v>0</v>
      </c>
      <c r="AB387" s="6" t="str">
        <f t="shared" si="152"/>
        <v/>
      </c>
    </row>
    <row r="388" spans="1:28" x14ac:dyDescent="0.25">
      <c r="A388">
        <f>1</f>
        <v>1</v>
      </c>
      <c r="B388" s="85">
        <f t="shared" si="149"/>
        <v>44176</v>
      </c>
      <c r="C388" s="85">
        <f t="shared" si="145"/>
        <v>44172</v>
      </c>
      <c r="D388">
        <f t="shared" ca="1" si="146"/>
        <v>1</v>
      </c>
      <c r="E388" s="85">
        <f t="shared" si="147"/>
        <v>44166</v>
      </c>
      <c r="F388">
        <f t="shared" si="148"/>
        <v>50</v>
      </c>
      <c r="L388" t="str">
        <f t="shared" ca="1" si="151"/>
        <v/>
      </c>
      <c r="M388">
        <v>2</v>
      </c>
      <c r="N388">
        <v>1</v>
      </c>
      <c r="O388" s="6">
        <f t="array" aca="1" ref="O388" ca="1">SUM(OFFSET($KE$43,0,($M388*3)+$N388,53,1)*O$43:O$95)</f>
        <v>0</v>
      </c>
      <c r="P388" s="6">
        <f t="array" aca="1" ref="P388" ca="1">SUM(OFFSET($KE$43,0,($M388*3)+$N388,53,1)*P$43:P$95)</f>
        <v>0</v>
      </c>
      <c r="Q388" s="6">
        <f t="array" aca="1" ref="Q388" ca="1">SUM(OFFSET($KE$43,0,($M388*3)+$N388,53,1)*Q$43:Q$95)</f>
        <v>0</v>
      </c>
      <c r="R388" s="6">
        <f t="array" aca="1" ref="R388" ca="1">SUM(OFFSET($KE$43,0,($M388*3)+$N388,53,1)*R$43:R$95)</f>
        <v>0</v>
      </c>
      <c r="S388" s="6">
        <f t="array" aca="1" ref="S388" ca="1">SUM(OFFSET($KE$43,0,($M388*3)+$N388,53,1)*S$43:S$95)</f>
        <v>0</v>
      </c>
      <c r="T388" s="6">
        <f t="array" aca="1" ref="T388" ca="1">SUM(OFFSET($KE$43,0,($M388*3)+$N388,53,1)*T$43:T$95)</f>
        <v>0</v>
      </c>
      <c r="U388" s="6">
        <f t="array" aca="1" ref="U388" ca="1">SUM(OFFSET($KE$43,0,($M388*3)+$N388,53,1)*U$43:U$95)</f>
        <v>0</v>
      </c>
      <c r="V388" s="6">
        <f t="array" aca="1" ref="V388" ca="1">SUM(OFFSET($KE$43,0,($M388*3)+$N388,53,1)*V$43:V$95)</f>
        <v>0</v>
      </c>
      <c r="W388" s="6">
        <f t="array" aca="1" ref="W388" ca="1">SUM(OFFSET($KE$43,0,($M388*3)+$N388,53,1)*W$43:W$95)</f>
        <v>0</v>
      </c>
      <c r="X388" s="6">
        <f t="array" aca="1" ref="X388" ca="1">SUM(OFFSET($KE$43,0,($M388*3)+$N388,53,1)*X$43:X$95)</f>
        <v>0</v>
      </c>
      <c r="Y388" s="6">
        <f t="array" aca="1" ref="Y388" ca="1">SUM(OFFSET($KE$43,0,($M388*3)+$N388,53,1)*Y$43:Y$95)</f>
        <v>0</v>
      </c>
      <c r="Z388" s="6">
        <f t="array" aca="1" ref="Z388" ca="1">SUM(OFFSET($KE$43,0,($M388*3)+$N388,53,1)*Z$43:Z$95)</f>
        <v>0</v>
      </c>
      <c r="AA388" s="6">
        <f t="shared" ca="1" si="150"/>
        <v>0</v>
      </c>
      <c r="AB388" s="6" t="str">
        <f t="shared" si="152"/>
        <v/>
      </c>
    </row>
    <row r="389" spans="1:28" x14ac:dyDescent="0.25">
      <c r="A389">
        <f>1</f>
        <v>1</v>
      </c>
      <c r="B389" s="85">
        <f t="shared" si="149"/>
        <v>44177</v>
      </c>
      <c r="C389" s="85">
        <f t="shared" si="145"/>
        <v>44172</v>
      </c>
      <c r="D389">
        <f t="shared" ca="1" si="146"/>
        <v>0</v>
      </c>
      <c r="E389" s="85">
        <f t="shared" si="147"/>
        <v>44166</v>
      </c>
      <c r="F389">
        <f t="shared" si="148"/>
        <v>50</v>
      </c>
      <c r="L389" t="str">
        <f t="shared" ca="1" si="151"/>
        <v/>
      </c>
      <c r="M389">
        <v>2</v>
      </c>
      <c r="N389">
        <v>2</v>
      </c>
      <c r="O389" s="6">
        <f t="array" aca="1" ref="O389" ca="1">SUM(OFFSET($KE$43,0,($M389*3)+$N389,53,1)*O$43:O$95)</f>
        <v>0</v>
      </c>
      <c r="P389" s="6">
        <f t="array" aca="1" ref="P389" ca="1">SUM(OFFSET($KE$43,0,($M389*3)+$N389,53,1)*P$43:P$95)</f>
        <v>0</v>
      </c>
      <c r="Q389" s="6">
        <f t="array" aca="1" ref="Q389" ca="1">SUM(OFFSET($KE$43,0,($M389*3)+$N389,53,1)*Q$43:Q$95)</f>
        <v>0</v>
      </c>
      <c r="R389" s="6">
        <f t="array" aca="1" ref="R389" ca="1">SUM(OFFSET($KE$43,0,($M389*3)+$N389,53,1)*R$43:R$95)</f>
        <v>0</v>
      </c>
      <c r="S389" s="6">
        <f t="array" aca="1" ref="S389" ca="1">SUM(OFFSET($KE$43,0,($M389*3)+$N389,53,1)*S$43:S$95)</f>
        <v>0</v>
      </c>
      <c r="T389" s="6">
        <f t="array" aca="1" ref="T389" ca="1">SUM(OFFSET($KE$43,0,($M389*3)+$N389,53,1)*T$43:T$95)</f>
        <v>0</v>
      </c>
      <c r="U389" s="6">
        <f t="array" aca="1" ref="U389" ca="1">SUM(OFFSET($KE$43,0,($M389*3)+$N389,53,1)*U$43:U$95)</f>
        <v>0</v>
      </c>
      <c r="V389" s="6">
        <f t="array" aca="1" ref="V389" ca="1">SUM(OFFSET($KE$43,0,($M389*3)+$N389,53,1)*V$43:V$95)</f>
        <v>0</v>
      </c>
      <c r="W389" s="6">
        <f t="array" aca="1" ref="W389" ca="1">SUM(OFFSET($KE$43,0,($M389*3)+$N389,53,1)*W$43:W$95)</f>
        <v>0</v>
      </c>
      <c r="X389" s="6">
        <f t="array" aca="1" ref="X389" ca="1">SUM(OFFSET($KE$43,0,($M389*3)+$N389,53,1)*X$43:X$95)</f>
        <v>0</v>
      </c>
      <c r="Y389" s="6">
        <f t="array" aca="1" ref="Y389" ca="1">SUM(OFFSET($KE$43,0,($M389*3)+$N389,53,1)*Y$43:Y$95)</f>
        <v>0</v>
      </c>
      <c r="Z389" s="6">
        <f t="array" aca="1" ref="Z389" ca="1">SUM(OFFSET($KE$43,0,($M389*3)+$N389,53,1)*Z$43:Z$95)</f>
        <v>0</v>
      </c>
      <c r="AA389" s="6">
        <f t="shared" ca="1" si="150"/>
        <v>0</v>
      </c>
      <c r="AB389" s="6" t="str">
        <f t="shared" si="152"/>
        <v/>
      </c>
    </row>
    <row r="390" spans="1:28" x14ac:dyDescent="0.25">
      <c r="A390">
        <f>1</f>
        <v>1</v>
      </c>
      <c r="B390" s="85">
        <f t="shared" si="149"/>
        <v>44178</v>
      </c>
      <c r="C390" s="85">
        <f t="shared" si="145"/>
        <v>44172</v>
      </c>
      <c r="D390">
        <f t="shared" ca="1" si="146"/>
        <v>0</v>
      </c>
      <c r="E390" s="85">
        <f t="shared" si="147"/>
        <v>44166</v>
      </c>
      <c r="F390">
        <f t="shared" si="148"/>
        <v>50</v>
      </c>
      <c r="L390" t="str">
        <f t="shared" ca="1" si="151"/>
        <v/>
      </c>
      <c r="M390">
        <v>2</v>
      </c>
      <c r="N390">
        <v>3</v>
      </c>
      <c r="O390" s="6">
        <f t="array" aca="1" ref="O390" ca="1">SUM(OFFSET($KE$43,0,($M390*3)+$N390,53,1)*O$43:O$95)</f>
        <v>0</v>
      </c>
      <c r="P390" s="6">
        <f t="array" aca="1" ref="P390" ca="1">SUM(OFFSET($KE$43,0,($M390*3)+$N390,53,1)*P$43:P$95)</f>
        <v>0</v>
      </c>
      <c r="Q390" s="6">
        <f t="array" aca="1" ref="Q390" ca="1">SUM(OFFSET($KE$43,0,($M390*3)+$N390,53,1)*Q$43:Q$95)</f>
        <v>0</v>
      </c>
      <c r="R390" s="6">
        <f t="array" aca="1" ref="R390" ca="1">SUM(OFFSET($KE$43,0,($M390*3)+$N390,53,1)*R$43:R$95)</f>
        <v>0</v>
      </c>
      <c r="S390" s="6">
        <f t="array" aca="1" ref="S390" ca="1">SUM(OFFSET($KE$43,0,($M390*3)+$N390,53,1)*S$43:S$95)</f>
        <v>0</v>
      </c>
      <c r="T390" s="6">
        <f t="array" aca="1" ref="T390" ca="1">SUM(OFFSET($KE$43,0,($M390*3)+$N390,53,1)*T$43:T$95)</f>
        <v>0</v>
      </c>
      <c r="U390" s="6">
        <f t="array" aca="1" ref="U390" ca="1">SUM(OFFSET($KE$43,0,($M390*3)+$N390,53,1)*U$43:U$95)</f>
        <v>0</v>
      </c>
      <c r="V390" s="6">
        <f t="array" aca="1" ref="V390" ca="1">SUM(OFFSET($KE$43,0,($M390*3)+$N390,53,1)*V$43:V$95)</f>
        <v>0</v>
      </c>
      <c r="W390" s="6">
        <f t="array" aca="1" ref="W390" ca="1">SUM(OFFSET($KE$43,0,($M390*3)+$N390,53,1)*W$43:W$95)</f>
        <v>0</v>
      </c>
      <c r="X390" s="6">
        <f t="array" aca="1" ref="X390" ca="1">SUM(OFFSET($KE$43,0,($M390*3)+$N390,53,1)*X$43:X$95)</f>
        <v>0</v>
      </c>
      <c r="Y390" s="6">
        <f t="array" aca="1" ref="Y390" ca="1">SUM(OFFSET($KE$43,0,($M390*3)+$N390,53,1)*Y$43:Y$95)</f>
        <v>0</v>
      </c>
      <c r="Z390" s="6">
        <f t="array" aca="1" ref="Z390" ca="1">SUM(OFFSET($KE$43,0,($M390*3)+$N390,53,1)*Z$43:Z$95)</f>
        <v>0</v>
      </c>
      <c r="AA390" s="6">
        <f t="shared" ca="1" si="150"/>
        <v>0</v>
      </c>
      <c r="AB390" s="6" t="str">
        <f t="shared" si="152"/>
        <v/>
      </c>
    </row>
    <row r="391" spans="1:28" x14ac:dyDescent="0.25">
      <c r="A391">
        <f>1</f>
        <v>1</v>
      </c>
      <c r="B391" s="85">
        <f t="shared" si="149"/>
        <v>44179</v>
      </c>
      <c r="C391" s="85">
        <f t="shared" si="145"/>
        <v>44179</v>
      </c>
      <c r="D391">
        <f t="shared" ca="1" si="146"/>
        <v>1</v>
      </c>
      <c r="E391" s="85">
        <f t="shared" si="147"/>
        <v>44166</v>
      </c>
      <c r="F391">
        <f t="shared" si="148"/>
        <v>51</v>
      </c>
      <c r="L391" t="str">
        <f t="shared" ca="1" si="151"/>
        <v/>
      </c>
      <c r="M391">
        <v>3</v>
      </c>
      <c r="N391">
        <v>1</v>
      </c>
      <c r="O391" s="6">
        <f t="array" aca="1" ref="O391" ca="1">SUM(OFFSET($KE$43,0,($M391*3)+$N391,53,1)*O$43:O$95)</f>
        <v>0</v>
      </c>
      <c r="P391" s="6">
        <f t="array" aca="1" ref="P391" ca="1">SUM(OFFSET($KE$43,0,($M391*3)+$N391,53,1)*P$43:P$95)</f>
        <v>0</v>
      </c>
      <c r="Q391" s="6">
        <f t="array" aca="1" ref="Q391" ca="1">SUM(OFFSET($KE$43,0,($M391*3)+$N391,53,1)*Q$43:Q$95)</f>
        <v>0</v>
      </c>
      <c r="R391" s="6">
        <f t="array" aca="1" ref="R391" ca="1">SUM(OFFSET($KE$43,0,($M391*3)+$N391,53,1)*R$43:R$95)</f>
        <v>0</v>
      </c>
      <c r="S391" s="6">
        <f t="array" aca="1" ref="S391" ca="1">SUM(OFFSET($KE$43,0,($M391*3)+$N391,53,1)*S$43:S$95)</f>
        <v>0</v>
      </c>
      <c r="T391" s="6">
        <f t="array" aca="1" ref="T391" ca="1">SUM(OFFSET($KE$43,0,($M391*3)+$N391,53,1)*T$43:T$95)</f>
        <v>0</v>
      </c>
      <c r="U391" s="6">
        <f t="array" aca="1" ref="U391" ca="1">SUM(OFFSET($KE$43,0,($M391*3)+$N391,53,1)*U$43:U$95)</f>
        <v>0</v>
      </c>
      <c r="V391" s="6">
        <f t="array" aca="1" ref="V391" ca="1">SUM(OFFSET($KE$43,0,($M391*3)+$N391,53,1)*V$43:V$95)</f>
        <v>0</v>
      </c>
      <c r="W391" s="6">
        <f t="array" aca="1" ref="W391" ca="1">SUM(OFFSET($KE$43,0,($M391*3)+$N391,53,1)*W$43:W$95)</f>
        <v>0</v>
      </c>
      <c r="X391" s="6">
        <f t="array" aca="1" ref="X391" ca="1">SUM(OFFSET($KE$43,0,($M391*3)+$N391,53,1)*X$43:X$95)</f>
        <v>0</v>
      </c>
      <c r="Y391" s="6">
        <f t="array" aca="1" ref="Y391" ca="1">SUM(OFFSET($KE$43,0,($M391*3)+$N391,53,1)*Y$43:Y$95)</f>
        <v>0</v>
      </c>
      <c r="Z391" s="6">
        <f t="array" aca="1" ref="Z391" ca="1">SUM(OFFSET($KE$43,0,($M391*3)+$N391,53,1)*Z$43:Z$95)</f>
        <v>0</v>
      </c>
      <c r="AA391" s="6">
        <f t="shared" ca="1" si="150"/>
        <v>0</v>
      </c>
      <c r="AB391" s="6" t="str">
        <f t="shared" si="152"/>
        <v/>
      </c>
    </row>
    <row r="392" spans="1:28" x14ac:dyDescent="0.25">
      <c r="A392">
        <f>1</f>
        <v>1</v>
      </c>
      <c r="B392" s="85">
        <f t="shared" si="149"/>
        <v>44180</v>
      </c>
      <c r="C392" s="85">
        <f t="shared" si="145"/>
        <v>44179</v>
      </c>
      <c r="D392">
        <f t="shared" ca="1" si="146"/>
        <v>1</v>
      </c>
      <c r="E392" s="85">
        <f t="shared" si="147"/>
        <v>44166</v>
      </c>
      <c r="F392">
        <f t="shared" si="148"/>
        <v>51</v>
      </c>
      <c r="L392" t="str">
        <f t="shared" ca="1" si="151"/>
        <v/>
      </c>
      <c r="M392">
        <v>3</v>
      </c>
      <c r="N392">
        <v>2</v>
      </c>
      <c r="O392" s="6">
        <f t="array" aca="1" ref="O392" ca="1">SUM(OFFSET($KE$43,0,($M392*3)+$N392,53,1)*O$43:O$95)</f>
        <v>0</v>
      </c>
      <c r="P392" s="6">
        <f t="array" aca="1" ref="P392" ca="1">SUM(OFFSET($KE$43,0,($M392*3)+$N392,53,1)*P$43:P$95)</f>
        <v>0</v>
      </c>
      <c r="Q392" s="6">
        <f t="array" aca="1" ref="Q392" ca="1">SUM(OFFSET($KE$43,0,($M392*3)+$N392,53,1)*Q$43:Q$95)</f>
        <v>0</v>
      </c>
      <c r="R392" s="6">
        <f t="array" aca="1" ref="R392" ca="1">SUM(OFFSET($KE$43,0,($M392*3)+$N392,53,1)*R$43:R$95)</f>
        <v>0</v>
      </c>
      <c r="S392" s="6">
        <f t="array" aca="1" ref="S392" ca="1">SUM(OFFSET($KE$43,0,($M392*3)+$N392,53,1)*S$43:S$95)</f>
        <v>0</v>
      </c>
      <c r="T392" s="6">
        <f t="array" aca="1" ref="T392" ca="1">SUM(OFFSET($KE$43,0,($M392*3)+$N392,53,1)*T$43:T$95)</f>
        <v>0</v>
      </c>
      <c r="U392" s="6">
        <f t="array" aca="1" ref="U392" ca="1">SUM(OFFSET($KE$43,0,($M392*3)+$N392,53,1)*U$43:U$95)</f>
        <v>0</v>
      </c>
      <c r="V392" s="6">
        <f t="array" aca="1" ref="V392" ca="1">SUM(OFFSET($KE$43,0,($M392*3)+$N392,53,1)*V$43:V$95)</f>
        <v>0</v>
      </c>
      <c r="W392" s="6">
        <f t="array" aca="1" ref="W392" ca="1">SUM(OFFSET($KE$43,0,($M392*3)+$N392,53,1)*W$43:W$95)</f>
        <v>0</v>
      </c>
      <c r="X392" s="6">
        <f t="array" aca="1" ref="X392" ca="1">SUM(OFFSET($KE$43,0,($M392*3)+$N392,53,1)*X$43:X$95)</f>
        <v>0</v>
      </c>
      <c r="Y392" s="6">
        <f t="array" aca="1" ref="Y392" ca="1">SUM(OFFSET($KE$43,0,($M392*3)+$N392,53,1)*Y$43:Y$95)</f>
        <v>0</v>
      </c>
      <c r="Z392" s="6">
        <f t="array" aca="1" ref="Z392" ca="1">SUM(OFFSET($KE$43,0,($M392*3)+$N392,53,1)*Z$43:Z$95)</f>
        <v>0</v>
      </c>
      <c r="AA392" s="6">
        <f t="shared" ca="1" si="150"/>
        <v>0</v>
      </c>
      <c r="AB392" s="6" t="str">
        <f t="shared" si="152"/>
        <v/>
      </c>
    </row>
    <row r="393" spans="1:28" x14ac:dyDescent="0.25">
      <c r="A393">
        <f>1</f>
        <v>1</v>
      </c>
      <c r="B393" s="85">
        <f t="shared" si="149"/>
        <v>44181</v>
      </c>
      <c r="C393" s="85">
        <f t="shared" si="145"/>
        <v>44179</v>
      </c>
      <c r="D393">
        <f t="shared" ca="1" si="146"/>
        <v>1</v>
      </c>
      <c r="E393" s="85">
        <f t="shared" si="147"/>
        <v>44166</v>
      </c>
      <c r="F393">
        <f t="shared" si="148"/>
        <v>51</v>
      </c>
      <c r="L393" t="str">
        <f t="shared" ca="1" si="151"/>
        <v/>
      </c>
      <c r="M393">
        <v>3</v>
      </c>
      <c r="N393">
        <v>3</v>
      </c>
      <c r="O393" s="6">
        <f t="array" aca="1" ref="O393" ca="1">SUM(OFFSET($KE$43,0,($M393*3)+$N393,53,1)*O$43:O$95)</f>
        <v>0</v>
      </c>
      <c r="P393" s="6">
        <f t="array" aca="1" ref="P393" ca="1">SUM(OFFSET($KE$43,0,($M393*3)+$N393,53,1)*P$43:P$95)</f>
        <v>0</v>
      </c>
      <c r="Q393" s="6">
        <f t="array" aca="1" ref="Q393" ca="1">SUM(OFFSET($KE$43,0,($M393*3)+$N393,53,1)*Q$43:Q$95)</f>
        <v>0</v>
      </c>
      <c r="R393" s="6">
        <f t="array" aca="1" ref="R393" ca="1">SUM(OFFSET($KE$43,0,($M393*3)+$N393,53,1)*R$43:R$95)</f>
        <v>0</v>
      </c>
      <c r="S393" s="6">
        <f t="array" aca="1" ref="S393" ca="1">SUM(OFFSET($KE$43,0,($M393*3)+$N393,53,1)*S$43:S$95)</f>
        <v>0</v>
      </c>
      <c r="T393" s="6">
        <f t="array" aca="1" ref="T393" ca="1">SUM(OFFSET($KE$43,0,($M393*3)+$N393,53,1)*T$43:T$95)</f>
        <v>0</v>
      </c>
      <c r="U393" s="6">
        <f t="array" aca="1" ref="U393" ca="1">SUM(OFFSET($KE$43,0,($M393*3)+$N393,53,1)*U$43:U$95)</f>
        <v>0</v>
      </c>
      <c r="V393" s="6">
        <f t="array" aca="1" ref="V393" ca="1">SUM(OFFSET($KE$43,0,($M393*3)+$N393,53,1)*V$43:V$95)</f>
        <v>0</v>
      </c>
      <c r="W393" s="6">
        <f t="array" aca="1" ref="W393" ca="1">SUM(OFFSET($KE$43,0,($M393*3)+$N393,53,1)*W$43:W$95)</f>
        <v>0</v>
      </c>
      <c r="X393" s="6">
        <f t="array" aca="1" ref="X393" ca="1">SUM(OFFSET($KE$43,0,($M393*3)+$N393,53,1)*X$43:X$95)</f>
        <v>0</v>
      </c>
      <c r="Y393" s="6">
        <f t="array" aca="1" ref="Y393" ca="1">SUM(OFFSET($KE$43,0,($M393*3)+$N393,53,1)*Y$43:Y$95)</f>
        <v>0</v>
      </c>
      <c r="Z393" s="6">
        <f t="array" aca="1" ref="Z393" ca="1">SUM(OFFSET($KE$43,0,($M393*3)+$N393,53,1)*Z$43:Z$95)</f>
        <v>0</v>
      </c>
      <c r="AA393" s="6">
        <f t="shared" ca="1" si="150"/>
        <v>0</v>
      </c>
      <c r="AB393" s="6" t="str">
        <f t="shared" si="152"/>
        <v/>
      </c>
    </row>
    <row r="394" spans="1:28" x14ac:dyDescent="0.25">
      <c r="A394">
        <f>1</f>
        <v>1</v>
      </c>
      <c r="B394" s="85">
        <f t="shared" si="149"/>
        <v>44182</v>
      </c>
      <c r="C394" s="85">
        <f t="shared" si="145"/>
        <v>44179</v>
      </c>
      <c r="D394">
        <f t="shared" ca="1" si="146"/>
        <v>1</v>
      </c>
      <c r="E394" s="85">
        <f t="shared" si="147"/>
        <v>44166</v>
      </c>
      <c r="F394">
        <f t="shared" si="148"/>
        <v>51</v>
      </c>
      <c r="L394" t="str">
        <f t="shared" ca="1" si="151"/>
        <v/>
      </c>
      <c r="M394">
        <v>4</v>
      </c>
      <c r="N394">
        <v>1</v>
      </c>
      <c r="O394" s="6">
        <f t="array" aca="1" ref="O394" ca="1">SUM(OFFSET($KE$43,0,($M394*3)+$N394,53,1)*O$43:O$95)</f>
        <v>0</v>
      </c>
      <c r="P394" s="6">
        <f t="array" aca="1" ref="P394" ca="1">SUM(OFFSET($KE$43,0,($M394*3)+$N394,53,1)*P$43:P$95)</f>
        <v>0</v>
      </c>
      <c r="Q394" s="6">
        <f t="array" aca="1" ref="Q394" ca="1">SUM(OFFSET($KE$43,0,($M394*3)+$N394,53,1)*Q$43:Q$95)</f>
        <v>0</v>
      </c>
      <c r="R394" s="6">
        <f t="array" aca="1" ref="R394" ca="1">SUM(OFFSET($KE$43,0,($M394*3)+$N394,53,1)*R$43:R$95)</f>
        <v>0</v>
      </c>
      <c r="S394" s="6">
        <f t="array" aca="1" ref="S394" ca="1">SUM(OFFSET($KE$43,0,($M394*3)+$N394,53,1)*S$43:S$95)</f>
        <v>0</v>
      </c>
      <c r="T394" s="6">
        <f t="array" aca="1" ref="T394" ca="1">SUM(OFFSET($KE$43,0,($M394*3)+$N394,53,1)*T$43:T$95)</f>
        <v>0</v>
      </c>
      <c r="U394" s="6">
        <f t="array" aca="1" ref="U394" ca="1">SUM(OFFSET($KE$43,0,($M394*3)+$N394,53,1)*U$43:U$95)</f>
        <v>0</v>
      </c>
      <c r="V394" s="6">
        <f t="array" aca="1" ref="V394" ca="1">SUM(OFFSET($KE$43,0,($M394*3)+$N394,53,1)*V$43:V$95)</f>
        <v>0</v>
      </c>
      <c r="W394" s="6">
        <f t="array" aca="1" ref="W394" ca="1">SUM(OFFSET($KE$43,0,($M394*3)+$N394,53,1)*W$43:W$95)</f>
        <v>0</v>
      </c>
      <c r="X394" s="6">
        <f t="array" aca="1" ref="X394" ca="1">SUM(OFFSET($KE$43,0,($M394*3)+$N394,53,1)*X$43:X$95)</f>
        <v>0</v>
      </c>
      <c r="Y394" s="6">
        <f t="array" aca="1" ref="Y394" ca="1">SUM(OFFSET($KE$43,0,($M394*3)+$N394,53,1)*Y$43:Y$95)</f>
        <v>0</v>
      </c>
      <c r="Z394" s="6">
        <f t="array" aca="1" ref="Z394" ca="1">SUM(OFFSET($KE$43,0,($M394*3)+$N394,53,1)*Z$43:Z$95)</f>
        <v>0</v>
      </c>
      <c r="AA394" s="6">
        <f t="shared" ca="1" si="150"/>
        <v>0</v>
      </c>
      <c r="AB394" s="6" t="str">
        <f t="shared" si="152"/>
        <v/>
      </c>
    </row>
    <row r="395" spans="1:28" x14ac:dyDescent="0.25">
      <c r="A395">
        <f>1</f>
        <v>1</v>
      </c>
      <c r="B395" s="85">
        <f t="shared" si="149"/>
        <v>44183</v>
      </c>
      <c r="C395" s="85">
        <f t="shared" si="145"/>
        <v>44179</v>
      </c>
      <c r="D395">
        <f t="shared" ca="1" si="146"/>
        <v>1</v>
      </c>
      <c r="E395" s="85">
        <f t="shared" si="147"/>
        <v>44166</v>
      </c>
      <c r="F395">
        <f t="shared" si="148"/>
        <v>51</v>
      </c>
      <c r="L395" t="str">
        <f t="shared" ca="1" si="151"/>
        <v/>
      </c>
      <c r="M395">
        <v>4</v>
      </c>
      <c r="N395">
        <v>2</v>
      </c>
      <c r="O395" s="6">
        <f t="array" aca="1" ref="O395" ca="1">SUM(OFFSET($KE$43,0,($M395*3)+$N395,53,1)*O$43:O$95)</f>
        <v>0</v>
      </c>
      <c r="P395" s="6">
        <f t="array" aca="1" ref="P395" ca="1">SUM(OFFSET($KE$43,0,($M395*3)+$N395,53,1)*P$43:P$95)</f>
        <v>0</v>
      </c>
      <c r="Q395" s="6">
        <f t="array" aca="1" ref="Q395" ca="1">SUM(OFFSET($KE$43,0,($M395*3)+$N395,53,1)*Q$43:Q$95)</f>
        <v>0</v>
      </c>
      <c r="R395" s="6">
        <f t="array" aca="1" ref="R395" ca="1">SUM(OFFSET($KE$43,0,($M395*3)+$N395,53,1)*R$43:R$95)</f>
        <v>0</v>
      </c>
      <c r="S395" s="6">
        <f t="array" aca="1" ref="S395" ca="1">SUM(OFFSET($KE$43,0,($M395*3)+$N395,53,1)*S$43:S$95)</f>
        <v>0</v>
      </c>
      <c r="T395" s="6">
        <f t="array" aca="1" ref="T395" ca="1">SUM(OFFSET($KE$43,0,($M395*3)+$N395,53,1)*T$43:T$95)</f>
        <v>0</v>
      </c>
      <c r="U395" s="6">
        <f t="array" aca="1" ref="U395" ca="1">SUM(OFFSET($KE$43,0,($M395*3)+$N395,53,1)*U$43:U$95)</f>
        <v>0</v>
      </c>
      <c r="V395" s="6">
        <f t="array" aca="1" ref="V395" ca="1">SUM(OFFSET($KE$43,0,($M395*3)+$N395,53,1)*V$43:V$95)</f>
        <v>0</v>
      </c>
      <c r="W395" s="6">
        <f t="array" aca="1" ref="W395" ca="1">SUM(OFFSET($KE$43,0,($M395*3)+$N395,53,1)*W$43:W$95)</f>
        <v>0</v>
      </c>
      <c r="X395" s="6">
        <f t="array" aca="1" ref="X395" ca="1">SUM(OFFSET($KE$43,0,($M395*3)+$N395,53,1)*X$43:X$95)</f>
        <v>0</v>
      </c>
      <c r="Y395" s="6">
        <f t="array" aca="1" ref="Y395" ca="1">SUM(OFFSET($KE$43,0,($M395*3)+$N395,53,1)*Y$43:Y$95)</f>
        <v>0</v>
      </c>
      <c r="Z395" s="6">
        <f t="array" aca="1" ref="Z395" ca="1">SUM(OFFSET($KE$43,0,($M395*3)+$N395,53,1)*Z$43:Z$95)</f>
        <v>0</v>
      </c>
      <c r="AA395" s="6">
        <f t="shared" ca="1" si="150"/>
        <v>0</v>
      </c>
      <c r="AB395" s="6" t="str">
        <f t="shared" si="152"/>
        <v/>
      </c>
    </row>
    <row r="396" spans="1:28" x14ac:dyDescent="0.25">
      <c r="A396">
        <f>1</f>
        <v>1</v>
      </c>
      <c r="B396" s="85">
        <f t="shared" si="149"/>
        <v>44184</v>
      </c>
      <c r="C396" s="85">
        <f t="shared" si="145"/>
        <v>44179</v>
      </c>
      <c r="D396">
        <f t="shared" ca="1" si="146"/>
        <v>0</v>
      </c>
      <c r="E396" s="85">
        <f t="shared" si="147"/>
        <v>44166</v>
      </c>
      <c r="F396">
        <f t="shared" si="148"/>
        <v>51</v>
      </c>
      <c r="L396" t="str">
        <f t="shared" ca="1" si="151"/>
        <v/>
      </c>
      <c r="M396">
        <v>4</v>
      </c>
      <c r="N396">
        <v>3</v>
      </c>
      <c r="O396" s="6">
        <f t="array" aca="1" ref="O396" ca="1">SUM(OFFSET($KE$43,0,($M396*3)+$N396,53,1)*O$43:O$95)</f>
        <v>0</v>
      </c>
      <c r="P396" s="6">
        <f t="array" aca="1" ref="P396" ca="1">SUM(OFFSET($KE$43,0,($M396*3)+$N396,53,1)*P$43:P$95)</f>
        <v>0</v>
      </c>
      <c r="Q396" s="6">
        <f t="array" aca="1" ref="Q396" ca="1">SUM(OFFSET($KE$43,0,($M396*3)+$N396,53,1)*Q$43:Q$95)</f>
        <v>0</v>
      </c>
      <c r="R396" s="6">
        <f t="array" aca="1" ref="R396" ca="1">SUM(OFFSET($KE$43,0,($M396*3)+$N396,53,1)*R$43:R$95)</f>
        <v>0</v>
      </c>
      <c r="S396" s="6">
        <f t="array" aca="1" ref="S396" ca="1">SUM(OFFSET($KE$43,0,($M396*3)+$N396,53,1)*S$43:S$95)</f>
        <v>0</v>
      </c>
      <c r="T396" s="6">
        <f t="array" aca="1" ref="T396" ca="1">SUM(OFFSET($KE$43,0,($M396*3)+$N396,53,1)*T$43:T$95)</f>
        <v>0</v>
      </c>
      <c r="U396" s="6">
        <f t="array" aca="1" ref="U396" ca="1">SUM(OFFSET($KE$43,0,($M396*3)+$N396,53,1)*U$43:U$95)</f>
        <v>0</v>
      </c>
      <c r="V396" s="6">
        <f t="array" aca="1" ref="V396" ca="1">SUM(OFFSET($KE$43,0,($M396*3)+$N396,53,1)*V$43:V$95)</f>
        <v>0</v>
      </c>
      <c r="W396" s="6">
        <f t="array" aca="1" ref="W396" ca="1">SUM(OFFSET($KE$43,0,($M396*3)+$N396,53,1)*W$43:W$95)</f>
        <v>0</v>
      </c>
      <c r="X396" s="6">
        <f t="array" aca="1" ref="X396" ca="1">SUM(OFFSET($KE$43,0,($M396*3)+$N396,53,1)*X$43:X$95)</f>
        <v>0</v>
      </c>
      <c r="Y396" s="6">
        <f t="array" aca="1" ref="Y396" ca="1">SUM(OFFSET($KE$43,0,($M396*3)+$N396,53,1)*Y$43:Y$95)</f>
        <v>0</v>
      </c>
      <c r="Z396" s="6">
        <f t="array" aca="1" ref="Z396" ca="1">SUM(OFFSET($KE$43,0,($M396*3)+$N396,53,1)*Z$43:Z$95)</f>
        <v>0</v>
      </c>
      <c r="AA396" s="6">
        <f t="shared" ca="1" si="150"/>
        <v>0</v>
      </c>
      <c r="AB396" s="6" t="str">
        <f t="shared" si="152"/>
        <v/>
      </c>
    </row>
    <row r="397" spans="1:28" x14ac:dyDescent="0.25">
      <c r="A397">
        <f>1</f>
        <v>1</v>
      </c>
      <c r="B397" s="85">
        <f t="shared" si="149"/>
        <v>44185</v>
      </c>
      <c r="C397" s="85">
        <f t="shared" si="145"/>
        <v>44179</v>
      </c>
      <c r="D397">
        <f t="shared" ca="1" si="146"/>
        <v>0</v>
      </c>
      <c r="E397" s="85">
        <f t="shared" si="147"/>
        <v>44166</v>
      </c>
      <c r="F397">
        <f t="shared" si="148"/>
        <v>51</v>
      </c>
      <c r="L397" t="str">
        <f t="shared" ca="1" si="151"/>
        <v/>
      </c>
      <c r="M397">
        <v>5</v>
      </c>
      <c r="N397">
        <v>1</v>
      </c>
      <c r="O397" s="6">
        <f t="array" aca="1" ref="O397" ca="1">SUM(OFFSET($KE$43,0,($M397*3)+$N397,53,1)*O$43:O$95)</f>
        <v>0</v>
      </c>
      <c r="P397" s="6">
        <f t="array" aca="1" ref="P397" ca="1">SUM(OFFSET($KE$43,0,($M397*3)+$N397,53,1)*P$43:P$95)</f>
        <v>0</v>
      </c>
      <c r="Q397" s="6">
        <f t="array" aca="1" ref="Q397" ca="1">SUM(OFFSET($KE$43,0,($M397*3)+$N397,53,1)*Q$43:Q$95)</f>
        <v>0</v>
      </c>
      <c r="R397" s="6">
        <f t="array" aca="1" ref="R397" ca="1">SUM(OFFSET($KE$43,0,($M397*3)+$N397,53,1)*R$43:R$95)</f>
        <v>0</v>
      </c>
      <c r="S397" s="6">
        <f t="array" aca="1" ref="S397" ca="1">SUM(OFFSET($KE$43,0,($M397*3)+$N397,53,1)*S$43:S$95)</f>
        <v>0</v>
      </c>
      <c r="T397" s="6">
        <f t="array" aca="1" ref="T397" ca="1">SUM(OFFSET($KE$43,0,($M397*3)+$N397,53,1)*T$43:T$95)</f>
        <v>0</v>
      </c>
      <c r="U397" s="6">
        <f t="array" aca="1" ref="U397" ca="1">SUM(OFFSET($KE$43,0,($M397*3)+$N397,53,1)*U$43:U$95)</f>
        <v>0</v>
      </c>
      <c r="V397" s="6">
        <f t="array" aca="1" ref="V397" ca="1">SUM(OFFSET($KE$43,0,($M397*3)+$N397,53,1)*V$43:V$95)</f>
        <v>0</v>
      </c>
      <c r="W397" s="6">
        <f t="array" aca="1" ref="W397" ca="1">SUM(OFFSET($KE$43,0,($M397*3)+$N397,53,1)*W$43:W$95)</f>
        <v>0</v>
      </c>
      <c r="X397" s="6">
        <f t="array" aca="1" ref="X397" ca="1">SUM(OFFSET($KE$43,0,($M397*3)+$N397,53,1)*X$43:X$95)</f>
        <v>0</v>
      </c>
      <c r="Y397" s="6">
        <f t="array" aca="1" ref="Y397" ca="1">SUM(OFFSET($KE$43,0,($M397*3)+$N397,53,1)*Y$43:Y$95)</f>
        <v>0</v>
      </c>
      <c r="Z397" s="6">
        <f t="array" aca="1" ref="Z397" ca="1">SUM(OFFSET($KE$43,0,($M397*3)+$N397,53,1)*Z$43:Z$95)</f>
        <v>0</v>
      </c>
      <c r="AA397" s="6">
        <f t="shared" ca="1" si="150"/>
        <v>0</v>
      </c>
      <c r="AB397" s="6" t="str">
        <f t="shared" si="152"/>
        <v/>
      </c>
    </row>
    <row r="398" spans="1:28" x14ac:dyDescent="0.25">
      <c r="A398">
        <f>1</f>
        <v>1</v>
      </c>
      <c r="B398" s="85">
        <f t="shared" si="149"/>
        <v>44186</v>
      </c>
      <c r="C398" s="85">
        <f t="shared" si="145"/>
        <v>44186</v>
      </c>
      <c r="D398">
        <f t="shared" ca="1" si="146"/>
        <v>1</v>
      </c>
      <c r="E398" s="85">
        <f t="shared" si="147"/>
        <v>44166</v>
      </c>
      <c r="F398">
        <f t="shared" si="148"/>
        <v>52</v>
      </c>
      <c r="L398" t="str">
        <f t="shared" ca="1" si="151"/>
        <v/>
      </c>
      <c r="M398">
        <v>5</v>
      </c>
      <c r="N398">
        <v>2</v>
      </c>
      <c r="O398" s="6">
        <f t="array" aca="1" ref="O398" ca="1">SUM(OFFSET($KE$43,0,($M398*3)+$N398,53,1)*O$43:O$95)</f>
        <v>0</v>
      </c>
      <c r="P398" s="6">
        <f t="array" aca="1" ref="P398" ca="1">SUM(OFFSET($KE$43,0,($M398*3)+$N398,53,1)*P$43:P$95)</f>
        <v>0</v>
      </c>
      <c r="Q398" s="6">
        <f t="array" aca="1" ref="Q398" ca="1">SUM(OFFSET($KE$43,0,($M398*3)+$N398,53,1)*Q$43:Q$95)</f>
        <v>0</v>
      </c>
      <c r="R398" s="6">
        <f t="array" aca="1" ref="R398" ca="1">SUM(OFFSET($KE$43,0,($M398*3)+$N398,53,1)*R$43:R$95)</f>
        <v>0</v>
      </c>
      <c r="S398" s="6">
        <f t="array" aca="1" ref="S398" ca="1">SUM(OFFSET($KE$43,0,($M398*3)+$N398,53,1)*S$43:S$95)</f>
        <v>0</v>
      </c>
      <c r="T398" s="6">
        <f t="array" aca="1" ref="T398" ca="1">SUM(OFFSET($KE$43,0,($M398*3)+$N398,53,1)*T$43:T$95)</f>
        <v>0</v>
      </c>
      <c r="U398" s="6">
        <f t="array" aca="1" ref="U398" ca="1">SUM(OFFSET($KE$43,0,($M398*3)+$N398,53,1)*U$43:U$95)</f>
        <v>0</v>
      </c>
      <c r="V398" s="6">
        <f t="array" aca="1" ref="V398" ca="1">SUM(OFFSET($KE$43,0,($M398*3)+$N398,53,1)*V$43:V$95)</f>
        <v>0</v>
      </c>
      <c r="W398" s="6">
        <f t="array" aca="1" ref="W398" ca="1">SUM(OFFSET($KE$43,0,($M398*3)+$N398,53,1)*W$43:W$95)</f>
        <v>0</v>
      </c>
      <c r="X398" s="6">
        <f t="array" aca="1" ref="X398" ca="1">SUM(OFFSET($KE$43,0,($M398*3)+$N398,53,1)*X$43:X$95)</f>
        <v>0</v>
      </c>
      <c r="Y398" s="6">
        <f t="array" aca="1" ref="Y398" ca="1">SUM(OFFSET($KE$43,0,($M398*3)+$N398,53,1)*Y$43:Y$95)</f>
        <v>0</v>
      </c>
      <c r="Z398" s="6">
        <f t="array" aca="1" ref="Z398" ca="1">SUM(OFFSET($KE$43,0,($M398*3)+$N398,53,1)*Z$43:Z$95)</f>
        <v>0</v>
      </c>
      <c r="AA398" s="6">
        <f t="shared" ca="1" si="150"/>
        <v>0</v>
      </c>
      <c r="AB398" s="6" t="str">
        <f t="shared" si="152"/>
        <v/>
      </c>
    </row>
    <row r="399" spans="1:28" x14ac:dyDescent="0.25">
      <c r="A399">
        <f>1</f>
        <v>1</v>
      </c>
      <c r="B399" s="85">
        <f t="shared" si="149"/>
        <v>44187</v>
      </c>
      <c r="C399" s="85">
        <f t="shared" si="145"/>
        <v>44186</v>
      </c>
      <c r="D399">
        <f t="shared" ca="1" si="146"/>
        <v>1</v>
      </c>
      <c r="E399" s="85">
        <f t="shared" si="147"/>
        <v>44166</v>
      </c>
      <c r="F399">
        <f t="shared" si="148"/>
        <v>52</v>
      </c>
      <c r="L399" t="str">
        <f t="shared" ca="1" si="151"/>
        <v/>
      </c>
      <c r="M399">
        <v>5</v>
      </c>
      <c r="N399">
        <v>3</v>
      </c>
      <c r="O399" s="6">
        <f t="array" aca="1" ref="O399" ca="1">SUM(OFFSET($KE$43,0,($M399*3)+$N399,53,1)*O$43:O$95)</f>
        <v>0</v>
      </c>
      <c r="P399" s="6">
        <f t="array" aca="1" ref="P399" ca="1">SUM(OFFSET($KE$43,0,($M399*3)+$N399,53,1)*P$43:P$95)</f>
        <v>0</v>
      </c>
      <c r="Q399" s="6">
        <f t="array" aca="1" ref="Q399" ca="1">SUM(OFFSET($KE$43,0,($M399*3)+$N399,53,1)*Q$43:Q$95)</f>
        <v>0</v>
      </c>
      <c r="R399" s="6">
        <f t="array" aca="1" ref="R399" ca="1">SUM(OFFSET($KE$43,0,($M399*3)+$N399,53,1)*R$43:R$95)</f>
        <v>0</v>
      </c>
      <c r="S399" s="6">
        <f t="array" aca="1" ref="S399" ca="1">SUM(OFFSET($KE$43,0,($M399*3)+$N399,53,1)*S$43:S$95)</f>
        <v>0</v>
      </c>
      <c r="T399" s="6">
        <f t="array" aca="1" ref="T399" ca="1">SUM(OFFSET($KE$43,0,($M399*3)+$N399,53,1)*T$43:T$95)</f>
        <v>0</v>
      </c>
      <c r="U399" s="6">
        <f t="array" aca="1" ref="U399" ca="1">SUM(OFFSET($KE$43,0,($M399*3)+$N399,53,1)*U$43:U$95)</f>
        <v>0</v>
      </c>
      <c r="V399" s="6">
        <f t="array" aca="1" ref="V399" ca="1">SUM(OFFSET($KE$43,0,($M399*3)+$N399,53,1)*V$43:V$95)</f>
        <v>0</v>
      </c>
      <c r="W399" s="6">
        <f t="array" aca="1" ref="W399" ca="1">SUM(OFFSET($KE$43,0,($M399*3)+$N399,53,1)*W$43:W$95)</f>
        <v>0</v>
      </c>
      <c r="X399" s="6">
        <f t="array" aca="1" ref="X399" ca="1">SUM(OFFSET($KE$43,0,($M399*3)+$N399,53,1)*X$43:X$95)</f>
        <v>0</v>
      </c>
      <c r="Y399" s="6">
        <f t="array" aca="1" ref="Y399" ca="1">SUM(OFFSET($KE$43,0,($M399*3)+$N399,53,1)*Y$43:Y$95)</f>
        <v>0</v>
      </c>
      <c r="Z399" s="6">
        <f t="array" aca="1" ref="Z399" ca="1">SUM(OFFSET($KE$43,0,($M399*3)+$N399,53,1)*Z$43:Z$95)</f>
        <v>0</v>
      </c>
      <c r="AA399" s="6">
        <f t="shared" ca="1" si="150"/>
        <v>0</v>
      </c>
      <c r="AB399" s="6" t="str">
        <f t="shared" si="152"/>
        <v/>
      </c>
    </row>
    <row r="400" spans="1:28" x14ac:dyDescent="0.25">
      <c r="A400">
        <f>1</f>
        <v>1</v>
      </c>
      <c r="B400" s="85">
        <f t="shared" si="149"/>
        <v>44188</v>
      </c>
      <c r="C400" s="85">
        <f t="shared" si="145"/>
        <v>44186</v>
      </c>
      <c r="D400">
        <f t="shared" ca="1" si="146"/>
        <v>1</v>
      </c>
      <c r="E400" s="85">
        <f t="shared" si="147"/>
        <v>44166</v>
      </c>
      <c r="F400">
        <f t="shared" si="148"/>
        <v>52</v>
      </c>
      <c r="L400" t="str">
        <f t="shared" ca="1" si="151"/>
        <v/>
      </c>
      <c r="M400">
        <v>6</v>
      </c>
      <c r="N400">
        <v>1</v>
      </c>
      <c r="O400" s="6">
        <f t="array" aca="1" ref="O400" ca="1">SUM(OFFSET($KE$43,0,($M400*3)+$N400,53,1)*O$43:O$95)</f>
        <v>0</v>
      </c>
      <c r="P400" s="6">
        <f t="array" aca="1" ref="P400" ca="1">SUM(OFFSET($KE$43,0,($M400*3)+$N400,53,1)*P$43:P$95)</f>
        <v>0</v>
      </c>
      <c r="Q400" s="6">
        <f t="array" aca="1" ref="Q400" ca="1">SUM(OFFSET($KE$43,0,($M400*3)+$N400,53,1)*Q$43:Q$95)</f>
        <v>0</v>
      </c>
      <c r="R400" s="6">
        <f t="array" aca="1" ref="R400" ca="1">SUM(OFFSET($KE$43,0,($M400*3)+$N400,53,1)*R$43:R$95)</f>
        <v>0</v>
      </c>
      <c r="S400" s="6">
        <f t="array" aca="1" ref="S400" ca="1">SUM(OFFSET($KE$43,0,($M400*3)+$N400,53,1)*S$43:S$95)</f>
        <v>0</v>
      </c>
      <c r="T400" s="6">
        <f t="array" aca="1" ref="T400" ca="1">SUM(OFFSET($KE$43,0,($M400*3)+$N400,53,1)*T$43:T$95)</f>
        <v>0</v>
      </c>
      <c r="U400" s="6">
        <f t="array" aca="1" ref="U400" ca="1">SUM(OFFSET($KE$43,0,($M400*3)+$N400,53,1)*U$43:U$95)</f>
        <v>0</v>
      </c>
      <c r="V400" s="6">
        <f t="array" aca="1" ref="V400" ca="1">SUM(OFFSET($KE$43,0,($M400*3)+$N400,53,1)*V$43:V$95)</f>
        <v>0</v>
      </c>
      <c r="W400" s="6">
        <f t="array" aca="1" ref="W400" ca="1">SUM(OFFSET($KE$43,0,($M400*3)+$N400,53,1)*W$43:W$95)</f>
        <v>0</v>
      </c>
      <c r="X400" s="6">
        <f t="array" aca="1" ref="X400" ca="1">SUM(OFFSET($KE$43,0,($M400*3)+$N400,53,1)*X$43:X$95)</f>
        <v>0</v>
      </c>
      <c r="Y400" s="6">
        <f t="array" aca="1" ref="Y400" ca="1">SUM(OFFSET($KE$43,0,($M400*3)+$N400,53,1)*Y$43:Y$95)</f>
        <v>0</v>
      </c>
      <c r="Z400" s="6">
        <f t="array" aca="1" ref="Z400" ca="1">SUM(OFFSET($KE$43,0,($M400*3)+$N400,53,1)*Z$43:Z$95)</f>
        <v>0</v>
      </c>
      <c r="AA400" s="6">
        <f t="shared" ca="1" si="150"/>
        <v>0</v>
      </c>
      <c r="AB400" s="6" t="str">
        <f t="shared" si="152"/>
        <v/>
      </c>
    </row>
    <row r="401" spans="1:28" x14ac:dyDescent="0.25">
      <c r="A401">
        <f>1</f>
        <v>1</v>
      </c>
      <c r="B401" s="85">
        <f t="shared" si="149"/>
        <v>44189</v>
      </c>
      <c r="C401" s="85">
        <f t="shared" si="145"/>
        <v>44186</v>
      </c>
      <c r="D401">
        <f t="shared" ca="1" si="146"/>
        <v>1</v>
      </c>
      <c r="E401" s="85">
        <f t="shared" si="147"/>
        <v>44166</v>
      </c>
      <c r="F401">
        <f t="shared" si="148"/>
        <v>52</v>
      </c>
      <c r="L401" t="str">
        <f t="shared" ca="1" si="151"/>
        <v/>
      </c>
      <c r="M401">
        <v>6</v>
      </c>
      <c r="N401">
        <v>2</v>
      </c>
      <c r="O401" s="6">
        <f t="array" aca="1" ref="O401" ca="1">SUM(OFFSET($KE$43,0,($M401*3)+$N401,53,1)*O$43:O$95)</f>
        <v>0</v>
      </c>
      <c r="P401" s="6">
        <f t="array" aca="1" ref="P401" ca="1">SUM(OFFSET($KE$43,0,($M401*3)+$N401,53,1)*P$43:P$95)</f>
        <v>0</v>
      </c>
      <c r="Q401" s="6">
        <f t="array" aca="1" ref="Q401" ca="1">SUM(OFFSET($KE$43,0,($M401*3)+$N401,53,1)*Q$43:Q$95)</f>
        <v>0</v>
      </c>
      <c r="R401" s="6">
        <f t="array" aca="1" ref="R401" ca="1">SUM(OFFSET($KE$43,0,($M401*3)+$N401,53,1)*R$43:R$95)</f>
        <v>0</v>
      </c>
      <c r="S401" s="6">
        <f t="array" aca="1" ref="S401" ca="1">SUM(OFFSET($KE$43,0,($M401*3)+$N401,53,1)*S$43:S$95)</f>
        <v>0</v>
      </c>
      <c r="T401" s="6">
        <f t="array" aca="1" ref="T401" ca="1">SUM(OFFSET($KE$43,0,($M401*3)+$N401,53,1)*T$43:T$95)</f>
        <v>0</v>
      </c>
      <c r="U401" s="6">
        <f t="array" aca="1" ref="U401" ca="1">SUM(OFFSET($KE$43,0,($M401*3)+$N401,53,1)*U$43:U$95)</f>
        <v>0</v>
      </c>
      <c r="V401" s="6">
        <f t="array" aca="1" ref="V401" ca="1">SUM(OFFSET($KE$43,0,($M401*3)+$N401,53,1)*V$43:V$95)</f>
        <v>0</v>
      </c>
      <c r="W401" s="6">
        <f t="array" aca="1" ref="W401" ca="1">SUM(OFFSET($KE$43,0,($M401*3)+$N401,53,1)*W$43:W$95)</f>
        <v>0</v>
      </c>
      <c r="X401" s="6">
        <f t="array" aca="1" ref="X401" ca="1">SUM(OFFSET($KE$43,0,($M401*3)+$N401,53,1)*X$43:X$95)</f>
        <v>0</v>
      </c>
      <c r="Y401" s="6">
        <f t="array" aca="1" ref="Y401" ca="1">SUM(OFFSET($KE$43,0,($M401*3)+$N401,53,1)*Y$43:Y$95)</f>
        <v>0</v>
      </c>
      <c r="Z401" s="6">
        <f t="array" aca="1" ref="Z401" ca="1">SUM(OFFSET($KE$43,0,($M401*3)+$N401,53,1)*Z$43:Z$95)</f>
        <v>0</v>
      </c>
      <c r="AA401" s="6">
        <f t="shared" ca="1" si="150"/>
        <v>0</v>
      </c>
      <c r="AB401" s="6" t="str">
        <f t="shared" si="152"/>
        <v/>
      </c>
    </row>
    <row r="402" spans="1:28" x14ac:dyDescent="0.25">
      <c r="A402">
        <f>1</f>
        <v>1</v>
      </c>
      <c r="B402" s="85">
        <f t="shared" si="149"/>
        <v>44190</v>
      </c>
      <c r="C402" s="85">
        <f t="shared" si="145"/>
        <v>44186</v>
      </c>
      <c r="D402">
        <f t="shared" ca="1" si="146"/>
        <v>0</v>
      </c>
      <c r="E402" s="85">
        <f t="shared" si="147"/>
        <v>44166</v>
      </c>
      <c r="F402">
        <f t="shared" si="148"/>
        <v>52</v>
      </c>
      <c r="L402" t="str">
        <f t="shared" ca="1" si="151"/>
        <v/>
      </c>
      <c r="M402">
        <v>6</v>
      </c>
      <c r="N402">
        <v>3</v>
      </c>
      <c r="O402" s="6">
        <f t="array" aca="1" ref="O402" ca="1">SUM(OFFSET($KE$43,0,($M402*3)+$N402,53,1)*O$43:O$95)</f>
        <v>0</v>
      </c>
      <c r="P402" s="6">
        <f t="array" aca="1" ref="P402" ca="1">SUM(OFFSET($KE$43,0,($M402*3)+$N402,53,1)*P$43:P$95)</f>
        <v>0</v>
      </c>
      <c r="Q402" s="6">
        <f t="array" aca="1" ref="Q402" ca="1">SUM(OFFSET($KE$43,0,($M402*3)+$N402,53,1)*Q$43:Q$95)</f>
        <v>0</v>
      </c>
      <c r="R402" s="6">
        <f t="array" aca="1" ref="R402" ca="1">SUM(OFFSET($KE$43,0,($M402*3)+$N402,53,1)*R$43:R$95)</f>
        <v>0</v>
      </c>
      <c r="S402" s="6">
        <f t="array" aca="1" ref="S402" ca="1">SUM(OFFSET($KE$43,0,($M402*3)+$N402,53,1)*S$43:S$95)</f>
        <v>0</v>
      </c>
      <c r="T402" s="6">
        <f t="array" aca="1" ref="T402" ca="1">SUM(OFFSET($KE$43,0,($M402*3)+$N402,53,1)*T$43:T$95)</f>
        <v>0</v>
      </c>
      <c r="U402" s="6">
        <f t="array" aca="1" ref="U402" ca="1">SUM(OFFSET($KE$43,0,($M402*3)+$N402,53,1)*U$43:U$95)</f>
        <v>0</v>
      </c>
      <c r="V402" s="6">
        <f t="array" aca="1" ref="V402" ca="1">SUM(OFFSET($KE$43,0,($M402*3)+$N402,53,1)*V$43:V$95)</f>
        <v>0</v>
      </c>
      <c r="W402" s="6">
        <f t="array" aca="1" ref="W402" ca="1">SUM(OFFSET($KE$43,0,($M402*3)+$N402,53,1)*W$43:W$95)</f>
        <v>0</v>
      </c>
      <c r="X402" s="6">
        <f t="array" aca="1" ref="X402" ca="1">SUM(OFFSET($KE$43,0,($M402*3)+$N402,53,1)*X$43:X$95)</f>
        <v>0</v>
      </c>
      <c r="Y402" s="6">
        <f t="array" aca="1" ref="Y402" ca="1">SUM(OFFSET($KE$43,0,($M402*3)+$N402,53,1)*Y$43:Y$95)</f>
        <v>0</v>
      </c>
      <c r="Z402" s="6">
        <f t="array" aca="1" ref="Z402" ca="1">SUM(OFFSET($KE$43,0,($M402*3)+$N402,53,1)*Z$43:Z$95)</f>
        <v>0</v>
      </c>
      <c r="AA402" s="6">
        <f t="shared" ca="1" si="150"/>
        <v>0</v>
      </c>
      <c r="AB402" s="6" t="str">
        <f t="shared" si="152"/>
        <v/>
      </c>
    </row>
    <row r="403" spans="1:28" x14ac:dyDescent="0.25">
      <c r="A403">
        <f>1</f>
        <v>1</v>
      </c>
      <c r="B403" s="85">
        <f t="shared" si="149"/>
        <v>44191</v>
      </c>
      <c r="C403" s="85">
        <f t="shared" si="145"/>
        <v>44186</v>
      </c>
      <c r="D403">
        <f t="shared" ca="1" si="146"/>
        <v>0</v>
      </c>
      <c r="E403" s="85">
        <f t="shared" si="147"/>
        <v>44166</v>
      </c>
      <c r="F403">
        <f t="shared" si="148"/>
        <v>52</v>
      </c>
      <c r="L403" t="str">
        <f t="shared" ca="1" si="151"/>
        <v/>
      </c>
      <c r="M403">
        <v>7</v>
      </c>
      <c r="N403">
        <v>1</v>
      </c>
      <c r="O403" s="6">
        <f t="array" aca="1" ref="O403" ca="1">SUM(OFFSET($KE$43,0,($M403*3)+$N403,53,1)*O$43:O$95)</f>
        <v>0</v>
      </c>
      <c r="P403" s="6">
        <f t="array" aca="1" ref="P403" ca="1">SUM(OFFSET($KE$43,0,($M403*3)+$N403,53,1)*P$43:P$95)</f>
        <v>0</v>
      </c>
      <c r="Q403" s="6">
        <f t="array" aca="1" ref="Q403" ca="1">SUM(OFFSET($KE$43,0,($M403*3)+$N403,53,1)*Q$43:Q$95)</f>
        <v>0</v>
      </c>
      <c r="R403" s="6">
        <f t="array" aca="1" ref="R403" ca="1">SUM(OFFSET($KE$43,0,($M403*3)+$N403,53,1)*R$43:R$95)</f>
        <v>0</v>
      </c>
      <c r="S403" s="6">
        <f t="array" aca="1" ref="S403" ca="1">SUM(OFFSET($KE$43,0,($M403*3)+$N403,53,1)*S$43:S$95)</f>
        <v>0</v>
      </c>
      <c r="T403" s="6">
        <f t="array" aca="1" ref="T403" ca="1">SUM(OFFSET($KE$43,0,($M403*3)+$N403,53,1)*T$43:T$95)</f>
        <v>0</v>
      </c>
      <c r="U403" s="6">
        <f t="array" aca="1" ref="U403" ca="1">SUM(OFFSET($KE$43,0,($M403*3)+$N403,53,1)*U$43:U$95)</f>
        <v>0</v>
      </c>
      <c r="V403" s="6">
        <f t="array" aca="1" ref="V403" ca="1">SUM(OFFSET($KE$43,0,($M403*3)+$N403,53,1)*V$43:V$95)</f>
        <v>0</v>
      </c>
      <c r="W403" s="6">
        <f t="array" aca="1" ref="W403" ca="1">SUM(OFFSET($KE$43,0,($M403*3)+$N403,53,1)*W$43:W$95)</f>
        <v>0</v>
      </c>
      <c r="X403" s="6">
        <f t="array" aca="1" ref="X403" ca="1">SUM(OFFSET($KE$43,0,($M403*3)+$N403,53,1)*X$43:X$95)</f>
        <v>0</v>
      </c>
      <c r="Y403" s="6">
        <f t="array" aca="1" ref="Y403" ca="1">SUM(OFFSET($KE$43,0,($M403*3)+$N403,53,1)*Y$43:Y$95)</f>
        <v>0</v>
      </c>
      <c r="Z403" s="6">
        <f t="array" aca="1" ref="Z403" ca="1">SUM(OFFSET($KE$43,0,($M403*3)+$N403,53,1)*Z$43:Z$95)</f>
        <v>0</v>
      </c>
      <c r="AA403" s="6">
        <f t="shared" ca="1" si="150"/>
        <v>0</v>
      </c>
      <c r="AB403" s="6" t="str">
        <f t="shared" si="152"/>
        <v/>
      </c>
    </row>
    <row r="404" spans="1:28" x14ac:dyDescent="0.25">
      <c r="A404">
        <f>1</f>
        <v>1</v>
      </c>
      <c r="B404" s="85">
        <f t="shared" si="149"/>
        <v>44192</v>
      </c>
      <c r="C404" s="85">
        <f t="shared" si="145"/>
        <v>44186</v>
      </c>
      <c r="D404">
        <f t="shared" ca="1" si="146"/>
        <v>0</v>
      </c>
      <c r="E404" s="85">
        <f t="shared" si="147"/>
        <v>44166</v>
      </c>
      <c r="F404">
        <f t="shared" si="148"/>
        <v>52</v>
      </c>
      <c r="L404" t="str">
        <f t="shared" ca="1" si="151"/>
        <v/>
      </c>
      <c r="M404">
        <v>7</v>
      </c>
      <c r="N404">
        <v>2</v>
      </c>
      <c r="O404" s="6">
        <f t="array" aca="1" ref="O404" ca="1">SUM(OFFSET($KE$43,0,($M404*3)+$N404,53,1)*O$43:O$95)</f>
        <v>0</v>
      </c>
      <c r="P404" s="6">
        <f t="array" aca="1" ref="P404" ca="1">SUM(OFFSET($KE$43,0,($M404*3)+$N404,53,1)*P$43:P$95)</f>
        <v>0</v>
      </c>
      <c r="Q404" s="6">
        <f t="array" aca="1" ref="Q404" ca="1">SUM(OFFSET($KE$43,0,($M404*3)+$N404,53,1)*Q$43:Q$95)</f>
        <v>0</v>
      </c>
      <c r="R404" s="6">
        <f t="array" aca="1" ref="R404" ca="1">SUM(OFFSET($KE$43,0,($M404*3)+$N404,53,1)*R$43:R$95)</f>
        <v>0</v>
      </c>
      <c r="S404" s="6">
        <f t="array" aca="1" ref="S404" ca="1">SUM(OFFSET($KE$43,0,($M404*3)+$N404,53,1)*S$43:S$95)</f>
        <v>0</v>
      </c>
      <c r="T404" s="6">
        <f t="array" aca="1" ref="T404" ca="1">SUM(OFFSET($KE$43,0,($M404*3)+$N404,53,1)*T$43:T$95)</f>
        <v>0</v>
      </c>
      <c r="U404" s="6">
        <f t="array" aca="1" ref="U404" ca="1">SUM(OFFSET($KE$43,0,($M404*3)+$N404,53,1)*U$43:U$95)</f>
        <v>0</v>
      </c>
      <c r="V404" s="6">
        <f t="array" aca="1" ref="V404" ca="1">SUM(OFFSET($KE$43,0,($M404*3)+$N404,53,1)*V$43:V$95)</f>
        <v>0</v>
      </c>
      <c r="W404" s="6">
        <f t="array" aca="1" ref="W404" ca="1">SUM(OFFSET($KE$43,0,($M404*3)+$N404,53,1)*W$43:W$95)</f>
        <v>0</v>
      </c>
      <c r="X404" s="6">
        <f t="array" aca="1" ref="X404" ca="1">SUM(OFFSET($KE$43,0,($M404*3)+$N404,53,1)*X$43:X$95)</f>
        <v>0</v>
      </c>
      <c r="Y404" s="6">
        <f t="array" aca="1" ref="Y404" ca="1">SUM(OFFSET($KE$43,0,($M404*3)+$N404,53,1)*Y$43:Y$95)</f>
        <v>0</v>
      </c>
      <c r="Z404" s="6">
        <f t="array" aca="1" ref="Z404" ca="1">SUM(OFFSET($KE$43,0,($M404*3)+$N404,53,1)*Z$43:Z$95)</f>
        <v>0</v>
      </c>
      <c r="AA404" s="6">
        <f t="shared" ca="1" si="150"/>
        <v>0</v>
      </c>
      <c r="AB404" s="6" t="str">
        <f t="shared" si="152"/>
        <v/>
      </c>
    </row>
    <row r="405" spans="1:28" x14ac:dyDescent="0.25">
      <c r="A405">
        <f>1</f>
        <v>1</v>
      </c>
      <c r="B405" s="85">
        <f t="shared" si="149"/>
        <v>44193</v>
      </c>
      <c r="C405" s="85">
        <f t="shared" si="145"/>
        <v>44193</v>
      </c>
      <c r="D405">
        <f t="shared" ca="1" si="146"/>
        <v>1</v>
      </c>
      <c r="E405" s="85">
        <f t="shared" si="147"/>
        <v>44166</v>
      </c>
      <c r="F405">
        <f t="shared" si="148"/>
        <v>53</v>
      </c>
      <c r="L405" t="str">
        <f t="shared" ca="1" si="151"/>
        <v/>
      </c>
      <c r="M405">
        <v>7</v>
      </c>
      <c r="N405">
        <v>3</v>
      </c>
      <c r="O405" s="6">
        <f t="array" aca="1" ref="O405" ca="1">SUM(OFFSET($KE$43,0,($M405*3)+$N405,53,1)*O$43:O$95)</f>
        <v>0</v>
      </c>
      <c r="P405" s="6">
        <f t="array" aca="1" ref="P405" ca="1">SUM(OFFSET($KE$43,0,($M405*3)+$N405,53,1)*P$43:P$95)</f>
        <v>0</v>
      </c>
      <c r="Q405" s="6">
        <f t="array" aca="1" ref="Q405" ca="1">SUM(OFFSET($KE$43,0,($M405*3)+$N405,53,1)*Q$43:Q$95)</f>
        <v>0</v>
      </c>
      <c r="R405" s="6">
        <f t="array" aca="1" ref="R405" ca="1">SUM(OFFSET($KE$43,0,($M405*3)+$N405,53,1)*R$43:R$95)</f>
        <v>0</v>
      </c>
      <c r="S405" s="6">
        <f t="array" aca="1" ref="S405" ca="1">SUM(OFFSET($KE$43,0,($M405*3)+$N405,53,1)*S$43:S$95)</f>
        <v>0</v>
      </c>
      <c r="T405" s="6">
        <f t="array" aca="1" ref="T405" ca="1">SUM(OFFSET($KE$43,0,($M405*3)+$N405,53,1)*T$43:T$95)</f>
        <v>0</v>
      </c>
      <c r="U405" s="6">
        <f t="array" aca="1" ref="U405" ca="1">SUM(OFFSET($KE$43,0,($M405*3)+$N405,53,1)*U$43:U$95)</f>
        <v>0</v>
      </c>
      <c r="V405" s="6">
        <f t="array" aca="1" ref="V405" ca="1">SUM(OFFSET($KE$43,0,($M405*3)+$N405,53,1)*V$43:V$95)</f>
        <v>0</v>
      </c>
      <c r="W405" s="6">
        <f t="array" aca="1" ref="W405" ca="1">SUM(OFFSET($KE$43,0,($M405*3)+$N405,53,1)*W$43:W$95)</f>
        <v>0</v>
      </c>
      <c r="X405" s="6">
        <f t="array" aca="1" ref="X405" ca="1">SUM(OFFSET($KE$43,0,($M405*3)+$N405,53,1)*X$43:X$95)</f>
        <v>0</v>
      </c>
      <c r="Y405" s="6">
        <f t="array" aca="1" ref="Y405" ca="1">SUM(OFFSET($KE$43,0,($M405*3)+$N405,53,1)*Y$43:Y$95)</f>
        <v>0</v>
      </c>
      <c r="Z405" s="6">
        <f t="array" aca="1" ref="Z405" ca="1">SUM(OFFSET($KE$43,0,($M405*3)+$N405,53,1)*Z$43:Z$95)</f>
        <v>0</v>
      </c>
      <c r="AA405" s="6">
        <f t="shared" ca="1" si="150"/>
        <v>0</v>
      </c>
      <c r="AB405" s="6" t="str">
        <f t="shared" si="152"/>
        <v/>
      </c>
    </row>
    <row r="406" spans="1:28" x14ac:dyDescent="0.25">
      <c r="A406">
        <f>1</f>
        <v>1</v>
      </c>
      <c r="B406" s="85">
        <f t="shared" si="149"/>
        <v>44194</v>
      </c>
      <c r="C406" s="85">
        <f t="shared" si="145"/>
        <v>44193</v>
      </c>
      <c r="D406">
        <f t="shared" ca="1" si="146"/>
        <v>0</v>
      </c>
      <c r="E406" s="85">
        <f t="shared" si="147"/>
        <v>44166</v>
      </c>
      <c r="F406">
        <f t="shared" si="148"/>
        <v>53</v>
      </c>
      <c r="L406" t="str">
        <f t="shared" ca="1" si="151"/>
        <v/>
      </c>
      <c r="M406">
        <v>8</v>
      </c>
      <c r="N406">
        <v>1</v>
      </c>
      <c r="O406" s="6">
        <f t="array" aca="1" ref="O406" ca="1">SUM(OFFSET($KE$43,0,($M406*3)+$N406,53,1)*O$43:O$95)</f>
        <v>0</v>
      </c>
      <c r="P406" s="6">
        <f t="array" aca="1" ref="P406" ca="1">SUM(OFFSET($KE$43,0,($M406*3)+$N406,53,1)*P$43:P$95)</f>
        <v>0</v>
      </c>
      <c r="Q406" s="6">
        <f t="array" aca="1" ref="Q406" ca="1">SUM(OFFSET($KE$43,0,($M406*3)+$N406,53,1)*Q$43:Q$95)</f>
        <v>0</v>
      </c>
      <c r="R406" s="6">
        <f t="array" aca="1" ref="R406" ca="1">SUM(OFFSET($KE$43,0,($M406*3)+$N406,53,1)*R$43:R$95)</f>
        <v>0</v>
      </c>
      <c r="S406" s="6">
        <f t="array" aca="1" ref="S406" ca="1">SUM(OFFSET($KE$43,0,($M406*3)+$N406,53,1)*S$43:S$95)</f>
        <v>0</v>
      </c>
      <c r="T406" s="6">
        <f t="array" aca="1" ref="T406" ca="1">SUM(OFFSET($KE$43,0,($M406*3)+$N406,53,1)*T$43:T$95)</f>
        <v>0</v>
      </c>
      <c r="U406" s="6">
        <f t="array" aca="1" ref="U406" ca="1">SUM(OFFSET($KE$43,0,($M406*3)+$N406,53,1)*U$43:U$95)</f>
        <v>0</v>
      </c>
      <c r="V406" s="6">
        <f t="array" aca="1" ref="V406" ca="1">SUM(OFFSET($KE$43,0,($M406*3)+$N406,53,1)*V$43:V$95)</f>
        <v>0</v>
      </c>
      <c r="W406" s="6">
        <f t="array" aca="1" ref="W406" ca="1">SUM(OFFSET($KE$43,0,($M406*3)+$N406,53,1)*W$43:W$95)</f>
        <v>0</v>
      </c>
      <c r="X406" s="6">
        <f t="array" aca="1" ref="X406" ca="1">SUM(OFFSET($KE$43,0,($M406*3)+$N406,53,1)*X$43:X$95)</f>
        <v>0</v>
      </c>
      <c r="Y406" s="6">
        <f t="array" aca="1" ref="Y406" ca="1">SUM(OFFSET($KE$43,0,($M406*3)+$N406,53,1)*Y$43:Y$95)</f>
        <v>0</v>
      </c>
      <c r="Z406" s="6">
        <f t="array" aca="1" ref="Z406" ca="1">SUM(OFFSET($KE$43,0,($M406*3)+$N406,53,1)*Z$43:Z$95)</f>
        <v>0</v>
      </c>
      <c r="AA406" s="6">
        <f t="shared" ca="1" si="150"/>
        <v>0</v>
      </c>
      <c r="AB406" s="6" t="str">
        <f t="shared" si="152"/>
        <v/>
      </c>
    </row>
    <row r="407" spans="1:28" x14ac:dyDescent="0.25">
      <c r="A407">
        <f>1</f>
        <v>1</v>
      </c>
      <c r="B407" s="85">
        <f t="shared" si="149"/>
        <v>44195</v>
      </c>
      <c r="C407" s="85">
        <f t="shared" si="145"/>
        <v>44193</v>
      </c>
      <c r="D407">
        <f t="shared" ca="1" si="146"/>
        <v>1</v>
      </c>
      <c r="E407" s="85">
        <f t="shared" si="147"/>
        <v>44166</v>
      </c>
      <c r="F407">
        <f t="shared" si="148"/>
        <v>53</v>
      </c>
      <c r="L407" t="str">
        <f t="shared" ca="1" si="151"/>
        <v/>
      </c>
      <c r="M407">
        <v>8</v>
      </c>
      <c r="N407">
        <v>2</v>
      </c>
      <c r="O407" s="6">
        <f t="array" aca="1" ref="O407" ca="1">SUM(OFFSET($KE$43,0,($M407*3)+$N407,53,1)*O$43:O$95)</f>
        <v>0</v>
      </c>
      <c r="P407" s="6">
        <f t="array" aca="1" ref="P407" ca="1">SUM(OFFSET($KE$43,0,($M407*3)+$N407,53,1)*P$43:P$95)</f>
        <v>0</v>
      </c>
      <c r="Q407" s="6">
        <f t="array" aca="1" ref="Q407" ca="1">SUM(OFFSET($KE$43,0,($M407*3)+$N407,53,1)*Q$43:Q$95)</f>
        <v>0</v>
      </c>
      <c r="R407" s="6">
        <f t="array" aca="1" ref="R407" ca="1">SUM(OFFSET($KE$43,0,($M407*3)+$N407,53,1)*R$43:R$95)</f>
        <v>0</v>
      </c>
      <c r="S407" s="6">
        <f t="array" aca="1" ref="S407" ca="1">SUM(OFFSET($KE$43,0,($M407*3)+$N407,53,1)*S$43:S$95)</f>
        <v>0</v>
      </c>
      <c r="T407" s="6">
        <f t="array" aca="1" ref="T407" ca="1">SUM(OFFSET($KE$43,0,($M407*3)+$N407,53,1)*T$43:T$95)</f>
        <v>0</v>
      </c>
      <c r="U407" s="6">
        <f t="array" aca="1" ref="U407" ca="1">SUM(OFFSET($KE$43,0,($M407*3)+$N407,53,1)*U$43:U$95)</f>
        <v>0</v>
      </c>
      <c r="V407" s="6">
        <f t="array" aca="1" ref="V407" ca="1">SUM(OFFSET($KE$43,0,($M407*3)+$N407,53,1)*V$43:V$95)</f>
        <v>0</v>
      </c>
      <c r="W407" s="6">
        <f t="array" aca="1" ref="W407" ca="1">SUM(OFFSET($KE$43,0,($M407*3)+$N407,53,1)*W$43:W$95)</f>
        <v>0</v>
      </c>
      <c r="X407" s="6">
        <f t="array" aca="1" ref="X407" ca="1">SUM(OFFSET($KE$43,0,($M407*3)+$N407,53,1)*X$43:X$95)</f>
        <v>0</v>
      </c>
      <c r="Y407" s="6">
        <f t="array" aca="1" ref="Y407" ca="1">SUM(OFFSET($KE$43,0,($M407*3)+$N407,53,1)*Y$43:Y$95)</f>
        <v>0</v>
      </c>
      <c r="Z407" s="6">
        <f t="array" aca="1" ref="Z407" ca="1">SUM(OFFSET($KE$43,0,($M407*3)+$N407,53,1)*Z$43:Z$95)</f>
        <v>0</v>
      </c>
      <c r="AA407" s="6">
        <f t="shared" ca="1" si="150"/>
        <v>0</v>
      </c>
      <c r="AB407" s="6" t="str">
        <f t="shared" si="152"/>
        <v/>
      </c>
    </row>
    <row r="408" spans="1:28" x14ac:dyDescent="0.25">
      <c r="A408">
        <f>IF(DAY(B408)=1,0,1)</f>
        <v>1</v>
      </c>
      <c r="B408" s="85">
        <f t="shared" si="149"/>
        <v>44196</v>
      </c>
      <c r="C408" s="85">
        <f t="shared" si="145"/>
        <v>44193</v>
      </c>
      <c r="D408">
        <f t="shared" ca="1" si="146"/>
        <v>1</v>
      </c>
      <c r="E408" s="85">
        <f t="shared" si="147"/>
        <v>44166</v>
      </c>
      <c r="F408">
        <f t="shared" si="148"/>
        <v>53</v>
      </c>
      <c r="L408" t="str">
        <f t="shared" ca="1" si="151"/>
        <v/>
      </c>
      <c r="M408">
        <v>8</v>
      </c>
      <c r="N408">
        <v>3</v>
      </c>
      <c r="O408" s="6">
        <f t="array" aca="1" ref="O408" ca="1">SUM(OFFSET($KE$43,0,($M408*3)+$N408,53,1)*O$43:O$95)</f>
        <v>0</v>
      </c>
      <c r="P408" s="6">
        <f t="array" aca="1" ref="P408" ca="1">SUM(OFFSET($KE$43,0,($M408*3)+$N408,53,1)*P$43:P$95)</f>
        <v>0</v>
      </c>
      <c r="Q408" s="6">
        <f t="array" aca="1" ref="Q408" ca="1">SUM(OFFSET($KE$43,0,($M408*3)+$N408,53,1)*Q$43:Q$95)</f>
        <v>0</v>
      </c>
      <c r="R408" s="6">
        <f t="array" aca="1" ref="R408" ca="1">SUM(OFFSET($KE$43,0,($M408*3)+$N408,53,1)*R$43:R$95)</f>
        <v>0</v>
      </c>
      <c r="S408" s="6">
        <f t="array" aca="1" ref="S408" ca="1">SUM(OFFSET($KE$43,0,($M408*3)+$N408,53,1)*S$43:S$95)</f>
        <v>0</v>
      </c>
      <c r="T408" s="6">
        <f t="array" aca="1" ref="T408" ca="1">SUM(OFFSET($KE$43,0,($M408*3)+$N408,53,1)*T$43:T$95)</f>
        <v>0</v>
      </c>
      <c r="U408" s="6">
        <f t="array" aca="1" ref="U408" ca="1">SUM(OFFSET($KE$43,0,($M408*3)+$N408,53,1)*U$43:U$95)</f>
        <v>0</v>
      </c>
      <c r="V408" s="6">
        <f t="array" aca="1" ref="V408" ca="1">SUM(OFFSET($KE$43,0,($M408*3)+$N408,53,1)*V$43:V$95)</f>
        <v>0</v>
      </c>
      <c r="W408" s="6">
        <f t="array" aca="1" ref="W408" ca="1">SUM(OFFSET($KE$43,0,($M408*3)+$N408,53,1)*W$43:W$95)</f>
        <v>0</v>
      </c>
      <c r="X408" s="6">
        <f t="array" aca="1" ref="X408" ca="1">SUM(OFFSET($KE$43,0,($M408*3)+$N408,53,1)*X$43:X$95)</f>
        <v>0</v>
      </c>
      <c r="Y408" s="6">
        <f t="array" aca="1" ref="Y408" ca="1">SUM(OFFSET($KE$43,0,($M408*3)+$N408,53,1)*Y$43:Y$95)</f>
        <v>0</v>
      </c>
      <c r="Z408" s="6">
        <f t="array" aca="1" ref="Z408" ca="1">SUM(OFFSET($KE$43,0,($M408*3)+$N408,53,1)*Z$43:Z$95)</f>
        <v>0</v>
      </c>
      <c r="AA408" s="6">
        <f t="shared" ca="1" si="150"/>
        <v>0</v>
      </c>
      <c r="AB408" s="6" t="str">
        <f t="shared" si="152"/>
        <v/>
      </c>
    </row>
    <row r="409" spans="1:28" x14ac:dyDescent="0.25">
      <c r="A409">
        <f>SUM(A43:A408)</f>
        <v>366</v>
      </c>
      <c r="F409">
        <f>MAX(F43:F408)</f>
        <v>53</v>
      </c>
      <c r="L409" t="str">
        <f t="shared" ca="1" si="151"/>
        <v/>
      </c>
      <c r="M409">
        <v>9</v>
      </c>
      <c r="N409">
        <v>1</v>
      </c>
      <c r="O409" s="6">
        <f t="array" aca="1" ref="O409" ca="1">SUM(OFFSET($KE$43,0,($M409*3)+$N409,53,1)*O$43:O$95)</f>
        <v>0</v>
      </c>
      <c r="P409" s="6">
        <f t="array" aca="1" ref="P409" ca="1">SUM(OFFSET($KE$43,0,($M409*3)+$N409,53,1)*P$43:P$95)</f>
        <v>0</v>
      </c>
      <c r="Q409" s="6">
        <f t="array" aca="1" ref="Q409" ca="1">SUM(OFFSET($KE$43,0,($M409*3)+$N409,53,1)*Q$43:Q$95)</f>
        <v>0</v>
      </c>
      <c r="R409" s="6">
        <f t="array" aca="1" ref="R409" ca="1">SUM(OFFSET($KE$43,0,($M409*3)+$N409,53,1)*R$43:R$95)</f>
        <v>0</v>
      </c>
      <c r="S409" s="6">
        <f t="array" aca="1" ref="S409" ca="1">SUM(OFFSET($KE$43,0,($M409*3)+$N409,53,1)*S$43:S$95)</f>
        <v>0</v>
      </c>
      <c r="T409" s="6">
        <f t="array" aca="1" ref="T409" ca="1">SUM(OFFSET($KE$43,0,($M409*3)+$N409,53,1)*T$43:T$95)</f>
        <v>0</v>
      </c>
      <c r="U409" s="6">
        <f t="array" aca="1" ref="U409" ca="1">SUM(OFFSET($KE$43,0,($M409*3)+$N409,53,1)*U$43:U$95)</f>
        <v>0</v>
      </c>
      <c r="V409" s="6">
        <f t="array" aca="1" ref="V409" ca="1">SUM(OFFSET($KE$43,0,($M409*3)+$N409,53,1)*V$43:V$95)</f>
        <v>0</v>
      </c>
      <c r="W409" s="6">
        <f t="array" aca="1" ref="W409" ca="1">SUM(OFFSET($KE$43,0,($M409*3)+$N409,53,1)*W$43:W$95)</f>
        <v>0</v>
      </c>
      <c r="X409" s="6">
        <f t="array" aca="1" ref="X409" ca="1">SUM(OFFSET($KE$43,0,($M409*3)+$N409,53,1)*X$43:X$95)</f>
        <v>0</v>
      </c>
      <c r="Y409" s="6">
        <f t="array" aca="1" ref="Y409" ca="1">SUM(OFFSET($KE$43,0,($M409*3)+$N409,53,1)*Y$43:Y$95)</f>
        <v>0</v>
      </c>
      <c r="Z409" s="6">
        <f t="array" aca="1" ref="Z409" ca="1">SUM(OFFSET($KE$43,0,($M409*3)+$N409,53,1)*Z$43:Z$95)</f>
        <v>0</v>
      </c>
      <c r="AA409" s="6">
        <f t="shared" ca="1" si="150"/>
        <v>0</v>
      </c>
      <c r="AB409" s="6" t="str">
        <f t="shared" si="152"/>
        <v/>
      </c>
    </row>
    <row r="410" spans="1:28" x14ac:dyDescent="0.25">
      <c r="L410" t="str">
        <f t="shared" ca="1" si="151"/>
        <v/>
      </c>
      <c r="M410">
        <v>9</v>
      </c>
      <c r="N410">
        <v>2</v>
      </c>
      <c r="O410" s="6">
        <f t="array" aca="1" ref="O410" ca="1">SUM(OFFSET($KE$43,0,($M410*3)+$N410,53,1)*O$43:O$95)</f>
        <v>0</v>
      </c>
      <c r="P410" s="6">
        <f t="array" aca="1" ref="P410" ca="1">SUM(OFFSET($KE$43,0,($M410*3)+$N410,53,1)*P$43:P$95)</f>
        <v>0</v>
      </c>
      <c r="Q410" s="6">
        <f t="array" aca="1" ref="Q410" ca="1">SUM(OFFSET($KE$43,0,($M410*3)+$N410,53,1)*Q$43:Q$95)</f>
        <v>0</v>
      </c>
      <c r="R410" s="6">
        <f t="array" aca="1" ref="R410" ca="1">SUM(OFFSET($KE$43,0,($M410*3)+$N410,53,1)*R$43:R$95)</f>
        <v>0</v>
      </c>
      <c r="S410" s="6">
        <f t="array" aca="1" ref="S410" ca="1">SUM(OFFSET($KE$43,0,($M410*3)+$N410,53,1)*S$43:S$95)</f>
        <v>0</v>
      </c>
      <c r="T410" s="6">
        <f t="array" aca="1" ref="T410" ca="1">SUM(OFFSET($KE$43,0,($M410*3)+$N410,53,1)*T$43:T$95)</f>
        <v>0</v>
      </c>
      <c r="U410" s="6">
        <f t="array" aca="1" ref="U410" ca="1">SUM(OFFSET($KE$43,0,($M410*3)+$N410,53,1)*U$43:U$95)</f>
        <v>0</v>
      </c>
      <c r="V410" s="6">
        <f t="array" aca="1" ref="V410" ca="1">SUM(OFFSET($KE$43,0,($M410*3)+$N410,53,1)*V$43:V$95)</f>
        <v>0</v>
      </c>
      <c r="W410" s="6">
        <f t="array" aca="1" ref="W410" ca="1">SUM(OFFSET($KE$43,0,($M410*3)+$N410,53,1)*W$43:W$95)</f>
        <v>0</v>
      </c>
      <c r="X410" s="6">
        <f t="array" aca="1" ref="X410" ca="1">SUM(OFFSET($KE$43,0,($M410*3)+$N410,53,1)*X$43:X$95)</f>
        <v>0</v>
      </c>
      <c r="Y410" s="6">
        <f t="array" aca="1" ref="Y410" ca="1">SUM(OFFSET($KE$43,0,($M410*3)+$N410,53,1)*Y$43:Y$95)</f>
        <v>0</v>
      </c>
      <c r="Z410" s="6">
        <f t="array" aca="1" ref="Z410" ca="1">SUM(OFFSET($KE$43,0,($M410*3)+$N410,53,1)*Z$43:Z$95)</f>
        <v>0</v>
      </c>
      <c r="AA410" s="6">
        <f t="shared" ca="1" si="150"/>
        <v>0</v>
      </c>
      <c r="AB410" s="6" t="str">
        <f t="shared" si="152"/>
        <v/>
      </c>
    </row>
    <row r="411" spans="1:28" x14ac:dyDescent="0.25">
      <c r="L411" t="str">
        <f t="shared" ca="1" si="151"/>
        <v/>
      </c>
      <c r="M411">
        <v>9</v>
      </c>
      <c r="N411">
        <v>3</v>
      </c>
      <c r="O411" s="6">
        <f t="array" aca="1" ref="O411" ca="1">SUM(OFFSET($KE$43,0,($M411*3)+$N411,53,1)*O$43:O$95)</f>
        <v>0</v>
      </c>
      <c r="P411" s="6">
        <f t="array" aca="1" ref="P411" ca="1">SUM(OFFSET($KE$43,0,($M411*3)+$N411,53,1)*P$43:P$95)</f>
        <v>0</v>
      </c>
      <c r="Q411" s="6">
        <f t="array" aca="1" ref="Q411" ca="1">SUM(OFFSET($KE$43,0,($M411*3)+$N411,53,1)*Q$43:Q$95)</f>
        <v>0</v>
      </c>
      <c r="R411" s="6">
        <f t="array" aca="1" ref="R411" ca="1">SUM(OFFSET($KE$43,0,($M411*3)+$N411,53,1)*R$43:R$95)</f>
        <v>0</v>
      </c>
      <c r="S411" s="6">
        <f t="array" aca="1" ref="S411" ca="1">SUM(OFFSET($KE$43,0,($M411*3)+$N411,53,1)*S$43:S$95)</f>
        <v>0</v>
      </c>
      <c r="T411" s="6">
        <f t="array" aca="1" ref="T411" ca="1">SUM(OFFSET($KE$43,0,($M411*3)+$N411,53,1)*T$43:T$95)</f>
        <v>0</v>
      </c>
      <c r="U411" s="6">
        <f t="array" aca="1" ref="U411" ca="1">SUM(OFFSET($KE$43,0,($M411*3)+$N411,53,1)*U$43:U$95)</f>
        <v>0</v>
      </c>
      <c r="V411" s="6">
        <f t="array" aca="1" ref="V411" ca="1">SUM(OFFSET($KE$43,0,($M411*3)+$N411,53,1)*V$43:V$95)</f>
        <v>0</v>
      </c>
      <c r="W411" s="6">
        <f t="array" aca="1" ref="W411" ca="1">SUM(OFFSET($KE$43,0,($M411*3)+$N411,53,1)*W$43:W$95)</f>
        <v>0</v>
      </c>
      <c r="X411" s="6">
        <f t="array" aca="1" ref="X411" ca="1">SUM(OFFSET($KE$43,0,($M411*3)+$N411,53,1)*X$43:X$95)</f>
        <v>0</v>
      </c>
      <c r="Y411" s="6">
        <f t="array" aca="1" ref="Y411" ca="1">SUM(OFFSET($KE$43,0,($M411*3)+$N411,53,1)*Y$43:Y$95)</f>
        <v>0</v>
      </c>
      <c r="Z411" s="6">
        <f t="array" aca="1" ref="Z411" ca="1">SUM(OFFSET($KE$43,0,($M411*3)+$N411,53,1)*Z$43:Z$95)</f>
        <v>0</v>
      </c>
      <c r="AA411" s="6">
        <f t="shared" ca="1" si="150"/>
        <v>0</v>
      </c>
      <c r="AB411" s="6" t="str">
        <f t="shared" si="152"/>
        <v/>
      </c>
    </row>
    <row r="412" spans="1:28" x14ac:dyDescent="0.25">
      <c r="L412" t="str">
        <f t="shared" ca="1" si="151"/>
        <v/>
      </c>
      <c r="M412">
        <v>10</v>
      </c>
      <c r="N412">
        <v>1</v>
      </c>
      <c r="O412" s="6">
        <f t="array" aca="1" ref="O412" ca="1">SUM(OFFSET($KE$43,0,($M412*3)+$N412,53,1)*O$43:O$95)</f>
        <v>0</v>
      </c>
      <c r="P412" s="6">
        <f t="array" aca="1" ref="P412" ca="1">SUM(OFFSET($KE$43,0,($M412*3)+$N412,53,1)*P$43:P$95)</f>
        <v>0</v>
      </c>
      <c r="Q412" s="6">
        <f t="array" aca="1" ref="Q412" ca="1">SUM(OFFSET($KE$43,0,($M412*3)+$N412,53,1)*Q$43:Q$95)</f>
        <v>0</v>
      </c>
      <c r="R412" s="6">
        <f t="array" aca="1" ref="R412" ca="1">SUM(OFFSET($KE$43,0,($M412*3)+$N412,53,1)*R$43:R$95)</f>
        <v>0</v>
      </c>
      <c r="S412" s="6">
        <f t="array" aca="1" ref="S412" ca="1">SUM(OFFSET($KE$43,0,($M412*3)+$N412,53,1)*S$43:S$95)</f>
        <v>0</v>
      </c>
      <c r="T412" s="6">
        <f t="array" aca="1" ref="T412" ca="1">SUM(OFFSET($KE$43,0,($M412*3)+$N412,53,1)*T$43:T$95)</f>
        <v>0</v>
      </c>
      <c r="U412" s="6">
        <f t="array" aca="1" ref="U412" ca="1">SUM(OFFSET($KE$43,0,($M412*3)+$N412,53,1)*U$43:U$95)</f>
        <v>0</v>
      </c>
      <c r="V412" s="6">
        <f t="array" aca="1" ref="V412" ca="1">SUM(OFFSET($KE$43,0,($M412*3)+$N412,53,1)*V$43:V$95)</f>
        <v>0</v>
      </c>
      <c r="W412" s="6">
        <f t="array" aca="1" ref="W412" ca="1">SUM(OFFSET($KE$43,0,($M412*3)+$N412,53,1)*W$43:W$95)</f>
        <v>0</v>
      </c>
      <c r="X412" s="6">
        <f t="array" aca="1" ref="X412" ca="1">SUM(OFFSET($KE$43,0,($M412*3)+$N412,53,1)*X$43:X$95)</f>
        <v>0</v>
      </c>
      <c r="Y412" s="6">
        <f t="array" aca="1" ref="Y412" ca="1">SUM(OFFSET($KE$43,0,($M412*3)+$N412,53,1)*Y$43:Y$95)</f>
        <v>0</v>
      </c>
      <c r="Z412" s="6">
        <f t="array" aca="1" ref="Z412" ca="1">SUM(OFFSET($KE$43,0,($M412*3)+$N412,53,1)*Z$43:Z$95)</f>
        <v>0</v>
      </c>
      <c r="AA412" s="6">
        <f t="shared" ca="1" si="150"/>
        <v>0</v>
      </c>
      <c r="AB412" s="6" t="str">
        <f t="shared" si="152"/>
        <v/>
      </c>
    </row>
    <row r="413" spans="1:28" x14ac:dyDescent="0.25">
      <c r="L413" t="str">
        <f t="shared" ca="1" si="151"/>
        <v/>
      </c>
      <c r="M413">
        <v>10</v>
      </c>
      <c r="N413">
        <v>2</v>
      </c>
      <c r="O413" s="6">
        <f t="array" aca="1" ref="O413" ca="1">SUM(OFFSET($KE$43,0,($M413*3)+$N413,53,1)*O$43:O$95)</f>
        <v>0</v>
      </c>
      <c r="P413" s="6">
        <f t="array" aca="1" ref="P413" ca="1">SUM(OFFSET($KE$43,0,($M413*3)+$N413,53,1)*P$43:P$95)</f>
        <v>0</v>
      </c>
      <c r="Q413" s="6">
        <f t="array" aca="1" ref="Q413" ca="1">SUM(OFFSET($KE$43,0,($M413*3)+$N413,53,1)*Q$43:Q$95)</f>
        <v>0</v>
      </c>
      <c r="R413" s="6">
        <f t="array" aca="1" ref="R413" ca="1">SUM(OFFSET($KE$43,0,($M413*3)+$N413,53,1)*R$43:R$95)</f>
        <v>0</v>
      </c>
      <c r="S413" s="6">
        <f t="array" aca="1" ref="S413" ca="1">SUM(OFFSET($KE$43,0,($M413*3)+$N413,53,1)*S$43:S$95)</f>
        <v>0</v>
      </c>
      <c r="T413" s="6">
        <f t="array" aca="1" ref="T413" ca="1">SUM(OFFSET($KE$43,0,($M413*3)+$N413,53,1)*T$43:T$95)</f>
        <v>0</v>
      </c>
      <c r="U413" s="6">
        <f t="array" aca="1" ref="U413" ca="1">SUM(OFFSET($KE$43,0,($M413*3)+$N413,53,1)*U$43:U$95)</f>
        <v>0</v>
      </c>
      <c r="V413" s="6">
        <f t="array" aca="1" ref="V413" ca="1">SUM(OFFSET($KE$43,0,($M413*3)+$N413,53,1)*V$43:V$95)</f>
        <v>0</v>
      </c>
      <c r="W413" s="6">
        <f t="array" aca="1" ref="W413" ca="1">SUM(OFFSET($KE$43,0,($M413*3)+$N413,53,1)*W$43:W$95)</f>
        <v>0</v>
      </c>
      <c r="X413" s="6">
        <f t="array" aca="1" ref="X413" ca="1">SUM(OFFSET($KE$43,0,($M413*3)+$N413,53,1)*X$43:X$95)</f>
        <v>0</v>
      </c>
      <c r="Y413" s="6">
        <f t="array" aca="1" ref="Y413" ca="1">SUM(OFFSET($KE$43,0,($M413*3)+$N413,53,1)*Y$43:Y$95)</f>
        <v>0</v>
      </c>
      <c r="Z413" s="6">
        <f t="array" aca="1" ref="Z413" ca="1">SUM(OFFSET($KE$43,0,($M413*3)+$N413,53,1)*Z$43:Z$95)</f>
        <v>0</v>
      </c>
      <c r="AA413" s="6">
        <f t="shared" ca="1" si="150"/>
        <v>0</v>
      </c>
      <c r="AB413" s="6" t="str">
        <f t="shared" si="152"/>
        <v/>
      </c>
    </row>
    <row r="414" spans="1:28" x14ac:dyDescent="0.25">
      <c r="L414" t="str">
        <f t="shared" ca="1" si="151"/>
        <v/>
      </c>
      <c r="M414">
        <v>10</v>
      </c>
      <c r="N414">
        <v>3</v>
      </c>
      <c r="O414" s="6">
        <f t="array" aca="1" ref="O414" ca="1">SUM(OFFSET($KE$43,0,($M414*3)+$N414,53,1)*O$43:O$95)</f>
        <v>0</v>
      </c>
      <c r="P414" s="6">
        <f t="array" aca="1" ref="P414" ca="1">SUM(OFFSET($KE$43,0,($M414*3)+$N414,53,1)*P$43:P$95)</f>
        <v>0</v>
      </c>
      <c r="Q414" s="6">
        <f t="array" aca="1" ref="Q414" ca="1">SUM(OFFSET($KE$43,0,($M414*3)+$N414,53,1)*Q$43:Q$95)</f>
        <v>0</v>
      </c>
      <c r="R414" s="6">
        <f t="array" aca="1" ref="R414" ca="1">SUM(OFFSET($KE$43,0,($M414*3)+$N414,53,1)*R$43:R$95)</f>
        <v>0</v>
      </c>
      <c r="S414" s="6">
        <f t="array" aca="1" ref="S414" ca="1">SUM(OFFSET($KE$43,0,($M414*3)+$N414,53,1)*S$43:S$95)</f>
        <v>0</v>
      </c>
      <c r="T414" s="6">
        <f t="array" aca="1" ref="T414" ca="1">SUM(OFFSET($KE$43,0,($M414*3)+$N414,53,1)*T$43:T$95)</f>
        <v>0</v>
      </c>
      <c r="U414" s="6">
        <f t="array" aca="1" ref="U414" ca="1">SUM(OFFSET($KE$43,0,($M414*3)+$N414,53,1)*U$43:U$95)</f>
        <v>0</v>
      </c>
      <c r="V414" s="6">
        <f t="array" aca="1" ref="V414" ca="1">SUM(OFFSET($KE$43,0,($M414*3)+$N414,53,1)*V$43:V$95)</f>
        <v>0</v>
      </c>
      <c r="W414" s="6">
        <f t="array" aca="1" ref="W414" ca="1">SUM(OFFSET($KE$43,0,($M414*3)+$N414,53,1)*W$43:W$95)</f>
        <v>0</v>
      </c>
      <c r="X414" s="6">
        <f t="array" aca="1" ref="X414" ca="1">SUM(OFFSET($KE$43,0,($M414*3)+$N414,53,1)*X$43:X$95)</f>
        <v>0</v>
      </c>
      <c r="Y414" s="6">
        <f t="array" aca="1" ref="Y414" ca="1">SUM(OFFSET($KE$43,0,($M414*3)+$N414,53,1)*Y$43:Y$95)</f>
        <v>0</v>
      </c>
      <c r="Z414" s="6">
        <f t="array" aca="1" ref="Z414" ca="1">SUM(OFFSET($KE$43,0,($M414*3)+$N414,53,1)*Z$43:Z$95)</f>
        <v>0</v>
      </c>
      <c r="AA414" s="6">
        <f t="shared" ref="AA414:AA441" ca="1" si="153">SUM(O414:Z414)</f>
        <v>0</v>
      </c>
      <c r="AB414" s="6" t="str">
        <f t="shared" si="152"/>
        <v/>
      </c>
    </row>
    <row r="415" spans="1:28" x14ac:dyDescent="0.25">
      <c r="A415" t="s">
        <v>1385</v>
      </c>
      <c r="L415" t="str">
        <f t="shared" ca="1" si="151"/>
        <v/>
      </c>
      <c r="M415">
        <v>11</v>
      </c>
      <c r="N415">
        <v>1</v>
      </c>
      <c r="O415" s="6">
        <f t="array" aca="1" ref="O415" ca="1">SUM(OFFSET($KE$43,0,($M415*3)+$N415,53,1)*O$43:O$95)</f>
        <v>0</v>
      </c>
      <c r="P415" s="6">
        <f t="array" aca="1" ref="P415" ca="1">SUM(OFFSET($KE$43,0,($M415*3)+$N415,53,1)*P$43:P$95)</f>
        <v>0</v>
      </c>
      <c r="Q415" s="6">
        <f t="array" aca="1" ref="Q415" ca="1">SUM(OFFSET($KE$43,0,($M415*3)+$N415,53,1)*Q$43:Q$95)</f>
        <v>0</v>
      </c>
      <c r="R415" s="6">
        <f t="array" aca="1" ref="R415" ca="1">SUM(OFFSET($KE$43,0,($M415*3)+$N415,53,1)*R$43:R$95)</f>
        <v>0</v>
      </c>
      <c r="S415" s="6">
        <f t="array" aca="1" ref="S415" ca="1">SUM(OFFSET($KE$43,0,($M415*3)+$N415,53,1)*S$43:S$95)</f>
        <v>0</v>
      </c>
      <c r="T415" s="6">
        <f t="array" aca="1" ref="T415" ca="1">SUM(OFFSET($KE$43,0,($M415*3)+$N415,53,1)*T$43:T$95)</f>
        <v>0</v>
      </c>
      <c r="U415" s="6">
        <f t="array" aca="1" ref="U415" ca="1">SUM(OFFSET($KE$43,0,($M415*3)+$N415,53,1)*U$43:U$95)</f>
        <v>0</v>
      </c>
      <c r="V415" s="6">
        <f t="array" aca="1" ref="V415" ca="1">SUM(OFFSET($KE$43,0,($M415*3)+$N415,53,1)*V$43:V$95)</f>
        <v>0</v>
      </c>
      <c r="W415" s="6">
        <f t="array" aca="1" ref="W415" ca="1">SUM(OFFSET($KE$43,0,($M415*3)+$N415,53,1)*W$43:W$95)</f>
        <v>0</v>
      </c>
      <c r="X415" s="6">
        <f t="array" aca="1" ref="X415" ca="1">SUM(OFFSET($KE$43,0,($M415*3)+$N415,53,1)*X$43:X$95)</f>
        <v>0</v>
      </c>
      <c r="Y415" s="6">
        <f t="array" aca="1" ref="Y415" ca="1">SUM(OFFSET($KE$43,0,($M415*3)+$N415,53,1)*Y$43:Y$95)</f>
        <v>0</v>
      </c>
      <c r="Z415" s="6">
        <f t="array" aca="1" ref="Z415" ca="1">SUM(OFFSET($KE$43,0,($M415*3)+$N415,53,1)*Z$43:Z$95)</f>
        <v>0</v>
      </c>
      <c r="AA415" s="6">
        <f t="shared" ca="1" si="153"/>
        <v>0</v>
      </c>
      <c r="AB415" s="6" t="str">
        <f t="shared" si="152"/>
        <v/>
      </c>
    </row>
    <row r="416" spans="1:28" x14ac:dyDescent="0.25">
      <c r="L416" t="str">
        <f t="shared" ca="1" si="151"/>
        <v/>
      </c>
      <c r="M416">
        <v>11</v>
      </c>
      <c r="N416">
        <v>2</v>
      </c>
      <c r="O416" s="6">
        <f t="array" aca="1" ref="O416" ca="1">SUM(OFFSET($KE$43,0,($M416*3)+$N416,53,1)*O$43:O$95)</f>
        <v>0</v>
      </c>
      <c r="P416" s="6">
        <f t="array" aca="1" ref="P416" ca="1">SUM(OFFSET($KE$43,0,($M416*3)+$N416,53,1)*P$43:P$95)</f>
        <v>0</v>
      </c>
      <c r="Q416" s="6">
        <f t="array" aca="1" ref="Q416" ca="1">SUM(OFFSET($KE$43,0,($M416*3)+$N416,53,1)*Q$43:Q$95)</f>
        <v>0</v>
      </c>
      <c r="R416" s="6">
        <f t="array" aca="1" ref="R416" ca="1">SUM(OFFSET($KE$43,0,($M416*3)+$N416,53,1)*R$43:R$95)</f>
        <v>0</v>
      </c>
      <c r="S416" s="6">
        <f t="array" aca="1" ref="S416" ca="1">SUM(OFFSET($KE$43,0,($M416*3)+$N416,53,1)*S$43:S$95)</f>
        <v>0</v>
      </c>
      <c r="T416" s="6">
        <f t="array" aca="1" ref="T416" ca="1">SUM(OFFSET($KE$43,0,($M416*3)+$N416,53,1)*T$43:T$95)</f>
        <v>0</v>
      </c>
      <c r="U416" s="6">
        <f t="array" aca="1" ref="U416" ca="1">SUM(OFFSET($KE$43,0,($M416*3)+$N416,53,1)*U$43:U$95)</f>
        <v>0</v>
      </c>
      <c r="V416" s="6">
        <f t="array" aca="1" ref="V416" ca="1">SUM(OFFSET($KE$43,0,($M416*3)+$N416,53,1)*V$43:V$95)</f>
        <v>0</v>
      </c>
      <c r="W416" s="6">
        <f t="array" aca="1" ref="W416" ca="1">SUM(OFFSET($KE$43,0,($M416*3)+$N416,53,1)*W$43:W$95)</f>
        <v>0</v>
      </c>
      <c r="X416" s="6">
        <f t="array" aca="1" ref="X416" ca="1">SUM(OFFSET($KE$43,0,($M416*3)+$N416,53,1)*X$43:X$95)</f>
        <v>0</v>
      </c>
      <c r="Y416" s="6">
        <f t="array" aca="1" ref="Y416" ca="1">SUM(OFFSET($KE$43,0,($M416*3)+$N416,53,1)*Y$43:Y$95)</f>
        <v>0</v>
      </c>
      <c r="Z416" s="6">
        <f t="array" aca="1" ref="Z416" ca="1">SUM(OFFSET($KE$43,0,($M416*3)+$N416,53,1)*Z$43:Z$95)</f>
        <v>0</v>
      </c>
      <c r="AA416" s="6">
        <f t="shared" ca="1" si="153"/>
        <v>0</v>
      </c>
      <c r="AB416" s="6" t="str">
        <f t="shared" si="152"/>
        <v/>
      </c>
    </row>
    <row r="417" spans="12:28" x14ac:dyDescent="0.25">
      <c r="L417" t="str">
        <f t="shared" ca="1" si="151"/>
        <v/>
      </c>
      <c r="M417">
        <v>11</v>
      </c>
      <c r="N417">
        <v>3</v>
      </c>
      <c r="O417" s="6">
        <f t="array" aca="1" ref="O417" ca="1">SUM(OFFSET($KE$43,0,($M417*3)+$N417,53,1)*O$43:O$95)</f>
        <v>0</v>
      </c>
      <c r="P417" s="6">
        <f t="array" aca="1" ref="P417" ca="1">SUM(OFFSET($KE$43,0,($M417*3)+$N417,53,1)*P$43:P$95)</f>
        <v>0</v>
      </c>
      <c r="Q417" s="6">
        <f t="array" aca="1" ref="Q417" ca="1">SUM(OFFSET($KE$43,0,($M417*3)+$N417,53,1)*Q$43:Q$95)</f>
        <v>0</v>
      </c>
      <c r="R417" s="6">
        <f t="array" aca="1" ref="R417" ca="1">SUM(OFFSET($KE$43,0,($M417*3)+$N417,53,1)*R$43:R$95)</f>
        <v>0</v>
      </c>
      <c r="S417" s="6">
        <f t="array" aca="1" ref="S417" ca="1">SUM(OFFSET($KE$43,0,($M417*3)+$N417,53,1)*S$43:S$95)</f>
        <v>0</v>
      </c>
      <c r="T417" s="6">
        <f t="array" aca="1" ref="T417" ca="1">SUM(OFFSET($KE$43,0,($M417*3)+$N417,53,1)*T$43:T$95)</f>
        <v>0</v>
      </c>
      <c r="U417" s="6">
        <f t="array" aca="1" ref="U417" ca="1">SUM(OFFSET($KE$43,0,($M417*3)+$N417,53,1)*U$43:U$95)</f>
        <v>0</v>
      </c>
      <c r="V417" s="6">
        <f t="array" aca="1" ref="V417" ca="1">SUM(OFFSET($KE$43,0,($M417*3)+$N417,53,1)*V$43:V$95)</f>
        <v>0</v>
      </c>
      <c r="W417" s="6">
        <f t="array" aca="1" ref="W417" ca="1">SUM(OFFSET($KE$43,0,($M417*3)+$N417,53,1)*W$43:W$95)</f>
        <v>0</v>
      </c>
      <c r="X417" s="6">
        <f t="array" aca="1" ref="X417" ca="1">SUM(OFFSET($KE$43,0,($M417*3)+$N417,53,1)*X$43:X$95)</f>
        <v>0</v>
      </c>
      <c r="Y417" s="6">
        <f t="array" aca="1" ref="Y417" ca="1">SUM(OFFSET($KE$43,0,($M417*3)+$N417,53,1)*Y$43:Y$95)</f>
        <v>0</v>
      </c>
      <c r="Z417" s="6">
        <f t="array" aca="1" ref="Z417" ca="1">SUM(OFFSET($KE$43,0,($M417*3)+$N417,53,1)*Z$43:Z$95)</f>
        <v>0</v>
      </c>
      <c r="AA417" s="6">
        <f t="shared" ca="1" si="153"/>
        <v>0</v>
      </c>
      <c r="AB417" s="6" t="str">
        <f t="shared" si="152"/>
        <v/>
      </c>
    </row>
    <row r="418" spans="12:28" x14ac:dyDescent="0.25">
      <c r="L418" t="str">
        <f t="shared" ca="1" si="151"/>
        <v/>
      </c>
      <c r="M418">
        <v>12</v>
      </c>
      <c r="N418">
        <v>1</v>
      </c>
      <c r="O418" s="6">
        <f t="array" aca="1" ref="O418" ca="1">SUM(OFFSET($KE$43,0,($M418*3)+$N418,53,1)*O$43:O$95)</f>
        <v>0</v>
      </c>
      <c r="P418" s="6">
        <f t="array" aca="1" ref="P418" ca="1">SUM(OFFSET($KE$43,0,($M418*3)+$N418,53,1)*P$43:P$95)</f>
        <v>0</v>
      </c>
      <c r="Q418" s="6">
        <f t="array" aca="1" ref="Q418" ca="1">SUM(OFFSET($KE$43,0,($M418*3)+$N418,53,1)*Q$43:Q$95)</f>
        <v>0</v>
      </c>
      <c r="R418" s="6">
        <f t="array" aca="1" ref="R418" ca="1">SUM(OFFSET($KE$43,0,($M418*3)+$N418,53,1)*R$43:R$95)</f>
        <v>0</v>
      </c>
      <c r="S418" s="6">
        <f t="array" aca="1" ref="S418" ca="1">SUM(OFFSET($KE$43,0,($M418*3)+$N418,53,1)*S$43:S$95)</f>
        <v>0</v>
      </c>
      <c r="T418" s="6">
        <f t="array" aca="1" ref="T418" ca="1">SUM(OFFSET($KE$43,0,($M418*3)+$N418,53,1)*T$43:T$95)</f>
        <v>0</v>
      </c>
      <c r="U418" s="6">
        <f t="array" aca="1" ref="U418" ca="1">SUM(OFFSET($KE$43,0,($M418*3)+$N418,53,1)*U$43:U$95)</f>
        <v>0</v>
      </c>
      <c r="V418" s="6">
        <f t="array" aca="1" ref="V418" ca="1">SUM(OFFSET($KE$43,0,($M418*3)+$N418,53,1)*V$43:V$95)</f>
        <v>0</v>
      </c>
      <c r="W418" s="6">
        <f t="array" aca="1" ref="W418" ca="1">SUM(OFFSET($KE$43,0,($M418*3)+$N418,53,1)*W$43:W$95)</f>
        <v>0</v>
      </c>
      <c r="X418" s="6">
        <f t="array" aca="1" ref="X418" ca="1">SUM(OFFSET($KE$43,0,($M418*3)+$N418,53,1)*X$43:X$95)</f>
        <v>0</v>
      </c>
      <c r="Y418" s="6">
        <f t="array" aca="1" ref="Y418" ca="1">SUM(OFFSET($KE$43,0,($M418*3)+$N418,53,1)*Y$43:Y$95)</f>
        <v>0</v>
      </c>
      <c r="Z418" s="6">
        <f t="array" aca="1" ref="Z418" ca="1">SUM(OFFSET($KE$43,0,($M418*3)+$N418,53,1)*Z$43:Z$95)</f>
        <v>0</v>
      </c>
      <c r="AA418" s="6">
        <f t="shared" ca="1" si="153"/>
        <v>0</v>
      </c>
      <c r="AB418" s="6" t="str">
        <f t="shared" si="152"/>
        <v/>
      </c>
    </row>
    <row r="419" spans="12:28" x14ac:dyDescent="0.25">
      <c r="L419" t="str">
        <f t="shared" ca="1" si="151"/>
        <v/>
      </c>
      <c r="M419">
        <v>12</v>
      </c>
      <c r="N419">
        <v>2</v>
      </c>
      <c r="O419" s="6">
        <f t="array" aca="1" ref="O419" ca="1">SUM(OFFSET($KE$43,0,($M419*3)+$N419,53,1)*O$43:O$95)</f>
        <v>0</v>
      </c>
      <c r="P419" s="6">
        <f t="array" aca="1" ref="P419" ca="1">SUM(OFFSET($KE$43,0,($M419*3)+$N419,53,1)*P$43:P$95)</f>
        <v>0</v>
      </c>
      <c r="Q419" s="6">
        <f t="array" aca="1" ref="Q419" ca="1">SUM(OFFSET($KE$43,0,($M419*3)+$N419,53,1)*Q$43:Q$95)</f>
        <v>0</v>
      </c>
      <c r="R419" s="6">
        <f t="array" aca="1" ref="R419" ca="1">SUM(OFFSET($KE$43,0,($M419*3)+$N419,53,1)*R$43:R$95)</f>
        <v>0</v>
      </c>
      <c r="S419" s="6">
        <f t="array" aca="1" ref="S419" ca="1">SUM(OFFSET($KE$43,0,($M419*3)+$N419,53,1)*S$43:S$95)</f>
        <v>0</v>
      </c>
      <c r="T419" s="6">
        <f t="array" aca="1" ref="T419" ca="1">SUM(OFFSET($KE$43,0,($M419*3)+$N419,53,1)*T$43:T$95)</f>
        <v>0</v>
      </c>
      <c r="U419" s="6">
        <f t="array" aca="1" ref="U419" ca="1">SUM(OFFSET($KE$43,0,($M419*3)+$N419,53,1)*U$43:U$95)</f>
        <v>0</v>
      </c>
      <c r="V419" s="6">
        <f t="array" aca="1" ref="V419" ca="1">SUM(OFFSET($KE$43,0,($M419*3)+$N419,53,1)*V$43:V$95)</f>
        <v>0</v>
      </c>
      <c r="W419" s="6">
        <f t="array" aca="1" ref="W419" ca="1">SUM(OFFSET($KE$43,0,($M419*3)+$N419,53,1)*W$43:W$95)</f>
        <v>0</v>
      </c>
      <c r="X419" s="6">
        <f t="array" aca="1" ref="X419" ca="1">SUM(OFFSET($KE$43,0,($M419*3)+$N419,53,1)*X$43:X$95)</f>
        <v>0</v>
      </c>
      <c r="Y419" s="6">
        <f t="array" aca="1" ref="Y419" ca="1">SUM(OFFSET($KE$43,0,($M419*3)+$N419,53,1)*Y$43:Y$95)</f>
        <v>0</v>
      </c>
      <c r="Z419" s="6">
        <f t="array" aca="1" ref="Z419" ca="1">SUM(OFFSET($KE$43,0,($M419*3)+$N419,53,1)*Z$43:Z$95)</f>
        <v>0</v>
      </c>
      <c r="AA419" s="6">
        <f t="shared" ca="1" si="153"/>
        <v>0</v>
      </c>
      <c r="AB419" s="6" t="str">
        <f t="shared" si="152"/>
        <v/>
      </c>
    </row>
    <row r="420" spans="12:28" x14ac:dyDescent="0.25">
      <c r="L420" t="str">
        <f t="shared" ca="1" si="151"/>
        <v/>
      </c>
      <c r="M420">
        <v>12</v>
      </c>
      <c r="N420">
        <v>3</v>
      </c>
      <c r="O420" s="6">
        <f t="array" aca="1" ref="O420" ca="1">SUM(OFFSET($KE$43,0,($M420*3)+$N420,53,1)*O$43:O$95)</f>
        <v>0</v>
      </c>
      <c r="P420" s="6">
        <f t="array" aca="1" ref="P420" ca="1">SUM(OFFSET($KE$43,0,($M420*3)+$N420,53,1)*P$43:P$95)</f>
        <v>0</v>
      </c>
      <c r="Q420" s="6">
        <f t="array" aca="1" ref="Q420" ca="1">SUM(OFFSET($KE$43,0,($M420*3)+$N420,53,1)*Q$43:Q$95)</f>
        <v>0</v>
      </c>
      <c r="R420" s="6">
        <f t="array" aca="1" ref="R420" ca="1">SUM(OFFSET($KE$43,0,($M420*3)+$N420,53,1)*R$43:R$95)</f>
        <v>0</v>
      </c>
      <c r="S420" s="6">
        <f t="array" aca="1" ref="S420" ca="1">SUM(OFFSET($KE$43,0,($M420*3)+$N420,53,1)*S$43:S$95)</f>
        <v>0</v>
      </c>
      <c r="T420" s="6">
        <f t="array" aca="1" ref="T420" ca="1">SUM(OFFSET($KE$43,0,($M420*3)+$N420,53,1)*T$43:T$95)</f>
        <v>0</v>
      </c>
      <c r="U420" s="6">
        <f t="array" aca="1" ref="U420" ca="1">SUM(OFFSET($KE$43,0,($M420*3)+$N420,53,1)*U$43:U$95)</f>
        <v>0</v>
      </c>
      <c r="V420" s="6">
        <f t="array" aca="1" ref="V420" ca="1">SUM(OFFSET($KE$43,0,($M420*3)+$N420,53,1)*V$43:V$95)</f>
        <v>0</v>
      </c>
      <c r="W420" s="6">
        <f t="array" aca="1" ref="W420" ca="1">SUM(OFFSET($KE$43,0,($M420*3)+$N420,53,1)*W$43:W$95)</f>
        <v>0</v>
      </c>
      <c r="X420" s="6">
        <f t="array" aca="1" ref="X420" ca="1">SUM(OFFSET($KE$43,0,($M420*3)+$N420,53,1)*X$43:X$95)</f>
        <v>0</v>
      </c>
      <c r="Y420" s="6">
        <f t="array" aca="1" ref="Y420" ca="1">SUM(OFFSET($KE$43,0,($M420*3)+$N420,53,1)*Y$43:Y$95)</f>
        <v>0</v>
      </c>
      <c r="Z420" s="6">
        <f t="array" aca="1" ref="Z420" ca="1">SUM(OFFSET($KE$43,0,($M420*3)+$N420,53,1)*Z$43:Z$95)</f>
        <v>0</v>
      </c>
      <c r="AA420" s="6">
        <f t="shared" ca="1" si="153"/>
        <v>0</v>
      </c>
      <c r="AB420" s="6" t="str">
        <f t="shared" si="152"/>
        <v/>
      </c>
    </row>
    <row r="421" spans="12:28" x14ac:dyDescent="0.25">
      <c r="L421" t="str">
        <f t="shared" ca="1" si="151"/>
        <v/>
      </c>
      <c r="M421">
        <v>13</v>
      </c>
      <c r="N421">
        <v>1</v>
      </c>
      <c r="O421" s="6">
        <f t="array" aca="1" ref="O421" ca="1">SUM(OFFSET($KE$43,0,($M421*3)+$N421,53,1)*O$43:O$95)</f>
        <v>0</v>
      </c>
      <c r="P421" s="6">
        <f t="array" aca="1" ref="P421" ca="1">SUM(OFFSET($KE$43,0,($M421*3)+$N421,53,1)*P$43:P$95)</f>
        <v>0</v>
      </c>
      <c r="Q421" s="6">
        <f t="array" aca="1" ref="Q421" ca="1">SUM(OFFSET($KE$43,0,($M421*3)+$N421,53,1)*Q$43:Q$95)</f>
        <v>0</v>
      </c>
      <c r="R421" s="6">
        <f t="array" aca="1" ref="R421" ca="1">SUM(OFFSET($KE$43,0,($M421*3)+$N421,53,1)*R$43:R$95)</f>
        <v>0</v>
      </c>
      <c r="S421" s="6">
        <f t="array" aca="1" ref="S421" ca="1">SUM(OFFSET($KE$43,0,($M421*3)+$N421,53,1)*S$43:S$95)</f>
        <v>0</v>
      </c>
      <c r="T421" s="6">
        <f t="array" aca="1" ref="T421" ca="1">SUM(OFFSET($KE$43,0,($M421*3)+$N421,53,1)*T$43:T$95)</f>
        <v>0</v>
      </c>
      <c r="U421" s="6">
        <f t="array" aca="1" ref="U421" ca="1">SUM(OFFSET($KE$43,0,($M421*3)+$N421,53,1)*U$43:U$95)</f>
        <v>0</v>
      </c>
      <c r="V421" s="6">
        <f t="array" aca="1" ref="V421" ca="1">SUM(OFFSET($KE$43,0,($M421*3)+$N421,53,1)*V$43:V$95)</f>
        <v>0</v>
      </c>
      <c r="W421" s="6">
        <f t="array" aca="1" ref="W421" ca="1">SUM(OFFSET($KE$43,0,($M421*3)+$N421,53,1)*W$43:W$95)</f>
        <v>0</v>
      </c>
      <c r="X421" s="6">
        <f t="array" aca="1" ref="X421" ca="1">SUM(OFFSET($KE$43,0,($M421*3)+$N421,53,1)*X$43:X$95)</f>
        <v>0</v>
      </c>
      <c r="Y421" s="6">
        <f t="array" aca="1" ref="Y421" ca="1">SUM(OFFSET($KE$43,0,($M421*3)+$N421,53,1)*Y$43:Y$95)</f>
        <v>0</v>
      </c>
      <c r="Z421" s="6">
        <f t="array" aca="1" ref="Z421" ca="1">SUM(OFFSET($KE$43,0,($M421*3)+$N421,53,1)*Z$43:Z$95)</f>
        <v>0</v>
      </c>
      <c r="AA421" s="6">
        <f t="shared" ca="1" si="153"/>
        <v>0</v>
      </c>
      <c r="AB421" s="6" t="str">
        <f t="shared" si="152"/>
        <v/>
      </c>
    </row>
    <row r="422" spans="12:28" x14ac:dyDescent="0.25">
      <c r="L422" t="str">
        <f t="shared" ca="1" si="151"/>
        <v/>
      </c>
      <c r="M422">
        <v>13</v>
      </c>
      <c r="N422">
        <v>2</v>
      </c>
      <c r="O422" s="6">
        <f t="array" aca="1" ref="O422" ca="1">SUM(OFFSET($KE$43,0,($M422*3)+$N422,53,1)*O$43:O$95)</f>
        <v>0</v>
      </c>
      <c r="P422" s="6">
        <f t="array" aca="1" ref="P422" ca="1">SUM(OFFSET($KE$43,0,($M422*3)+$N422,53,1)*P$43:P$95)</f>
        <v>0</v>
      </c>
      <c r="Q422" s="6">
        <f t="array" aca="1" ref="Q422" ca="1">SUM(OFFSET($KE$43,0,($M422*3)+$N422,53,1)*Q$43:Q$95)</f>
        <v>0</v>
      </c>
      <c r="R422" s="6">
        <f t="array" aca="1" ref="R422" ca="1">SUM(OFFSET($KE$43,0,($M422*3)+$N422,53,1)*R$43:R$95)</f>
        <v>0</v>
      </c>
      <c r="S422" s="6">
        <f t="array" aca="1" ref="S422" ca="1">SUM(OFFSET($KE$43,0,($M422*3)+$N422,53,1)*S$43:S$95)</f>
        <v>0</v>
      </c>
      <c r="T422" s="6">
        <f t="array" aca="1" ref="T422" ca="1">SUM(OFFSET($KE$43,0,($M422*3)+$N422,53,1)*T$43:T$95)</f>
        <v>0</v>
      </c>
      <c r="U422" s="6">
        <f t="array" aca="1" ref="U422" ca="1">SUM(OFFSET($KE$43,0,($M422*3)+$N422,53,1)*U$43:U$95)</f>
        <v>0</v>
      </c>
      <c r="V422" s="6">
        <f t="array" aca="1" ref="V422" ca="1">SUM(OFFSET($KE$43,0,($M422*3)+$N422,53,1)*V$43:V$95)</f>
        <v>0</v>
      </c>
      <c r="W422" s="6">
        <f t="array" aca="1" ref="W422" ca="1">SUM(OFFSET($KE$43,0,($M422*3)+$N422,53,1)*W$43:W$95)</f>
        <v>0</v>
      </c>
      <c r="X422" s="6">
        <f t="array" aca="1" ref="X422" ca="1">SUM(OFFSET($KE$43,0,($M422*3)+$N422,53,1)*X$43:X$95)</f>
        <v>0</v>
      </c>
      <c r="Y422" s="6">
        <f t="array" aca="1" ref="Y422" ca="1">SUM(OFFSET($KE$43,0,($M422*3)+$N422,53,1)*Y$43:Y$95)</f>
        <v>0</v>
      </c>
      <c r="Z422" s="6">
        <f t="array" aca="1" ref="Z422" ca="1">SUM(OFFSET($KE$43,0,($M422*3)+$N422,53,1)*Z$43:Z$95)</f>
        <v>0</v>
      </c>
      <c r="AA422" s="6">
        <f t="shared" ca="1" si="153"/>
        <v>0</v>
      </c>
      <c r="AB422" s="6" t="str">
        <f t="shared" si="152"/>
        <v/>
      </c>
    </row>
    <row r="423" spans="12:28" x14ac:dyDescent="0.25">
      <c r="L423" t="str">
        <f t="shared" ca="1" si="151"/>
        <v/>
      </c>
      <c r="M423">
        <v>13</v>
      </c>
      <c r="N423">
        <v>3</v>
      </c>
      <c r="O423" s="6">
        <f t="array" aca="1" ref="O423" ca="1">SUM(OFFSET($KE$43,0,($M423*3)+$N423,53,1)*O$43:O$95)</f>
        <v>0</v>
      </c>
      <c r="P423" s="6">
        <f t="array" aca="1" ref="P423" ca="1">SUM(OFFSET($KE$43,0,($M423*3)+$N423,53,1)*P$43:P$95)</f>
        <v>0</v>
      </c>
      <c r="Q423" s="6">
        <f t="array" aca="1" ref="Q423" ca="1">SUM(OFFSET($KE$43,0,($M423*3)+$N423,53,1)*Q$43:Q$95)</f>
        <v>0</v>
      </c>
      <c r="R423" s="6">
        <f t="array" aca="1" ref="R423" ca="1">SUM(OFFSET($KE$43,0,($M423*3)+$N423,53,1)*R$43:R$95)</f>
        <v>0</v>
      </c>
      <c r="S423" s="6">
        <f t="array" aca="1" ref="S423" ca="1">SUM(OFFSET($KE$43,0,($M423*3)+$N423,53,1)*S$43:S$95)</f>
        <v>0</v>
      </c>
      <c r="T423" s="6">
        <f t="array" aca="1" ref="T423" ca="1">SUM(OFFSET($KE$43,0,($M423*3)+$N423,53,1)*T$43:T$95)</f>
        <v>0</v>
      </c>
      <c r="U423" s="6">
        <f t="array" aca="1" ref="U423" ca="1">SUM(OFFSET($KE$43,0,($M423*3)+$N423,53,1)*U$43:U$95)</f>
        <v>0</v>
      </c>
      <c r="V423" s="6">
        <f t="array" aca="1" ref="V423" ca="1">SUM(OFFSET($KE$43,0,($M423*3)+$N423,53,1)*V$43:V$95)</f>
        <v>0</v>
      </c>
      <c r="W423" s="6">
        <f t="array" aca="1" ref="W423" ca="1">SUM(OFFSET($KE$43,0,($M423*3)+$N423,53,1)*W$43:W$95)</f>
        <v>0</v>
      </c>
      <c r="X423" s="6">
        <f t="array" aca="1" ref="X423" ca="1">SUM(OFFSET($KE$43,0,($M423*3)+$N423,53,1)*X$43:X$95)</f>
        <v>0</v>
      </c>
      <c r="Y423" s="6">
        <f t="array" aca="1" ref="Y423" ca="1">SUM(OFFSET($KE$43,0,($M423*3)+$N423,53,1)*Y$43:Y$95)</f>
        <v>0</v>
      </c>
      <c r="Z423" s="6">
        <f t="array" aca="1" ref="Z423" ca="1">SUM(OFFSET($KE$43,0,($M423*3)+$N423,53,1)*Z$43:Z$95)</f>
        <v>0</v>
      </c>
      <c r="AA423" s="6">
        <f t="shared" ca="1" si="153"/>
        <v>0</v>
      </c>
      <c r="AB423" s="6" t="str">
        <f t="shared" si="152"/>
        <v/>
      </c>
    </row>
    <row r="424" spans="12:28" x14ac:dyDescent="0.25">
      <c r="L424" t="str">
        <f t="shared" ca="1" si="151"/>
        <v/>
      </c>
      <c r="M424">
        <v>14</v>
      </c>
      <c r="N424">
        <v>1</v>
      </c>
      <c r="O424" s="6">
        <f t="array" aca="1" ref="O424" ca="1">SUM(OFFSET($KE$43,0,($M424*3)+$N424,53,1)*O$43:O$95)</f>
        <v>0</v>
      </c>
      <c r="P424" s="6">
        <f t="array" aca="1" ref="P424" ca="1">SUM(OFFSET($KE$43,0,($M424*3)+$N424,53,1)*P$43:P$95)</f>
        <v>0</v>
      </c>
      <c r="Q424" s="6">
        <f t="array" aca="1" ref="Q424" ca="1">SUM(OFFSET($KE$43,0,($M424*3)+$N424,53,1)*Q$43:Q$95)</f>
        <v>0</v>
      </c>
      <c r="R424" s="6">
        <f t="array" aca="1" ref="R424" ca="1">SUM(OFFSET($KE$43,0,($M424*3)+$N424,53,1)*R$43:R$95)</f>
        <v>0</v>
      </c>
      <c r="S424" s="6">
        <f t="array" aca="1" ref="S424" ca="1">SUM(OFFSET($KE$43,0,($M424*3)+$N424,53,1)*S$43:S$95)</f>
        <v>0</v>
      </c>
      <c r="T424" s="6">
        <f t="array" aca="1" ref="T424" ca="1">SUM(OFFSET($KE$43,0,($M424*3)+$N424,53,1)*T$43:T$95)</f>
        <v>0</v>
      </c>
      <c r="U424" s="6">
        <f t="array" aca="1" ref="U424" ca="1">SUM(OFFSET($KE$43,0,($M424*3)+$N424,53,1)*U$43:U$95)</f>
        <v>0</v>
      </c>
      <c r="V424" s="6">
        <f t="array" aca="1" ref="V424" ca="1">SUM(OFFSET($KE$43,0,($M424*3)+$N424,53,1)*V$43:V$95)</f>
        <v>0</v>
      </c>
      <c r="W424" s="6">
        <f t="array" aca="1" ref="W424" ca="1">SUM(OFFSET($KE$43,0,($M424*3)+$N424,53,1)*W$43:W$95)</f>
        <v>0</v>
      </c>
      <c r="X424" s="6">
        <f t="array" aca="1" ref="X424" ca="1">SUM(OFFSET($KE$43,0,($M424*3)+$N424,53,1)*X$43:X$95)</f>
        <v>0</v>
      </c>
      <c r="Y424" s="6">
        <f t="array" aca="1" ref="Y424" ca="1">SUM(OFFSET($KE$43,0,($M424*3)+$N424,53,1)*Y$43:Y$95)</f>
        <v>0</v>
      </c>
      <c r="Z424" s="6">
        <f t="array" aca="1" ref="Z424" ca="1">SUM(OFFSET($KE$43,0,($M424*3)+$N424,53,1)*Z$43:Z$95)</f>
        <v>0</v>
      </c>
      <c r="AA424" s="6">
        <f t="shared" ca="1" si="153"/>
        <v>0</v>
      </c>
      <c r="AB424" s="6" t="str">
        <f t="shared" si="152"/>
        <v/>
      </c>
    </row>
    <row r="425" spans="12:28" x14ac:dyDescent="0.25">
      <c r="L425" t="str">
        <f t="shared" ca="1" si="151"/>
        <v/>
      </c>
      <c r="M425">
        <v>14</v>
      </c>
      <c r="N425">
        <v>2</v>
      </c>
      <c r="O425" s="6">
        <f t="array" aca="1" ref="O425" ca="1">SUM(OFFSET($KE$43,0,($M425*3)+$N425,53,1)*O$43:O$95)</f>
        <v>0</v>
      </c>
      <c r="P425" s="6">
        <f t="array" aca="1" ref="P425" ca="1">SUM(OFFSET($KE$43,0,($M425*3)+$N425,53,1)*P$43:P$95)</f>
        <v>0</v>
      </c>
      <c r="Q425" s="6">
        <f t="array" aca="1" ref="Q425" ca="1">SUM(OFFSET($KE$43,0,($M425*3)+$N425,53,1)*Q$43:Q$95)</f>
        <v>0</v>
      </c>
      <c r="R425" s="6">
        <f t="array" aca="1" ref="R425" ca="1">SUM(OFFSET($KE$43,0,($M425*3)+$N425,53,1)*R$43:R$95)</f>
        <v>0</v>
      </c>
      <c r="S425" s="6">
        <f t="array" aca="1" ref="S425" ca="1">SUM(OFFSET($KE$43,0,($M425*3)+$N425,53,1)*S$43:S$95)</f>
        <v>0</v>
      </c>
      <c r="T425" s="6">
        <f t="array" aca="1" ref="T425" ca="1">SUM(OFFSET($KE$43,0,($M425*3)+$N425,53,1)*T$43:T$95)</f>
        <v>0</v>
      </c>
      <c r="U425" s="6">
        <f t="array" aca="1" ref="U425" ca="1">SUM(OFFSET($KE$43,0,($M425*3)+$N425,53,1)*U$43:U$95)</f>
        <v>0</v>
      </c>
      <c r="V425" s="6">
        <f t="array" aca="1" ref="V425" ca="1">SUM(OFFSET($KE$43,0,($M425*3)+$N425,53,1)*V$43:V$95)</f>
        <v>0</v>
      </c>
      <c r="W425" s="6">
        <f t="array" aca="1" ref="W425" ca="1">SUM(OFFSET($KE$43,0,($M425*3)+$N425,53,1)*W$43:W$95)</f>
        <v>0</v>
      </c>
      <c r="X425" s="6">
        <f t="array" aca="1" ref="X425" ca="1">SUM(OFFSET($KE$43,0,($M425*3)+$N425,53,1)*X$43:X$95)</f>
        <v>0</v>
      </c>
      <c r="Y425" s="6">
        <f t="array" aca="1" ref="Y425" ca="1">SUM(OFFSET($KE$43,0,($M425*3)+$N425,53,1)*Y$43:Y$95)</f>
        <v>0</v>
      </c>
      <c r="Z425" s="6">
        <f t="array" aca="1" ref="Z425" ca="1">SUM(OFFSET($KE$43,0,($M425*3)+$N425,53,1)*Z$43:Z$95)</f>
        <v>0</v>
      </c>
      <c r="AA425" s="6">
        <f t="shared" ca="1" si="153"/>
        <v>0</v>
      </c>
      <c r="AB425" s="6" t="str">
        <f t="shared" si="152"/>
        <v/>
      </c>
    </row>
    <row r="426" spans="12:28" x14ac:dyDescent="0.25">
      <c r="L426" t="str">
        <f t="shared" ca="1" si="151"/>
        <v/>
      </c>
      <c r="M426">
        <v>14</v>
      </c>
      <c r="N426">
        <v>3</v>
      </c>
      <c r="O426" s="6">
        <f t="array" aca="1" ref="O426" ca="1">SUM(OFFSET($KE$43,0,($M426*3)+$N426,53,1)*O$43:O$95)</f>
        <v>0</v>
      </c>
      <c r="P426" s="6">
        <f t="array" aca="1" ref="P426" ca="1">SUM(OFFSET($KE$43,0,($M426*3)+$N426,53,1)*P$43:P$95)</f>
        <v>0</v>
      </c>
      <c r="Q426" s="6">
        <f t="array" aca="1" ref="Q426" ca="1">SUM(OFFSET($KE$43,0,($M426*3)+$N426,53,1)*Q$43:Q$95)</f>
        <v>0</v>
      </c>
      <c r="R426" s="6">
        <f t="array" aca="1" ref="R426" ca="1">SUM(OFFSET($KE$43,0,($M426*3)+$N426,53,1)*R$43:R$95)</f>
        <v>0</v>
      </c>
      <c r="S426" s="6">
        <f t="array" aca="1" ref="S426" ca="1">SUM(OFFSET($KE$43,0,($M426*3)+$N426,53,1)*S$43:S$95)</f>
        <v>0</v>
      </c>
      <c r="T426" s="6">
        <f t="array" aca="1" ref="T426" ca="1">SUM(OFFSET($KE$43,0,($M426*3)+$N426,53,1)*T$43:T$95)</f>
        <v>0</v>
      </c>
      <c r="U426" s="6">
        <f t="array" aca="1" ref="U426" ca="1">SUM(OFFSET($KE$43,0,($M426*3)+$N426,53,1)*U$43:U$95)</f>
        <v>0</v>
      </c>
      <c r="V426" s="6">
        <f t="array" aca="1" ref="V426" ca="1">SUM(OFFSET($KE$43,0,($M426*3)+$N426,53,1)*V$43:V$95)</f>
        <v>0</v>
      </c>
      <c r="W426" s="6">
        <f t="array" aca="1" ref="W426" ca="1">SUM(OFFSET($KE$43,0,($M426*3)+$N426,53,1)*W$43:W$95)</f>
        <v>0</v>
      </c>
      <c r="X426" s="6">
        <f t="array" aca="1" ref="X426" ca="1">SUM(OFFSET($KE$43,0,($M426*3)+$N426,53,1)*X$43:X$95)</f>
        <v>0</v>
      </c>
      <c r="Y426" s="6">
        <f t="array" aca="1" ref="Y426" ca="1">SUM(OFFSET($KE$43,0,($M426*3)+$N426,53,1)*Y$43:Y$95)</f>
        <v>0</v>
      </c>
      <c r="Z426" s="6">
        <f t="array" aca="1" ref="Z426" ca="1">SUM(OFFSET($KE$43,0,($M426*3)+$N426,53,1)*Z$43:Z$95)</f>
        <v>0</v>
      </c>
      <c r="AA426" s="6">
        <f t="shared" ca="1" si="153"/>
        <v>0</v>
      </c>
      <c r="AB426" s="6" t="str">
        <f t="shared" si="152"/>
        <v/>
      </c>
    </row>
    <row r="427" spans="12:28" x14ac:dyDescent="0.25">
      <c r="L427" t="str">
        <f t="shared" ca="1" si="151"/>
        <v/>
      </c>
      <c r="M427">
        <v>15</v>
      </c>
      <c r="N427">
        <v>1</v>
      </c>
      <c r="O427" s="6">
        <f t="array" aca="1" ref="O427" ca="1">SUM(OFFSET($KE$43,0,($M427*3)+$N427,53,1)*O$43:O$95)</f>
        <v>0</v>
      </c>
      <c r="P427" s="6">
        <f t="array" aca="1" ref="P427" ca="1">SUM(OFFSET($KE$43,0,($M427*3)+$N427,53,1)*P$43:P$95)</f>
        <v>0</v>
      </c>
      <c r="Q427" s="6">
        <f t="array" aca="1" ref="Q427" ca="1">SUM(OFFSET($KE$43,0,($M427*3)+$N427,53,1)*Q$43:Q$95)</f>
        <v>0</v>
      </c>
      <c r="R427" s="6">
        <f t="array" aca="1" ref="R427" ca="1">SUM(OFFSET($KE$43,0,($M427*3)+$N427,53,1)*R$43:R$95)</f>
        <v>0</v>
      </c>
      <c r="S427" s="6">
        <f t="array" aca="1" ref="S427" ca="1">SUM(OFFSET($KE$43,0,($M427*3)+$N427,53,1)*S$43:S$95)</f>
        <v>0</v>
      </c>
      <c r="T427" s="6">
        <f t="array" aca="1" ref="T427" ca="1">SUM(OFFSET($KE$43,0,($M427*3)+$N427,53,1)*T$43:T$95)</f>
        <v>0</v>
      </c>
      <c r="U427" s="6">
        <f t="array" aca="1" ref="U427" ca="1">SUM(OFFSET($KE$43,0,($M427*3)+$N427,53,1)*U$43:U$95)</f>
        <v>0</v>
      </c>
      <c r="V427" s="6">
        <f t="array" aca="1" ref="V427" ca="1">SUM(OFFSET($KE$43,0,($M427*3)+$N427,53,1)*V$43:V$95)</f>
        <v>0</v>
      </c>
      <c r="W427" s="6">
        <f t="array" aca="1" ref="W427" ca="1">SUM(OFFSET($KE$43,0,($M427*3)+$N427,53,1)*W$43:W$95)</f>
        <v>0</v>
      </c>
      <c r="X427" s="6">
        <f t="array" aca="1" ref="X427" ca="1">SUM(OFFSET($KE$43,0,($M427*3)+$N427,53,1)*X$43:X$95)</f>
        <v>0</v>
      </c>
      <c r="Y427" s="6">
        <f t="array" aca="1" ref="Y427" ca="1">SUM(OFFSET($KE$43,0,($M427*3)+$N427,53,1)*Y$43:Y$95)</f>
        <v>0</v>
      </c>
      <c r="Z427" s="6">
        <f t="array" aca="1" ref="Z427" ca="1">SUM(OFFSET($KE$43,0,($M427*3)+$N427,53,1)*Z$43:Z$95)</f>
        <v>0</v>
      </c>
      <c r="AA427" s="6">
        <f t="shared" ca="1" si="153"/>
        <v>0</v>
      </c>
      <c r="AB427" s="6" t="str">
        <f t="shared" si="152"/>
        <v/>
      </c>
    </row>
    <row r="428" spans="12:28" x14ac:dyDescent="0.25">
      <c r="L428" t="str">
        <f t="shared" ca="1" si="151"/>
        <v/>
      </c>
      <c r="M428">
        <v>15</v>
      </c>
      <c r="N428">
        <v>2</v>
      </c>
      <c r="O428" s="6">
        <f t="array" aca="1" ref="O428" ca="1">SUM(OFFSET($KE$43,0,($M428*3)+$N428,53,1)*O$43:O$95)</f>
        <v>0</v>
      </c>
      <c r="P428" s="6">
        <f t="array" aca="1" ref="P428" ca="1">SUM(OFFSET($KE$43,0,($M428*3)+$N428,53,1)*P$43:P$95)</f>
        <v>0</v>
      </c>
      <c r="Q428" s="6">
        <f t="array" aca="1" ref="Q428" ca="1">SUM(OFFSET($KE$43,0,($M428*3)+$N428,53,1)*Q$43:Q$95)</f>
        <v>0</v>
      </c>
      <c r="R428" s="6">
        <f t="array" aca="1" ref="R428" ca="1">SUM(OFFSET($KE$43,0,($M428*3)+$N428,53,1)*R$43:R$95)</f>
        <v>0</v>
      </c>
      <c r="S428" s="6">
        <f t="array" aca="1" ref="S428" ca="1">SUM(OFFSET($KE$43,0,($M428*3)+$N428,53,1)*S$43:S$95)</f>
        <v>0</v>
      </c>
      <c r="T428" s="6">
        <f t="array" aca="1" ref="T428" ca="1">SUM(OFFSET($KE$43,0,($M428*3)+$N428,53,1)*T$43:T$95)</f>
        <v>0</v>
      </c>
      <c r="U428" s="6">
        <f t="array" aca="1" ref="U428" ca="1">SUM(OFFSET($KE$43,0,($M428*3)+$N428,53,1)*U$43:U$95)</f>
        <v>0</v>
      </c>
      <c r="V428" s="6">
        <f t="array" aca="1" ref="V428" ca="1">SUM(OFFSET($KE$43,0,($M428*3)+$N428,53,1)*V$43:V$95)</f>
        <v>0</v>
      </c>
      <c r="W428" s="6">
        <f t="array" aca="1" ref="W428" ca="1">SUM(OFFSET($KE$43,0,($M428*3)+$N428,53,1)*W$43:W$95)</f>
        <v>0</v>
      </c>
      <c r="X428" s="6">
        <f t="array" aca="1" ref="X428" ca="1">SUM(OFFSET($KE$43,0,($M428*3)+$N428,53,1)*X$43:X$95)</f>
        <v>0</v>
      </c>
      <c r="Y428" s="6">
        <f t="array" aca="1" ref="Y428" ca="1">SUM(OFFSET($KE$43,0,($M428*3)+$N428,53,1)*Y$43:Y$95)</f>
        <v>0</v>
      </c>
      <c r="Z428" s="6">
        <f t="array" aca="1" ref="Z428" ca="1">SUM(OFFSET($KE$43,0,($M428*3)+$N428,53,1)*Z$43:Z$95)</f>
        <v>0</v>
      </c>
      <c r="AA428" s="6">
        <f t="shared" ca="1" si="153"/>
        <v>0</v>
      </c>
      <c r="AB428" s="6" t="str">
        <f t="shared" si="152"/>
        <v/>
      </c>
    </row>
    <row r="429" spans="12:28" x14ac:dyDescent="0.25">
      <c r="L429" t="str">
        <f t="shared" ca="1" si="151"/>
        <v/>
      </c>
      <c r="M429">
        <v>15</v>
      </c>
      <c r="N429">
        <v>3</v>
      </c>
      <c r="O429" s="6">
        <f t="array" aca="1" ref="O429" ca="1">SUM(OFFSET($KE$43,0,($M429*3)+$N429,53,1)*O$43:O$95)</f>
        <v>0</v>
      </c>
      <c r="P429" s="6">
        <f t="array" aca="1" ref="P429" ca="1">SUM(OFFSET($KE$43,0,($M429*3)+$N429,53,1)*P$43:P$95)</f>
        <v>0</v>
      </c>
      <c r="Q429" s="6">
        <f t="array" aca="1" ref="Q429" ca="1">SUM(OFFSET($KE$43,0,($M429*3)+$N429,53,1)*Q$43:Q$95)</f>
        <v>0</v>
      </c>
      <c r="R429" s="6">
        <f t="array" aca="1" ref="R429" ca="1">SUM(OFFSET($KE$43,0,($M429*3)+$N429,53,1)*R$43:R$95)</f>
        <v>0</v>
      </c>
      <c r="S429" s="6">
        <f t="array" aca="1" ref="S429" ca="1">SUM(OFFSET($KE$43,0,($M429*3)+$N429,53,1)*S$43:S$95)</f>
        <v>0</v>
      </c>
      <c r="T429" s="6">
        <f t="array" aca="1" ref="T429" ca="1">SUM(OFFSET($KE$43,0,($M429*3)+$N429,53,1)*T$43:T$95)</f>
        <v>0</v>
      </c>
      <c r="U429" s="6">
        <f t="array" aca="1" ref="U429" ca="1">SUM(OFFSET($KE$43,0,($M429*3)+$N429,53,1)*U$43:U$95)</f>
        <v>0</v>
      </c>
      <c r="V429" s="6">
        <f t="array" aca="1" ref="V429" ca="1">SUM(OFFSET($KE$43,0,($M429*3)+$N429,53,1)*V$43:V$95)</f>
        <v>0</v>
      </c>
      <c r="W429" s="6">
        <f t="array" aca="1" ref="W429" ca="1">SUM(OFFSET($KE$43,0,($M429*3)+$N429,53,1)*W$43:W$95)</f>
        <v>0</v>
      </c>
      <c r="X429" s="6">
        <f t="array" aca="1" ref="X429" ca="1">SUM(OFFSET($KE$43,0,($M429*3)+$N429,53,1)*X$43:X$95)</f>
        <v>0</v>
      </c>
      <c r="Y429" s="6">
        <f t="array" aca="1" ref="Y429" ca="1">SUM(OFFSET($KE$43,0,($M429*3)+$N429,53,1)*Y$43:Y$95)</f>
        <v>0</v>
      </c>
      <c r="Z429" s="6">
        <f t="array" aca="1" ref="Z429" ca="1">SUM(OFFSET($KE$43,0,($M429*3)+$N429,53,1)*Z$43:Z$95)</f>
        <v>0</v>
      </c>
      <c r="AA429" s="6">
        <f t="shared" ca="1" si="153"/>
        <v>0</v>
      </c>
      <c r="AB429" s="6" t="str">
        <f t="shared" si="152"/>
        <v/>
      </c>
    </row>
    <row r="430" spans="12:28" x14ac:dyDescent="0.25">
      <c r="L430" t="str">
        <f t="shared" ca="1" si="151"/>
        <v/>
      </c>
      <c r="M430">
        <v>16</v>
      </c>
      <c r="N430">
        <v>1</v>
      </c>
      <c r="O430" s="6">
        <f t="array" aca="1" ref="O430" ca="1">SUM(OFFSET($KE$43,0,($M430*3)+$N430,53,1)*O$43:O$95)</f>
        <v>0</v>
      </c>
      <c r="P430" s="6">
        <f t="array" aca="1" ref="P430" ca="1">SUM(OFFSET($KE$43,0,($M430*3)+$N430,53,1)*P$43:P$95)</f>
        <v>0</v>
      </c>
      <c r="Q430" s="6">
        <f t="array" aca="1" ref="Q430" ca="1">SUM(OFFSET($KE$43,0,($M430*3)+$N430,53,1)*Q$43:Q$95)</f>
        <v>0</v>
      </c>
      <c r="R430" s="6">
        <f t="array" aca="1" ref="R430" ca="1">SUM(OFFSET($KE$43,0,($M430*3)+$N430,53,1)*R$43:R$95)</f>
        <v>0</v>
      </c>
      <c r="S430" s="6">
        <f t="array" aca="1" ref="S430" ca="1">SUM(OFFSET($KE$43,0,($M430*3)+$N430,53,1)*S$43:S$95)</f>
        <v>0</v>
      </c>
      <c r="T430" s="6">
        <f t="array" aca="1" ref="T430" ca="1">SUM(OFFSET($KE$43,0,($M430*3)+$N430,53,1)*T$43:T$95)</f>
        <v>0</v>
      </c>
      <c r="U430" s="6">
        <f t="array" aca="1" ref="U430" ca="1">SUM(OFFSET($KE$43,0,($M430*3)+$N430,53,1)*U$43:U$95)</f>
        <v>0</v>
      </c>
      <c r="V430" s="6">
        <f t="array" aca="1" ref="V430" ca="1">SUM(OFFSET($KE$43,0,($M430*3)+$N430,53,1)*V$43:V$95)</f>
        <v>0</v>
      </c>
      <c r="W430" s="6">
        <f t="array" aca="1" ref="W430" ca="1">SUM(OFFSET($KE$43,0,($M430*3)+$N430,53,1)*W$43:W$95)</f>
        <v>0</v>
      </c>
      <c r="X430" s="6">
        <f t="array" aca="1" ref="X430" ca="1">SUM(OFFSET($KE$43,0,($M430*3)+$N430,53,1)*X$43:X$95)</f>
        <v>0</v>
      </c>
      <c r="Y430" s="6">
        <f t="array" aca="1" ref="Y430" ca="1">SUM(OFFSET($KE$43,0,($M430*3)+$N430,53,1)*Y$43:Y$95)</f>
        <v>0</v>
      </c>
      <c r="Z430" s="6">
        <f t="array" aca="1" ref="Z430" ca="1">SUM(OFFSET($KE$43,0,($M430*3)+$N430,53,1)*Z$43:Z$95)</f>
        <v>0</v>
      </c>
      <c r="AA430" s="6">
        <f t="shared" ca="1" si="153"/>
        <v>0</v>
      </c>
      <c r="AB430" s="6" t="str">
        <f t="shared" si="152"/>
        <v/>
      </c>
    </row>
    <row r="431" spans="12:28" x14ac:dyDescent="0.25">
      <c r="L431" t="str">
        <f t="shared" ca="1" si="151"/>
        <v/>
      </c>
      <c r="M431">
        <v>16</v>
      </c>
      <c r="N431">
        <v>2</v>
      </c>
      <c r="O431" s="6">
        <f t="array" aca="1" ref="O431" ca="1">SUM(OFFSET($KE$43,0,($M431*3)+$N431,53,1)*O$43:O$95)</f>
        <v>0</v>
      </c>
      <c r="P431" s="6">
        <f t="array" aca="1" ref="P431" ca="1">SUM(OFFSET($KE$43,0,($M431*3)+$N431,53,1)*P$43:P$95)</f>
        <v>0</v>
      </c>
      <c r="Q431" s="6">
        <f t="array" aca="1" ref="Q431" ca="1">SUM(OFFSET($KE$43,0,($M431*3)+$N431,53,1)*Q$43:Q$95)</f>
        <v>0</v>
      </c>
      <c r="R431" s="6">
        <f t="array" aca="1" ref="R431" ca="1">SUM(OFFSET($KE$43,0,($M431*3)+$N431,53,1)*R$43:R$95)</f>
        <v>0</v>
      </c>
      <c r="S431" s="6">
        <f t="array" aca="1" ref="S431" ca="1">SUM(OFFSET($KE$43,0,($M431*3)+$N431,53,1)*S$43:S$95)</f>
        <v>0</v>
      </c>
      <c r="T431" s="6">
        <f t="array" aca="1" ref="T431" ca="1">SUM(OFFSET($KE$43,0,($M431*3)+$N431,53,1)*T$43:T$95)</f>
        <v>0</v>
      </c>
      <c r="U431" s="6">
        <f t="array" aca="1" ref="U431" ca="1">SUM(OFFSET($KE$43,0,($M431*3)+$N431,53,1)*U$43:U$95)</f>
        <v>0</v>
      </c>
      <c r="V431" s="6">
        <f t="array" aca="1" ref="V431" ca="1">SUM(OFFSET($KE$43,0,($M431*3)+$N431,53,1)*V$43:V$95)</f>
        <v>0</v>
      </c>
      <c r="W431" s="6">
        <f t="array" aca="1" ref="W431" ca="1">SUM(OFFSET($KE$43,0,($M431*3)+$N431,53,1)*W$43:W$95)</f>
        <v>0</v>
      </c>
      <c r="X431" s="6">
        <f t="array" aca="1" ref="X431" ca="1">SUM(OFFSET($KE$43,0,($M431*3)+$N431,53,1)*X$43:X$95)</f>
        <v>0</v>
      </c>
      <c r="Y431" s="6">
        <f t="array" aca="1" ref="Y431" ca="1">SUM(OFFSET($KE$43,0,($M431*3)+$N431,53,1)*Y$43:Y$95)</f>
        <v>0</v>
      </c>
      <c r="Z431" s="6">
        <f t="array" aca="1" ref="Z431" ca="1">SUM(OFFSET($KE$43,0,($M431*3)+$N431,53,1)*Z$43:Z$95)</f>
        <v>0</v>
      </c>
      <c r="AA431" s="6">
        <f t="shared" ca="1" si="153"/>
        <v>0</v>
      </c>
      <c r="AB431" s="6" t="str">
        <f t="shared" si="152"/>
        <v/>
      </c>
    </row>
    <row r="432" spans="12:28" x14ac:dyDescent="0.25">
      <c r="L432" t="str">
        <f t="shared" ca="1" si="151"/>
        <v/>
      </c>
      <c r="M432">
        <v>16</v>
      </c>
      <c r="N432">
        <v>3</v>
      </c>
      <c r="O432" s="6">
        <f t="array" aca="1" ref="O432" ca="1">SUM(OFFSET($KE$43,0,($M432*3)+$N432,53,1)*O$43:O$95)</f>
        <v>0</v>
      </c>
      <c r="P432" s="6">
        <f t="array" aca="1" ref="P432" ca="1">SUM(OFFSET($KE$43,0,($M432*3)+$N432,53,1)*P$43:P$95)</f>
        <v>0</v>
      </c>
      <c r="Q432" s="6">
        <f t="array" aca="1" ref="Q432" ca="1">SUM(OFFSET($KE$43,0,($M432*3)+$N432,53,1)*Q$43:Q$95)</f>
        <v>0</v>
      </c>
      <c r="R432" s="6">
        <f t="array" aca="1" ref="R432" ca="1">SUM(OFFSET($KE$43,0,($M432*3)+$N432,53,1)*R$43:R$95)</f>
        <v>0</v>
      </c>
      <c r="S432" s="6">
        <f t="array" aca="1" ref="S432" ca="1">SUM(OFFSET($KE$43,0,($M432*3)+$N432,53,1)*S$43:S$95)</f>
        <v>0</v>
      </c>
      <c r="T432" s="6">
        <f t="array" aca="1" ref="T432" ca="1">SUM(OFFSET($KE$43,0,($M432*3)+$N432,53,1)*T$43:T$95)</f>
        <v>0</v>
      </c>
      <c r="U432" s="6">
        <f t="array" aca="1" ref="U432" ca="1">SUM(OFFSET($KE$43,0,($M432*3)+$N432,53,1)*U$43:U$95)</f>
        <v>0</v>
      </c>
      <c r="V432" s="6">
        <f t="array" aca="1" ref="V432" ca="1">SUM(OFFSET($KE$43,0,($M432*3)+$N432,53,1)*V$43:V$95)</f>
        <v>0</v>
      </c>
      <c r="W432" s="6">
        <f t="array" aca="1" ref="W432" ca="1">SUM(OFFSET($KE$43,0,($M432*3)+$N432,53,1)*W$43:W$95)</f>
        <v>0</v>
      </c>
      <c r="X432" s="6">
        <f t="array" aca="1" ref="X432" ca="1">SUM(OFFSET($KE$43,0,($M432*3)+$N432,53,1)*X$43:X$95)</f>
        <v>0</v>
      </c>
      <c r="Y432" s="6">
        <f t="array" aca="1" ref="Y432" ca="1">SUM(OFFSET($KE$43,0,($M432*3)+$N432,53,1)*Y$43:Y$95)</f>
        <v>0</v>
      </c>
      <c r="Z432" s="6">
        <f t="array" aca="1" ref="Z432" ca="1">SUM(OFFSET($KE$43,0,($M432*3)+$N432,53,1)*Z$43:Z$95)</f>
        <v>0</v>
      </c>
      <c r="AA432" s="6">
        <f t="shared" ca="1" si="153"/>
        <v>0</v>
      </c>
      <c r="AB432" s="6" t="str">
        <f t="shared" si="152"/>
        <v/>
      </c>
    </row>
    <row r="433" spans="12:28" x14ac:dyDescent="0.25">
      <c r="L433" t="str">
        <f t="shared" ca="1" si="151"/>
        <v/>
      </c>
      <c r="M433">
        <v>17</v>
      </c>
      <c r="N433">
        <v>1</v>
      </c>
      <c r="O433" s="6">
        <f t="array" aca="1" ref="O433" ca="1">SUM(OFFSET($KE$43,0,($M433*3)+$N433,53,1)*O$43:O$95)</f>
        <v>0</v>
      </c>
      <c r="P433" s="6">
        <f t="array" aca="1" ref="P433" ca="1">SUM(OFFSET($KE$43,0,($M433*3)+$N433,53,1)*P$43:P$95)</f>
        <v>0</v>
      </c>
      <c r="Q433" s="6">
        <f t="array" aca="1" ref="Q433" ca="1">SUM(OFFSET($KE$43,0,($M433*3)+$N433,53,1)*Q$43:Q$95)</f>
        <v>0</v>
      </c>
      <c r="R433" s="6">
        <f t="array" aca="1" ref="R433" ca="1">SUM(OFFSET($KE$43,0,($M433*3)+$N433,53,1)*R$43:R$95)</f>
        <v>0</v>
      </c>
      <c r="S433" s="6">
        <f t="array" aca="1" ref="S433" ca="1">SUM(OFFSET($KE$43,0,($M433*3)+$N433,53,1)*S$43:S$95)</f>
        <v>0</v>
      </c>
      <c r="T433" s="6">
        <f t="array" aca="1" ref="T433" ca="1">SUM(OFFSET($KE$43,0,($M433*3)+$N433,53,1)*T$43:T$95)</f>
        <v>0</v>
      </c>
      <c r="U433" s="6">
        <f t="array" aca="1" ref="U433" ca="1">SUM(OFFSET($KE$43,0,($M433*3)+$N433,53,1)*U$43:U$95)</f>
        <v>0</v>
      </c>
      <c r="V433" s="6">
        <f t="array" aca="1" ref="V433" ca="1">SUM(OFFSET($KE$43,0,($M433*3)+$N433,53,1)*V$43:V$95)</f>
        <v>0</v>
      </c>
      <c r="W433" s="6">
        <f t="array" aca="1" ref="W433" ca="1">SUM(OFFSET($KE$43,0,($M433*3)+$N433,53,1)*W$43:W$95)</f>
        <v>0</v>
      </c>
      <c r="X433" s="6">
        <f t="array" aca="1" ref="X433" ca="1">SUM(OFFSET($KE$43,0,($M433*3)+$N433,53,1)*X$43:X$95)</f>
        <v>0</v>
      </c>
      <c r="Y433" s="6">
        <f t="array" aca="1" ref="Y433" ca="1">SUM(OFFSET($KE$43,0,($M433*3)+$N433,53,1)*Y$43:Y$95)</f>
        <v>0</v>
      </c>
      <c r="Z433" s="6">
        <f t="array" aca="1" ref="Z433" ca="1">SUM(OFFSET($KE$43,0,($M433*3)+$N433,53,1)*Z$43:Z$95)</f>
        <v>0</v>
      </c>
      <c r="AA433" s="6">
        <f t="shared" ca="1" si="153"/>
        <v>0</v>
      </c>
      <c r="AB433" s="6" t="str">
        <f t="shared" si="152"/>
        <v/>
      </c>
    </row>
    <row r="434" spans="12:28" x14ac:dyDescent="0.25">
      <c r="L434" t="str">
        <f t="shared" ca="1" si="151"/>
        <v/>
      </c>
      <c r="M434">
        <v>17</v>
      </c>
      <c r="N434">
        <v>2</v>
      </c>
      <c r="O434" s="6">
        <f t="array" aca="1" ref="O434" ca="1">SUM(OFFSET($KE$43,0,($M434*3)+$N434,53,1)*O$43:O$95)</f>
        <v>0</v>
      </c>
      <c r="P434" s="6">
        <f t="array" aca="1" ref="P434" ca="1">SUM(OFFSET($KE$43,0,($M434*3)+$N434,53,1)*P$43:P$95)</f>
        <v>0</v>
      </c>
      <c r="Q434" s="6">
        <f t="array" aca="1" ref="Q434" ca="1">SUM(OFFSET($KE$43,0,($M434*3)+$N434,53,1)*Q$43:Q$95)</f>
        <v>0</v>
      </c>
      <c r="R434" s="6">
        <f t="array" aca="1" ref="R434" ca="1">SUM(OFFSET($KE$43,0,($M434*3)+$N434,53,1)*R$43:R$95)</f>
        <v>0</v>
      </c>
      <c r="S434" s="6">
        <f t="array" aca="1" ref="S434" ca="1">SUM(OFFSET($KE$43,0,($M434*3)+$N434,53,1)*S$43:S$95)</f>
        <v>0</v>
      </c>
      <c r="T434" s="6">
        <f t="array" aca="1" ref="T434" ca="1">SUM(OFFSET($KE$43,0,($M434*3)+$N434,53,1)*T$43:T$95)</f>
        <v>0</v>
      </c>
      <c r="U434" s="6">
        <f t="array" aca="1" ref="U434" ca="1">SUM(OFFSET($KE$43,0,($M434*3)+$N434,53,1)*U$43:U$95)</f>
        <v>0</v>
      </c>
      <c r="V434" s="6">
        <f t="array" aca="1" ref="V434" ca="1">SUM(OFFSET($KE$43,0,($M434*3)+$N434,53,1)*V$43:V$95)</f>
        <v>0</v>
      </c>
      <c r="W434" s="6">
        <f t="array" aca="1" ref="W434" ca="1">SUM(OFFSET($KE$43,0,($M434*3)+$N434,53,1)*W$43:W$95)</f>
        <v>0</v>
      </c>
      <c r="X434" s="6">
        <f t="array" aca="1" ref="X434" ca="1">SUM(OFFSET($KE$43,0,($M434*3)+$N434,53,1)*X$43:X$95)</f>
        <v>0</v>
      </c>
      <c r="Y434" s="6">
        <f t="array" aca="1" ref="Y434" ca="1">SUM(OFFSET($KE$43,0,($M434*3)+$N434,53,1)*Y$43:Y$95)</f>
        <v>0</v>
      </c>
      <c r="Z434" s="6">
        <f t="array" aca="1" ref="Z434" ca="1">SUM(OFFSET($KE$43,0,($M434*3)+$N434,53,1)*Z$43:Z$95)</f>
        <v>0</v>
      </c>
      <c r="AA434" s="6">
        <f t="shared" ca="1" si="153"/>
        <v>0</v>
      </c>
      <c r="AB434" s="6" t="str">
        <f t="shared" si="152"/>
        <v/>
      </c>
    </row>
    <row r="435" spans="12:28" x14ac:dyDescent="0.25">
      <c r="L435" t="str">
        <f t="shared" ca="1" si="151"/>
        <v/>
      </c>
      <c r="M435">
        <v>17</v>
      </c>
      <c r="N435">
        <v>3</v>
      </c>
      <c r="O435" s="6">
        <f t="array" aca="1" ref="O435" ca="1">SUM(OFFSET($KE$43,0,($M435*3)+$N435,53,1)*O$43:O$95)</f>
        <v>0</v>
      </c>
      <c r="P435" s="6">
        <f t="array" aca="1" ref="P435" ca="1">SUM(OFFSET($KE$43,0,($M435*3)+$N435,53,1)*P$43:P$95)</f>
        <v>0</v>
      </c>
      <c r="Q435" s="6">
        <f t="array" aca="1" ref="Q435" ca="1">SUM(OFFSET($KE$43,0,($M435*3)+$N435,53,1)*Q$43:Q$95)</f>
        <v>0</v>
      </c>
      <c r="R435" s="6">
        <f t="array" aca="1" ref="R435" ca="1">SUM(OFFSET($KE$43,0,($M435*3)+$N435,53,1)*R$43:R$95)</f>
        <v>0</v>
      </c>
      <c r="S435" s="6">
        <f t="array" aca="1" ref="S435" ca="1">SUM(OFFSET($KE$43,0,($M435*3)+$N435,53,1)*S$43:S$95)</f>
        <v>0</v>
      </c>
      <c r="T435" s="6">
        <f t="array" aca="1" ref="T435" ca="1">SUM(OFFSET($KE$43,0,($M435*3)+$N435,53,1)*T$43:T$95)</f>
        <v>0</v>
      </c>
      <c r="U435" s="6">
        <f t="array" aca="1" ref="U435" ca="1">SUM(OFFSET($KE$43,0,($M435*3)+$N435,53,1)*U$43:U$95)</f>
        <v>0</v>
      </c>
      <c r="V435" s="6">
        <f t="array" aca="1" ref="V435" ca="1">SUM(OFFSET($KE$43,0,($M435*3)+$N435,53,1)*V$43:V$95)</f>
        <v>0</v>
      </c>
      <c r="W435" s="6">
        <f t="array" aca="1" ref="W435" ca="1">SUM(OFFSET($KE$43,0,($M435*3)+$N435,53,1)*W$43:W$95)</f>
        <v>0</v>
      </c>
      <c r="X435" s="6">
        <f t="array" aca="1" ref="X435" ca="1">SUM(OFFSET($KE$43,0,($M435*3)+$N435,53,1)*X$43:X$95)</f>
        <v>0</v>
      </c>
      <c r="Y435" s="6">
        <f t="array" aca="1" ref="Y435" ca="1">SUM(OFFSET($KE$43,0,($M435*3)+$N435,53,1)*Y$43:Y$95)</f>
        <v>0</v>
      </c>
      <c r="Z435" s="6">
        <f t="array" aca="1" ref="Z435" ca="1">SUM(OFFSET($KE$43,0,($M435*3)+$N435,53,1)*Z$43:Z$95)</f>
        <v>0</v>
      </c>
      <c r="AA435" s="6">
        <f t="shared" ca="1" si="153"/>
        <v>0</v>
      </c>
      <c r="AB435" s="6" t="str">
        <f t="shared" si="152"/>
        <v/>
      </c>
    </row>
    <row r="436" spans="12:28" x14ac:dyDescent="0.25">
      <c r="L436" t="str">
        <f t="shared" ca="1" si="151"/>
        <v/>
      </c>
      <c r="M436">
        <v>18</v>
      </c>
      <c r="N436">
        <v>1</v>
      </c>
      <c r="O436" s="6">
        <f t="array" aca="1" ref="O436" ca="1">SUM(OFFSET($KE$43,0,($M436*3)+$N436,53,1)*O$43:O$95)</f>
        <v>0</v>
      </c>
      <c r="P436" s="6">
        <f t="array" aca="1" ref="P436" ca="1">SUM(OFFSET($KE$43,0,($M436*3)+$N436,53,1)*P$43:P$95)</f>
        <v>0</v>
      </c>
      <c r="Q436" s="6">
        <f t="array" aca="1" ref="Q436" ca="1">SUM(OFFSET($KE$43,0,($M436*3)+$N436,53,1)*Q$43:Q$95)</f>
        <v>0</v>
      </c>
      <c r="R436" s="6">
        <f t="array" aca="1" ref="R436" ca="1">SUM(OFFSET($KE$43,0,($M436*3)+$N436,53,1)*R$43:R$95)</f>
        <v>0</v>
      </c>
      <c r="S436" s="6">
        <f t="array" aca="1" ref="S436" ca="1">SUM(OFFSET($KE$43,0,($M436*3)+$N436,53,1)*S$43:S$95)</f>
        <v>0</v>
      </c>
      <c r="T436" s="6">
        <f t="array" aca="1" ref="T436" ca="1">SUM(OFFSET($KE$43,0,($M436*3)+$N436,53,1)*T$43:T$95)</f>
        <v>0</v>
      </c>
      <c r="U436" s="6">
        <f t="array" aca="1" ref="U436" ca="1">SUM(OFFSET($KE$43,0,($M436*3)+$N436,53,1)*U$43:U$95)</f>
        <v>0</v>
      </c>
      <c r="V436" s="6">
        <f t="array" aca="1" ref="V436" ca="1">SUM(OFFSET($KE$43,0,($M436*3)+$N436,53,1)*V$43:V$95)</f>
        <v>0</v>
      </c>
      <c r="W436" s="6">
        <f t="array" aca="1" ref="W436" ca="1">SUM(OFFSET($KE$43,0,($M436*3)+$N436,53,1)*W$43:W$95)</f>
        <v>0</v>
      </c>
      <c r="X436" s="6">
        <f t="array" aca="1" ref="X436" ca="1">SUM(OFFSET($KE$43,0,($M436*3)+$N436,53,1)*X$43:X$95)</f>
        <v>0</v>
      </c>
      <c r="Y436" s="6">
        <f t="array" aca="1" ref="Y436" ca="1">SUM(OFFSET($KE$43,0,($M436*3)+$N436,53,1)*Y$43:Y$95)</f>
        <v>0</v>
      </c>
      <c r="Z436" s="6">
        <f t="array" aca="1" ref="Z436" ca="1">SUM(OFFSET($KE$43,0,($M436*3)+$N436,53,1)*Z$43:Z$95)</f>
        <v>0</v>
      </c>
      <c r="AA436" s="6">
        <f t="shared" ca="1" si="153"/>
        <v>0</v>
      </c>
      <c r="AB436" s="6" t="str">
        <f t="shared" si="152"/>
        <v/>
      </c>
    </row>
    <row r="437" spans="12:28" x14ac:dyDescent="0.25">
      <c r="L437" t="str">
        <f t="shared" ca="1" si="151"/>
        <v/>
      </c>
      <c r="M437">
        <v>18</v>
      </c>
      <c r="N437">
        <v>2</v>
      </c>
      <c r="O437" s="6">
        <f t="array" aca="1" ref="O437" ca="1">SUM(OFFSET($KE$43,0,($M437*3)+$N437,53,1)*O$43:O$95)</f>
        <v>0</v>
      </c>
      <c r="P437" s="6">
        <f t="array" aca="1" ref="P437" ca="1">SUM(OFFSET($KE$43,0,($M437*3)+$N437,53,1)*P$43:P$95)</f>
        <v>0</v>
      </c>
      <c r="Q437" s="6">
        <f t="array" aca="1" ref="Q437" ca="1">SUM(OFFSET($KE$43,0,($M437*3)+$N437,53,1)*Q$43:Q$95)</f>
        <v>0</v>
      </c>
      <c r="R437" s="6">
        <f t="array" aca="1" ref="R437" ca="1">SUM(OFFSET($KE$43,0,($M437*3)+$N437,53,1)*R$43:R$95)</f>
        <v>0</v>
      </c>
      <c r="S437" s="6">
        <f t="array" aca="1" ref="S437" ca="1">SUM(OFFSET($KE$43,0,($M437*3)+$N437,53,1)*S$43:S$95)</f>
        <v>0</v>
      </c>
      <c r="T437" s="6">
        <f t="array" aca="1" ref="T437" ca="1">SUM(OFFSET($KE$43,0,($M437*3)+$N437,53,1)*T$43:T$95)</f>
        <v>0</v>
      </c>
      <c r="U437" s="6">
        <f t="array" aca="1" ref="U437" ca="1">SUM(OFFSET($KE$43,0,($M437*3)+$N437,53,1)*U$43:U$95)</f>
        <v>0</v>
      </c>
      <c r="V437" s="6">
        <f t="array" aca="1" ref="V437" ca="1">SUM(OFFSET($KE$43,0,($M437*3)+$N437,53,1)*V$43:V$95)</f>
        <v>0</v>
      </c>
      <c r="W437" s="6">
        <f t="array" aca="1" ref="W437" ca="1">SUM(OFFSET($KE$43,0,($M437*3)+$N437,53,1)*W$43:W$95)</f>
        <v>0</v>
      </c>
      <c r="X437" s="6">
        <f t="array" aca="1" ref="X437" ca="1">SUM(OFFSET($KE$43,0,($M437*3)+$N437,53,1)*X$43:X$95)</f>
        <v>0</v>
      </c>
      <c r="Y437" s="6">
        <f t="array" aca="1" ref="Y437" ca="1">SUM(OFFSET($KE$43,0,($M437*3)+$N437,53,1)*Y$43:Y$95)</f>
        <v>0</v>
      </c>
      <c r="Z437" s="6">
        <f t="array" aca="1" ref="Z437" ca="1">SUM(OFFSET($KE$43,0,($M437*3)+$N437,53,1)*Z$43:Z$95)</f>
        <v>0</v>
      </c>
      <c r="AA437" s="6">
        <f t="shared" ca="1" si="153"/>
        <v>0</v>
      </c>
      <c r="AB437" s="6" t="str">
        <f t="shared" si="152"/>
        <v/>
      </c>
    </row>
    <row r="438" spans="12:28" x14ac:dyDescent="0.25">
      <c r="L438" t="str">
        <f t="shared" ca="1" si="151"/>
        <v/>
      </c>
      <c r="M438">
        <v>18</v>
      </c>
      <c r="N438">
        <v>3</v>
      </c>
      <c r="O438" s="6">
        <f t="array" aca="1" ref="O438" ca="1">SUM(OFFSET($KE$43,0,($M438*3)+$N438,53,1)*O$43:O$95)</f>
        <v>0</v>
      </c>
      <c r="P438" s="6">
        <f t="array" aca="1" ref="P438" ca="1">SUM(OFFSET($KE$43,0,($M438*3)+$N438,53,1)*P$43:P$95)</f>
        <v>0</v>
      </c>
      <c r="Q438" s="6">
        <f t="array" aca="1" ref="Q438" ca="1">SUM(OFFSET($KE$43,0,($M438*3)+$N438,53,1)*Q$43:Q$95)</f>
        <v>0</v>
      </c>
      <c r="R438" s="6">
        <f t="array" aca="1" ref="R438" ca="1">SUM(OFFSET($KE$43,0,($M438*3)+$N438,53,1)*R$43:R$95)</f>
        <v>0</v>
      </c>
      <c r="S438" s="6">
        <f t="array" aca="1" ref="S438" ca="1">SUM(OFFSET($KE$43,0,($M438*3)+$N438,53,1)*S$43:S$95)</f>
        <v>0</v>
      </c>
      <c r="T438" s="6">
        <f t="array" aca="1" ref="T438" ca="1">SUM(OFFSET($KE$43,0,($M438*3)+$N438,53,1)*T$43:T$95)</f>
        <v>0</v>
      </c>
      <c r="U438" s="6">
        <f t="array" aca="1" ref="U438" ca="1">SUM(OFFSET($KE$43,0,($M438*3)+$N438,53,1)*U$43:U$95)</f>
        <v>0</v>
      </c>
      <c r="V438" s="6">
        <f t="array" aca="1" ref="V438" ca="1">SUM(OFFSET($KE$43,0,($M438*3)+$N438,53,1)*V$43:V$95)</f>
        <v>0</v>
      </c>
      <c r="W438" s="6">
        <f t="array" aca="1" ref="W438" ca="1">SUM(OFFSET($KE$43,0,($M438*3)+$N438,53,1)*W$43:W$95)</f>
        <v>0</v>
      </c>
      <c r="X438" s="6">
        <f t="array" aca="1" ref="X438" ca="1">SUM(OFFSET($KE$43,0,($M438*3)+$N438,53,1)*X$43:X$95)</f>
        <v>0</v>
      </c>
      <c r="Y438" s="6">
        <f t="array" aca="1" ref="Y438" ca="1">SUM(OFFSET($KE$43,0,($M438*3)+$N438,53,1)*Y$43:Y$95)</f>
        <v>0</v>
      </c>
      <c r="Z438" s="6">
        <f t="array" aca="1" ref="Z438" ca="1">SUM(OFFSET($KE$43,0,($M438*3)+$N438,53,1)*Z$43:Z$95)</f>
        <v>0</v>
      </c>
      <c r="AA438" s="6">
        <f t="shared" ca="1" si="153"/>
        <v>0</v>
      </c>
      <c r="AB438" s="6" t="str">
        <f t="shared" si="152"/>
        <v/>
      </c>
    </row>
    <row r="439" spans="12:28" x14ac:dyDescent="0.25">
      <c r="L439" t="str">
        <f t="shared" ca="1" si="151"/>
        <v/>
      </c>
      <c r="M439">
        <v>19</v>
      </c>
      <c r="N439">
        <v>1</v>
      </c>
      <c r="O439" s="6">
        <f t="array" aca="1" ref="O439" ca="1">SUM(OFFSET($KE$43,0,($M439*3)+$N439,53,1)*O$43:O$95)</f>
        <v>0</v>
      </c>
      <c r="P439" s="6">
        <f t="array" aca="1" ref="P439" ca="1">SUM(OFFSET($KE$43,0,($M439*3)+$N439,53,1)*P$43:P$95)</f>
        <v>0</v>
      </c>
      <c r="Q439" s="6">
        <f t="array" aca="1" ref="Q439" ca="1">SUM(OFFSET($KE$43,0,($M439*3)+$N439,53,1)*Q$43:Q$95)</f>
        <v>0</v>
      </c>
      <c r="R439" s="6">
        <f t="array" aca="1" ref="R439" ca="1">SUM(OFFSET($KE$43,0,($M439*3)+$N439,53,1)*R$43:R$95)</f>
        <v>0</v>
      </c>
      <c r="S439" s="6">
        <f t="array" aca="1" ref="S439" ca="1">SUM(OFFSET($KE$43,0,($M439*3)+$N439,53,1)*S$43:S$95)</f>
        <v>0</v>
      </c>
      <c r="T439" s="6">
        <f t="array" aca="1" ref="T439" ca="1">SUM(OFFSET($KE$43,0,($M439*3)+$N439,53,1)*T$43:T$95)</f>
        <v>0</v>
      </c>
      <c r="U439" s="6">
        <f t="array" aca="1" ref="U439" ca="1">SUM(OFFSET($KE$43,0,($M439*3)+$N439,53,1)*U$43:U$95)</f>
        <v>0</v>
      </c>
      <c r="V439" s="6">
        <f t="array" aca="1" ref="V439" ca="1">SUM(OFFSET($KE$43,0,($M439*3)+$N439,53,1)*V$43:V$95)</f>
        <v>0</v>
      </c>
      <c r="W439" s="6">
        <f t="array" aca="1" ref="W439" ca="1">SUM(OFFSET($KE$43,0,($M439*3)+$N439,53,1)*W$43:W$95)</f>
        <v>0</v>
      </c>
      <c r="X439" s="6">
        <f t="array" aca="1" ref="X439" ca="1">SUM(OFFSET($KE$43,0,($M439*3)+$N439,53,1)*X$43:X$95)</f>
        <v>0</v>
      </c>
      <c r="Y439" s="6">
        <f t="array" aca="1" ref="Y439" ca="1">SUM(OFFSET($KE$43,0,($M439*3)+$N439,53,1)*Y$43:Y$95)</f>
        <v>0</v>
      </c>
      <c r="Z439" s="6">
        <f t="array" aca="1" ref="Z439" ca="1">SUM(OFFSET($KE$43,0,($M439*3)+$N439,53,1)*Z$43:Z$95)</f>
        <v>0</v>
      </c>
      <c r="AA439" s="6">
        <f t="shared" ca="1" si="153"/>
        <v>0</v>
      </c>
      <c r="AB439" s="6" t="str">
        <f t="shared" si="152"/>
        <v/>
      </c>
    </row>
    <row r="440" spans="12:28" x14ac:dyDescent="0.25">
      <c r="L440" t="str">
        <f t="shared" ca="1" si="151"/>
        <v/>
      </c>
      <c r="M440">
        <v>19</v>
      </c>
      <c r="N440">
        <v>2</v>
      </c>
      <c r="O440" s="6">
        <f t="array" aca="1" ref="O440" ca="1">SUM(OFFSET($KE$43,0,($M440*3)+$N440,53,1)*O$43:O$95)</f>
        <v>0</v>
      </c>
      <c r="P440" s="6">
        <f t="array" aca="1" ref="P440" ca="1">SUM(OFFSET($KE$43,0,($M440*3)+$N440,53,1)*P$43:P$95)</f>
        <v>0</v>
      </c>
      <c r="Q440" s="6">
        <f t="array" aca="1" ref="Q440" ca="1">SUM(OFFSET($KE$43,0,($M440*3)+$N440,53,1)*Q$43:Q$95)</f>
        <v>0</v>
      </c>
      <c r="R440" s="6">
        <f t="array" aca="1" ref="R440" ca="1">SUM(OFFSET($KE$43,0,($M440*3)+$N440,53,1)*R$43:R$95)</f>
        <v>0</v>
      </c>
      <c r="S440" s="6">
        <f t="array" aca="1" ref="S440" ca="1">SUM(OFFSET($KE$43,0,($M440*3)+$N440,53,1)*S$43:S$95)</f>
        <v>0</v>
      </c>
      <c r="T440" s="6">
        <f t="array" aca="1" ref="T440" ca="1">SUM(OFFSET($KE$43,0,($M440*3)+$N440,53,1)*T$43:T$95)</f>
        <v>0</v>
      </c>
      <c r="U440" s="6">
        <f t="array" aca="1" ref="U440" ca="1">SUM(OFFSET($KE$43,0,($M440*3)+$N440,53,1)*U$43:U$95)</f>
        <v>0</v>
      </c>
      <c r="V440" s="6">
        <f t="array" aca="1" ref="V440" ca="1">SUM(OFFSET($KE$43,0,($M440*3)+$N440,53,1)*V$43:V$95)</f>
        <v>0</v>
      </c>
      <c r="W440" s="6">
        <f t="array" aca="1" ref="W440" ca="1">SUM(OFFSET($KE$43,0,($M440*3)+$N440,53,1)*W$43:W$95)</f>
        <v>0</v>
      </c>
      <c r="X440" s="6">
        <f t="array" aca="1" ref="X440" ca="1">SUM(OFFSET($KE$43,0,($M440*3)+$N440,53,1)*X$43:X$95)</f>
        <v>0</v>
      </c>
      <c r="Y440" s="6">
        <f t="array" aca="1" ref="Y440" ca="1">SUM(OFFSET($KE$43,0,($M440*3)+$N440,53,1)*Y$43:Y$95)</f>
        <v>0</v>
      </c>
      <c r="Z440" s="6">
        <f t="array" aca="1" ref="Z440" ca="1">SUM(OFFSET($KE$43,0,($M440*3)+$N440,53,1)*Z$43:Z$95)</f>
        <v>0</v>
      </c>
      <c r="AA440" s="6">
        <f t="shared" ca="1" si="153"/>
        <v>0</v>
      </c>
      <c r="AB440" s="6" t="str">
        <f t="shared" si="152"/>
        <v/>
      </c>
    </row>
    <row r="441" spans="12:28" x14ac:dyDescent="0.25">
      <c r="L441" t="str">
        <f t="shared" ca="1" si="151"/>
        <v/>
      </c>
      <c r="M441">
        <v>19</v>
      </c>
      <c r="N441">
        <v>3</v>
      </c>
      <c r="O441" s="6">
        <f t="array" aca="1" ref="O441" ca="1">SUM(OFFSET($KE$43,0,($M441*3)+$N441,53,1)*O$43:O$95)</f>
        <v>0</v>
      </c>
      <c r="P441" s="6">
        <f t="array" aca="1" ref="P441" ca="1">SUM(OFFSET($KE$43,0,($M441*3)+$N441,53,1)*P$43:P$95)</f>
        <v>0</v>
      </c>
      <c r="Q441" s="6">
        <f t="array" aca="1" ref="Q441" ca="1">SUM(OFFSET($KE$43,0,($M441*3)+$N441,53,1)*Q$43:Q$95)</f>
        <v>0</v>
      </c>
      <c r="R441" s="6">
        <f t="array" aca="1" ref="R441" ca="1">SUM(OFFSET($KE$43,0,($M441*3)+$N441,53,1)*R$43:R$95)</f>
        <v>0</v>
      </c>
      <c r="S441" s="6">
        <f t="array" aca="1" ref="S441" ca="1">SUM(OFFSET($KE$43,0,($M441*3)+$N441,53,1)*S$43:S$95)</f>
        <v>0</v>
      </c>
      <c r="T441" s="6">
        <f t="array" aca="1" ref="T441" ca="1">SUM(OFFSET($KE$43,0,($M441*3)+$N441,53,1)*T$43:T$95)</f>
        <v>0</v>
      </c>
      <c r="U441" s="6">
        <f t="array" aca="1" ref="U441" ca="1">SUM(OFFSET($KE$43,0,($M441*3)+$N441,53,1)*U$43:U$95)</f>
        <v>0</v>
      </c>
      <c r="V441" s="6">
        <f t="array" aca="1" ref="V441" ca="1">SUM(OFFSET($KE$43,0,($M441*3)+$N441,53,1)*V$43:V$95)</f>
        <v>0</v>
      </c>
      <c r="W441" s="6">
        <f t="array" aca="1" ref="W441" ca="1">SUM(OFFSET($KE$43,0,($M441*3)+$N441,53,1)*W$43:W$95)</f>
        <v>0</v>
      </c>
      <c r="X441" s="6">
        <f t="array" aca="1" ref="X441" ca="1">SUM(OFFSET($KE$43,0,($M441*3)+$N441,53,1)*X$43:X$95)</f>
        <v>0</v>
      </c>
      <c r="Y441" s="6">
        <f t="array" aca="1" ref="Y441" ca="1">SUM(OFFSET($KE$43,0,($M441*3)+$N441,53,1)*Y$43:Y$95)</f>
        <v>0</v>
      </c>
      <c r="Z441" s="6">
        <f t="array" aca="1" ref="Z441" ca="1">SUM(OFFSET($KE$43,0,($M441*3)+$N441,53,1)*Z$43:Z$95)</f>
        <v>0</v>
      </c>
      <c r="AA441" s="6">
        <f t="shared" ca="1" si="153"/>
        <v>0</v>
      </c>
      <c r="AB441" s="6" t="str">
        <f t="shared" si="152"/>
        <v/>
      </c>
    </row>
  </sheetData>
  <mergeCells count="2">
    <mergeCell ref="C5:E5"/>
    <mergeCell ref="L5:N5"/>
  </mergeCells>
  <pageMargins left="0.7" right="0.7" top="0.75" bottom="0.75" header="0.3" footer="0.3"/>
  <pageSetup paperSize="9"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EM3124"/>
  <sheetViews>
    <sheetView workbookViewId="0">
      <selection activeCell="J1" sqref="J1"/>
    </sheetView>
  </sheetViews>
  <sheetFormatPr defaultRowHeight="13.8" x14ac:dyDescent="0.25"/>
  <cols>
    <col min="1" max="1" width="10.19921875" bestFit="1" customWidth="1"/>
    <col min="2" max="2" width="17.5" style="85" bestFit="1" customWidth="1"/>
    <col min="3" max="3" width="10.59765625" bestFit="1" customWidth="1"/>
    <col min="4" max="4" width="8.3984375" bestFit="1" customWidth="1"/>
    <col min="11" max="12" width="6" customWidth="1"/>
    <col min="13" max="13" width="6.19921875" bestFit="1" customWidth="1"/>
    <col min="14" max="15" width="5.59765625" customWidth="1"/>
    <col min="16" max="16" width="5.69921875" customWidth="1"/>
    <col min="17" max="76" width="5.3984375" customWidth="1"/>
  </cols>
  <sheetData>
    <row r="1" spans="1:143" ht="15.6" customHeight="1" x14ac:dyDescent="0.25">
      <c r="A1" t="s">
        <v>1143</v>
      </c>
      <c r="B1" s="85">
        <f>'Reference dates (hide)'!B40</f>
        <v>43831</v>
      </c>
      <c r="C1" s="103" t="s">
        <v>1359</v>
      </c>
      <c r="D1" s="103">
        <f>MATCH('WL Clearance'!$E$4,'Data files'!$A$16:$A$36,0)</f>
        <v>1</v>
      </c>
      <c r="E1" s="103"/>
      <c r="F1" s="103" t="s">
        <v>1360</v>
      </c>
      <c r="G1" s="103">
        <f>INDEX('Control Sheet'!$H$46:$H$65,'Time based aggregation (hide)'!D1)</f>
        <v>1</v>
      </c>
      <c r="H1" s="103"/>
      <c r="I1" s="103" t="s">
        <v>1238</v>
      </c>
      <c r="J1" s="103">
        <f>IFERROR(MATCH('WL Clearance'!E5,CHOOSE(G1,INDEX('Control Sheet'!I46:I65,D1,0),"",INDEX('Control Sheet'!I46:K65,D1,0)),0),"")</f>
        <v>1</v>
      </c>
      <c r="N1" t="s">
        <v>1361</v>
      </c>
      <c r="O1">
        <v>1</v>
      </c>
      <c r="P1" t="s">
        <v>1348</v>
      </c>
    </row>
    <row r="2" spans="1:143" x14ac:dyDescent="0.25">
      <c r="C2" t="s">
        <v>1374</v>
      </c>
      <c r="D2">
        <f>INT(INDEX('WL Balance (hide)'!WL_Ideal,D1,J1)*0.95)</f>
        <v>40</v>
      </c>
      <c r="E2">
        <f>INT(INDEX('WL Balance (hide)'!WL_Ideal,D1,J1)*1.05)</f>
        <v>44</v>
      </c>
      <c r="N2" t="s">
        <v>1362</v>
      </c>
      <c r="O2">
        <v>1</v>
      </c>
    </row>
    <row r="3" spans="1:143" ht="14.4" x14ac:dyDescent="0.3">
      <c r="C3" t="s">
        <v>961</v>
      </c>
      <c r="E3" t="s">
        <v>962</v>
      </c>
      <c r="F3" s="97"/>
      <c r="G3" s="98"/>
      <c r="H3" t="s">
        <v>1155</v>
      </c>
      <c r="J3" t="s">
        <v>1158</v>
      </c>
      <c r="K3" t="s">
        <v>1356</v>
      </c>
      <c r="L3" s="98"/>
      <c r="Q3" s="99">
        <v>1</v>
      </c>
      <c r="R3" s="99"/>
      <c r="S3" s="96"/>
      <c r="T3" s="99">
        <v>2</v>
      </c>
      <c r="U3" s="99"/>
      <c r="V3" s="99"/>
      <c r="W3" s="164">
        <v>3</v>
      </c>
      <c r="X3" s="99"/>
      <c r="Y3" s="99"/>
      <c r="Z3" s="96">
        <v>4</v>
      </c>
      <c r="AA3" s="99"/>
      <c r="AB3" s="99"/>
      <c r="AC3" s="99">
        <v>5</v>
      </c>
      <c r="AD3" s="163"/>
      <c r="AE3" s="99"/>
      <c r="AF3" s="99">
        <v>6</v>
      </c>
      <c r="AG3" s="96"/>
      <c r="AH3" s="99"/>
      <c r="AI3" s="99">
        <v>7</v>
      </c>
      <c r="AJ3" s="99"/>
      <c r="AK3" s="163"/>
      <c r="AL3" s="99">
        <v>8</v>
      </c>
      <c r="AM3" s="99"/>
      <c r="AN3" s="96"/>
      <c r="AO3" s="99">
        <v>9</v>
      </c>
      <c r="AP3" s="99"/>
      <c r="AQ3" s="99"/>
      <c r="AR3" s="99">
        <v>10</v>
      </c>
      <c r="AU3" s="99">
        <v>11</v>
      </c>
      <c r="AV3" s="99"/>
      <c r="AW3" s="96"/>
      <c r="AX3" s="99">
        <v>12</v>
      </c>
      <c r="AY3" s="99"/>
      <c r="AZ3" s="99"/>
      <c r="BA3" s="164">
        <v>13</v>
      </c>
      <c r="BB3" s="99"/>
      <c r="BC3" s="99"/>
      <c r="BD3" s="96">
        <v>14</v>
      </c>
      <c r="BE3" s="99"/>
      <c r="BF3" s="99"/>
      <c r="BG3" s="99">
        <v>15</v>
      </c>
      <c r="BH3" s="163"/>
      <c r="BI3" s="99"/>
      <c r="BJ3" s="99">
        <v>16</v>
      </c>
      <c r="BK3" s="96"/>
      <c r="BL3" s="99"/>
      <c r="BM3" s="99">
        <v>17</v>
      </c>
      <c r="BN3" s="99"/>
      <c r="BO3" s="163"/>
      <c r="BP3" s="99">
        <v>18</v>
      </c>
      <c r="BQ3" s="99"/>
      <c r="BR3" s="96"/>
      <c r="BS3" s="99">
        <v>19</v>
      </c>
      <c r="BT3" s="99"/>
      <c r="BU3" s="99"/>
      <c r="BV3" s="99">
        <v>20</v>
      </c>
      <c r="CA3" s="97"/>
      <c r="CD3" s="98"/>
      <c r="CH3" s="97"/>
      <c r="CK3" s="98"/>
      <c r="CO3" s="97"/>
      <c r="CR3" s="98"/>
      <c r="CV3" s="97"/>
      <c r="CY3" s="98"/>
      <c r="DC3" s="97"/>
      <c r="DF3" s="98"/>
      <c r="DJ3" s="97"/>
      <c r="DM3" s="98"/>
      <c r="DQ3" s="97"/>
      <c r="DT3" s="98"/>
      <c r="DX3" s="97"/>
      <c r="EA3" s="98"/>
      <c r="EE3" s="97"/>
      <c r="EH3" s="98"/>
      <c r="EL3" s="97"/>
    </row>
    <row r="4" spans="1:143" ht="14.4" x14ac:dyDescent="0.3">
      <c r="A4" t="s">
        <v>809</v>
      </c>
      <c r="B4" s="85" t="s">
        <v>1194</v>
      </c>
      <c r="C4" s="159" t="s">
        <v>1152</v>
      </c>
      <c r="D4" s="160" t="s">
        <v>1153</v>
      </c>
      <c r="E4" s="160" t="s">
        <v>1156</v>
      </c>
      <c r="F4" s="160" t="s">
        <v>960</v>
      </c>
      <c r="G4" s="160" t="s">
        <v>1154</v>
      </c>
      <c r="H4" s="160" t="s">
        <v>1016</v>
      </c>
      <c r="I4" s="160" t="s">
        <v>1149</v>
      </c>
      <c r="J4" s="160" t="s">
        <v>1157</v>
      </c>
      <c r="K4" s="160" t="s">
        <v>1343</v>
      </c>
      <c r="L4" s="160" t="s">
        <v>1344</v>
      </c>
      <c r="N4" s="97"/>
      <c r="O4" s="57"/>
      <c r="P4" s="1" t="s">
        <v>809</v>
      </c>
      <c r="Q4" s="1">
        <v>1</v>
      </c>
      <c r="R4" s="1">
        <v>2</v>
      </c>
      <c r="S4" s="1">
        <v>3</v>
      </c>
      <c r="T4" s="1">
        <v>1</v>
      </c>
      <c r="U4" s="1">
        <v>2</v>
      </c>
      <c r="V4" s="1">
        <v>3</v>
      </c>
      <c r="W4" s="1">
        <v>1</v>
      </c>
      <c r="X4" s="1">
        <v>2</v>
      </c>
      <c r="Y4" s="1">
        <v>3</v>
      </c>
      <c r="Z4" s="1">
        <v>1</v>
      </c>
      <c r="AA4" s="1">
        <v>2</v>
      </c>
      <c r="AB4" s="1">
        <v>3</v>
      </c>
      <c r="AC4" s="1">
        <v>1</v>
      </c>
      <c r="AD4" s="1">
        <v>2</v>
      </c>
      <c r="AE4" s="1">
        <v>3</v>
      </c>
      <c r="AF4" s="1">
        <v>1</v>
      </c>
      <c r="AG4" s="1">
        <v>2</v>
      </c>
      <c r="AH4" s="1">
        <v>3</v>
      </c>
      <c r="AI4" s="1">
        <v>1</v>
      </c>
      <c r="AJ4" s="1">
        <v>2</v>
      </c>
      <c r="AK4" s="1">
        <v>3</v>
      </c>
      <c r="AL4" s="1">
        <v>1</v>
      </c>
      <c r="AM4" s="1">
        <v>2</v>
      </c>
      <c r="AN4" s="1">
        <v>3</v>
      </c>
      <c r="AO4" s="1">
        <v>1</v>
      </c>
      <c r="AP4" s="1">
        <v>2</v>
      </c>
      <c r="AQ4" s="1">
        <v>3</v>
      </c>
      <c r="AR4" s="1">
        <v>1</v>
      </c>
      <c r="AS4" s="1">
        <v>2</v>
      </c>
      <c r="AT4" s="1">
        <v>3</v>
      </c>
      <c r="AU4" s="1">
        <v>1</v>
      </c>
      <c r="AV4" s="1">
        <v>2</v>
      </c>
      <c r="AW4" s="1">
        <v>3</v>
      </c>
      <c r="AX4" s="1">
        <v>1</v>
      </c>
      <c r="AY4" s="1">
        <v>2</v>
      </c>
      <c r="AZ4" s="1">
        <v>3</v>
      </c>
      <c r="BA4" s="1">
        <v>1</v>
      </c>
      <c r="BB4" s="1">
        <v>2</v>
      </c>
      <c r="BC4" s="1">
        <v>3</v>
      </c>
      <c r="BD4" s="1">
        <v>1</v>
      </c>
      <c r="BE4" s="1">
        <v>2</v>
      </c>
      <c r="BF4" s="1">
        <v>3</v>
      </c>
      <c r="BG4" s="1">
        <v>1</v>
      </c>
      <c r="BH4" s="1">
        <v>2</v>
      </c>
      <c r="BI4" s="1">
        <v>3</v>
      </c>
      <c r="BJ4" s="1">
        <v>1</v>
      </c>
      <c r="BK4" s="1">
        <v>2</v>
      </c>
      <c r="BL4" s="1">
        <v>3</v>
      </c>
      <c r="BM4" s="1">
        <v>1</v>
      </c>
      <c r="BN4" s="1">
        <v>2</v>
      </c>
      <c r="BO4" s="1">
        <v>3</v>
      </c>
      <c r="BP4" s="1">
        <v>1</v>
      </c>
      <c r="BQ4" s="1">
        <v>2</v>
      </c>
      <c r="BR4" s="1">
        <v>3</v>
      </c>
      <c r="BS4" s="1">
        <v>1</v>
      </c>
      <c r="BT4" s="1">
        <v>2</v>
      </c>
      <c r="BU4" s="1">
        <v>3</v>
      </c>
      <c r="BV4" s="1">
        <v>1</v>
      </c>
      <c r="BW4" s="1">
        <v>2</v>
      </c>
      <c r="BX4" s="1">
        <v>3</v>
      </c>
      <c r="BZ4" s="57"/>
      <c r="CA4" s="57"/>
      <c r="CB4" s="57"/>
      <c r="CG4" s="57"/>
      <c r="CH4" s="57"/>
      <c r="CI4" s="57"/>
      <c r="CN4" s="57"/>
      <c r="CO4" s="57"/>
      <c r="CP4" s="57"/>
      <c r="CU4" s="57"/>
      <c r="CV4" s="57"/>
      <c r="CW4" s="57"/>
      <c r="DB4" s="57"/>
      <c r="DC4" s="57"/>
      <c r="DD4" s="57"/>
      <c r="DI4" s="57"/>
      <c r="DJ4" s="57"/>
      <c r="DK4" s="57"/>
      <c r="DP4" s="57"/>
      <c r="DQ4" s="57"/>
      <c r="DR4" s="57"/>
      <c r="DW4" s="57"/>
      <c r="DX4" s="57"/>
      <c r="DY4" s="57"/>
      <c r="ED4" s="57"/>
      <c r="EE4" s="57"/>
      <c r="EF4" s="57"/>
      <c r="EK4" s="57"/>
      <c r="EL4" s="57"/>
      <c r="EM4" s="57"/>
    </row>
    <row r="5" spans="1:143" x14ac:dyDescent="0.25">
      <c r="A5">
        <v>1</v>
      </c>
      <c r="B5" s="85">
        <f>B1-WEEKDAY(B1,3)</f>
        <v>43829</v>
      </c>
      <c r="P5">
        <v>1</v>
      </c>
      <c r="Q5">
        <v>0</v>
      </c>
      <c r="R5">
        <v>0</v>
      </c>
      <c r="S5">
        <v>0</v>
      </c>
      <c r="T5">
        <v>0</v>
      </c>
      <c r="U5">
        <v>0</v>
      </c>
      <c r="V5">
        <v>0</v>
      </c>
      <c r="W5">
        <v>0</v>
      </c>
      <c r="X5">
        <v>0</v>
      </c>
      <c r="Y5">
        <v>0</v>
      </c>
      <c r="Z5">
        <v>0</v>
      </c>
      <c r="AA5">
        <v>0</v>
      </c>
      <c r="AB5">
        <v>0</v>
      </c>
      <c r="AC5">
        <v>0</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0</v>
      </c>
      <c r="BA5">
        <v>0</v>
      </c>
      <c r="BB5">
        <v>0</v>
      </c>
      <c r="BC5">
        <v>0</v>
      </c>
      <c r="BD5">
        <v>0</v>
      </c>
      <c r="BE5">
        <v>0</v>
      </c>
      <c r="BF5">
        <v>0</v>
      </c>
      <c r="BG5">
        <v>0</v>
      </c>
      <c r="BH5">
        <v>0</v>
      </c>
      <c r="BI5">
        <v>0</v>
      </c>
      <c r="BJ5">
        <v>0</v>
      </c>
      <c r="BK5">
        <v>0</v>
      </c>
      <c r="BL5">
        <v>0</v>
      </c>
      <c r="BM5">
        <v>0</v>
      </c>
      <c r="BN5">
        <v>0</v>
      </c>
      <c r="BO5">
        <v>0</v>
      </c>
      <c r="BP5">
        <v>0</v>
      </c>
      <c r="BQ5">
        <v>0</v>
      </c>
      <c r="BR5">
        <v>0</v>
      </c>
      <c r="BS5">
        <v>0</v>
      </c>
      <c r="BT5">
        <v>0</v>
      </c>
      <c r="BU5">
        <v>0</v>
      </c>
      <c r="BV5">
        <v>0</v>
      </c>
      <c r="BW5">
        <v>0</v>
      </c>
      <c r="BX5">
        <v>0</v>
      </c>
    </row>
    <row r="6" spans="1:143" x14ac:dyDescent="0.25">
      <c r="A6">
        <v>2</v>
      </c>
      <c r="B6" s="85">
        <f>B5+7</f>
        <v>43836</v>
      </c>
      <c r="P6">
        <v>2</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row>
    <row r="7" spans="1:143" x14ac:dyDescent="0.25">
      <c r="A7">
        <v>3</v>
      </c>
      <c r="B7" s="85">
        <f t="shared" ref="B7:B56" si="0">B6+7</f>
        <v>43843</v>
      </c>
      <c r="P7">
        <v>3</v>
      </c>
      <c r="Q7">
        <v>0</v>
      </c>
      <c r="R7">
        <v>0</v>
      </c>
      <c r="S7">
        <v>0</v>
      </c>
      <c r="T7">
        <v>0</v>
      </c>
      <c r="U7">
        <v>0</v>
      </c>
      <c r="V7">
        <v>0</v>
      </c>
      <c r="W7">
        <v>0</v>
      </c>
      <c r="X7">
        <v>0</v>
      </c>
      <c r="Y7">
        <v>0</v>
      </c>
      <c r="Z7">
        <v>0</v>
      </c>
      <c r="AA7">
        <v>0</v>
      </c>
      <c r="AB7">
        <v>0</v>
      </c>
      <c r="AC7">
        <v>0</v>
      </c>
      <c r="AD7">
        <v>0</v>
      </c>
      <c r="AE7">
        <v>0</v>
      </c>
      <c r="AF7">
        <v>0</v>
      </c>
      <c r="AG7">
        <v>0</v>
      </c>
      <c r="AH7">
        <v>0</v>
      </c>
      <c r="AI7">
        <v>0</v>
      </c>
      <c r="AJ7">
        <v>0</v>
      </c>
      <c r="AK7">
        <v>0</v>
      </c>
      <c r="AL7">
        <v>0</v>
      </c>
      <c r="AM7">
        <v>0</v>
      </c>
      <c r="AN7">
        <v>0</v>
      </c>
      <c r="AO7">
        <v>0</v>
      </c>
      <c r="AP7">
        <v>0</v>
      </c>
      <c r="AQ7">
        <v>0</v>
      </c>
      <c r="AR7">
        <v>0</v>
      </c>
      <c r="AS7">
        <v>0</v>
      </c>
      <c r="AT7">
        <v>0</v>
      </c>
      <c r="AU7">
        <v>0</v>
      </c>
      <c r="AV7">
        <v>0</v>
      </c>
      <c r="AW7">
        <v>0</v>
      </c>
      <c r="AX7">
        <v>0</v>
      </c>
      <c r="AY7">
        <v>0</v>
      </c>
      <c r="AZ7">
        <v>0</v>
      </c>
      <c r="BA7">
        <v>0</v>
      </c>
      <c r="BB7">
        <v>0</v>
      </c>
      <c r="BC7">
        <v>0</v>
      </c>
      <c r="BD7">
        <v>0</v>
      </c>
      <c r="BE7">
        <v>0</v>
      </c>
      <c r="BF7">
        <v>0</v>
      </c>
      <c r="BG7">
        <v>0</v>
      </c>
      <c r="BH7">
        <v>0</v>
      </c>
      <c r="BI7">
        <v>0</v>
      </c>
      <c r="BJ7">
        <v>0</v>
      </c>
      <c r="BK7">
        <v>0</v>
      </c>
      <c r="BL7">
        <v>0</v>
      </c>
      <c r="BM7">
        <v>0</v>
      </c>
      <c r="BN7">
        <v>0</v>
      </c>
      <c r="BO7">
        <v>0</v>
      </c>
      <c r="BP7">
        <v>0</v>
      </c>
      <c r="BQ7">
        <v>0</v>
      </c>
      <c r="BR7">
        <v>0</v>
      </c>
      <c r="BS7">
        <v>0</v>
      </c>
      <c r="BT7">
        <v>0</v>
      </c>
      <c r="BU7">
        <v>0</v>
      </c>
      <c r="BV7">
        <v>0</v>
      </c>
      <c r="BW7">
        <v>0</v>
      </c>
      <c r="BX7">
        <v>0</v>
      </c>
    </row>
    <row r="8" spans="1:143" x14ac:dyDescent="0.25">
      <c r="A8">
        <v>4</v>
      </c>
      <c r="B8" s="85">
        <f t="shared" si="0"/>
        <v>43850</v>
      </c>
      <c r="P8">
        <v>4</v>
      </c>
      <c r="Q8">
        <v>0</v>
      </c>
      <c r="R8">
        <v>0</v>
      </c>
      <c r="S8">
        <v>0</v>
      </c>
      <c r="T8">
        <v>0</v>
      </c>
      <c r="U8">
        <v>0</v>
      </c>
      <c r="V8">
        <v>0</v>
      </c>
      <c r="W8">
        <v>0</v>
      </c>
      <c r="X8">
        <v>0</v>
      </c>
      <c r="Y8">
        <v>0</v>
      </c>
      <c r="Z8">
        <v>0</v>
      </c>
      <c r="AA8">
        <v>0</v>
      </c>
      <c r="AB8">
        <v>0</v>
      </c>
      <c r="AC8">
        <v>0</v>
      </c>
      <c r="AD8">
        <v>0</v>
      </c>
      <c r="AE8">
        <v>0</v>
      </c>
      <c r="AF8">
        <v>0</v>
      </c>
      <c r="AG8">
        <v>0</v>
      </c>
      <c r="AH8">
        <v>0</v>
      </c>
      <c r="AI8">
        <v>0</v>
      </c>
      <c r="AJ8">
        <v>0</v>
      </c>
      <c r="AK8">
        <v>0</v>
      </c>
      <c r="AL8">
        <v>0</v>
      </c>
      <c r="AM8">
        <v>0</v>
      </c>
      <c r="AN8">
        <v>0</v>
      </c>
      <c r="AO8">
        <v>0</v>
      </c>
      <c r="AP8">
        <v>0</v>
      </c>
      <c r="AQ8">
        <v>0</v>
      </c>
      <c r="AR8">
        <v>0</v>
      </c>
      <c r="AS8">
        <v>0</v>
      </c>
      <c r="AT8">
        <v>0</v>
      </c>
      <c r="AU8">
        <v>0</v>
      </c>
      <c r="AV8">
        <v>0</v>
      </c>
      <c r="AW8">
        <v>0</v>
      </c>
      <c r="AX8">
        <v>0</v>
      </c>
      <c r="AY8">
        <v>0</v>
      </c>
      <c r="AZ8">
        <v>0</v>
      </c>
      <c r="BA8">
        <v>0</v>
      </c>
      <c r="BB8">
        <v>0</v>
      </c>
      <c r="BC8">
        <v>0</v>
      </c>
      <c r="BD8">
        <v>0</v>
      </c>
      <c r="BE8">
        <v>0</v>
      </c>
      <c r="BF8">
        <v>0</v>
      </c>
      <c r="BG8">
        <v>0</v>
      </c>
      <c r="BH8">
        <v>0</v>
      </c>
      <c r="BI8">
        <v>0</v>
      </c>
      <c r="BJ8">
        <v>0</v>
      </c>
      <c r="BK8">
        <v>0</v>
      </c>
      <c r="BL8">
        <v>0</v>
      </c>
      <c r="BM8">
        <v>0</v>
      </c>
      <c r="BN8">
        <v>0</v>
      </c>
      <c r="BO8">
        <v>0</v>
      </c>
      <c r="BP8">
        <v>0</v>
      </c>
      <c r="BQ8">
        <v>0</v>
      </c>
      <c r="BR8">
        <v>0</v>
      </c>
      <c r="BS8">
        <v>0</v>
      </c>
      <c r="BT8">
        <v>0</v>
      </c>
      <c r="BU8">
        <v>0</v>
      </c>
      <c r="BV8">
        <v>0</v>
      </c>
      <c r="BW8">
        <v>0</v>
      </c>
      <c r="BX8">
        <v>0</v>
      </c>
    </row>
    <row r="9" spans="1:143" x14ac:dyDescent="0.25">
      <c r="A9">
        <v>5</v>
      </c>
      <c r="B9" s="85">
        <f t="shared" si="0"/>
        <v>43857</v>
      </c>
      <c r="P9">
        <v>5</v>
      </c>
      <c r="Q9">
        <v>0</v>
      </c>
      <c r="R9">
        <v>0</v>
      </c>
      <c r="S9">
        <v>0</v>
      </c>
      <c r="T9">
        <v>0</v>
      </c>
      <c r="U9">
        <v>0</v>
      </c>
      <c r="V9">
        <v>0</v>
      </c>
      <c r="W9">
        <v>0</v>
      </c>
      <c r="X9">
        <v>0</v>
      </c>
      <c r="Y9">
        <v>0</v>
      </c>
      <c r="Z9">
        <v>0</v>
      </c>
      <c r="AA9">
        <v>0</v>
      </c>
      <c r="AB9">
        <v>0</v>
      </c>
      <c r="AC9">
        <v>0</v>
      </c>
      <c r="AD9">
        <v>0</v>
      </c>
      <c r="AE9">
        <v>0</v>
      </c>
      <c r="AF9">
        <v>0</v>
      </c>
      <c r="AG9">
        <v>0</v>
      </c>
      <c r="AH9">
        <v>0</v>
      </c>
      <c r="AI9">
        <v>0</v>
      </c>
      <c r="AJ9">
        <v>0</v>
      </c>
      <c r="AK9">
        <v>0</v>
      </c>
      <c r="AL9">
        <v>0</v>
      </c>
      <c r="AM9">
        <v>0</v>
      </c>
      <c r="AN9">
        <v>0</v>
      </c>
      <c r="AO9">
        <v>0</v>
      </c>
      <c r="AP9">
        <v>0</v>
      </c>
      <c r="AQ9">
        <v>0</v>
      </c>
      <c r="AR9">
        <v>0</v>
      </c>
      <c r="AS9">
        <v>0</v>
      </c>
      <c r="AT9">
        <v>0</v>
      </c>
      <c r="AU9">
        <v>0</v>
      </c>
      <c r="AV9">
        <v>0</v>
      </c>
      <c r="AW9">
        <v>0</v>
      </c>
      <c r="AX9">
        <v>0</v>
      </c>
      <c r="AY9">
        <v>0</v>
      </c>
      <c r="AZ9">
        <v>0</v>
      </c>
      <c r="BA9">
        <v>0</v>
      </c>
      <c r="BB9">
        <v>0</v>
      </c>
      <c r="BC9">
        <v>0</v>
      </c>
      <c r="BD9">
        <v>0</v>
      </c>
      <c r="BE9">
        <v>0</v>
      </c>
      <c r="BF9">
        <v>0</v>
      </c>
      <c r="BG9">
        <v>0</v>
      </c>
      <c r="BH9">
        <v>0</v>
      </c>
      <c r="BI9">
        <v>0</v>
      </c>
      <c r="BJ9">
        <v>0</v>
      </c>
      <c r="BK9">
        <v>0</v>
      </c>
      <c r="BL9">
        <v>0</v>
      </c>
      <c r="BM9">
        <v>0</v>
      </c>
      <c r="BN9">
        <v>0</v>
      </c>
      <c r="BO9">
        <v>0</v>
      </c>
      <c r="BP9">
        <v>0</v>
      </c>
      <c r="BQ9">
        <v>0</v>
      </c>
      <c r="BR9">
        <v>0</v>
      </c>
      <c r="BS9">
        <v>0</v>
      </c>
      <c r="BT9">
        <v>0</v>
      </c>
      <c r="BU9">
        <v>0</v>
      </c>
      <c r="BV9">
        <v>0</v>
      </c>
      <c r="BW9">
        <v>0</v>
      </c>
      <c r="BX9">
        <v>0</v>
      </c>
    </row>
    <row r="10" spans="1:143" x14ac:dyDescent="0.25">
      <c r="A10">
        <v>6</v>
      </c>
      <c r="B10" s="85">
        <f t="shared" si="0"/>
        <v>43864</v>
      </c>
      <c r="P10">
        <v>6</v>
      </c>
      <c r="Q10">
        <v>0</v>
      </c>
      <c r="R10">
        <v>0</v>
      </c>
      <c r="S10">
        <v>0</v>
      </c>
      <c r="T10">
        <v>0</v>
      </c>
      <c r="U10">
        <v>0</v>
      </c>
      <c r="V10">
        <v>0</v>
      </c>
      <c r="W10">
        <v>0</v>
      </c>
      <c r="X10">
        <v>0</v>
      </c>
      <c r="Y10">
        <v>0</v>
      </c>
      <c r="Z10">
        <v>0</v>
      </c>
      <c r="AA10">
        <v>0</v>
      </c>
      <c r="AB10">
        <v>0</v>
      </c>
      <c r="AC10">
        <v>0</v>
      </c>
      <c r="AD10">
        <v>0</v>
      </c>
      <c r="AE10">
        <v>0</v>
      </c>
      <c r="AF10">
        <v>0</v>
      </c>
      <c r="AG10">
        <v>0</v>
      </c>
      <c r="AH10">
        <v>0</v>
      </c>
      <c r="AI10">
        <v>0</v>
      </c>
      <c r="AJ10">
        <v>0</v>
      </c>
      <c r="AK10">
        <v>0</v>
      </c>
      <c r="AL10">
        <v>0</v>
      </c>
      <c r="AM10">
        <v>0</v>
      </c>
      <c r="AN10">
        <v>0</v>
      </c>
      <c r="AO10">
        <v>0</v>
      </c>
      <c r="AP10">
        <v>0</v>
      </c>
      <c r="AQ10">
        <v>0</v>
      </c>
      <c r="AR10">
        <v>0</v>
      </c>
      <c r="AS10">
        <v>0</v>
      </c>
      <c r="AT10">
        <v>0</v>
      </c>
      <c r="AU10">
        <v>0</v>
      </c>
      <c r="AV10">
        <v>0</v>
      </c>
      <c r="AW10">
        <v>0</v>
      </c>
      <c r="AX10">
        <v>0</v>
      </c>
      <c r="AY10">
        <v>0</v>
      </c>
      <c r="AZ10">
        <v>0</v>
      </c>
      <c r="BA10">
        <v>0</v>
      </c>
      <c r="BB10">
        <v>0</v>
      </c>
      <c r="BC10">
        <v>0</v>
      </c>
      <c r="BD10">
        <v>0</v>
      </c>
      <c r="BE10">
        <v>0</v>
      </c>
      <c r="BF10">
        <v>0</v>
      </c>
      <c r="BG10">
        <v>0</v>
      </c>
      <c r="BH10">
        <v>0</v>
      </c>
      <c r="BI10">
        <v>0</v>
      </c>
      <c r="BJ10">
        <v>0</v>
      </c>
      <c r="BK10">
        <v>0</v>
      </c>
      <c r="BL10">
        <v>0</v>
      </c>
      <c r="BM10">
        <v>0</v>
      </c>
      <c r="BN10">
        <v>0</v>
      </c>
      <c r="BO10">
        <v>0</v>
      </c>
      <c r="BP10">
        <v>0</v>
      </c>
      <c r="BQ10">
        <v>0</v>
      </c>
      <c r="BR10">
        <v>0</v>
      </c>
      <c r="BS10">
        <v>0</v>
      </c>
      <c r="BT10">
        <v>0</v>
      </c>
      <c r="BU10">
        <v>0</v>
      </c>
      <c r="BV10">
        <v>0</v>
      </c>
      <c r="BW10">
        <v>0</v>
      </c>
      <c r="BX10">
        <v>0</v>
      </c>
    </row>
    <row r="11" spans="1:143" x14ac:dyDescent="0.25">
      <c r="A11">
        <v>7</v>
      </c>
      <c r="B11" s="85">
        <f t="shared" si="0"/>
        <v>43871</v>
      </c>
      <c r="P11">
        <v>7</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0</v>
      </c>
      <c r="AW11">
        <v>0</v>
      </c>
      <c r="AX11">
        <v>0</v>
      </c>
      <c r="AY11">
        <v>0</v>
      </c>
      <c r="AZ11">
        <v>0</v>
      </c>
      <c r="BA11">
        <v>0</v>
      </c>
      <c r="BB11">
        <v>0</v>
      </c>
      <c r="BC11">
        <v>0</v>
      </c>
      <c r="BD11">
        <v>0</v>
      </c>
      <c r="BE11">
        <v>0</v>
      </c>
      <c r="BF11">
        <v>0</v>
      </c>
      <c r="BG11">
        <v>0</v>
      </c>
      <c r="BH11">
        <v>0</v>
      </c>
      <c r="BI11">
        <v>0</v>
      </c>
      <c r="BJ11">
        <v>0</v>
      </c>
      <c r="BK11">
        <v>0</v>
      </c>
      <c r="BL11">
        <v>0</v>
      </c>
      <c r="BM11">
        <v>0</v>
      </c>
      <c r="BN11">
        <v>0</v>
      </c>
      <c r="BO11">
        <v>0</v>
      </c>
      <c r="BP11">
        <v>0</v>
      </c>
      <c r="BQ11">
        <v>0</v>
      </c>
      <c r="BR11">
        <v>0</v>
      </c>
      <c r="BS11">
        <v>0</v>
      </c>
      <c r="BT11">
        <v>0</v>
      </c>
      <c r="BU11">
        <v>0</v>
      </c>
      <c r="BV11">
        <v>0</v>
      </c>
      <c r="BW11">
        <v>0</v>
      </c>
      <c r="BX11">
        <v>0</v>
      </c>
    </row>
    <row r="12" spans="1:143" x14ac:dyDescent="0.25">
      <c r="A12">
        <v>8</v>
      </c>
      <c r="B12" s="85">
        <f t="shared" si="0"/>
        <v>43878</v>
      </c>
      <c r="P12">
        <v>8</v>
      </c>
      <c r="Q12">
        <v>0</v>
      </c>
      <c r="R12">
        <v>0</v>
      </c>
      <c r="S12">
        <v>0</v>
      </c>
      <c r="T12">
        <v>0</v>
      </c>
      <c r="U12">
        <v>0</v>
      </c>
      <c r="V12">
        <v>0</v>
      </c>
      <c r="W12">
        <v>0</v>
      </c>
      <c r="X12">
        <v>0</v>
      </c>
      <c r="Y12">
        <v>0</v>
      </c>
      <c r="Z12">
        <v>0</v>
      </c>
      <c r="AA12">
        <v>0</v>
      </c>
      <c r="AB12">
        <v>0</v>
      </c>
      <c r="AC12">
        <v>0</v>
      </c>
      <c r="AD12">
        <v>0</v>
      </c>
      <c r="AE12">
        <v>0</v>
      </c>
      <c r="AF12">
        <v>0</v>
      </c>
      <c r="AG12">
        <v>0</v>
      </c>
      <c r="AH12">
        <v>0</v>
      </c>
      <c r="AI12">
        <v>0</v>
      </c>
      <c r="AJ12">
        <v>0</v>
      </c>
      <c r="AK12">
        <v>0</v>
      </c>
      <c r="AL12">
        <v>0</v>
      </c>
      <c r="AM12">
        <v>0</v>
      </c>
      <c r="AN12">
        <v>0</v>
      </c>
      <c r="AO12">
        <v>0</v>
      </c>
      <c r="AP12">
        <v>0</v>
      </c>
      <c r="AQ12">
        <v>0</v>
      </c>
      <c r="AR12">
        <v>0</v>
      </c>
      <c r="AS12">
        <v>0</v>
      </c>
      <c r="AT12">
        <v>0</v>
      </c>
      <c r="AU12">
        <v>0</v>
      </c>
      <c r="AV12">
        <v>0</v>
      </c>
      <c r="AW12">
        <v>0</v>
      </c>
      <c r="AX12">
        <v>0</v>
      </c>
      <c r="AY12">
        <v>0</v>
      </c>
      <c r="AZ12">
        <v>0</v>
      </c>
      <c r="BA12">
        <v>0</v>
      </c>
      <c r="BB12">
        <v>0</v>
      </c>
      <c r="BC12">
        <v>0</v>
      </c>
      <c r="BD12">
        <v>0</v>
      </c>
      <c r="BE12">
        <v>0</v>
      </c>
      <c r="BF12">
        <v>0</v>
      </c>
      <c r="BG12">
        <v>0</v>
      </c>
      <c r="BH12">
        <v>0</v>
      </c>
      <c r="BI12">
        <v>0</v>
      </c>
      <c r="BJ12">
        <v>0</v>
      </c>
      <c r="BK12">
        <v>0</v>
      </c>
      <c r="BL12">
        <v>0</v>
      </c>
      <c r="BM12">
        <v>0</v>
      </c>
      <c r="BN12">
        <v>0</v>
      </c>
      <c r="BO12">
        <v>0</v>
      </c>
      <c r="BP12">
        <v>0</v>
      </c>
      <c r="BQ12">
        <v>0</v>
      </c>
      <c r="BR12">
        <v>0</v>
      </c>
      <c r="BS12">
        <v>0</v>
      </c>
      <c r="BT12">
        <v>0</v>
      </c>
      <c r="BU12">
        <v>0</v>
      </c>
      <c r="BV12">
        <v>0</v>
      </c>
      <c r="BW12">
        <v>0</v>
      </c>
      <c r="BX12">
        <v>0</v>
      </c>
    </row>
    <row r="13" spans="1:143" x14ac:dyDescent="0.25">
      <c r="A13">
        <v>9</v>
      </c>
      <c r="B13" s="85">
        <f t="shared" si="0"/>
        <v>43885</v>
      </c>
      <c r="P13">
        <v>9</v>
      </c>
      <c r="Q13">
        <v>0</v>
      </c>
      <c r="R13">
        <v>0</v>
      </c>
      <c r="S13">
        <v>0</v>
      </c>
      <c r="T13">
        <v>0</v>
      </c>
      <c r="U13">
        <v>0</v>
      </c>
      <c r="V13">
        <v>0</v>
      </c>
      <c r="W13">
        <v>0</v>
      </c>
      <c r="X13">
        <v>0</v>
      </c>
      <c r="Y13">
        <v>0</v>
      </c>
      <c r="Z13">
        <v>0</v>
      </c>
      <c r="AA13">
        <v>0</v>
      </c>
      <c r="AB13">
        <v>0</v>
      </c>
      <c r="AC13">
        <v>0</v>
      </c>
      <c r="AD13">
        <v>0</v>
      </c>
      <c r="AE13">
        <v>0</v>
      </c>
      <c r="AF13">
        <v>0</v>
      </c>
      <c r="AG13">
        <v>0</v>
      </c>
      <c r="AH13">
        <v>0</v>
      </c>
      <c r="AI13">
        <v>0</v>
      </c>
      <c r="AJ13">
        <v>0</v>
      </c>
      <c r="AK13">
        <v>0</v>
      </c>
      <c r="AL13">
        <v>0</v>
      </c>
      <c r="AM13">
        <v>0</v>
      </c>
      <c r="AN13">
        <v>0</v>
      </c>
      <c r="AO13">
        <v>0</v>
      </c>
      <c r="AP13">
        <v>0</v>
      </c>
      <c r="AQ13">
        <v>0</v>
      </c>
      <c r="AR13">
        <v>0</v>
      </c>
      <c r="AS13">
        <v>0</v>
      </c>
      <c r="AT13">
        <v>0</v>
      </c>
      <c r="AU13">
        <v>0</v>
      </c>
      <c r="AV13">
        <v>0</v>
      </c>
      <c r="AW13">
        <v>0</v>
      </c>
      <c r="AX13">
        <v>0</v>
      </c>
      <c r="AY13">
        <v>0</v>
      </c>
      <c r="AZ13">
        <v>0</v>
      </c>
      <c r="BA13">
        <v>0</v>
      </c>
      <c r="BB13">
        <v>0</v>
      </c>
      <c r="BC13">
        <v>0</v>
      </c>
      <c r="BD13">
        <v>0</v>
      </c>
      <c r="BE13">
        <v>0</v>
      </c>
      <c r="BF13">
        <v>0</v>
      </c>
      <c r="BG13">
        <v>0</v>
      </c>
      <c r="BH13">
        <v>0</v>
      </c>
      <c r="BI13">
        <v>0</v>
      </c>
      <c r="BJ13">
        <v>0</v>
      </c>
      <c r="BK13">
        <v>0</v>
      </c>
      <c r="BL13">
        <v>0</v>
      </c>
      <c r="BM13">
        <v>0</v>
      </c>
      <c r="BN13">
        <v>0</v>
      </c>
      <c r="BO13">
        <v>0</v>
      </c>
      <c r="BP13">
        <v>0</v>
      </c>
      <c r="BQ13">
        <v>0</v>
      </c>
      <c r="BR13">
        <v>0</v>
      </c>
      <c r="BS13">
        <v>0</v>
      </c>
      <c r="BT13">
        <v>0</v>
      </c>
      <c r="BU13">
        <v>0</v>
      </c>
      <c r="BV13">
        <v>0</v>
      </c>
      <c r="BW13">
        <v>0</v>
      </c>
      <c r="BX13">
        <v>0</v>
      </c>
    </row>
    <row r="14" spans="1:143" x14ac:dyDescent="0.25">
      <c r="A14">
        <v>10</v>
      </c>
      <c r="B14" s="85">
        <f t="shared" si="0"/>
        <v>43892</v>
      </c>
      <c r="P14">
        <v>10</v>
      </c>
      <c r="Q14">
        <v>0</v>
      </c>
      <c r="R14">
        <v>0</v>
      </c>
      <c r="S14">
        <v>0</v>
      </c>
      <c r="T14">
        <v>0</v>
      </c>
      <c r="U14">
        <v>0</v>
      </c>
      <c r="V14">
        <v>0</v>
      </c>
      <c r="W14">
        <v>0</v>
      </c>
      <c r="X14">
        <v>0</v>
      </c>
      <c r="Y14">
        <v>0</v>
      </c>
      <c r="Z14">
        <v>0</v>
      </c>
      <c r="AA14">
        <v>0</v>
      </c>
      <c r="AB14">
        <v>0</v>
      </c>
      <c r="AC14">
        <v>0</v>
      </c>
      <c r="AD14">
        <v>0</v>
      </c>
      <c r="AE14">
        <v>0</v>
      </c>
      <c r="AF14">
        <v>0</v>
      </c>
      <c r="AG14">
        <v>0</v>
      </c>
      <c r="AH14">
        <v>0</v>
      </c>
      <c r="AI14">
        <v>0</v>
      </c>
      <c r="AJ14">
        <v>0</v>
      </c>
      <c r="AK14">
        <v>0</v>
      </c>
      <c r="AL14">
        <v>0</v>
      </c>
      <c r="AM14">
        <v>0</v>
      </c>
      <c r="AN14">
        <v>0</v>
      </c>
      <c r="AO14">
        <v>0</v>
      </c>
      <c r="AP14">
        <v>0</v>
      </c>
      <c r="AQ14">
        <v>0</v>
      </c>
      <c r="AR14">
        <v>0</v>
      </c>
      <c r="AS14">
        <v>0</v>
      </c>
      <c r="AT14">
        <v>0</v>
      </c>
      <c r="AU14">
        <v>0</v>
      </c>
      <c r="AV14">
        <v>0</v>
      </c>
      <c r="AW14">
        <v>0</v>
      </c>
      <c r="AX14">
        <v>0</v>
      </c>
      <c r="AY14">
        <v>0</v>
      </c>
      <c r="AZ14">
        <v>0</v>
      </c>
      <c r="BA14">
        <v>0</v>
      </c>
      <c r="BB14">
        <v>0</v>
      </c>
      <c r="BC14">
        <v>0</v>
      </c>
      <c r="BD14">
        <v>0</v>
      </c>
      <c r="BE14">
        <v>0</v>
      </c>
      <c r="BF14">
        <v>0</v>
      </c>
      <c r="BG14">
        <v>0</v>
      </c>
      <c r="BH14">
        <v>0</v>
      </c>
      <c r="BI14">
        <v>0</v>
      </c>
      <c r="BJ14">
        <v>0</v>
      </c>
      <c r="BK14">
        <v>0</v>
      </c>
      <c r="BL14">
        <v>0</v>
      </c>
      <c r="BM14">
        <v>0</v>
      </c>
      <c r="BN14">
        <v>0</v>
      </c>
      <c r="BO14">
        <v>0</v>
      </c>
      <c r="BP14">
        <v>0</v>
      </c>
      <c r="BQ14">
        <v>0</v>
      </c>
      <c r="BR14">
        <v>0</v>
      </c>
      <c r="BS14">
        <v>0</v>
      </c>
      <c r="BT14">
        <v>0</v>
      </c>
      <c r="BU14">
        <v>0</v>
      </c>
      <c r="BV14">
        <v>0</v>
      </c>
      <c r="BW14">
        <v>0</v>
      </c>
      <c r="BX14">
        <v>0</v>
      </c>
    </row>
    <row r="15" spans="1:143" x14ac:dyDescent="0.25">
      <c r="A15">
        <v>11</v>
      </c>
      <c r="B15" s="85">
        <f t="shared" si="0"/>
        <v>43899</v>
      </c>
      <c r="P15">
        <v>11</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0</v>
      </c>
      <c r="AL15">
        <v>0</v>
      </c>
      <c r="AM15">
        <v>0</v>
      </c>
      <c r="AN15">
        <v>0</v>
      </c>
      <c r="AO15">
        <v>0</v>
      </c>
      <c r="AP15">
        <v>0</v>
      </c>
      <c r="AQ15">
        <v>0</v>
      </c>
      <c r="AR15">
        <v>0</v>
      </c>
      <c r="AS15">
        <v>0</v>
      </c>
      <c r="AT15">
        <v>0</v>
      </c>
      <c r="AU15">
        <v>0</v>
      </c>
      <c r="AV15">
        <v>0</v>
      </c>
      <c r="AW15">
        <v>0</v>
      </c>
      <c r="AX15">
        <v>0</v>
      </c>
      <c r="AY15">
        <v>0</v>
      </c>
      <c r="AZ15">
        <v>0</v>
      </c>
      <c r="BA15">
        <v>0</v>
      </c>
      <c r="BB15">
        <v>0</v>
      </c>
      <c r="BC15">
        <v>0</v>
      </c>
      <c r="BD15">
        <v>0</v>
      </c>
      <c r="BE15">
        <v>0</v>
      </c>
      <c r="BF15">
        <v>0</v>
      </c>
      <c r="BG15">
        <v>0</v>
      </c>
      <c r="BH15">
        <v>0</v>
      </c>
      <c r="BI15">
        <v>0</v>
      </c>
      <c r="BJ15">
        <v>0</v>
      </c>
      <c r="BK15">
        <v>0</v>
      </c>
      <c r="BL15">
        <v>0</v>
      </c>
      <c r="BM15">
        <v>0</v>
      </c>
      <c r="BN15">
        <v>0</v>
      </c>
      <c r="BO15">
        <v>0</v>
      </c>
      <c r="BP15">
        <v>0</v>
      </c>
      <c r="BQ15">
        <v>0</v>
      </c>
      <c r="BR15">
        <v>0</v>
      </c>
      <c r="BS15">
        <v>0</v>
      </c>
      <c r="BT15">
        <v>0</v>
      </c>
      <c r="BU15">
        <v>0</v>
      </c>
      <c r="BV15">
        <v>0</v>
      </c>
      <c r="BW15">
        <v>0</v>
      </c>
      <c r="BX15">
        <v>0</v>
      </c>
    </row>
    <row r="16" spans="1:143" x14ac:dyDescent="0.25">
      <c r="A16">
        <v>12</v>
      </c>
      <c r="B16" s="85">
        <f t="shared" si="0"/>
        <v>43906</v>
      </c>
      <c r="P16">
        <v>12</v>
      </c>
      <c r="Q16">
        <v>0</v>
      </c>
      <c r="R16">
        <v>0</v>
      </c>
      <c r="S16">
        <v>0</v>
      </c>
      <c r="T16">
        <v>0</v>
      </c>
      <c r="U16">
        <v>0</v>
      </c>
      <c r="V16">
        <v>0</v>
      </c>
      <c r="W16">
        <v>0</v>
      </c>
      <c r="X16">
        <v>0</v>
      </c>
      <c r="Y16">
        <v>0</v>
      </c>
      <c r="Z16">
        <v>0</v>
      </c>
      <c r="AA16">
        <v>0</v>
      </c>
      <c r="AB16">
        <v>0</v>
      </c>
      <c r="AC16">
        <v>0</v>
      </c>
      <c r="AD16">
        <v>0</v>
      </c>
      <c r="AE16">
        <v>0</v>
      </c>
      <c r="AF16">
        <v>0</v>
      </c>
      <c r="AG16">
        <v>0</v>
      </c>
      <c r="AH16">
        <v>0</v>
      </c>
      <c r="AI16">
        <v>0</v>
      </c>
      <c r="AJ16">
        <v>0</v>
      </c>
      <c r="AK16">
        <v>0</v>
      </c>
      <c r="AL16">
        <v>0</v>
      </c>
      <c r="AM16">
        <v>0</v>
      </c>
      <c r="AN16">
        <v>0</v>
      </c>
      <c r="AO16">
        <v>0</v>
      </c>
      <c r="AP16">
        <v>0</v>
      </c>
      <c r="AQ16">
        <v>0</v>
      </c>
      <c r="AR16">
        <v>0</v>
      </c>
      <c r="AS16">
        <v>0</v>
      </c>
      <c r="AT16">
        <v>0</v>
      </c>
      <c r="AU16">
        <v>0</v>
      </c>
      <c r="AV16">
        <v>0</v>
      </c>
      <c r="AW16">
        <v>0</v>
      </c>
      <c r="AX16">
        <v>0</v>
      </c>
      <c r="AY16">
        <v>0</v>
      </c>
      <c r="AZ16">
        <v>0</v>
      </c>
      <c r="BA16">
        <v>0</v>
      </c>
      <c r="BB16">
        <v>0</v>
      </c>
      <c r="BC16">
        <v>0</v>
      </c>
      <c r="BD16">
        <v>0</v>
      </c>
      <c r="BE16">
        <v>0</v>
      </c>
      <c r="BF16">
        <v>0</v>
      </c>
      <c r="BG16">
        <v>0</v>
      </c>
      <c r="BH16">
        <v>0</v>
      </c>
      <c r="BI16">
        <v>0</v>
      </c>
      <c r="BJ16">
        <v>0</v>
      </c>
      <c r="BK16">
        <v>0</v>
      </c>
      <c r="BL16">
        <v>0</v>
      </c>
      <c r="BM16">
        <v>0</v>
      </c>
      <c r="BN16">
        <v>0</v>
      </c>
      <c r="BO16">
        <v>0</v>
      </c>
      <c r="BP16">
        <v>0</v>
      </c>
      <c r="BQ16">
        <v>0</v>
      </c>
      <c r="BR16">
        <v>0</v>
      </c>
      <c r="BS16">
        <v>0</v>
      </c>
      <c r="BT16">
        <v>0</v>
      </c>
      <c r="BU16">
        <v>0</v>
      </c>
      <c r="BV16">
        <v>0</v>
      </c>
      <c r="BW16">
        <v>0</v>
      </c>
      <c r="BX16">
        <v>0</v>
      </c>
    </row>
    <row r="17" spans="1:76" x14ac:dyDescent="0.25">
      <c r="A17">
        <v>13</v>
      </c>
      <c r="B17" s="85">
        <f t="shared" si="0"/>
        <v>43913</v>
      </c>
      <c r="P17">
        <v>13</v>
      </c>
      <c r="Q17">
        <v>0</v>
      </c>
      <c r="R17">
        <v>0</v>
      </c>
      <c r="S17">
        <v>0</v>
      </c>
      <c r="T17">
        <v>0</v>
      </c>
      <c r="U17">
        <v>0</v>
      </c>
      <c r="V17">
        <v>0</v>
      </c>
      <c r="W17">
        <v>0</v>
      </c>
      <c r="X17">
        <v>0</v>
      </c>
      <c r="Y17">
        <v>0</v>
      </c>
      <c r="Z17">
        <v>0</v>
      </c>
      <c r="AA17">
        <v>0</v>
      </c>
      <c r="AB17">
        <v>0</v>
      </c>
      <c r="AC17">
        <v>0</v>
      </c>
      <c r="AD17">
        <v>0</v>
      </c>
      <c r="AE17">
        <v>0</v>
      </c>
      <c r="AF17">
        <v>0</v>
      </c>
      <c r="AG17">
        <v>0</v>
      </c>
      <c r="AH17">
        <v>0</v>
      </c>
      <c r="AI17">
        <v>0</v>
      </c>
      <c r="AJ17">
        <v>0</v>
      </c>
      <c r="AK17">
        <v>0</v>
      </c>
      <c r="AL17">
        <v>0</v>
      </c>
      <c r="AM17">
        <v>0</v>
      </c>
      <c r="AN17">
        <v>0</v>
      </c>
      <c r="AO17">
        <v>0</v>
      </c>
      <c r="AP17">
        <v>0</v>
      </c>
      <c r="AQ17">
        <v>0</v>
      </c>
      <c r="AR17">
        <v>0</v>
      </c>
      <c r="AS17">
        <v>0</v>
      </c>
      <c r="AT17">
        <v>0</v>
      </c>
      <c r="AU17">
        <v>0</v>
      </c>
      <c r="AV17">
        <v>0</v>
      </c>
      <c r="AW17">
        <v>0</v>
      </c>
      <c r="AX17">
        <v>0</v>
      </c>
      <c r="AY17">
        <v>0</v>
      </c>
      <c r="AZ17">
        <v>0</v>
      </c>
      <c r="BA17">
        <v>0</v>
      </c>
      <c r="BB17">
        <v>0</v>
      </c>
      <c r="BC17">
        <v>0</v>
      </c>
      <c r="BD17">
        <v>0</v>
      </c>
      <c r="BE17">
        <v>0</v>
      </c>
      <c r="BF17">
        <v>0</v>
      </c>
      <c r="BG17">
        <v>0</v>
      </c>
      <c r="BH17">
        <v>0</v>
      </c>
      <c r="BI17">
        <v>0</v>
      </c>
      <c r="BJ17">
        <v>0</v>
      </c>
      <c r="BK17">
        <v>0</v>
      </c>
      <c r="BL17">
        <v>0</v>
      </c>
      <c r="BM17">
        <v>0</v>
      </c>
      <c r="BN17">
        <v>0</v>
      </c>
      <c r="BO17">
        <v>0</v>
      </c>
      <c r="BP17">
        <v>0</v>
      </c>
      <c r="BQ17">
        <v>0</v>
      </c>
      <c r="BR17">
        <v>0</v>
      </c>
      <c r="BS17">
        <v>0</v>
      </c>
      <c r="BT17">
        <v>0</v>
      </c>
      <c r="BU17">
        <v>0</v>
      </c>
      <c r="BV17">
        <v>0</v>
      </c>
      <c r="BW17">
        <v>0</v>
      </c>
      <c r="BX17">
        <v>0</v>
      </c>
    </row>
    <row r="18" spans="1:76" x14ac:dyDescent="0.25">
      <c r="A18">
        <v>14</v>
      </c>
      <c r="B18" s="85">
        <f t="shared" si="0"/>
        <v>43920</v>
      </c>
      <c r="P18">
        <v>14</v>
      </c>
      <c r="Q18">
        <v>0</v>
      </c>
      <c r="R18">
        <v>0</v>
      </c>
      <c r="S18">
        <v>0</v>
      </c>
      <c r="T18">
        <v>0</v>
      </c>
      <c r="U18">
        <v>0</v>
      </c>
      <c r="V18">
        <v>0</v>
      </c>
      <c r="W18">
        <v>0</v>
      </c>
      <c r="X18">
        <v>0</v>
      </c>
      <c r="Y18">
        <v>0</v>
      </c>
      <c r="Z18">
        <v>0</v>
      </c>
      <c r="AA18">
        <v>0</v>
      </c>
      <c r="AB18">
        <v>0</v>
      </c>
      <c r="AC18">
        <v>0</v>
      </c>
      <c r="AD18">
        <v>0</v>
      </c>
      <c r="AE18">
        <v>0</v>
      </c>
      <c r="AF18">
        <v>0</v>
      </c>
      <c r="AG18">
        <v>0</v>
      </c>
      <c r="AH18">
        <v>0</v>
      </c>
      <c r="AI18">
        <v>0</v>
      </c>
      <c r="AJ18">
        <v>0</v>
      </c>
      <c r="AK18">
        <v>0</v>
      </c>
      <c r="AL18">
        <v>0</v>
      </c>
      <c r="AM18">
        <v>0</v>
      </c>
      <c r="AN18">
        <v>0</v>
      </c>
      <c r="AO18">
        <v>0</v>
      </c>
      <c r="AP18">
        <v>0</v>
      </c>
      <c r="AQ18">
        <v>0</v>
      </c>
      <c r="AR18">
        <v>0</v>
      </c>
      <c r="AS18">
        <v>0</v>
      </c>
      <c r="AT18">
        <v>0</v>
      </c>
      <c r="AU18">
        <v>0</v>
      </c>
      <c r="AV18">
        <v>0</v>
      </c>
      <c r="AW18">
        <v>0</v>
      </c>
      <c r="AX18">
        <v>0</v>
      </c>
      <c r="AY18">
        <v>0</v>
      </c>
      <c r="AZ18">
        <v>0</v>
      </c>
      <c r="BA18">
        <v>0</v>
      </c>
      <c r="BB18">
        <v>0</v>
      </c>
      <c r="BC18">
        <v>0</v>
      </c>
      <c r="BD18">
        <v>0</v>
      </c>
      <c r="BE18">
        <v>0</v>
      </c>
      <c r="BF18">
        <v>0</v>
      </c>
      <c r="BG18">
        <v>0</v>
      </c>
      <c r="BH18">
        <v>0</v>
      </c>
      <c r="BI18">
        <v>0</v>
      </c>
      <c r="BJ18">
        <v>0</v>
      </c>
      <c r="BK18">
        <v>0</v>
      </c>
      <c r="BL18">
        <v>0</v>
      </c>
      <c r="BM18">
        <v>0</v>
      </c>
      <c r="BN18">
        <v>0</v>
      </c>
      <c r="BO18">
        <v>0</v>
      </c>
      <c r="BP18">
        <v>0</v>
      </c>
      <c r="BQ18">
        <v>0</v>
      </c>
      <c r="BR18">
        <v>0</v>
      </c>
      <c r="BS18">
        <v>0</v>
      </c>
      <c r="BT18">
        <v>0</v>
      </c>
      <c r="BU18">
        <v>0</v>
      </c>
      <c r="BV18">
        <v>0</v>
      </c>
      <c r="BW18">
        <v>0</v>
      </c>
      <c r="BX18">
        <v>0</v>
      </c>
    </row>
    <row r="19" spans="1:76" x14ac:dyDescent="0.25">
      <c r="A19">
        <v>15</v>
      </c>
      <c r="B19" s="85">
        <f t="shared" si="0"/>
        <v>43927</v>
      </c>
      <c r="P19">
        <v>15</v>
      </c>
      <c r="Q19">
        <v>0</v>
      </c>
      <c r="R19">
        <v>0</v>
      </c>
      <c r="S19">
        <v>0</v>
      </c>
      <c r="T19">
        <v>0</v>
      </c>
      <c r="U19">
        <v>0</v>
      </c>
      <c r="V19">
        <v>0</v>
      </c>
      <c r="W19">
        <v>0</v>
      </c>
      <c r="X19">
        <v>0</v>
      </c>
      <c r="Y19">
        <v>0</v>
      </c>
      <c r="Z19">
        <v>0</v>
      </c>
      <c r="AA19">
        <v>0</v>
      </c>
      <c r="AB19">
        <v>0</v>
      </c>
      <c r="AC19">
        <v>0</v>
      </c>
      <c r="AD19">
        <v>0</v>
      </c>
      <c r="AE19">
        <v>0</v>
      </c>
      <c r="AF19">
        <v>0</v>
      </c>
      <c r="AG19">
        <v>0</v>
      </c>
      <c r="AH19">
        <v>0</v>
      </c>
      <c r="AI19">
        <v>0</v>
      </c>
      <c r="AJ19">
        <v>0</v>
      </c>
      <c r="AK19">
        <v>0</v>
      </c>
      <c r="AL19">
        <v>0</v>
      </c>
      <c r="AM19">
        <v>0</v>
      </c>
      <c r="AN19">
        <v>0</v>
      </c>
      <c r="AO19">
        <v>0</v>
      </c>
      <c r="AP19">
        <v>0</v>
      </c>
      <c r="AQ19">
        <v>0</v>
      </c>
      <c r="AR19">
        <v>0</v>
      </c>
      <c r="AS19">
        <v>0</v>
      </c>
      <c r="AT19">
        <v>0</v>
      </c>
      <c r="AU19">
        <v>0</v>
      </c>
      <c r="AV19">
        <v>0</v>
      </c>
      <c r="AW19">
        <v>0</v>
      </c>
      <c r="AX19">
        <v>0</v>
      </c>
      <c r="AY19">
        <v>0</v>
      </c>
      <c r="AZ19">
        <v>0</v>
      </c>
      <c r="BA19">
        <v>0</v>
      </c>
      <c r="BB19">
        <v>0</v>
      </c>
      <c r="BC19">
        <v>0</v>
      </c>
      <c r="BD19">
        <v>0</v>
      </c>
      <c r="BE19">
        <v>0</v>
      </c>
      <c r="BF19">
        <v>0</v>
      </c>
      <c r="BG19">
        <v>0</v>
      </c>
      <c r="BH19">
        <v>0</v>
      </c>
      <c r="BI19">
        <v>0</v>
      </c>
      <c r="BJ19">
        <v>0</v>
      </c>
      <c r="BK19">
        <v>0</v>
      </c>
      <c r="BL19">
        <v>0</v>
      </c>
      <c r="BM19">
        <v>0</v>
      </c>
      <c r="BN19">
        <v>0</v>
      </c>
      <c r="BO19">
        <v>0</v>
      </c>
      <c r="BP19">
        <v>0</v>
      </c>
      <c r="BQ19">
        <v>0</v>
      </c>
      <c r="BR19">
        <v>0</v>
      </c>
      <c r="BS19">
        <v>0</v>
      </c>
      <c r="BT19">
        <v>0</v>
      </c>
      <c r="BU19">
        <v>0</v>
      </c>
      <c r="BV19">
        <v>0</v>
      </c>
      <c r="BW19">
        <v>0</v>
      </c>
      <c r="BX19">
        <v>0</v>
      </c>
    </row>
    <row r="20" spans="1:76" x14ac:dyDescent="0.25">
      <c r="A20">
        <v>16</v>
      </c>
      <c r="B20" s="85">
        <f t="shared" si="0"/>
        <v>43934</v>
      </c>
      <c r="P20">
        <v>16</v>
      </c>
      <c r="Q20">
        <v>0</v>
      </c>
      <c r="R20">
        <v>0</v>
      </c>
      <c r="S20">
        <v>0</v>
      </c>
      <c r="T20">
        <v>0</v>
      </c>
      <c r="U20">
        <v>0</v>
      </c>
      <c r="V20">
        <v>0</v>
      </c>
      <c r="W20">
        <v>0</v>
      </c>
      <c r="X20">
        <v>0</v>
      </c>
      <c r="Y20">
        <v>0</v>
      </c>
      <c r="Z20">
        <v>0</v>
      </c>
      <c r="AA20">
        <v>0</v>
      </c>
      <c r="AB20">
        <v>0</v>
      </c>
      <c r="AC20">
        <v>0</v>
      </c>
      <c r="AD20">
        <v>0</v>
      </c>
      <c r="AE20">
        <v>0</v>
      </c>
      <c r="AF20">
        <v>0</v>
      </c>
      <c r="AG20">
        <v>0</v>
      </c>
      <c r="AH20">
        <v>0</v>
      </c>
      <c r="AI20">
        <v>0</v>
      </c>
      <c r="AJ20">
        <v>0</v>
      </c>
      <c r="AK20">
        <v>0</v>
      </c>
      <c r="AL20">
        <v>0</v>
      </c>
      <c r="AM20">
        <v>0</v>
      </c>
      <c r="AN20">
        <v>0</v>
      </c>
      <c r="AO20">
        <v>0</v>
      </c>
      <c r="AP20">
        <v>0</v>
      </c>
      <c r="AQ20">
        <v>0</v>
      </c>
      <c r="AR20">
        <v>0</v>
      </c>
      <c r="AS20">
        <v>0</v>
      </c>
      <c r="AT20">
        <v>0</v>
      </c>
      <c r="AU20">
        <v>0</v>
      </c>
      <c r="AV20">
        <v>0</v>
      </c>
      <c r="AW20">
        <v>0</v>
      </c>
      <c r="AX20">
        <v>0</v>
      </c>
      <c r="AY20">
        <v>0</v>
      </c>
      <c r="AZ20">
        <v>0</v>
      </c>
      <c r="BA20">
        <v>0</v>
      </c>
      <c r="BB20">
        <v>0</v>
      </c>
      <c r="BC20">
        <v>0</v>
      </c>
      <c r="BD20">
        <v>0</v>
      </c>
      <c r="BE20">
        <v>0</v>
      </c>
      <c r="BF20">
        <v>0</v>
      </c>
      <c r="BG20">
        <v>0</v>
      </c>
      <c r="BH20">
        <v>0</v>
      </c>
      <c r="BI20">
        <v>0</v>
      </c>
      <c r="BJ20">
        <v>0</v>
      </c>
      <c r="BK20">
        <v>0</v>
      </c>
      <c r="BL20">
        <v>0</v>
      </c>
      <c r="BM20">
        <v>0</v>
      </c>
      <c r="BN20">
        <v>0</v>
      </c>
      <c r="BO20">
        <v>0</v>
      </c>
      <c r="BP20">
        <v>0</v>
      </c>
      <c r="BQ20">
        <v>0</v>
      </c>
      <c r="BR20">
        <v>0</v>
      </c>
      <c r="BS20">
        <v>0</v>
      </c>
      <c r="BT20">
        <v>0</v>
      </c>
      <c r="BU20">
        <v>0</v>
      </c>
      <c r="BV20">
        <v>0</v>
      </c>
      <c r="BW20">
        <v>0</v>
      </c>
      <c r="BX20">
        <v>0</v>
      </c>
    </row>
    <row r="21" spans="1:76" x14ac:dyDescent="0.25">
      <c r="A21">
        <v>17</v>
      </c>
      <c r="B21" s="85">
        <f t="shared" si="0"/>
        <v>43941</v>
      </c>
      <c r="P21">
        <v>17</v>
      </c>
      <c r="Q21">
        <v>0</v>
      </c>
      <c r="R21">
        <v>0</v>
      </c>
      <c r="S21">
        <v>0</v>
      </c>
      <c r="T21">
        <v>0</v>
      </c>
      <c r="U21">
        <v>0</v>
      </c>
      <c r="V21">
        <v>0</v>
      </c>
      <c r="W21">
        <v>0</v>
      </c>
      <c r="X21">
        <v>0</v>
      </c>
      <c r="Y21">
        <v>0</v>
      </c>
      <c r="Z21">
        <v>0</v>
      </c>
      <c r="AA21">
        <v>0</v>
      </c>
      <c r="AB21">
        <v>0</v>
      </c>
      <c r="AC21">
        <v>0</v>
      </c>
      <c r="AD21">
        <v>0</v>
      </c>
      <c r="AE21">
        <v>0</v>
      </c>
      <c r="AF21">
        <v>0</v>
      </c>
      <c r="AG21">
        <v>0</v>
      </c>
      <c r="AH21">
        <v>0</v>
      </c>
      <c r="AI21">
        <v>0</v>
      </c>
      <c r="AJ21">
        <v>0</v>
      </c>
      <c r="AK21">
        <v>0</v>
      </c>
      <c r="AL21">
        <v>0</v>
      </c>
      <c r="AM21">
        <v>0</v>
      </c>
      <c r="AN21">
        <v>0</v>
      </c>
      <c r="AO21">
        <v>0</v>
      </c>
      <c r="AP21">
        <v>0</v>
      </c>
      <c r="AQ21">
        <v>0</v>
      </c>
      <c r="AR21">
        <v>0</v>
      </c>
      <c r="AS21">
        <v>0</v>
      </c>
      <c r="AT21">
        <v>0</v>
      </c>
      <c r="AU21">
        <v>0</v>
      </c>
      <c r="AV21">
        <v>0</v>
      </c>
      <c r="AW21">
        <v>0</v>
      </c>
      <c r="AX21">
        <v>0</v>
      </c>
      <c r="AY21">
        <v>0</v>
      </c>
      <c r="AZ21">
        <v>0</v>
      </c>
      <c r="BA21">
        <v>0</v>
      </c>
      <c r="BB21">
        <v>0</v>
      </c>
      <c r="BC21">
        <v>0</v>
      </c>
      <c r="BD21">
        <v>0</v>
      </c>
      <c r="BE21">
        <v>0</v>
      </c>
      <c r="BF21">
        <v>0</v>
      </c>
      <c r="BG21">
        <v>0</v>
      </c>
      <c r="BH21">
        <v>0</v>
      </c>
      <c r="BI21">
        <v>0</v>
      </c>
      <c r="BJ21">
        <v>0</v>
      </c>
      <c r="BK21">
        <v>0</v>
      </c>
      <c r="BL21">
        <v>0</v>
      </c>
      <c r="BM21">
        <v>0</v>
      </c>
      <c r="BN21">
        <v>0</v>
      </c>
      <c r="BO21">
        <v>0</v>
      </c>
      <c r="BP21">
        <v>0</v>
      </c>
      <c r="BQ21">
        <v>0</v>
      </c>
      <c r="BR21">
        <v>0</v>
      </c>
      <c r="BS21">
        <v>0</v>
      </c>
      <c r="BT21">
        <v>0</v>
      </c>
      <c r="BU21">
        <v>0</v>
      </c>
      <c r="BV21">
        <v>0</v>
      </c>
      <c r="BW21">
        <v>0</v>
      </c>
      <c r="BX21">
        <v>0</v>
      </c>
    </row>
    <row r="22" spans="1:76" x14ac:dyDescent="0.25">
      <c r="A22">
        <v>18</v>
      </c>
      <c r="B22" s="85">
        <f t="shared" si="0"/>
        <v>43948</v>
      </c>
      <c r="P22">
        <v>18</v>
      </c>
      <c r="Q22">
        <v>0</v>
      </c>
      <c r="R22">
        <v>0</v>
      </c>
      <c r="S22">
        <v>0</v>
      </c>
      <c r="T22">
        <v>0</v>
      </c>
      <c r="U22">
        <v>0</v>
      </c>
      <c r="V22">
        <v>0</v>
      </c>
      <c r="W22">
        <v>0</v>
      </c>
      <c r="X22">
        <v>0</v>
      </c>
      <c r="Y22">
        <v>0</v>
      </c>
      <c r="Z22">
        <v>0</v>
      </c>
      <c r="AA22">
        <v>0</v>
      </c>
      <c r="AB22">
        <v>0</v>
      </c>
      <c r="AC22">
        <v>0</v>
      </c>
      <c r="AD22">
        <v>0</v>
      </c>
      <c r="AE22">
        <v>0</v>
      </c>
      <c r="AF22">
        <v>0</v>
      </c>
      <c r="AG22">
        <v>0</v>
      </c>
      <c r="AH22">
        <v>0</v>
      </c>
      <c r="AI22">
        <v>0</v>
      </c>
      <c r="AJ22">
        <v>0</v>
      </c>
      <c r="AK22">
        <v>0</v>
      </c>
      <c r="AL22">
        <v>0</v>
      </c>
      <c r="AM22">
        <v>0</v>
      </c>
      <c r="AN22">
        <v>0</v>
      </c>
      <c r="AO22">
        <v>0</v>
      </c>
      <c r="AP22">
        <v>0</v>
      </c>
      <c r="AQ22">
        <v>0</v>
      </c>
      <c r="AR22">
        <v>0</v>
      </c>
      <c r="AS22">
        <v>0</v>
      </c>
      <c r="AT22">
        <v>0</v>
      </c>
      <c r="AU22">
        <v>0</v>
      </c>
      <c r="AV22">
        <v>0</v>
      </c>
      <c r="AW22">
        <v>0</v>
      </c>
      <c r="AX22">
        <v>0</v>
      </c>
      <c r="AY22">
        <v>0</v>
      </c>
      <c r="AZ22">
        <v>0</v>
      </c>
      <c r="BA22">
        <v>0</v>
      </c>
      <c r="BB22">
        <v>0</v>
      </c>
      <c r="BC22">
        <v>0</v>
      </c>
      <c r="BD22">
        <v>0</v>
      </c>
      <c r="BE22">
        <v>0</v>
      </c>
      <c r="BF22">
        <v>0</v>
      </c>
      <c r="BG22">
        <v>0</v>
      </c>
      <c r="BH22">
        <v>0</v>
      </c>
      <c r="BI22">
        <v>0</v>
      </c>
      <c r="BJ22">
        <v>0</v>
      </c>
      <c r="BK22">
        <v>0</v>
      </c>
      <c r="BL22">
        <v>0</v>
      </c>
      <c r="BM22">
        <v>0</v>
      </c>
      <c r="BN22">
        <v>0</v>
      </c>
      <c r="BO22">
        <v>0</v>
      </c>
      <c r="BP22">
        <v>0</v>
      </c>
      <c r="BQ22">
        <v>0</v>
      </c>
      <c r="BR22">
        <v>0</v>
      </c>
      <c r="BS22">
        <v>0</v>
      </c>
      <c r="BT22">
        <v>0</v>
      </c>
      <c r="BU22">
        <v>0</v>
      </c>
      <c r="BV22">
        <v>0</v>
      </c>
      <c r="BW22">
        <v>0</v>
      </c>
      <c r="BX22">
        <v>0</v>
      </c>
    </row>
    <row r="23" spans="1:76" x14ac:dyDescent="0.25">
      <c r="A23">
        <v>19</v>
      </c>
      <c r="B23" s="85">
        <f t="shared" si="0"/>
        <v>43955</v>
      </c>
      <c r="P23">
        <v>19</v>
      </c>
      <c r="Q23">
        <v>0</v>
      </c>
      <c r="R23">
        <v>0</v>
      </c>
      <c r="S23">
        <v>0</v>
      </c>
      <c r="T23">
        <v>0</v>
      </c>
      <c r="U23">
        <v>0</v>
      </c>
      <c r="V23">
        <v>0</v>
      </c>
      <c r="W23">
        <v>0</v>
      </c>
      <c r="X23">
        <v>0</v>
      </c>
      <c r="Y23">
        <v>0</v>
      </c>
      <c r="Z23">
        <v>0</v>
      </c>
      <c r="AA23">
        <v>0</v>
      </c>
      <c r="AB23">
        <v>0</v>
      </c>
      <c r="AC23">
        <v>0</v>
      </c>
      <c r="AD23">
        <v>0</v>
      </c>
      <c r="AE23">
        <v>0</v>
      </c>
      <c r="AF23">
        <v>0</v>
      </c>
      <c r="AG23">
        <v>0</v>
      </c>
      <c r="AH23">
        <v>0</v>
      </c>
      <c r="AI23">
        <v>0</v>
      </c>
      <c r="AJ23">
        <v>0</v>
      </c>
      <c r="AK23">
        <v>0</v>
      </c>
      <c r="AL23">
        <v>0</v>
      </c>
      <c r="AM23">
        <v>0</v>
      </c>
      <c r="AN23">
        <v>0</v>
      </c>
      <c r="AO23">
        <v>0</v>
      </c>
      <c r="AP23">
        <v>0</v>
      </c>
      <c r="AQ23">
        <v>0</v>
      </c>
      <c r="AR23">
        <v>0</v>
      </c>
      <c r="AS23">
        <v>0</v>
      </c>
      <c r="AT23">
        <v>0</v>
      </c>
      <c r="AU23">
        <v>0</v>
      </c>
      <c r="AV23">
        <v>0</v>
      </c>
      <c r="AW23">
        <v>0</v>
      </c>
      <c r="AX23">
        <v>0</v>
      </c>
      <c r="AY23">
        <v>0</v>
      </c>
      <c r="AZ23">
        <v>0</v>
      </c>
      <c r="BA23">
        <v>0</v>
      </c>
      <c r="BB23">
        <v>0</v>
      </c>
      <c r="BC23">
        <v>0</v>
      </c>
      <c r="BD23">
        <v>0</v>
      </c>
      <c r="BE23">
        <v>0</v>
      </c>
      <c r="BF23">
        <v>0</v>
      </c>
      <c r="BG23">
        <v>0</v>
      </c>
      <c r="BH23">
        <v>0</v>
      </c>
      <c r="BI23">
        <v>0</v>
      </c>
      <c r="BJ23">
        <v>0</v>
      </c>
      <c r="BK23">
        <v>0</v>
      </c>
      <c r="BL23">
        <v>0</v>
      </c>
      <c r="BM23">
        <v>0</v>
      </c>
      <c r="BN23">
        <v>0</v>
      </c>
      <c r="BO23">
        <v>0</v>
      </c>
      <c r="BP23">
        <v>0</v>
      </c>
      <c r="BQ23">
        <v>0</v>
      </c>
      <c r="BR23">
        <v>0</v>
      </c>
      <c r="BS23">
        <v>0</v>
      </c>
      <c r="BT23">
        <v>0</v>
      </c>
      <c r="BU23">
        <v>0</v>
      </c>
      <c r="BV23">
        <v>0</v>
      </c>
      <c r="BW23">
        <v>0</v>
      </c>
      <c r="BX23">
        <v>0</v>
      </c>
    </row>
    <row r="24" spans="1:76" x14ac:dyDescent="0.25">
      <c r="A24">
        <v>20</v>
      </c>
      <c r="B24" s="85">
        <f t="shared" si="0"/>
        <v>43962</v>
      </c>
      <c r="P24">
        <v>20</v>
      </c>
      <c r="Q24">
        <v>0</v>
      </c>
      <c r="R24">
        <v>0</v>
      </c>
      <c r="S24">
        <v>0</v>
      </c>
      <c r="T24">
        <v>0</v>
      </c>
      <c r="U24">
        <v>0</v>
      </c>
      <c r="V24">
        <v>0</v>
      </c>
      <c r="W24">
        <v>0</v>
      </c>
      <c r="X24">
        <v>0</v>
      </c>
      <c r="Y24">
        <v>0</v>
      </c>
      <c r="Z24">
        <v>0</v>
      </c>
      <c r="AA24">
        <v>0</v>
      </c>
      <c r="AB24">
        <v>0</v>
      </c>
      <c r="AC24">
        <v>0</v>
      </c>
      <c r="AD24">
        <v>0</v>
      </c>
      <c r="AE24">
        <v>0</v>
      </c>
      <c r="AF24">
        <v>0</v>
      </c>
      <c r="AG24">
        <v>0</v>
      </c>
      <c r="AH24">
        <v>0</v>
      </c>
      <c r="AI24">
        <v>0</v>
      </c>
      <c r="AJ24">
        <v>0</v>
      </c>
      <c r="AK24">
        <v>0</v>
      </c>
      <c r="AL24">
        <v>0</v>
      </c>
      <c r="AM24">
        <v>0</v>
      </c>
      <c r="AN24">
        <v>0</v>
      </c>
      <c r="AO24">
        <v>0</v>
      </c>
      <c r="AP24">
        <v>0</v>
      </c>
      <c r="AQ24">
        <v>0</v>
      </c>
      <c r="AR24">
        <v>0</v>
      </c>
      <c r="AS24">
        <v>0</v>
      </c>
      <c r="AT24">
        <v>0</v>
      </c>
      <c r="AU24">
        <v>0</v>
      </c>
      <c r="AV24">
        <v>0</v>
      </c>
      <c r="AW24">
        <v>0</v>
      </c>
      <c r="AX24">
        <v>0</v>
      </c>
      <c r="AY24">
        <v>0</v>
      </c>
      <c r="AZ24">
        <v>0</v>
      </c>
      <c r="BA24">
        <v>0</v>
      </c>
      <c r="BB24">
        <v>0</v>
      </c>
      <c r="BC24">
        <v>0</v>
      </c>
      <c r="BD24">
        <v>0</v>
      </c>
      <c r="BE24">
        <v>0</v>
      </c>
      <c r="BF24">
        <v>0</v>
      </c>
      <c r="BG24">
        <v>0</v>
      </c>
      <c r="BH24">
        <v>0</v>
      </c>
      <c r="BI24">
        <v>0</v>
      </c>
      <c r="BJ24">
        <v>0</v>
      </c>
      <c r="BK24">
        <v>0</v>
      </c>
      <c r="BL24">
        <v>0</v>
      </c>
      <c r="BM24">
        <v>0</v>
      </c>
      <c r="BN24">
        <v>0</v>
      </c>
      <c r="BO24">
        <v>0</v>
      </c>
      <c r="BP24">
        <v>0</v>
      </c>
      <c r="BQ24">
        <v>0</v>
      </c>
      <c r="BR24">
        <v>0</v>
      </c>
      <c r="BS24">
        <v>0</v>
      </c>
      <c r="BT24">
        <v>0</v>
      </c>
      <c r="BU24">
        <v>0</v>
      </c>
      <c r="BV24">
        <v>0</v>
      </c>
      <c r="BW24">
        <v>0</v>
      </c>
      <c r="BX24">
        <v>0</v>
      </c>
    </row>
    <row r="25" spans="1:76" x14ac:dyDescent="0.25">
      <c r="A25">
        <v>21</v>
      </c>
      <c r="B25" s="85">
        <f t="shared" si="0"/>
        <v>43969</v>
      </c>
      <c r="P25">
        <v>21</v>
      </c>
      <c r="Q25">
        <v>0</v>
      </c>
      <c r="R25">
        <v>0</v>
      </c>
      <c r="S25">
        <v>0</v>
      </c>
      <c r="T25">
        <v>0</v>
      </c>
      <c r="U25">
        <v>0</v>
      </c>
      <c r="V25">
        <v>0</v>
      </c>
      <c r="W25">
        <v>0</v>
      </c>
      <c r="X25">
        <v>0</v>
      </c>
      <c r="Y25">
        <v>0</v>
      </c>
      <c r="Z25">
        <v>0</v>
      </c>
      <c r="AA25">
        <v>0</v>
      </c>
      <c r="AB25">
        <v>0</v>
      </c>
      <c r="AC25">
        <v>0</v>
      </c>
      <c r="AD25">
        <v>0</v>
      </c>
      <c r="AE25">
        <v>0</v>
      </c>
      <c r="AF25">
        <v>0</v>
      </c>
      <c r="AG25">
        <v>0</v>
      </c>
      <c r="AH25">
        <v>0</v>
      </c>
      <c r="AI25">
        <v>0</v>
      </c>
      <c r="AJ25">
        <v>0</v>
      </c>
      <c r="AK25">
        <v>0</v>
      </c>
      <c r="AL25">
        <v>0</v>
      </c>
      <c r="AM25">
        <v>0</v>
      </c>
      <c r="AN25">
        <v>0</v>
      </c>
      <c r="AO25">
        <v>0</v>
      </c>
      <c r="AP25">
        <v>0</v>
      </c>
      <c r="AQ25">
        <v>0</v>
      </c>
      <c r="AR25">
        <v>0</v>
      </c>
      <c r="AS25">
        <v>0</v>
      </c>
      <c r="AT25">
        <v>0</v>
      </c>
      <c r="AU25">
        <v>0</v>
      </c>
      <c r="AV25">
        <v>0</v>
      </c>
      <c r="AW25">
        <v>0</v>
      </c>
      <c r="AX25">
        <v>0</v>
      </c>
      <c r="AY25">
        <v>0</v>
      </c>
      <c r="AZ25">
        <v>0</v>
      </c>
      <c r="BA25">
        <v>0</v>
      </c>
      <c r="BB25">
        <v>0</v>
      </c>
      <c r="BC25">
        <v>0</v>
      </c>
      <c r="BD25">
        <v>0</v>
      </c>
      <c r="BE25">
        <v>0</v>
      </c>
      <c r="BF25">
        <v>0</v>
      </c>
      <c r="BG25">
        <v>0</v>
      </c>
      <c r="BH25">
        <v>0</v>
      </c>
      <c r="BI25">
        <v>0</v>
      </c>
      <c r="BJ25">
        <v>0</v>
      </c>
      <c r="BK25">
        <v>0</v>
      </c>
      <c r="BL25">
        <v>0</v>
      </c>
      <c r="BM25">
        <v>0</v>
      </c>
      <c r="BN25">
        <v>0</v>
      </c>
      <c r="BO25">
        <v>0</v>
      </c>
      <c r="BP25">
        <v>0</v>
      </c>
      <c r="BQ25">
        <v>0</v>
      </c>
      <c r="BR25">
        <v>0</v>
      </c>
      <c r="BS25">
        <v>0</v>
      </c>
      <c r="BT25">
        <v>0</v>
      </c>
      <c r="BU25">
        <v>0</v>
      </c>
      <c r="BV25">
        <v>0</v>
      </c>
      <c r="BW25">
        <v>0</v>
      </c>
      <c r="BX25">
        <v>0</v>
      </c>
    </row>
    <row r="26" spans="1:76" x14ac:dyDescent="0.25">
      <c r="A26">
        <v>22</v>
      </c>
      <c r="B26" s="85">
        <f t="shared" si="0"/>
        <v>43976</v>
      </c>
      <c r="P26">
        <v>22</v>
      </c>
      <c r="Q26">
        <v>0</v>
      </c>
      <c r="R26">
        <v>0</v>
      </c>
      <c r="S26">
        <v>0</v>
      </c>
      <c r="T26">
        <v>0</v>
      </c>
      <c r="U26">
        <v>0</v>
      </c>
      <c r="V26">
        <v>0</v>
      </c>
      <c r="W26">
        <v>0</v>
      </c>
      <c r="X26">
        <v>0</v>
      </c>
      <c r="Y26">
        <v>0</v>
      </c>
      <c r="Z26">
        <v>0</v>
      </c>
      <c r="AA26">
        <v>0</v>
      </c>
      <c r="AB26">
        <v>0</v>
      </c>
      <c r="AC26">
        <v>0</v>
      </c>
      <c r="AD26">
        <v>0</v>
      </c>
      <c r="AE26">
        <v>0</v>
      </c>
      <c r="AF26">
        <v>0</v>
      </c>
      <c r="AG26">
        <v>0</v>
      </c>
      <c r="AH26">
        <v>0</v>
      </c>
      <c r="AI26">
        <v>0</v>
      </c>
      <c r="AJ26">
        <v>0</v>
      </c>
      <c r="AK26">
        <v>0</v>
      </c>
      <c r="AL26">
        <v>0</v>
      </c>
      <c r="AM26">
        <v>0</v>
      </c>
      <c r="AN26">
        <v>0</v>
      </c>
      <c r="AO26">
        <v>0</v>
      </c>
      <c r="AP26">
        <v>0</v>
      </c>
      <c r="AQ26">
        <v>0</v>
      </c>
      <c r="AR26">
        <v>0</v>
      </c>
      <c r="AS26">
        <v>0</v>
      </c>
      <c r="AT26">
        <v>0</v>
      </c>
      <c r="AU26">
        <v>0</v>
      </c>
      <c r="AV26">
        <v>0</v>
      </c>
      <c r="AW26">
        <v>0</v>
      </c>
      <c r="AX26">
        <v>0</v>
      </c>
      <c r="AY26">
        <v>0</v>
      </c>
      <c r="AZ26">
        <v>0</v>
      </c>
      <c r="BA26">
        <v>0</v>
      </c>
      <c r="BB26">
        <v>0</v>
      </c>
      <c r="BC26">
        <v>0</v>
      </c>
      <c r="BD26">
        <v>0</v>
      </c>
      <c r="BE26">
        <v>0</v>
      </c>
      <c r="BF26">
        <v>0</v>
      </c>
      <c r="BG26">
        <v>0</v>
      </c>
      <c r="BH26">
        <v>0</v>
      </c>
      <c r="BI26">
        <v>0</v>
      </c>
      <c r="BJ26">
        <v>0</v>
      </c>
      <c r="BK26">
        <v>0</v>
      </c>
      <c r="BL26">
        <v>0</v>
      </c>
      <c r="BM26">
        <v>0</v>
      </c>
      <c r="BN26">
        <v>0</v>
      </c>
      <c r="BO26">
        <v>0</v>
      </c>
      <c r="BP26">
        <v>0</v>
      </c>
      <c r="BQ26">
        <v>0</v>
      </c>
      <c r="BR26">
        <v>0</v>
      </c>
      <c r="BS26">
        <v>0</v>
      </c>
      <c r="BT26">
        <v>0</v>
      </c>
      <c r="BU26">
        <v>0</v>
      </c>
      <c r="BV26">
        <v>0</v>
      </c>
      <c r="BW26">
        <v>0</v>
      </c>
      <c r="BX26">
        <v>0</v>
      </c>
    </row>
    <row r="27" spans="1:76" x14ac:dyDescent="0.25">
      <c r="A27">
        <v>23</v>
      </c>
      <c r="B27" s="85">
        <f t="shared" si="0"/>
        <v>43983</v>
      </c>
      <c r="P27">
        <v>23</v>
      </c>
      <c r="Q27">
        <v>0</v>
      </c>
      <c r="R27">
        <v>0</v>
      </c>
      <c r="S27">
        <v>0</v>
      </c>
      <c r="T27">
        <v>0</v>
      </c>
      <c r="U27">
        <v>0</v>
      </c>
      <c r="V27">
        <v>0</v>
      </c>
      <c r="W27">
        <v>0</v>
      </c>
      <c r="X27">
        <v>0</v>
      </c>
      <c r="Y27">
        <v>0</v>
      </c>
      <c r="Z27">
        <v>0</v>
      </c>
      <c r="AA27">
        <v>0</v>
      </c>
      <c r="AB27">
        <v>0</v>
      </c>
      <c r="AC27">
        <v>0</v>
      </c>
      <c r="AD27">
        <v>0</v>
      </c>
      <c r="AE27">
        <v>0</v>
      </c>
      <c r="AF27">
        <v>0</v>
      </c>
      <c r="AG27">
        <v>0</v>
      </c>
      <c r="AH27">
        <v>0</v>
      </c>
      <c r="AI27">
        <v>0</v>
      </c>
      <c r="AJ27">
        <v>0</v>
      </c>
      <c r="AK27">
        <v>0</v>
      </c>
      <c r="AL27">
        <v>0</v>
      </c>
      <c r="AM27">
        <v>0</v>
      </c>
      <c r="AN27">
        <v>0</v>
      </c>
      <c r="AO27">
        <v>0</v>
      </c>
      <c r="AP27">
        <v>0</v>
      </c>
      <c r="AQ27">
        <v>0</v>
      </c>
      <c r="AR27">
        <v>0</v>
      </c>
      <c r="AS27">
        <v>0</v>
      </c>
      <c r="AT27">
        <v>0</v>
      </c>
      <c r="AU27">
        <v>0</v>
      </c>
      <c r="AV27">
        <v>0</v>
      </c>
      <c r="AW27">
        <v>0</v>
      </c>
      <c r="AX27">
        <v>0</v>
      </c>
      <c r="AY27">
        <v>0</v>
      </c>
      <c r="AZ27">
        <v>0</v>
      </c>
      <c r="BA27">
        <v>0</v>
      </c>
      <c r="BB27">
        <v>0</v>
      </c>
      <c r="BC27">
        <v>0</v>
      </c>
      <c r="BD27">
        <v>0</v>
      </c>
      <c r="BE27">
        <v>0</v>
      </c>
      <c r="BF27">
        <v>0</v>
      </c>
      <c r="BG27">
        <v>0</v>
      </c>
      <c r="BH27">
        <v>0</v>
      </c>
      <c r="BI27">
        <v>0</v>
      </c>
      <c r="BJ27">
        <v>0</v>
      </c>
      <c r="BK27">
        <v>0</v>
      </c>
      <c r="BL27">
        <v>0</v>
      </c>
      <c r="BM27">
        <v>0</v>
      </c>
      <c r="BN27">
        <v>0</v>
      </c>
      <c r="BO27">
        <v>0</v>
      </c>
      <c r="BP27">
        <v>0</v>
      </c>
      <c r="BQ27">
        <v>0</v>
      </c>
      <c r="BR27">
        <v>0</v>
      </c>
      <c r="BS27">
        <v>0</v>
      </c>
      <c r="BT27">
        <v>0</v>
      </c>
      <c r="BU27">
        <v>0</v>
      </c>
      <c r="BV27">
        <v>0</v>
      </c>
      <c r="BW27">
        <v>0</v>
      </c>
      <c r="BX27">
        <v>0</v>
      </c>
    </row>
    <row r="28" spans="1:76" x14ac:dyDescent="0.25">
      <c r="A28">
        <v>24</v>
      </c>
      <c r="B28" s="85">
        <f t="shared" si="0"/>
        <v>43990</v>
      </c>
      <c r="P28">
        <v>24</v>
      </c>
      <c r="Q28">
        <v>0</v>
      </c>
      <c r="R28">
        <v>0</v>
      </c>
      <c r="S28">
        <v>0</v>
      </c>
      <c r="T28">
        <v>0</v>
      </c>
      <c r="U28">
        <v>0</v>
      </c>
      <c r="V28">
        <v>0</v>
      </c>
      <c r="W28">
        <v>0</v>
      </c>
      <c r="X28">
        <v>0</v>
      </c>
      <c r="Y28">
        <v>0</v>
      </c>
      <c r="Z28">
        <v>0</v>
      </c>
      <c r="AA28">
        <v>0</v>
      </c>
      <c r="AB28">
        <v>0</v>
      </c>
      <c r="AC28">
        <v>0</v>
      </c>
      <c r="AD28">
        <v>0</v>
      </c>
      <c r="AE28">
        <v>0</v>
      </c>
      <c r="AF28">
        <v>0</v>
      </c>
      <c r="AG28">
        <v>0</v>
      </c>
      <c r="AH28">
        <v>0</v>
      </c>
      <c r="AI28">
        <v>0</v>
      </c>
      <c r="AJ28">
        <v>0</v>
      </c>
      <c r="AK28">
        <v>0</v>
      </c>
      <c r="AL28">
        <v>0</v>
      </c>
      <c r="AM28">
        <v>0</v>
      </c>
      <c r="AN28">
        <v>0</v>
      </c>
      <c r="AO28">
        <v>0</v>
      </c>
      <c r="AP28">
        <v>0</v>
      </c>
      <c r="AQ28">
        <v>0</v>
      </c>
      <c r="AR28">
        <v>0</v>
      </c>
      <c r="AS28">
        <v>0</v>
      </c>
      <c r="AT28">
        <v>0</v>
      </c>
      <c r="AU28">
        <v>0</v>
      </c>
      <c r="AV28">
        <v>0</v>
      </c>
      <c r="AW28">
        <v>0</v>
      </c>
      <c r="AX28">
        <v>0</v>
      </c>
      <c r="AY28">
        <v>0</v>
      </c>
      <c r="AZ28">
        <v>0</v>
      </c>
      <c r="BA28">
        <v>0</v>
      </c>
      <c r="BB28">
        <v>0</v>
      </c>
      <c r="BC28">
        <v>0</v>
      </c>
      <c r="BD28">
        <v>0</v>
      </c>
      <c r="BE28">
        <v>0</v>
      </c>
      <c r="BF28">
        <v>0</v>
      </c>
      <c r="BG28">
        <v>0</v>
      </c>
      <c r="BH28">
        <v>0</v>
      </c>
      <c r="BI28">
        <v>0</v>
      </c>
      <c r="BJ28">
        <v>0</v>
      </c>
      <c r="BK28">
        <v>0</v>
      </c>
      <c r="BL28">
        <v>0</v>
      </c>
      <c r="BM28">
        <v>0</v>
      </c>
      <c r="BN28">
        <v>0</v>
      </c>
      <c r="BO28">
        <v>0</v>
      </c>
      <c r="BP28">
        <v>0</v>
      </c>
      <c r="BQ28">
        <v>0</v>
      </c>
      <c r="BR28">
        <v>0</v>
      </c>
      <c r="BS28">
        <v>0</v>
      </c>
      <c r="BT28">
        <v>0</v>
      </c>
      <c r="BU28">
        <v>0</v>
      </c>
      <c r="BV28">
        <v>0</v>
      </c>
      <c r="BW28">
        <v>0</v>
      </c>
      <c r="BX28">
        <v>0</v>
      </c>
    </row>
    <row r="29" spans="1:76" x14ac:dyDescent="0.25">
      <c r="A29">
        <v>25</v>
      </c>
      <c r="B29" s="85">
        <f t="shared" si="0"/>
        <v>43997</v>
      </c>
      <c r="P29">
        <v>25</v>
      </c>
      <c r="Q29">
        <v>0</v>
      </c>
      <c r="R29">
        <v>0</v>
      </c>
      <c r="S29">
        <v>0</v>
      </c>
      <c r="T29">
        <v>0</v>
      </c>
      <c r="U29">
        <v>0</v>
      </c>
      <c r="V29">
        <v>0</v>
      </c>
      <c r="W29">
        <v>0</v>
      </c>
      <c r="X29">
        <v>0</v>
      </c>
      <c r="Y29">
        <v>0</v>
      </c>
      <c r="Z29">
        <v>0</v>
      </c>
      <c r="AA29">
        <v>0</v>
      </c>
      <c r="AB29">
        <v>0</v>
      </c>
      <c r="AC29">
        <v>0</v>
      </c>
      <c r="AD29">
        <v>0</v>
      </c>
      <c r="AE29">
        <v>0</v>
      </c>
      <c r="AF29">
        <v>0</v>
      </c>
      <c r="AG29">
        <v>0</v>
      </c>
      <c r="AH29">
        <v>0</v>
      </c>
      <c r="AI29">
        <v>0</v>
      </c>
      <c r="AJ29">
        <v>0</v>
      </c>
      <c r="AK29">
        <v>0</v>
      </c>
      <c r="AL29">
        <v>0</v>
      </c>
      <c r="AM29">
        <v>0</v>
      </c>
      <c r="AN29">
        <v>0</v>
      </c>
      <c r="AO29">
        <v>0</v>
      </c>
      <c r="AP29">
        <v>0</v>
      </c>
      <c r="AQ29">
        <v>0</v>
      </c>
      <c r="AR29">
        <v>0</v>
      </c>
      <c r="AS29">
        <v>0</v>
      </c>
      <c r="AT29">
        <v>0</v>
      </c>
      <c r="AU29">
        <v>0</v>
      </c>
      <c r="AV29">
        <v>0</v>
      </c>
      <c r="AW29">
        <v>0</v>
      </c>
      <c r="AX29">
        <v>0</v>
      </c>
      <c r="AY29">
        <v>0</v>
      </c>
      <c r="AZ29">
        <v>0</v>
      </c>
      <c r="BA29">
        <v>0</v>
      </c>
      <c r="BB29">
        <v>0</v>
      </c>
      <c r="BC29">
        <v>0</v>
      </c>
      <c r="BD29">
        <v>0</v>
      </c>
      <c r="BE29">
        <v>0</v>
      </c>
      <c r="BF29">
        <v>0</v>
      </c>
      <c r="BG29">
        <v>0</v>
      </c>
      <c r="BH29">
        <v>0</v>
      </c>
      <c r="BI29">
        <v>0</v>
      </c>
      <c r="BJ29">
        <v>0</v>
      </c>
      <c r="BK29">
        <v>0</v>
      </c>
      <c r="BL29">
        <v>0</v>
      </c>
      <c r="BM29">
        <v>0</v>
      </c>
      <c r="BN29">
        <v>0</v>
      </c>
      <c r="BO29">
        <v>0</v>
      </c>
      <c r="BP29">
        <v>0</v>
      </c>
      <c r="BQ29">
        <v>0</v>
      </c>
      <c r="BR29">
        <v>0</v>
      </c>
      <c r="BS29">
        <v>0</v>
      </c>
      <c r="BT29">
        <v>0</v>
      </c>
      <c r="BU29">
        <v>0</v>
      </c>
      <c r="BV29">
        <v>0</v>
      </c>
      <c r="BW29">
        <v>0</v>
      </c>
      <c r="BX29">
        <v>0</v>
      </c>
    </row>
    <row r="30" spans="1:76" x14ac:dyDescent="0.25">
      <c r="A30">
        <v>26</v>
      </c>
      <c r="B30" s="85">
        <f t="shared" si="0"/>
        <v>44004</v>
      </c>
      <c r="P30">
        <v>26</v>
      </c>
      <c r="Q30">
        <v>0</v>
      </c>
      <c r="R30">
        <v>0</v>
      </c>
      <c r="S30">
        <v>0</v>
      </c>
      <c r="T30">
        <v>0</v>
      </c>
      <c r="U30">
        <v>0</v>
      </c>
      <c r="V30">
        <v>0</v>
      </c>
      <c r="W30">
        <v>0</v>
      </c>
      <c r="X30">
        <v>0</v>
      </c>
      <c r="Y30">
        <v>0</v>
      </c>
      <c r="Z30">
        <v>0</v>
      </c>
      <c r="AA30">
        <v>0</v>
      </c>
      <c r="AB30">
        <v>0</v>
      </c>
      <c r="AC30">
        <v>0</v>
      </c>
      <c r="AD30">
        <v>0</v>
      </c>
      <c r="AE30">
        <v>0</v>
      </c>
      <c r="AF30">
        <v>0</v>
      </c>
      <c r="AG30">
        <v>0</v>
      </c>
      <c r="AH30">
        <v>0</v>
      </c>
      <c r="AI30">
        <v>0</v>
      </c>
      <c r="AJ30">
        <v>0</v>
      </c>
      <c r="AK30">
        <v>0</v>
      </c>
      <c r="AL30">
        <v>0</v>
      </c>
      <c r="AM30">
        <v>0</v>
      </c>
      <c r="AN30">
        <v>0</v>
      </c>
      <c r="AO30">
        <v>0</v>
      </c>
      <c r="AP30">
        <v>0</v>
      </c>
      <c r="AQ30">
        <v>0</v>
      </c>
      <c r="AR30">
        <v>0</v>
      </c>
      <c r="AS30">
        <v>0</v>
      </c>
      <c r="AT30">
        <v>0</v>
      </c>
      <c r="AU30">
        <v>0</v>
      </c>
      <c r="AV30">
        <v>0</v>
      </c>
      <c r="AW30">
        <v>0</v>
      </c>
      <c r="AX30">
        <v>0</v>
      </c>
      <c r="AY30">
        <v>0</v>
      </c>
      <c r="AZ30">
        <v>0</v>
      </c>
      <c r="BA30">
        <v>0</v>
      </c>
      <c r="BB30">
        <v>0</v>
      </c>
      <c r="BC30">
        <v>0</v>
      </c>
      <c r="BD30">
        <v>0</v>
      </c>
      <c r="BE30">
        <v>0</v>
      </c>
      <c r="BF30">
        <v>0</v>
      </c>
      <c r="BG30">
        <v>0</v>
      </c>
      <c r="BH30">
        <v>0</v>
      </c>
      <c r="BI30">
        <v>0</v>
      </c>
      <c r="BJ30">
        <v>0</v>
      </c>
      <c r="BK30">
        <v>0</v>
      </c>
      <c r="BL30">
        <v>0</v>
      </c>
      <c r="BM30">
        <v>0</v>
      </c>
      <c r="BN30">
        <v>0</v>
      </c>
      <c r="BO30">
        <v>0</v>
      </c>
      <c r="BP30">
        <v>0</v>
      </c>
      <c r="BQ30">
        <v>0</v>
      </c>
      <c r="BR30">
        <v>0</v>
      </c>
      <c r="BS30">
        <v>0</v>
      </c>
      <c r="BT30">
        <v>0</v>
      </c>
      <c r="BU30">
        <v>0</v>
      </c>
      <c r="BV30">
        <v>0</v>
      </c>
      <c r="BW30">
        <v>0</v>
      </c>
      <c r="BX30">
        <v>0</v>
      </c>
    </row>
    <row r="31" spans="1:76" x14ac:dyDescent="0.25">
      <c r="A31">
        <v>27</v>
      </c>
      <c r="B31" s="85">
        <f t="shared" si="0"/>
        <v>44011</v>
      </c>
      <c r="P31">
        <v>27</v>
      </c>
      <c r="Q31">
        <v>0</v>
      </c>
      <c r="R31">
        <v>0</v>
      </c>
      <c r="S31">
        <v>0</v>
      </c>
      <c r="T31">
        <v>0</v>
      </c>
      <c r="U31">
        <v>0</v>
      </c>
      <c r="V31">
        <v>0</v>
      </c>
      <c r="W31">
        <v>0</v>
      </c>
      <c r="X31">
        <v>0</v>
      </c>
      <c r="Y31">
        <v>0</v>
      </c>
      <c r="Z31">
        <v>0</v>
      </c>
      <c r="AA31">
        <v>0</v>
      </c>
      <c r="AB31">
        <v>0</v>
      </c>
      <c r="AC31">
        <v>0</v>
      </c>
      <c r="AD31">
        <v>0</v>
      </c>
      <c r="AE31">
        <v>0</v>
      </c>
      <c r="AF31">
        <v>0</v>
      </c>
      <c r="AG31">
        <v>0</v>
      </c>
      <c r="AH31">
        <v>0</v>
      </c>
      <c r="AI31">
        <v>0</v>
      </c>
      <c r="AJ31">
        <v>0</v>
      </c>
      <c r="AK31">
        <v>0</v>
      </c>
      <c r="AL31">
        <v>0</v>
      </c>
      <c r="AM31">
        <v>0</v>
      </c>
      <c r="AN31">
        <v>0</v>
      </c>
      <c r="AO31">
        <v>0</v>
      </c>
      <c r="AP31">
        <v>0</v>
      </c>
      <c r="AQ31">
        <v>0</v>
      </c>
      <c r="AR31">
        <v>0</v>
      </c>
      <c r="AS31">
        <v>0</v>
      </c>
      <c r="AT31">
        <v>0</v>
      </c>
      <c r="AU31">
        <v>0</v>
      </c>
      <c r="AV31">
        <v>0</v>
      </c>
      <c r="AW31">
        <v>0</v>
      </c>
      <c r="AX31">
        <v>0</v>
      </c>
      <c r="AY31">
        <v>0</v>
      </c>
      <c r="AZ31">
        <v>0</v>
      </c>
      <c r="BA31">
        <v>0</v>
      </c>
      <c r="BB31">
        <v>0</v>
      </c>
      <c r="BC31">
        <v>0</v>
      </c>
      <c r="BD31">
        <v>0</v>
      </c>
      <c r="BE31">
        <v>0</v>
      </c>
      <c r="BF31">
        <v>0</v>
      </c>
      <c r="BG31">
        <v>0</v>
      </c>
      <c r="BH31">
        <v>0</v>
      </c>
      <c r="BI31">
        <v>0</v>
      </c>
      <c r="BJ31">
        <v>0</v>
      </c>
      <c r="BK31">
        <v>0</v>
      </c>
      <c r="BL31">
        <v>0</v>
      </c>
      <c r="BM31">
        <v>0</v>
      </c>
      <c r="BN31">
        <v>0</v>
      </c>
      <c r="BO31">
        <v>0</v>
      </c>
      <c r="BP31">
        <v>0</v>
      </c>
      <c r="BQ31">
        <v>0</v>
      </c>
      <c r="BR31">
        <v>0</v>
      </c>
      <c r="BS31">
        <v>0</v>
      </c>
      <c r="BT31">
        <v>0</v>
      </c>
      <c r="BU31">
        <v>0</v>
      </c>
      <c r="BV31">
        <v>0</v>
      </c>
      <c r="BW31">
        <v>0</v>
      </c>
      <c r="BX31">
        <v>0</v>
      </c>
    </row>
    <row r="32" spans="1:76" x14ac:dyDescent="0.25">
      <c r="A32">
        <v>28</v>
      </c>
      <c r="B32" s="85">
        <f t="shared" si="0"/>
        <v>44018</v>
      </c>
      <c r="P32">
        <v>28</v>
      </c>
      <c r="Q32">
        <v>0</v>
      </c>
      <c r="R32">
        <v>0</v>
      </c>
      <c r="S32">
        <v>0</v>
      </c>
      <c r="T32">
        <v>0</v>
      </c>
      <c r="U32">
        <v>0</v>
      </c>
      <c r="V32">
        <v>0</v>
      </c>
      <c r="W32">
        <v>0</v>
      </c>
      <c r="X32">
        <v>0</v>
      </c>
      <c r="Y32">
        <v>0</v>
      </c>
      <c r="Z32">
        <v>0</v>
      </c>
      <c r="AA32">
        <v>0</v>
      </c>
      <c r="AB32">
        <v>0</v>
      </c>
      <c r="AC32">
        <v>0</v>
      </c>
      <c r="AD32">
        <v>0</v>
      </c>
      <c r="AE32">
        <v>0</v>
      </c>
      <c r="AF32">
        <v>0</v>
      </c>
      <c r="AG32">
        <v>0</v>
      </c>
      <c r="AH32">
        <v>0</v>
      </c>
      <c r="AI32">
        <v>0</v>
      </c>
      <c r="AJ32">
        <v>0</v>
      </c>
      <c r="AK32">
        <v>0</v>
      </c>
      <c r="AL32">
        <v>0</v>
      </c>
      <c r="AM32">
        <v>0</v>
      </c>
      <c r="AN32">
        <v>0</v>
      </c>
      <c r="AO32">
        <v>0</v>
      </c>
      <c r="AP32">
        <v>0</v>
      </c>
      <c r="AQ32">
        <v>0</v>
      </c>
      <c r="AR32">
        <v>0</v>
      </c>
      <c r="AS32">
        <v>0</v>
      </c>
      <c r="AT32">
        <v>0</v>
      </c>
      <c r="AU32">
        <v>0</v>
      </c>
      <c r="AV32">
        <v>0</v>
      </c>
      <c r="AW32">
        <v>0</v>
      </c>
      <c r="AX32">
        <v>0</v>
      </c>
      <c r="AY32">
        <v>0</v>
      </c>
      <c r="AZ32">
        <v>0</v>
      </c>
      <c r="BA32">
        <v>0</v>
      </c>
      <c r="BB32">
        <v>0</v>
      </c>
      <c r="BC32">
        <v>0</v>
      </c>
      <c r="BD32">
        <v>0</v>
      </c>
      <c r="BE32">
        <v>0</v>
      </c>
      <c r="BF32">
        <v>0</v>
      </c>
      <c r="BG32">
        <v>0</v>
      </c>
      <c r="BH32">
        <v>0</v>
      </c>
      <c r="BI32">
        <v>0</v>
      </c>
      <c r="BJ32">
        <v>0</v>
      </c>
      <c r="BK32">
        <v>0</v>
      </c>
      <c r="BL32">
        <v>0</v>
      </c>
      <c r="BM32">
        <v>0</v>
      </c>
      <c r="BN32">
        <v>0</v>
      </c>
      <c r="BO32">
        <v>0</v>
      </c>
      <c r="BP32">
        <v>0</v>
      </c>
      <c r="BQ32">
        <v>0</v>
      </c>
      <c r="BR32">
        <v>0</v>
      </c>
      <c r="BS32">
        <v>0</v>
      </c>
      <c r="BT32">
        <v>0</v>
      </c>
      <c r="BU32">
        <v>0</v>
      </c>
      <c r="BV32">
        <v>0</v>
      </c>
      <c r="BW32">
        <v>0</v>
      </c>
      <c r="BX32">
        <v>0</v>
      </c>
    </row>
    <row r="33" spans="1:76" x14ac:dyDescent="0.25">
      <c r="A33">
        <v>29</v>
      </c>
      <c r="B33" s="85">
        <f t="shared" si="0"/>
        <v>44025</v>
      </c>
      <c r="P33">
        <v>29</v>
      </c>
      <c r="Q33">
        <v>0</v>
      </c>
      <c r="R33">
        <v>0</v>
      </c>
      <c r="S33">
        <v>0</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v>0</v>
      </c>
      <c r="AO33">
        <v>0</v>
      </c>
      <c r="AP33">
        <v>0</v>
      </c>
      <c r="AQ33">
        <v>0</v>
      </c>
      <c r="AR33">
        <v>0</v>
      </c>
      <c r="AS33">
        <v>0</v>
      </c>
      <c r="AT33">
        <v>0</v>
      </c>
      <c r="AU33">
        <v>0</v>
      </c>
      <c r="AV33">
        <v>0</v>
      </c>
      <c r="AW33">
        <v>0</v>
      </c>
      <c r="AX33">
        <v>0</v>
      </c>
      <c r="AY33">
        <v>0</v>
      </c>
      <c r="AZ33">
        <v>0</v>
      </c>
      <c r="BA33">
        <v>0</v>
      </c>
      <c r="BB33">
        <v>0</v>
      </c>
      <c r="BC33">
        <v>0</v>
      </c>
      <c r="BD33">
        <v>0</v>
      </c>
      <c r="BE33">
        <v>0</v>
      </c>
      <c r="BF33">
        <v>0</v>
      </c>
      <c r="BG33">
        <v>0</v>
      </c>
      <c r="BH33">
        <v>0</v>
      </c>
      <c r="BI33">
        <v>0</v>
      </c>
      <c r="BJ33">
        <v>0</v>
      </c>
      <c r="BK33">
        <v>0</v>
      </c>
      <c r="BL33">
        <v>0</v>
      </c>
      <c r="BM33">
        <v>0</v>
      </c>
      <c r="BN33">
        <v>0</v>
      </c>
      <c r="BO33">
        <v>0</v>
      </c>
      <c r="BP33">
        <v>0</v>
      </c>
      <c r="BQ33">
        <v>0</v>
      </c>
      <c r="BR33">
        <v>0</v>
      </c>
      <c r="BS33">
        <v>0</v>
      </c>
      <c r="BT33">
        <v>0</v>
      </c>
      <c r="BU33">
        <v>0</v>
      </c>
      <c r="BV33">
        <v>0</v>
      </c>
      <c r="BW33">
        <v>0</v>
      </c>
      <c r="BX33">
        <v>0</v>
      </c>
    </row>
    <row r="34" spans="1:76" x14ac:dyDescent="0.25">
      <c r="A34">
        <v>30</v>
      </c>
      <c r="B34" s="85">
        <f t="shared" si="0"/>
        <v>44032</v>
      </c>
      <c r="P34">
        <v>30</v>
      </c>
      <c r="Q34">
        <v>0</v>
      </c>
      <c r="R34">
        <v>0</v>
      </c>
      <c r="S34">
        <v>0</v>
      </c>
      <c r="T34">
        <v>0</v>
      </c>
      <c r="U34">
        <v>0</v>
      </c>
      <c r="V34">
        <v>0</v>
      </c>
      <c r="W34">
        <v>0</v>
      </c>
      <c r="X34">
        <v>0</v>
      </c>
      <c r="Y34">
        <v>0</v>
      </c>
      <c r="Z34">
        <v>0</v>
      </c>
      <c r="AA34">
        <v>0</v>
      </c>
      <c r="AB34">
        <v>0</v>
      </c>
      <c r="AC34">
        <v>0</v>
      </c>
      <c r="AD34">
        <v>0</v>
      </c>
      <c r="AE34">
        <v>0</v>
      </c>
      <c r="AF34">
        <v>0</v>
      </c>
      <c r="AG34">
        <v>0</v>
      </c>
      <c r="AH34">
        <v>0</v>
      </c>
      <c r="AI34">
        <v>0</v>
      </c>
      <c r="AJ34">
        <v>0</v>
      </c>
      <c r="AK34">
        <v>0</v>
      </c>
      <c r="AL34">
        <v>0</v>
      </c>
      <c r="AM34">
        <v>0</v>
      </c>
      <c r="AN34">
        <v>0</v>
      </c>
      <c r="AO34">
        <v>0</v>
      </c>
      <c r="AP34">
        <v>0</v>
      </c>
      <c r="AQ34">
        <v>0</v>
      </c>
      <c r="AR34">
        <v>0</v>
      </c>
      <c r="AS34">
        <v>0</v>
      </c>
      <c r="AT34">
        <v>0</v>
      </c>
      <c r="AU34">
        <v>0</v>
      </c>
      <c r="AV34">
        <v>0</v>
      </c>
      <c r="AW34">
        <v>0</v>
      </c>
      <c r="AX34">
        <v>0</v>
      </c>
      <c r="AY34">
        <v>0</v>
      </c>
      <c r="AZ34">
        <v>0</v>
      </c>
      <c r="BA34">
        <v>0</v>
      </c>
      <c r="BB34">
        <v>0</v>
      </c>
      <c r="BC34">
        <v>0</v>
      </c>
      <c r="BD34">
        <v>0</v>
      </c>
      <c r="BE34">
        <v>0</v>
      </c>
      <c r="BF34">
        <v>0</v>
      </c>
      <c r="BG34">
        <v>0</v>
      </c>
      <c r="BH34">
        <v>0</v>
      </c>
      <c r="BI34">
        <v>0</v>
      </c>
      <c r="BJ34">
        <v>0</v>
      </c>
      <c r="BK34">
        <v>0</v>
      </c>
      <c r="BL34">
        <v>0</v>
      </c>
      <c r="BM34">
        <v>0</v>
      </c>
      <c r="BN34">
        <v>0</v>
      </c>
      <c r="BO34">
        <v>0</v>
      </c>
      <c r="BP34">
        <v>0</v>
      </c>
      <c r="BQ34">
        <v>0</v>
      </c>
      <c r="BR34">
        <v>0</v>
      </c>
      <c r="BS34">
        <v>0</v>
      </c>
      <c r="BT34">
        <v>0</v>
      </c>
      <c r="BU34">
        <v>0</v>
      </c>
      <c r="BV34">
        <v>0</v>
      </c>
      <c r="BW34">
        <v>0</v>
      </c>
      <c r="BX34">
        <v>0</v>
      </c>
    </row>
    <row r="35" spans="1:76" x14ac:dyDescent="0.25">
      <c r="A35">
        <v>31</v>
      </c>
      <c r="B35" s="85">
        <f t="shared" si="0"/>
        <v>44039</v>
      </c>
      <c r="P35">
        <v>31</v>
      </c>
      <c r="Q35">
        <v>0</v>
      </c>
      <c r="R35">
        <v>0</v>
      </c>
      <c r="S35">
        <v>0</v>
      </c>
      <c r="T35">
        <v>0</v>
      </c>
      <c r="U35">
        <v>0</v>
      </c>
      <c r="V35">
        <v>0</v>
      </c>
      <c r="W35">
        <v>0</v>
      </c>
      <c r="X35">
        <v>0</v>
      </c>
      <c r="Y35">
        <v>0</v>
      </c>
      <c r="Z35">
        <v>0</v>
      </c>
      <c r="AA35">
        <v>0</v>
      </c>
      <c r="AB35">
        <v>0</v>
      </c>
      <c r="AC35">
        <v>0</v>
      </c>
      <c r="AD35">
        <v>0</v>
      </c>
      <c r="AE35">
        <v>0</v>
      </c>
      <c r="AF35">
        <v>0</v>
      </c>
      <c r="AG35">
        <v>0</v>
      </c>
      <c r="AH35">
        <v>0</v>
      </c>
      <c r="AI35">
        <v>0</v>
      </c>
      <c r="AJ35">
        <v>0</v>
      </c>
      <c r="AK35">
        <v>0</v>
      </c>
      <c r="AL35">
        <v>0</v>
      </c>
      <c r="AM35">
        <v>0</v>
      </c>
      <c r="AN35">
        <v>0</v>
      </c>
      <c r="AO35">
        <v>0</v>
      </c>
      <c r="AP35">
        <v>0</v>
      </c>
      <c r="AQ35">
        <v>0</v>
      </c>
      <c r="AR35">
        <v>0</v>
      </c>
      <c r="AS35">
        <v>0</v>
      </c>
      <c r="AT35">
        <v>0</v>
      </c>
      <c r="AU35">
        <v>0</v>
      </c>
      <c r="AV35">
        <v>0</v>
      </c>
      <c r="AW35">
        <v>0</v>
      </c>
      <c r="AX35">
        <v>0</v>
      </c>
      <c r="AY35">
        <v>0</v>
      </c>
      <c r="AZ35">
        <v>0</v>
      </c>
      <c r="BA35">
        <v>0</v>
      </c>
      <c r="BB35">
        <v>0</v>
      </c>
      <c r="BC35">
        <v>0</v>
      </c>
      <c r="BD35">
        <v>0</v>
      </c>
      <c r="BE35">
        <v>0</v>
      </c>
      <c r="BF35">
        <v>0</v>
      </c>
      <c r="BG35">
        <v>0</v>
      </c>
      <c r="BH35">
        <v>0</v>
      </c>
      <c r="BI35">
        <v>0</v>
      </c>
      <c r="BJ35">
        <v>0</v>
      </c>
      <c r="BK35">
        <v>0</v>
      </c>
      <c r="BL35">
        <v>0</v>
      </c>
      <c r="BM35">
        <v>0</v>
      </c>
      <c r="BN35">
        <v>0</v>
      </c>
      <c r="BO35">
        <v>0</v>
      </c>
      <c r="BP35">
        <v>0</v>
      </c>
      <c r="BQ35">
        <v>0</v>
      </c>
      <c r="BR35">
        <v>0</v>
      </c>
      <c r="BS35">
        <v>0</v>
      </c>
      <c r="BT35">
        <v>0</v>
      </c>
      <c r="BU35">
        <v>0</v>
      </c>
      <c r="BV35">
        <v>0</v>
      </c>
      <c r="BW35">
        <v>0</v>
      </c>
      <c r="BX35">
        <v>0</v>
      </c>
    </row>
    <row r="36" spans="1:76" x14ac:dyDescent="0.25">
      <c r="A36">
        <v>32</v>
      </c>
      <c r="B36" s="85">
        <f t="shared" si="0"/>
        <v>44046</v>
      </c>
      <c r="P36">
        <v>32</v>
      </c>
      <c r="Q36">
        <v>0</v>
      </c>
      <c r="R36">
        <v>0</v>
      </c>
      <c r="S36">
        <v>0</v>
      </c>
      <c r="T36">
        <v>0</v>
      </c>
      <c r="U36">
        <v>0</v>
      </c>
      <c r="V36">
        <v>0</v>
      </c>
      <c r="W36">
        <v>0</v>
      </c>
      <c r="X36">
        <v>0</v>
      </c>
      <c r="Y36">
        <v>0</v>
      </c>
      <c r="Z36">
        <v>0</v>
      </c>
      <c r="AA36">
        <v>0</v>
      </c>
      <c r="AB36">
        <v>0</v>
      </c>
      <c r="AC36">
        <v>0</v>
      </c>
      <c r="AD36">
        <v>0</v>
      </c>
      <c r="AE36">
        <v>0</v>
      </c>
      <c r="AF36">
        <v>0</v>
      </c>
      <c r="AG36">
        <v>0</v>
      </c>
      <c r="AH36">
        <v>0</v>
      </c>
      <c r="AI36">
        <v>0</v>
      </c>
      <c r="AJ36">
        <v>0</v>
      </c>
      <c r="AK36">
        <v>0</v>
      </c>
      <c r="AL36">
        <v>0</v>
      </c>
      <c r="AM36">
        <v>0</v>
      </c>
      <c r="AN36">
        <v>0</v>
      </c>
      <c r="AO36">
        <v>0</v>
      </c>
      <c r="AP36">
        <v>0</v>
      </c>
      <c r="AQ36">
        <v>0</v>
      </c>
      <c r="AR36">
        <v>0</v>
      </c>
      <c r="AS36">
        <v>0</v>
      </c>
      <c r="AT36">
        <v>0</v>
      </c>
      <c r="AU36">
        <v>0</v>
      </c>
      <c r="AV36">
        <v>0</v>
      </c>
      <c r="AW36">
        <v>0</v>
      </c>
      <c r="AX36">
        <v>0</v>
      </c>
      <c r="AY36">
        <v>0</v>
      </c>
      <c r="AZ36">
        <v>0</v>
      </c>
      <c r="BA36">
        <v>0</v>
      </c>
      <c r="BB36">
        <v>0</v>
      </c>
      <c r="BC36">
        <v>0</v>
      </c>
      <c r="BD36">
        <v>0</v>
      </c>
      <c r="BE36">
        <v>0</v>
      </c>
      <c r="BF36">
        <v>0</v>
      </c>
      <c r="BG36">
        <v>0</v>
      </c>
      <c r="BH36">
        <v>0</v>
      </c>
      <c r="BI36">
        <v>0</v>
      </c>
      <c r="BJ36">
        <v>0</v>
      </c>
      <c r="BK36">
        <v>0</v>
      </c>
      <c r="BL36">
        <v>0</v>
      </c>
      <c r="BM36">
        <v>0</v>
      </c>
      <c r="BN36">
        <v>0</v>
      </c>
      <c r="BO36">
        <v>0</v>
      </c>
      <c r="BP36">
        <v>0</v>
      </c>
      <c r="BQ36">
        <v>0</v>
      </c>
      <c r="BR36">
        <v>0</v>
      </c>
      <c r="BS36">
        <v>0</v>
      </c>
      <c r="BT36">
        <v>0</v>
      </c>
      <c r="BU36">
        <v>0</v>
      </c>
      <c r="BV36">
        <v>0</v>
      </c>
      <c r="BW36">
        <v>0</v>
      </c>
      <c r="BX36">
        <v>0</v>
      </c>
    </row>
    <row r="37" spans="1:76" x14ac:dyDescent="0.25">
      <c r="A37">
        <v>33</v>
      </c>
      <c r="B37" s="85">
        <f t="shared" si="0"/>
        <v>44053</v>
      </c>
      <c r="P37">
        <v>33</v>
      </c>
      <c r="Q37">
        <v>0</v>
      </c>
      <c r="R37">
        <v>0</v>
      </c>
      <c r="S37">
        <v>0</v>
      </c>
      <c r="T37">
        <v>0</v>
      </c>
      <c r="U37">
        <v>0</v>
      </c>
      <c r="V37">
        <v>0</v>
      </c>
      <c r="W37">
        <v>0</v>
      </c>
      <c r="X37">
        <v>0</v>
      </c>
      <c r="Y37">
        <v>0</v>
      </c>
      <c r="Z37">
        <v>0</v>
      </c>
      <c r="AA37">
        <v>0</v>
      </c>
      <c r="AB37">
        <v>0</v>
      </c>
      <c r="AC37">
        <v>0</v>
      </c>
      <c r="AD37">
        <v>0</v>
      </c>
      <c r="AE37">
        <v>0</v>
      </c>
      <c r="AF37">
        <v>0</v>
      </c>
      <c r="AG37">
        <v>0</v>
      </c>
      <c r="AH37">
        <v>0</v>
      </c>
      <c r="AI37">
        <v>0</v>
      </c>
      <c r="AJ37">
        <v>0</v>
      </c>
      <c r="AK37">
        <v>0</v>
      </c>
      <c r="AL37">
        <v>0</v>
      </c>
      <c r="AM37">
        <v>0</v>
      </c>
      <c r="AN37">
        <v>0</v>
      </c>
      <c r="AO37">
        <v>0</v>
      </c>
      <c r="AP37">
        <v>0</v>
      </c>
      <c r="AQ37">
        <v>0</v>
      </c>
      <c r="AR37">
        <v>0</v>
      </c>
      <c r="AS37">
        <v>0</v>
      </c>
      <c r="AT37">
        <v>0</v>
      </c>
      <c r="AU37">
        <v>0</v>
      </c>
      <c r="AV37">
        <v>0</v>
      </c>
      <c r="AW37">
        <v>0</v>
      </c>
      <c r="AX37">
        <v>0</v>
      </c>
      <c r="AY37">
        <v>0</v>
      </c>
      <c r="AZ37">
        <v>0</v>
      </c>
      <c r="BA37">
        <v>0</v>
      </c>
      <c r="BB37">
        <v>0</v>
      </c>
      <c r="BC37">
        <v>0</v>
      </c>
      <c r="BD37">
        <v>0</v>
      </c>
      <c r="BE37">
        <v>0</v>
      </c>
      <c r="BF37">
        <v>0</v>
      </c>
      <c r="BG37">
        <v>0</v>
      </c>
      <c r="BH37">
        <v>0</v>
      </c>
      <c r="BI37">
        <v>0</v>
      </c>
      <c r="BJ37">
        <v>0</v>
      </c>
      <c r="BK37">
        <v>0</v>
      </c>
      <c r="BL37">
        <v>0</v>
      </c>
      <c r="BM37">
        <v>0</v>
      </c>
      <c r="BN37">
        <v>0</v>
      </c>
      <c r="BO37">
        <v>0</v>
      </c>
      <c r="BP37">
        <v>0</v>
      </c>
      <c r="BQ37">
        <v>0</v>
      </c>
      <c r="BR37">
        <v>0</v>
      </c>
      <c r="BS37">
        <v>0</v>
      </c>
      <c r="BT37">
        <v>0</v>
      </c>
      <c r="BU37">
        <v>0</v>
      </c>
      <c r="BV37">
        <v>0</v>
      </c>
      <c r="BW37">
        <v>0</v>
      </c>
      <c r="BX37">
        <v>0</v>
      </c>
    </row>
    <row r="38" spans="1:76" x14ac:dyDescent="0.25">
      <c r="A38">
        <v>34</v>
      </c>
      <c r="B38" s="85">
        <f t="shared" si="0"/>
        <v>44060</v>
      </c>
      <c r="P38">
        <v>34</v>
      </c>
      <c r="Q38">
        <v>0</v>
      </c>
      <c r="R38">
        <v>0</v>
      </c>
      <c r="S38">
        <v>0</v>
      </c>
      <c r="T38">
        <v>0</v>
      </c>
      <c r="U38">
        <v>0</v>
      </c>
      <c r="V38">
        <v>0</v>
      </c>
      <c r="W38">
        <v>0</v>
      </c>
      <c r="X38">
        <v>0</v>
      </c>
      <c r="Y38">
        <v>0</v>
      </c>
      <c r="Z38">
        <v>0</v>
      </c>
      <c r="AA38">
        <v>0</v>
      </c>
      <c r="AB38">
        <v>0</v>
      </c>
      <c r="AC38">
        <v>0</v>
      </c>
      <c r="AD38">
        <v>0</v>
      </c>
      <c r="AE38">
        <v>0</v>
      </c>
      <c r="AF38">
        <v>0</v>
      </c>
      <c r="AG38">
        <v>0</v>
      </c>
      <c r="AH38">
        <v>0</v>
      </c>
      <c r="AI38">
        <v>0</v>
      </c>
      <c r="AJ38">
        <v>0</v>
      </c>
      <c r="AK38">
        <v>0</v>
      </c>
      <c r="AL38">
        <v>0</v>
      </c>
      <c r="AM38">
        <v>0</v>
      </c>
      <c r="AN38">
        <v>0</v>
      </c>
      <c r="AO38">
        <v>0</v>
      </c>
      <c r="AP38">
        <v>0</v>
      </c>
      <c r="AQ38">
        <v>0</v>
      </c>
      <c r="AR38">
        <v>0</v>
      </c>
      <c r="AS38">
        <v>0</v>
      </c>
      <c r="AT38">
        <v>0</v>
      </c>
      <c r="AU38">
        <v>0</v>
      </c>
      <c r="AV38">
        <v>0</v>
      </c>
      <c r="AW38">
        <v>0</v>
      </c>
      <c r="AX38">
        <v>0</v>
      </c>
      <c r="AY38">
        <v>0</v>
      </c>
      <c r="AZ38">
        <v>0</v>
      </c>
      <c r="BA38">
        <v>0</v>
      </c>
      <c r="BB38">
        <v>0</v>
      </c>
      <c r="BC38">
        <v>0</v>
      </c>
      <c r="BD38">
        <v>0</v>
      </c>
      <c r="BE38">
        <v>0</v>
      </c>
      <c r="BF38">
        <v>0</v>
      </c>
      <c r="BG38">
        <v>0</v>
      </c>
      <c r="BH38">
        <v>0</v>
      </c>
      <c r="BI38">
        <v>0</v>
      </c>
      <c r="BJ38">
        <v>0</v>
      </c>
      <c r="BK38">
        <v>0</v>
      </c>
      <c r="BL38">
        <v>0</v>
      </c>
      <c r="BM38">
        <v>0</v>
      </c>
      <c r="BN38">
        <v>0</v>
      </c>
      <c r="BO38">
        <v>0</v>
      </c>
      <c r="BP38">
        <v>0</v>
      </c>
      <c r="BQ38">
        <v>0</v>
      </c>
      <c r="BR38">
        <v>0</v>
      </c>
      <c r="BS38">
        <v>0</v>
      </c>
      <c r="BT38">
        <v>0</v>
      </c>
      <c r="BU38">
        <v>0</v>
      </c>
      <c r="BV38">
        <v>0</v>
      </c>
      <c r="BW38">
        <v>0</v>
      </c>
      <c r="BX38">
        <v>0</v>
      </c>
    </row>
    <row r="39" spans="1:76" x14ac:dyDescent="0.25">
      <c r="A39">
        <v>35</v>
      </c>
      <c r="B39" s="85">
        <f t="shared" si="0"/>
        <v>44067</v>
      </c>
      <c r="P39">
        <v>35</v>
      </c>
      <c r="Q39">
        <v>0</v>
      </c>
      <c r="R39">
        <v>0</v>
      </c>
      <c r="S39">
        <v>0</v>
      </c>
      <c r="T39">
        <v>0</v>
      </c>
      <c r="U39">
        <v>0</v>
      </c>
      <c r="V39">
        <v>0</v>
      </c>
      <c r="W39">
        <v>0</v>
      </c>
      <c r="X39">
        <v>0</v>
      </c>
      <c r="Y39">
        <v>0</v>
      </c>
      <c r="Z39">
        <v>0</v>
      </c>
      <c r="AA39">
        <v>0</v>
      </c>
      <c r="AB39">
        <v>0</v>
      </c>
      <c r="AC39">
        <v>0</v>
      </c>
      <c r="AD39">
        <v>0</v>
      </c>
      <c r="AE39">
        <v>0</v>
      </c>
      <c r="AF39">
        <v>0</v>
      </c>
      <c r="AG39">
        <v>0</v>
      </c>
      <c r="AH39">
        <v>0</v>
      </c>
      <c r="AI39">
        <v>0</v>
      </c>
      <c r="AJ39">
        <v>0</v>
      </c>
      <c r="AK39">
        <v>0</v>
      </c>
      <c r="AL39">
        <v>0</v>
      </c>
      <c r="AM39">
        <v>0</v>
      </c>
      <c r="AN39">
        <v>0</v>
      </c>
      <c r="AO39">
        <v>0</v>
      </c>
      <c r="AP39">
        <v>0</v>
      </c>
      <c r="AQ39">
        <v>0</v>
      </c>
      <c r="AR39">
        <v>0</v>
      </c>
      <c r="AS39">
        <v>0</v>
      </c>
      <c r="AT39">
        <v>0</v>
      </c>
      <c r="AU39">
        <v>0</v>
      </c>
      <c r="AV39">
        <v>0</v>
      </c>
      <c r="AW39">
        <v>0</v>
      </c>
      <c r="AX39">
        <v>0</v>
      </c>
      <c r="AY39">
        <v>0</v>
      </c>
      <c r="AZ39">
        <v>0</v>
      </c>
      <c r="BA39">
        <v>0</v>
      </c>
      <c r="BB39">
        <v>0</v>
      </c>
      <c r="BC39">
        <v>0</v>
      </c>
      <c r="BD39">
        <v>0</v>
      </c>
      <c r="BE39">
        <v>0</v>
      </c>
      <c r="BF39">
        <v>0</v>
      </c>
      <c r="BG39">
        <v>0</v>
      </c>
      <c r="BH39">
        <v>0</v>
      </c>
      <c r="BI39">
        <v>0</v>
      </c>
      <c r="BJ39">
        <v>0</v>
      </c>
      <c r="BK39">
        <v>0</v>
      </c>
      <c r="BL39">
        <v>0</v>
      </c>
      <c r="BM39">
        <v>0</v>
      </c>
      <c r="BN39">
        <v>0</v>
      </c>
      <c r="BO39">
        <v>0</v>
      </c>
      <c r="BP39">
        <v>0</v>
      </c>
      <c r="BQ39">
        <v>0</v>
      </c>
      <c r="BR39">
        <v>0</v>
      </c>
      <c r="BS39">
        <v>0</v>
      </c>
      <c r="BT39">
        <v>0</v>
      </c>
      <c r="BU39">
        <v>0</v>
      </c>
      <c r="BV39">
        <v>0</v>
      </c>
      <c r="BW39">
        <v>0</v>
      </c>
      <c r="BX39">
        <v>0</v>
      </c>
    </row>
    <row r="40" spans="1:76" x14ac:dyDescent="0.25">
      <c r="A40">
        <v>36</v>
      </c>
      <c r="B40" s="85">
        <f t="shared" si="0"/>
        <v>44074</v>
      </c>
      <c r="P40">
        <v>36</v>
      </c>
      <c r="Q40">
        <v>0</v>
      </c>
      <c r="R40">
        <v>0</v>
      </c>
      <c r="S40">
        <v>0</v>
      </c>
      <c r="T40">
        <v>0</v>
      </c>
      <c r="U40">
        <v>0</v>
      </c>
      <c r="V40">
        <v>0</v>
      </c>
      <c r="W40">
        <v>0</v>
      </c>
      <c r="X40">
        <v>0</v>
      </c>
      <c r="Y40">
        <v>0</v>
      </c>
      <c r="Z40">
        <v>0</v>
      </c>
      <c r="AA40">
        <v>0</v>
      </c>
      <c r="AB40">
        <v>0</v>
      </c>
      <c r="AC40">
        <v>0</v>
      </c>
      <c r="AD40">
        <v>0</v>
      </c>
      <c r="AE40">
        <v>0</v>
      </c>
      <c r="AF40">
        <v>0</v>
      </c>
      <c r="AG40">
        <v>0</v>
      </c>
      <c r="AH40">
        <v>0</v>
      </c>
      <c r="AI40">
        <v>0</v>
      </c>
      <c r="AJ40">
        <v>0</v>
      </c>
      <c r="AK40">
        <v>0</v>
      </c>
      <c r="AL40">
        <v>0</v>
      </c>
      <c r="AM40">
        <v>0</v>
      </c>
      <c r="AN40">
        <v>0</v>
      </c>
      <c r="AO40">
        <v>0</v>
      </c>
      <c r="AP40">
        <v>0</v>
      </c>
      <c r="AQ40">
        <v>0</v>
      </c>
      <c r="AR40">
        <v>0</v>
      </c>
      <c r="AS40">
        <v>0</v>
      </c>
      <c r="AT40">
        <v>0</v>
      </c>
      <c r="AU40">
        <v>0</v>
      </c>
      <c r="AV40">
        <v>0</v>
      </c>
      <c r="AW40">
        <v>0</v>
      </c>
      <c r="AX40">
        <v>0</v>
      </c>
      <c r="AY40">
        <v>0</v>
      </c>
      <c r="AZ40">
        <v>0</v>
      </c>
      <c r="BA40">
        <v>0</v>
      </c>
      <c r="BB40">
        <v>0</v>
      </c>
      <c r="BC40">
        <v>0</v>
      </c>
      <c r="BD40">
        <v>0</v>
      </c>
      <c r="BE40">
        <v>0</v>
      </c>
      <c r="BF40">
        <v>0</v>
      </c>
      <c r="BG40">
        <v>0</v>
      </c>
      <c r="BH40">
        <v>0</v>
      </c>
      <c r="BI40">
        <v>0</v>
      </c>
      <c r="BJ40">
        <v>0</v>
      </c>
      <c r="BK40">
        <v>0</v>
      </c>
      <c r="BL40">
        <v>0</v>
      </c>
      <c r="BM40">
        <v>0</v>
      </c>
      <c r="BN40">
        <v>0</v>
      </c>
      <c r="BO40">
        <v>0</v>
      </c>
      <c r="BP40">
        <v>0</v>
      </c>
      <c r="BQ40">
        <v>0</v>
      </c>
      <c r="BR40">
        <v>0</v>
      </c>
      <c r="BS40">
        <v>0</v>
      </c>
      <c r="BT40">
        <v>0</v>
      </c>
      <c r="BU40">
        <v>0</v>
      </c>
      <c r="BV40">
        <v>0</v>
      </c>
      <c r="BW40">
        <v>0</v>
      </c>
      <c r="BX40">
        <v>0</v>
      </c>
    </row>
    <row r="41" spans="1:76" x14ac:dyDescent="0.25">
      <c r="A41">
        <v>37</v>
      </c>
      <c r="B41" s="85">
        <f t="shared" si="0"/>
        <v>44081</v>
      </c>
      <c r="P41">
        <v>37</v>
      </c>
      <c r="Q41">
        <v>0</v>
      </c>
      <c r="R41">
        <v>0</v>
      </c>
      <c r="S41">
        <v>0</v>
      </c>
      <c r="T41">
        <v>0</v>
      </c>
      <c r="U41">
        <v>0</v>
      </c>
      <c r="V41">
        <v>0</v>
      </c>
      <c r="W41">
        <v>0</v>
      </c>
      <c r="X41">
        <v>0</v>
      </c>
      <c r="Y41">
        <v>0</v>
      </c>
      <c r="Z41">
        <v>0</v>
      </c>
      <c r="AA41">
        <v>0</v>
      </c>
      <c r="AB41">
        <v>0</v>
      </c>
      <c r="AC41">
        <v>0</v>
      </c>
      <c r="AD41">
        <v>0</v>
      </c>
      <c r="AE41">
        <v>0</v>
      </c>
      <c r="AF41">
        <v>0</v>
      </c>
      <c r="AG41">
        <v>0</v>
      </c>
      <c r="AH41">
        <v>0</v>
      </c>
      <c r="AI41">
        <v>0</v>
      </c>
      <c r="AJ41">
        <v>0</v>
      </c>
      <c r="AK41">
        <v>0</v>
      </c>
      <c r="AL41">
        <v>0</v>
      </c>
      <c r="AM41">
        <v>0</v>
      </c>
      <c r="AN41">
        <v>0</v>
      </c>
      <c r="AO41">
        <v>0</v>
      </c>
      <c r="AP41">
        <v>0</v>
      </c>
      <c r="AQ41">
        <v>0</v>
      </c>
      <c r="AR41">
        <v>0</v>
      </c>
      <c r="AS41">
        <v>0</v>
      </c>
      <c r="AT41">
        <v>0</v>
      </c>
      <c r="AU41">
        <v>0</v>
      </c>
      <c r="AV41">
        <v>0</v>
      </c>
      <c r="AW41">
        <v>0</v>
      </c>
      <c r="AX41">
        <v>0</v>
      </c>
      <c r="AY41">
        <v>0</v>
      </c>
      <c r="AZ41">
        <v>0</v>
      </c>
      <c r="BA41">
        <v>0</v>
      </c>
      <c r="BB41">
        <v>0</v>
      </c>
      <c r="BC41">
        <v>0</v>
      </c>
      <c r="BD41">
        <v>0</v>
      </c>
      <c r="BE41">
        <v>0</v>
      </c>
      <c r="BF41">
        <v>0</v>
      </c>
      <c r="BG41">
        <v>0</v>
      </c>
      <c r="BH41">
        <v>0</v>
      </c>
      <c r="BI41">
        <v>0</v>
      </c>
      <c r="BJ41">
        <v>0</v>
      </c>
      <c r="BK41">
        <v>0</v>
      </c>
      <c r="BL41">
        <v>0</v>
      </c>
      <c r="BM41">
        <v>0</v>
      </c>
      <c r="BN41">
        <v>0</v>
      </c>
      <c r="BO41">
        <v>0</v>
      </c>
      <c r="BP41">
        <v>0</v>
      </c>
      <c r="BQ41">
        <v>0</v>
      </c>
      <c r="BR41">
        <v>0</v>
      </c>
      <c r="BS41">
        <v>0</v>
      </c>
      <c r="BT41">
        <v>0</v>
      </c>
      <c r="BU41">
        <v>0</v>
      </c>
      <c r="BV41">
        <v>0</v>
      </c>
      <c r="BW41">
        <v>0</v>
      </c>
      <c r="BX41">
        <v>0</v>
      </c>
    </row>
    <row r="42" spans="1:76" x14ac:dyDescent="0.25">
      <c r="A42">
        <v>38</v>
      </c>
      <c r="B42" s="85">
        <f t="shared" si="0"/>
        <v>44088</v>
      </c>
      <c r="P42">
        <v>38</v>
      </c>
      <c r="Q42">
        <v>0</v>
      </c>
      <c r="R42">
        <v>0</v>
      </c>
      <c r="S42">
        <v>0</v>
      </c>
      <c r="T42">
        <v>0</v>
      </c>
      <c r="U42">
        <v>0</v>
      </c>
      <c r="V42">
        <v>0</v>
      </c>
      <c r="W42">
        <v>0</v>
      </c>
      <c r="X42">
        <v>0</v>
      </c>
      <c r="Y42">
        <v>0</v>
      </c>
      <c r="Z42">
        <v>0</v>
      </c>
      <c r="AA42">
        <v>0</v>
      </c>
      <c r="AB42">
        <v>0</v>
      </c>
      <c r="AC42">
        <v>0</v>
      </c>
      <c r="AD42">
        <v>0</v>
      </c>
      <c r="AE42">
        <v>0</v>
      </c>
      <c r="AF42">
        <v>0</v>
      </c>
      <c r="AG42">
        <v>0</v>
      </c>
      <c r="AH42">
        <v>0</v>
      </c>
      <c r="AI42">
        <v>0</v>
      </c>
      <c r="AJ42">
        <v>0</v>
      </c>
      <c r="AK42">
        <v>0</v>
      </c>
      <c r="AL42">
        <v>0</v>
      </c>
      <c r="AM42">
        <v>0</v>
      </c>
      <c r="AN42">
        <v>0</v>
      </c>
      <c r="AO42">
        <v>0</v>
      </c>
      <c r="AP42">
        <v>0</v>
      </c>
      <c r="AQ42">
        <v>0</v>
      </c>
      <c r="AR42">
        <v>0</v>
      </c>
      <c r="AS42">
        <v>0</v>
      </c>
      <c r="AT42">
        <v>0</v>
      </c>
      <c r="AU42">
        <v>0</v>
      </c>
      <c r="AV42">
        <v>0</v>
      </c>
      <c r="AW42">
        <v>0</v>
      </c>
      <c r="AX42">
        <v>0</v>
      </c>
      <c r="AY42">
        <v>0</v>
      </c>
      <c r="AZ42">
        <v>0</v>
      </c>
      <c r="BA42">
        <v>0</v>
      </c>
      <c r="BB42">
        <v>0</v>
      </c>
      <c r="BC42">
        <v>0</v>
      </c>
      <c r="BD42">
        <v>0</v>
      </c>
      <c r="BE42">
        <v>0</v>
      </c>
      <c r="BF42">
        <v>0</v>
      </c>
      <c r="BG42">
        <v>0</v>
      </c>
      <c r="BH42">
        <v>0</v>
      </c>
      <c r="BI42">
        <v>0</v>
      </c>
      <c r="BJ42">
        <v>0</v>
      </c>
      <c r="BK42">
        <v>0</v>
      </c>
      <c r="BL42">
        <v>0</v>
      </c>
      <c r="BM42">
        <v>0</v>
      </c>
      <c r="BN42">
        <v>0</v>
      </c>
      <c r="BO42">
        <v>0</v>
      </c>
      <c r="BP42">
        <v>0</v>
      </c>
      <c r="BQ42">
        <v>0</v>
      </c>
      <c r="BR42">
        <v>0</v>
      </c>
      <c r="BS42">
        <v>0</v>
      </c>
      <c r="BT42">
        <v>0</v>
      </c>
      <c r="BU42">
        <v>0</v>
      </c>
      <c r="BV42">
        <v>0</v>
      </c>
      <c r="BW42">
        <v>0</v>
      </c>
      <c r="BX42">
        <v>0</v>
      </c>
    </row>
    <row r="43" spans="1:76" x14ac:dyDescent="0.25">
      <c r="A43">
        <v>39</v>
      </c>
      <c r="B43" s="85">
        <f t="shared" si="0"/>
        <v>44095</v>
      </c>
      <c r="P43">
        <v>39</v>
      </c>
      <c r="Q43">
        <v>0</v>
      </c>
      <c r="R43">
        <v>0</v>
      </c>
      <c r="S43">
        <v>0</v>
      </c>
      <c r="T43">
        <v>0</v>
      </c>
      <c r="U43">
        <v>0</v>
      </c>
      <c r="V43">
        <v>0</v>
      </c>
      <c r="W43">
        <v>0</v>
      </c>
      <c r="X43">
        <v>0</v>
      </c>
      <c r="Y43">
        <v>0</v>
      </c>
      <c r="Z43">
        <v>0</v>
      </c>
      <c r="AA43">
        <v>0</v>
      </c>
      <c r="AB43">
        <v>0</v>
      </c>
      <c r="AC43">
        <v>0</v>
      </c>
      <c r="AD43">
        <v>0</v>
      </c>
      <c r="AE43">
        <v>0</v>
      </c>
      <c r="AF43">
        <v>0</v>
      </c>
      <c r="AG43">
        <v>0</v>
      </c>
      <c r="AH43">
        <v>0</v>
      </c>
      <c r="AI43">
        <v>0</v>
      </c>
      <c r="AJ43">
        <v>0</v>
      </c>
      <c r="AK43">
        <v>0</v>
      </c>
      <c r="AL43">
        <v>0</v>
      </c>
      <c r="AM43">
        <v>0</v>
      </c>
      <c r="AN43">
        <v>0</v>
      </c>
      <c r="AO43">
        <v>0</v>
      </c>
      <c r="AP43">
        <v>0</v>
      </c>
      <c r="AQ43">
        <v>0</v>
      </c>
      <c r="AR43">
        <v>0</v>
      </c>
      <c r="AS43">
        <v>0</v>
      </c>
      <c r="AT43">
        <v>0</v>
      </c>
      <c r="AU43">
        <v>0</v>
      </c>
      <c r="AV43">
        <v>0</v>
      </c>
      <c r="AW43">
        <v>0</v>
      </c>
      <c r="AX43">
        <v>0</v>
      </c>
      <c r="AY43">
        <v>0</v>
      </c>
      <c r="AZ43">
        <v>0</v>
      </c>
      <c r="BA43">
        <v>0</v>
      </c>
      <c r="BB43">
        <v>0</v>
      </c>
      <c r="BC43">
        <v>0</v>
      </c>
      <c r="BD43">
        <v>0</v>
      </c>
      <c r="BE43">
        <v>0</v>
      </c>
      <c r="BF43">
        <v>0</v>
      </c>
      <c r="BG43">
        <v>0</v>
      </c>
      <c r="BH43">
        <v>0</v>
      </c>
      <c r="BI43">
        <v>0</v>
      </c>
      <c r="BJ43">
        <v>0</v>
      </c>
      <c r="BK43">
        <v>0</v>
      </c>
      <c r="BL43">
        <v>0</v>
      </c>
      <c r="BM43">
        <v>0</v>
      </c>
      <c r="BN43">
        <v>0</v>
      </c>
      <c r="BO43">
        <v>0</v>
      </c>
      <c r="BP43">
        <v>0</v>
      </c>
      <c r="BQ43">
        <v>0</v>
      </c>
      <c r="BR43">
        <v>0</v>
      </c>
      <c r="BS43">
        <v>0</v>
      </c>
      <c r="BT43">
        <v>0</v>
      </c>
      <c r="BU43">
        <v>0</v>
      </c>
      <c r="BV43">
        <v>0</v>
      </c>
      <c r="BW43">
        <v>0</v>
      </c>
      <c r="BX43">
        <v>0</v>
      </c>
    </row>
    <row r="44" spans="1:76" x14ac:dyDescent="0.25">
      <c r="A44">
        <v>40</v>
      </c>
      <c r="B44" s="85">
        <f t="shared" si="0"/>
        <v>44102</v>
      </c>
      <c r="P44">
        <v>40</v>
      </c>
      <c r="Q44">
        <v>0</v>
      </c>
      <c r="R44">
        <v>0</v>
      </c>
      <c r="S44">
        <v>0</v>
      </c>
      <c r="T44">
        <v>0</v>
      </c>
      <c r="U44">
        <v>0</v>
      </c>
      <c r="V44">
        <v>0</v>
      </c>
      <c r="W44">
        <v>0</v>
      </c>
      <c r="X44">
        <v>0</v>
      </c>
      <c r="Y44">
        <v>0</v>
      </c>
      <c r="Z44">
        <v>0</v>
      </c>
      <c r="AA44">
        <v>0</v>
      </c>
      <c r="AB44">
        <v>0</v>
      </c>
      <c r="AC44">
        <v>0</v>
      </c>
      <c r="AD44">
        <v>0</v>
      </c>
      <c r="AE44">
        <v>0</v>
      </c>
      <c r="AF44">
        <v>0</v>
      </c>
      <c r="AG44">
        <v>0</v>
      </c>
      <c r="AH44">
        <v>0</v>
      </c>
      <c r="AI44">
        <v>0</v>
      </c>
      <c r="AJ44">
        <v>0</v>
      </c>
      <c r="AK44">
        <v>0</v>
      </c>
      <c r="AL44">
        <v>0</v>
      </c>
      <c r="AM44">
        <v>0</v>
      </c>
      <c r="AN44">
        <v>0</v>
      </c>
      <c r="AO44">
        <v>0</v>
      </c>
      <c r="AP44">
        <v>0</v>
      </c>
      <c r="AQ44">
        <v>0</v>
      </c>
      <c r="AR44">
        <v>0</v>
      </c>
      <c r="AS44">
        <v>0</v>
      </c>
      <c r="AT44">
        <v>0</v>
      </c>
      <c r="AU44">
        <v>0</v>
      </c>
      <c r="AV44">
        <v>0</v>
      </c>
      <c r="AW44">
        <v>0</v>
      </c>
      <c r="AX44">
        <v>0</v>
      </c>
      <c r="AY44">
        <v>0</v>
      </c>
      <c r="AZ44">
        <v>0</v>
      </c>
      <c r="BA44">
        <v>0</v>
      </c>
      <c r="BB44">
        <v>0</v>
      </c>
      <c r="BC44">
        <v>0</v>
      </c>
      <c r="BD44">
        <v>0</v>
      </c>
      <c r="BE44">
        <v>0</v>
      </c>
      <c r="BF44">
        <v>0</v>
      </c>
      <c r="BG44">
        <v>0</v>
      </c>
      <c r="BH44">
        <v>0</v>
      </c>
      <c r="BI44">
        <v>0</v>
      </c>
      <c r="BJ44">
        <v>0</v>
      </c>
      <c r="BK44">
        <v>0</v>
      </c>
      <c r="BL44">
        <v>0</v>
      </c>
      <c r="BM44">
        <v>0</v>
      </c>
      <c r="BN44">
        <v>0</v>
      </c>
      <c r="BO44">
        <v>0</v>
      </c>
      <c r="BP44">
        <v>0</v>
      </c>
      <c r="BQ44">
        <v>0</v>
      </c>
      <c r="BR44">
        <v>0</v>
      </c>
      <c r="BS44">
        <v>0</v>
      </c>
      <c r="BT44">
        <v>0</v>
      </c>
      <c r="BU44">
        <v>0</v>
      </c>
      <c r="BV44">
        <v>0</v>
      </c>
      <c r="BW44">
        <v>0</v>
      </c>
      <c r="BX44">
        <v>0</v>
      </c>
    </row>
    <row r="45" spans="1:76" x14ac:dyDescent="0.25">
      <c r="A45">
        <v>41</v>
      </c>
      <c r="B45" s="85">
        <f t="shared" si="0"/>
        <v>44109</v>
      </c>
      <c r="P45">
        <v>41</v>
      </c>
      <c r="Q45">
        <v>0</v>
      </c>
      <c r="R45">
        <v>0</v>
      </c>
      <c r="S45">
        <v>0</v>
      </c>
      <c r="T45">
        <v>0</v>
      </c>
      <c r="U45">
        <v>0</v>
      </c>
      <c r="V45">
        <v>0</v>
      </c>
      <c r="W45">
        <v>0</v>
      </c>
      <c r="X45">
        <v>0</v>
      </c>
      <c r="Y45">
        <v>0</v>
      </c>
      <c r="Z45">
        <v>0</v>
      </c>
      <c r="AA45">
        <v>0</v>
      </c>
      <c r="AB45">
        <v>0</v>
      </c>
      <c r="AC45">
        <v>0</v>
      </c>
      <c r="AD45">
        <v>0</v>
      </c>
      <c r="AE45">
        <v>0</v>
      </c>
      <c r="AF45">
        <v>0</v>
      </c>
      <c r="AG45">
        <v>0</v>
      </c>
      <c r="AH45">
        <v>0</v>
      </c>
      <c r="AI45">
        <v>0</v>
      </c>
      <c r="AJ45">
        <v>0</v>
      </c>
      <c r="AK45">
        <v>0</v>
      </c>
      <c r="AL45">
        <v>0</v>
      </c>
      <c r="AM45">
        <v>0</v>
      </c>
      <c r="AN45">
        <v>0</v>
      </c>
      <c r="AO45">
        <v>0</v>
      </c>
      <c r="AP45">
        <v>0</v>
      </c>
      <c r="AQ45">
        <v>0</v>
      </c>
      <c r="AR45">
        <v>0</v>
      </c>
      <c r="AS45">
        <v>0</v>
      </c>
      <c r="AT45">
        <v>0</v>
      </c>
      <c r="AU45">
        <v>0</v>
      </c>
      <c r="AV45">
        <v>0</v>
      </c>
      <c r="AW45">
        <v>0</v>
      </c>
      <c r="AX45">
        <v>0</v>
      </c>
      <c r="AY45">
        <v>0</v>
      </c>
      <c r="AZ45">
        <v>0</v>
      </c>
      <c r="BA45">
        <v>0</v>
      </c>
      <c r="BB45">
        <v>0</v>
      </c>
      <c r="BC45">
        <v>0</v>
      </c>
      <c r="BD45">
        <v>0</v>
      </c>
      <c r="BE45">
        <v>0</v>
      </c>
      <c r="BF45">
        <v>0</v>
      </c>
      <c r="BG45">
        <v>0</v>
      </c>
      <c r="BH45">
        <v>0</v>
      </c>
      <c r="BI45">
        <v>0</v>
      </c>
      <c r="BJ45">
        <v>0</v>
      </c>
      <c r="BK45">
        <v>0</v>
      </c>
      <c r="BL45">
        <v>0</v>
      </c>
      <c r="BM45">
        <v>0</v>
      </c>
      <c r="BN45">
        <v>0</v>
      </c>
      <c r="BO45">
        <v>0</v>
      </c>
      <c r="BP45">
        <v>0</v>
      </c>
      <c r="BQ45">
        <v>0</v>
      </c>
      <c r="BR45">
        <v>0</v>
      </c>
      <c r="BS45">
        <v>0</v>
      </c>
      <c r="BT45">
        <v>0</v>
      </c>
      <c r="BU45">
        <v>0</v>
      </c>
      <c r="BV45">
        <v>0</v>
      </c>
      <c r="BW45">
        <v>0</v>
      </c>
      <c r="BX45">
        <v>0</v>
      </c>
    </row>
    <row r="46" spans="1:76" x14ac:dyDescent="0.25">
      <c r="A46">
        <v>42</v>
      </c>
      <c r="B46" s="85">
        <f t="shared" si="0"/>
        <v>44116</v>
      </c>
      <c r="P46">
        <v>42</v>
      </c>
      <c r="Q46">
        <v>0</v>
      </c>
      <c r="R46">
        <v>0</v>
      </c>
      <c r="S46">
        <v>0</v>
      </c>
      <c r="T46">
        <v>0</v>
      </c>
      <c r="U46">
        <v>0</v>
      </c>
      <c r="V46">
        <v>0</v>
      </c>
      <c r="W46">
        <v>0</v>
      </c>
      <c r="X46">
        <v>0</v>
      </c>
      <c r="Y46">
        <v>0</v>
      </c>
      <c r="Z46">
        <v>0</v>
      </c>
      <c r="AA46">
        <v>0</v>
      </c>
      <c r="AB46">
        <v>0</v>
      </c>
      <c r="AC46">
        <v>0</v>
      </c>
      <c r="AD46">
        <v>0</v>
      </c>
      <c r="AE46">
        <v>0</v>
      </c>
      <c r="AF46">
        <v>0</v>
      </c>
      <c r="AG46">
        <v>0</v>
      </c>
      <c r="AH46">
        <v>0</v>
      </c>
      <c r="AI46">
        <v>0</v>
      </c>
      <c r="AJ46">
        <v>0</v>
      </c>
      <c r="AK46">
        <v>0</v>
      </c>
      <c r="AL46">
        <v>0</v>
      </c>
      <c r="AM46">
        <v>0</v>
      </c>
      <c r="AN46">
        <v>0</v>
      </c>
      <c r="AO46">
        <v>0</v>
      </c>
      <c r="AP46">
        <v>0</v>
      </c>
      <c r="AQ46">
        <v>0</v>
      </c>
      <c r="AR46">
        <v>0</v>
      </c>
      <c r="AS46">
        <v>0</v>
      </c>
      <c r="AT46">
        <v>0</v>
      </c>
      <c r="AU46">
        <v>0</v>
      </c>
      <c r="AV46">
        <v>0</v>
      </c>
      <c r="AW46">
        <v>0</v>
      </c>
      <c r="AX46">
        <v>0</v>
      </c>
      <c r="AY46">
        <v>0</v>
      </c>
      <c r="AZ46">
        <v>0</v>
      </c>
      <c r="BA46">
        <v>0</v>
      </c>
      <c r="BB46">
        <v>0</v>
      </c>
      <c r="BC46">
        <v>0</v>
      </c>
      <c r="BD46">
        <v>0</v>
      </c>
      <c r="BE46">
        <v>0</v>
      </c>
      <c r="BF46">
        <v>0</v>
      </c>
      <c r="BG46">
        <v>0</v>
      </c>
      <c r="BH46">
        <v>0</v>
      </c>
      <c r="BI46">
        <v>0</v>
      </c>
      <c r="BJ46">
        <v>0</v>
      </c>
      <c r="BK46">
        <v>0</v>
      </c>
      <c r="BL46">
        <v>0</v>
      </c>
      <c r="BM46">
        <v>0</v>
      </c>
      <c r="BN46">
        <v>0</v>
      </c>
      <c r="BO46">
        <v>0</v>
      </c>
      <c r="BP46">
        <v>0</v>
      </c>
      <c r="BQ46">
        <v>0</v>
      </c>
      <c r="BR46">
        <v>0</v>
      </c>
      <c r="BS46">
        <v>0</v>
      </c>
      <c r="BT46">
        <v>0</v>
      </c>
      <c r="BU46">
        <v>0</v>
      </c>
      <c r="BV46">
        <v>0</v>
      </c>
      <c r="BW46">
        <v>0</v>
      </c>
      <c r="BX46">
        <v>0</v>
      </c>
    </row>
    <row r="47" spans="1:76" x14ac:dyDescent="0.25">
      <c r="A47">
        <v>43</v>
      </c>
      <c r="B47" s="85">
        <f t="shared" si="0"/>
        <v>44123</v>
      </c>
      <c r="P47">
        <v>43</v>
      </c>
      <c r="Q47">
        <v>0</v>
      </c>
      <c r="R47">
        <v>0</v>
      </c>
      <c r="S47">
        <v>0</v>
      </c>
      <c r="T47">
        <v>0</v>
      </c>
      <c r="U47">
        <v>0</v>
      </c>
      <c r="V47">
        <v>0</v>
      </c>
      <c r="W47">
        <v>0</v>
      </c>
      <c r="X47">
        <v>0</v>
      </c>
      <c r="Y47">
        <v>0</v>
      </c>
      <c r="Z47">
        <v>0</v>
      </c>
      <c r="AA47">
        <v>0</v>
      </c>
      <c r="AB47">
        <v>0</v>
      </c>
      <c r="AC47">
        <v>0</v>
      </c>
      <c r="AD47">
        <v>0</v>
      </c>
      <c r="AE47">
        <v>0</v>
      </c>
      <c r="AF47">
        <v>0</v>
      </c>
      <c r="AG47">
        <v>0</v>
      </c>
      <c r="AH47">
        <v>0</v>
      </c>
      <c r="AI47">
        <v>0</v>
      </c>
      <c r="AJ47">
        <v>0</v>
      </c>
      <c r="AK47">
        <v>0</v>
      </c>
      <c r="AL47">
        <v>0</v>
      </c>
      <c r="AM47">
        <v>0</v>
      </c>
      <c r="AN47">
        <v>0</v>
      </c>
      <c r="AO47">
        <v>0</v>
      </c>
      <c r="AP47">
        <v>0</v>
      </c>
      <c r="AQ47">
        <v>0</v>
      </c>
      <c r="AR47">
        <v>0</v>
      </c>
      <c r="AS47">
        <v>0</v>
      </c>
      <c r="AT47">
        <v>0</v>
      </c>
      <c r="AU47">
        <v>0</v>
      </c>
      <c r="AV47">
        <v>0</v>
      </c>
      <c r="AW47">
        <v>0</v>
      </c>
      <c r="AX47">
        <v>0</v>
      </c>
      <c r="AY47">
        <v>0</v>
      </c>
      <c r="AZ47">
        <v>0</v>
      </c>
      <c r="BA47">
        <v>0</v>
      </c>
      <c r="BB47">
        <v>0</v>
      </c>
      <c r="BC47">
        <v>0</v>
      </c>
      <c r="BD47">
        <v>0</v>
      </c>
      <c r="BE47">
        <v>0</v>
      </c>
      <c r="BF47">
        <v>0</v>
      </c>
      <c r="BG47">
        <v>0</v>
      </c>
      <c r="BH47">
        <v>0</v>
      </c>
      <c r="BI47">
        <v>0</v>
      </c>
      <c r="BJ47">
        <v>0</v>
      </c>
      <c r="BK47">
        <v>0</v>
      </c>
      <c r="BL47">
        <v>0</v>
      </c>
      <c r="BM47">
        <v>0</v>
      </c>
      <c r="BN47">
        <v>0</v>
      </c>
      <c r="BO47">
        <v>0</v>
      </c>
      <c r="BP47">
        <v>0</v>
      </c>
      <c r="BQ47">
        <v>0</v>
      </c>
      <c r="BR47">
        <v>0</v>
      </c>
      <c r="BS47">
        <v>0</v>
      </c>
      <c r="BT47">
        <v>0</v>
      </c>
      <c r="BU47">
        <v>0</v>
      </c>
      <c r="BV47">
        <v>0</v>
      </c>
      <c r="BW47">
        <v>0</v>
      </c>
      <c r="BX47">
        <v>0</v>
      </c>
    </row>
    <row r="48" spans="1:76" x14ac:dyDescent="0.25">
      <c r="A48">
        <v>44</v>
      </c>
      <c r="B48" s="85">
        <f t="shared" si="0"/>
        <v>44130</v>
      </c>
      <c r="P48">
        <v>44</v>
      </c>
      <c r="Q48">
        <v>0</v>
      </c>
      <c r="R48">
        <v>0</v>
      </c>
      <c r="S48">
        <v>0</v>
      </c>
      <c r="T48">
        <v>0</v>
      </c>
      <c r="U48">
        <v>0</v>
      </c>
      <c r="V48">
        <v>0</v>
      </c>
      <c r="W48">
        <v>0</v>
      </c>
      <c r="X48">
        <v>0</v>
      </c>
      <c r="Y48">
        <v>0</v>
      </c>
      <c r="Z48">
        <v>0</v>
      </c>
      <c r="AA48">
        <v>0</v>
      </c>
      <c r="AB48">
        <v>0</v>
      </c>
      <c r="AC48">
        <v>0</v>
      </c>
      <c r="AD48">
        <v>0</v>
      </c>
      <c r="AE48">
        <v>0</v>
      </c>
      <c r="AF48">
        <v>0</v>
      </c>
      <c r="AG48">
        <v>0</v>
      </c>
      <c r="AH48">
        <v>0</v>
      </c>
      <c r="AI48">
        <v>0</v>
      </c>
      <c r="AJ48">
        <v>0</v>
      </c>
      <c r="AK48">
        <v>0</v>
      </c>
      <c r="AL48">
        <v>0</v>
      </c>
      <c r="AM48">
        <v>0</v>
      </c>
      <c r="AN48">
        <v>0</v>
      </c>
      <c r="AO48">
        <v>0</v>
      </c>
      <c r="AP48">
        <v>0</v>
      </c>
      <c r="AQ48">
        <v>0</v>
      </c>
      <c r="AR48">
        <v>0</v>
      </c>
      <c r="AS48">
        <v>0</v>
      </c>
      <c r="AT48">
        <v>0</v>
      </c>
      <c r="AU48">
        <v>0</v>
      </c>
      <c r="AV48">
        <v>0</v>
      </c>
      <c r="AW48">
        <v>0</v>
      </c>
      <c r="AX48">
        <v>0</v>
      </c>
      <c r="AY48">
        <v>0</v>
      </c>
      <c r="AZ48">
        <v>0</v>
      </c>
      <c r="BA48">
        <v>0</v>
      </c>
      <c r="BB48">
        <v>0</v>
      </c>
      <c r="BC48">
        <v>0</v>
      </c>
      <c r="BD48">
        <v>0</v>
      </c>
      <c r="BE48">
        <v>0</v>
      </c>
      <c r="BF48">
        <v>0</v>
      </c>
      <c r="BG48">
        <v>0</v>
      </c>
      <c r="BH48">
        <v>0</v>
      </c>
      <c r="BI48">
        <v>0</v>
      </c>
      <c r="BJ48">
        <v>0</v>
      </c>
      <c r="BK48">
        <v>0</v>
      </c>
      <c r="BL48">
        <v>0</v>
      </c>
      <c r="BM48">
        <v>0</v>
      </c>
      <c r="BN48">
        <v>0</v>
      </c>
      <c r="BO48">
        <v>0</v>
      </c>
      <c r="BP48">
        <v>0</v>
      </c>
      <c r="BQ48">
        <v>0</v>
      </c>
      <c r="BR48">
        <v>0</v>
      </c>
      <c r="BS48">
        <v>0</v>
      </c>
      <c r="BT48">
        <v>0</v>
      </c>
      <c r="BU48">
        <v>0</v>
      </c>
      <c r="BV48">
        <v>0</v>
      </c>
      <c r="BW48">
        <v>0</v>
      </c>
      <c r="BX48">
        <v>0</v>
      </c>
    </row>
    <row r="49" spans="1:76" x14ac:dyDescent="0.25">
      <c r="A49">
        <v>45</v>
      </c>
      <c r="B49" s="85">
        <f t="shared" si="0"/>
        <v>44137</v>
      </c>
      <c r="P49">
        <v>45</v>
      </c>
      <c r="Q49">
        <v>0</v>
      </c>
      <c r="R49">
        <v>0</v>
      </c>
      <c r="S49">
        <v>0</v>
      </c>
      <c r="T49">
        <v>0</v>
      </c>
      <c r="U49">
        <v>0</v>
      </c>
      <c r="V49">
        <v>0</v>
      </c>
      <c r="W49">
        <v>0</v>
      </c>
      <c r="X49">
        <v>0</v>
      </c>
      <c r="Y49">
        <v>0</v>
      </c>
      <c r="Z49">
        <v>0</v>
      </c>
      <c r="AA49">
        <v>0</v>
      </c>
      <c r="AB49">
        <v>0</v>
      </c>
      <c r="AC49">
        <v>0</v>
      </c>
      <c r="AD49">
        <v>0</v>
      </c>
      <c r="AE49">
        <v>0</v>
      </c>
      <c r="AF49">
        <v>0</v>
      </c>
      <c r="AG49">
        <v>0</v>
      </c>
      <c r="AH49">
        <v>0</v>
      </c>
      <c r="AI49">
        <v>0</v>
      </c>
      <c r="AJ49">
        <v>0</v>
      </c>
      <c r="AK49">
        <v>0</v>
      </c>
      <c r="AL49">
        <v>0</v>
      </c>
      <c r="AM49">
        <v>0</v>
      </c>
      <c r="AN49">
        <v>0</v>
      </c>
      <c r="AO49">
        <v>0</v>
      </c>
      <c r="AP49">
        <v>0</v>
      </c>
      <c r="AQ49">
        <v>0</v>
      </c>
      <c r="AR49">
        <v>0</v>
      </c>
      <c r="AS49">
        <v>0</v>
      </c>
      <c r="AT49">
        <v>0</v>
      </c>
      <c r="AU49">
        <v>0</v>
      </c>
      <c r="AV49">
        <v>0</v>
      </c>
      <c r="AW49">
        <v>0</v>
      </c>
      <c r="AX49">
        <v>0</v>
      </c>
      <c r="AY49">
        <v>0</v>
      </c>
      <c r="AZ49">
        <v>0</v>
      </c>
      <c r="BA49">
        <v>0</v>
      </c>
      <c r="BB49">
        <v>0</v>
      </c>
      <c r="BC49">
        <v>0</v>
      </c>
      <c r="BD49">
        <v>0</v>
      </c>
      <c r="BE49">
        <v>0</v>
      </c>
      <c r="BF49">
        <v>0</v>
      </c>
      <c r="BG49">
        <v>0</v>
      </c>
      <c r="BH49">
        <v>0</v>
      </c>
      <c r="BI49">
        <v>0</v>
      </c>
      <c r="BJ49">
        <v>0</v>
      </c>
      <c r="BK49">
        <v>0</v>
      </c>
      <c r="BL49">
        <v>0</v>
      </c>
      <c r="BM49">
        <v>0</v>
      </c>
      <c r="BN49">
        <v>0</v>
      </c>
      <c r="BO49">
        <v>0</v>
      </c>
      <c r="BP49">
        <v>0</v>
      </c>
      <c r="BQ49">
        <v>0</v>
      </c>
      <c r="BR49">
        <v>0</v>
      </c>
      <c r="BS49">
        <v>0</v>
      </c>
      <c r="BT49">
        <v>0</v>
      </c>
      <c r="BU49">
        <v>0</v>
      </c>
      <c r="BV49">
        <v>0</v>
      </c>
      <c r="BW49">
        <v>0</v>
      </c>
      <c r="BX49">
        <v>0</v>
      </c>
    </row>
    <row r="50" spans="1:76" x14ac:dyDescent="0.25">
      <c r="A50">
        <v>46</v>
      </c>
      <c r="B50" s="85">
        <f t="shared" si="0"/>
        <v>44144</v>
      </c>
      <c r="P50">
        <v>46</v>
      </c>
      <c r="Q50">
        <v>0</v>
      </c>
      <c r="R50">
        <v>0</v>
      </c>
      <c r="S50">
        <v>0</v>
      </c>
      <c r="T50">
        <v>0</v>
      </c>
      <c r="U50">
        <v>0</v>
      </c>
      <c r="V50">
        <v>0</v>
      </c>
      <c r="W50">
        <v>0</v>
      </c>
      <c r="X50">
        <v>0</v>
      </c>
      <c r="Y50">
        <v>0</v>
      </c>
      <c r="Z50">
        <v>0</v>
      </c>
      <c r="AA50">
        <v>0</v>
      </c>
      <c r="AB50">
        <v>0</v>
      </c>
      <c r="AC50">
        <v>0</v>
      </c>
      <c r="AD50">
        <v>0</v>
      </c>
      <c r="AE50">
        <v>0</v>
      </c>
      <c r="AF50">
        <v>0</v>
      </c>
      <c r="AG50">
        <v>0</v>
      </c>
      <c r="AH50">
        <v>0</v>
      </c>
      <c r="AI50">
        <v>0</v>
      </c>
      <c r="AJ50">
        <v>0</v>
      </c>
      <c r="AK50">
        <v>0</v>
      </c>
      <c r="AL50">
        <v>0</v>
      </c>
      <c r="AM50">
        <v>0</v>
      </c>
      <c r="AN50">
        <v>0</v>
      </c>
      <c r="AO50">
        <v>0</v>
      </c>
      <c r="AP50">
        <v>0</v>
      </c>
      <c r="AQ50">
        <v>0</v>
      </c>
      <c r="AR50">
        <v>0</v>
      </c>
      <c r="AS50">
        <v>0</v>
      </c>
      <c r="AT50">
        <v>0</v>
      </c>
      <c r="AU50">
        <v>0</v>
      </c>
      <c r="AV50">
        <v>0</v>
      </c>
      <c r="AW50">
        <v>0</v>
      </c>
      <c r="AX50">
        <v>0</v>
      </c>
      <c r="AY50">
        <v>0</v>
      </c>
      <c r="AZ50">
        <v>0</v>
      </c>
      <c r="BA50">
        <v>0</v>
      </c>
      <c r="BB50">
        <v>0</v>
      </c>
      <c r="BC50">
        <v>0</v>
      </c>
      <c r="BD50">
        <v>0</v>
      </c>
      <c r="BE50">
        <v>0</v>
      </c>
      <c r="BF50">
        <v>0</v>
      </c>
      <c r="BG50">
        <v>0</v>
      </c>
      <c r="BH50">
        <v>0</v>
      </c>
      <c r="BI50">
        <v>0</v>
      </c>
      <c r="BJ50">
        <v>0</v>
      </c>
      <c r="BK50">
        <v>0</v>
      </c>
      <c r="BL50">
        <v>0</v>
      </c>
      <c r="BM50">
        <v>0</v>
      </c>
      <c r="BN50">
        <v>0</v>
      </c>
      <c r="BO50">
        <v>0</v>
      </c>
      <c r="BP50">
        <v>0</v>
      </c>
      <c r="BQ50">
        <v>0</v>
      </c>
      <c r="BR50">
        <v>0</v>
      </c>
      <c r="BS50">
        <v>0</v>
      </c>
      <c r="BT50">
        <v>0</v>
      </c>
      <c r="BU50">
        <v>0</v>
      </c>
      <c r="BV50">
        <v>0</v>
      </c>
      <c r="BW50">
        <v>0</v>
      </c>
      <c r="BX50">
        <v>0</v>
      </c>
    </row>
    <row r="51" spans="1:76" x14ac:dyDescent="0.25">
      <c r="A51">
        <v>47</v>
      </c>
      <c r="B51" s="85">
        <f t="shared" si="0"/>
        <v>44151</v>
      </c>
      <c r="P51">
        <v>47</v>
      </c>
      <c r="Q51">
        <v>0</v>
      </c>
      <c r="R51">
        <v>0</v>
      </c>
      <c r="S51">
        <v>0</v>
      </c>
      <c r="T51">
        <v>0</v>
      </c>
      <c r="U51">
        <v>0</v>
      </c>
      <c r="V51">
        <v>0</v>
      </c>
      <c r="W51">
        <v>0</v>
      </c>
      <c r="X51">
        <v>0</v>
      </c>
      <c r="Y51">
        <v>0</v>
      </c>
      <c r="Z51">
        <v>0</v>
      </c>
      <c r="AA51">
        <v>0</v>
      </c>
      <c r="AB51">
        <v>0</v>
      </c>
      <c r="AC51">
        <v>0</v>
      </c>
      <c r="AD51">
        <v>0</v>
      </c>
      <c r="AE51">
        <v>0</v>
      </c>
      <c r="AF51">
        <v>0</v>
      </c>
      <c r="AG51">
        <v>0</v>
      </c>
      <c r="AH51">
        <v>0</v>
      </c>
      <c r="AI51">
        <v>0</v>
      </c>
      <c r="AJ51">
        <v>0</v>
      </c>
      <c r="AK51">
        <v>0</v>
      </c>
      <c r="AL51">
        <v>0</v>
      </c>
      <c r="AM51">
        <v>0</v>
      </c>
      <c r="AN51">
        <v>0</v>
      </c>
      <c r="AO51">
        <v>0</v>
      </c>
      <c r="AP51">
        <v>0</v>
      </c>
      <c r="AQ51">
        <v>0</v>
      </c>
      <c r="AR51">
        <v>0</v>
      </c>
      <c r="AS51">
        <v>0</v>
      </c>
      <c r="AT51">
        <v>0</v>
      </c>
      <c r="AU51">
        <v>0</v>
      </c>
      <c r="AV51">
        <v>0</v>
      </c>
      <c r="AW51">
        <v>0</v>
      </c>
      <c r="AX51">
        <v>0</v>
      </c>
      <c r="AY51">
        <v>0</v>
      </c>
      <c r="AZ51">
        <v>0</v>
      </c>
      <c r="BA51">
        <v>0</v>
      </c>
      <c r="BB51">
        <v>0</v>
      </c>
      <c r="BC51">
        <v>0</v>
      </c>
      <c r="BD51">
        <v>0</v>
      </c>
      <c r="BE51">
        <v>0</v>
      </c>
      <c r="BF51">
        <v>0</v>
      </c>
      <c r="BG51">
        <v>0</v>
      </c>
      <c r="BH51">
        <v>0</v>
      </c>
      <c r="BI51">
        <v>0</v>
      </c>
      <c r="BJ51">
        <v>0</v>
      </c>
      <c r="BK51">
        <v>0</v>
      </c>
      <c r="BL51">
        <v>0</v>
      </c>
      <c r="BM51">
        <v>0</v>
      </c>
      <c r="BN51">
        <v>0</v>
      </c>
      <c r="BO51">
        <v>0</v>
      </c>
      <c r="BP51">
        <v>0</v>
      </c>
      <c r="BQ51">
        <v>0</v>
      </c>
      <c r="BR51">
        <v>0</v>
      </c>
      <c r="BS51">
        <v>0</v>
      </c>
      <c r="BT51">
        <v>0</v>
      </c>
      <c r="BU51">
        <v>0</v>
      </c>
      <c r="BV51">
        <v>0</v>
      </c>
      <c r="BW51">
        <v>0</v>
      </c>
      <c r="BX51">
        <v>0</v>
      </c>
    </row>
    <row r="52" spans="1:76" x14ac:dyDescent="0.25">
      <c r="A52">
        <v>48</v>
      </c>
      <c r="B52" s="85">
        <f t="shared" si="0"/>
        <v>44158</v>
      </c>
      <c r="P52">
        <v>48</v>
      </c>
      <c r="Q52">
        <v>0</v>
      </c>
      <c r="R52">
        <v>0</v>
      </c>
      <c r="S52">
        <v>0</v>
      </c>
      <c r="T52">
        <v>0</v>
      </c>
      <c r="U52">
        <v>0</v>
      </c>
      <c r="V52">
        <v>0</v>
      </c>
      <c r="W52">
        <v>0</v>
      </c>
      <c r="X52">
        <v>0</v>
      </c>
      <c r="Y52">
        <v>0</v>
      </c>
      <c r="Z52">
        <v>0</v>
      </c>
      <c r="AA52">
        <v>0</v>
      </c>
      <c r="AB52">
        <v>0</v>
      </c>
      <c r="AC52">
        <v>0</v>
      </c>
      <c r="AD52">
        <v>0</v>
      </c>
      <c r="AE52">
        <v>0</v>
      </c>
      <c r="AF52">
        <v>0</v>
      </c>
      <c r="AG52">
        <v>0</v>
      </c>
      <c r="AH52">
        <v>0</v>
      </c>
      <c r="AI52">
        <v>0</v>
      </c>
      <c r="AJ52">
        <v>0</v>
      </c>
      <c r="AK52">
        <v>0</v>
      </c>
      <c r="AL52">
        <v>0</v>
      </c>
      <c r="AM52">
        <v>0</v>
      </c>
      <c r="AN52">
        <v>0</v>
      </c>
      <c r="AO52">
        <v>0</v>
      </c>
      <c r="AP52">
        <v>0</v>
      </c>
      <c r="AQ52">
        <v>0</v>
      </c>
      <c r="AR52">
        <v>0</v>
      </c>
      <c r="AS52">
        <v>0</v>
      </c>
      <c r="AT52">
        <v>0</v>
      </c>
      <c r="AU52">
        <v>0</v>
      </c>
      <c r="AV52">
        <v>0</v>
      </c>
      <c r="AW52">
        <v>0</v>
      </c>
      <c r="AX52">
        <v>0</v>
      </c>
      <c r="AY52">
        <v>0</v>
      </c>
      <c r="AZ52">
        <v>0</v>
      </c>
      <c r="BA52">
        <v>0</v>
      </c>
      <c r="BB52">
        <v>0</v>
      </c>
      <c r="BC52">
        <v>0</v>
      </c>
      <c r="BD52">
        <v>0</v>
      </c>
      <c r="BE52">
        <v>0</v>
      </c>
      <c r="BF52">
        <v>0</v>
      </c>
      <c r="BG52">
        <v>0</v>
      </c>
      <c r="BH52">
        <v>0</v>
      </c>
      <c r="BI52">
        <v>0</v>
      </c>
      <c r="BJ52">
        <v>0</v>
      </c>
      <c r="BK52">
        <v>0</v>
      </c>
      <c r="BL52">
        <v>0</v>
      </c>
      <c r="BM52">
        <v>0</v>
      </c>
      <c r="BN52">
        <v>0</v>
      </c>
      <c r="BO52">
        <v>0</v>
      </c>
      <c r="BP52">
        <v>0</v>
      </c>
      <c r="BQ52">
        <v>0</v>
      </c>
      <c r="BR52">
        <v>0</v>
      </c>
      <c r="BS52">
        <v>0</v>
      </c>
      <c r="BT52">
        <v>0</v>
      </c>
      <c r="BU52">
        <v>0</v>
      </c>
      <c r="BV52">
        <v>0</v>
      </c>
      <c r="BW52">
        <v>0</v>
      </c>
      <c r="BX52">
        <v>0</v>
      </c>
    </row>
    <row r="53" spans="1:76" x14ac:dyDescent="0.25">
      <c r="A53">
        <v>49</v>
      </c>
      <c r="B53" s="85">
        <f t="shared" si="0"/>
        <v>44165</v>
      </c>
      <c r="P53">
        <v>49</v>
      </c>
      <c r="Q53">
        <v>0</v>
      </c>
      <c r="R53">
        <v>0</v>
      </c>
      <c r="S53">
        <v>0</v>
      </c>
      <c r="T53">
        <v>0</v>
      </c>
      <c r="U53">
        <v>0</v>
      </c>
      <c r="V53">
        <v>0</v>
      </c>
      <c r="W53">
        <v>0</v>
      </c>
      <c r="X53">
        <v>0</v>
      </c>
      <c r="Y53">
        <v>0</v>
      </c>
      <c r="Z53">
        <v>0</v>
      </c>
      <c r="AA53">
        <v>0</v>
      </c>
      <c r="AB53">
        <v>0</v>
      </c>
      <c r="AC53">
        <v>0</v>
      </c>
      <c r="AD53">
        <v>0</v>
      </c>
      <c r="AE53">
        <v>0</v>
      </c>
      <c r="AF53">
        <v>0</v>
      </c>
      <c r="AG53">
        <v>0</v>
      </c>
      <c r="AH53">
        <v>0</v>
      </c>
      <c r="AI53">
        <v>0</v>
      </c>
      <c r="AJ53">
        <v>0</v>
      </c>
      <c r="AK53">
        <v>0</v>
      </c>
      <c r="AL53">
        <v>0</v>
      </c>
      <c r="AM53">
        <v>0</v>
      </c>
      <c r="AN53">
        <v>0</v>
      </c>
      <c r="AO53">
        <v>0</v>
      </c>
      <c r="AP53">
        <v>0</v>
      </c>
      <c r="AQ53">
        <v>0</v>
      </c>
      <c r="AR53">
        <v>0</v>
      </c>
      <c r="AS53">
        <v>0</v>
      </c>
      <c r="AT53">
        <v>0</v>
      </c>
      <c r="AU53">
        <v>0</v>
      </c>
      <c r="AV53">
        <v>0</v>
      </c>
      <c r="AW53">
        <v>0</v>
      </c>
      <c r="AX53">
        <v>0</v>
      </c>
      <c r="AY53">
        <v>0</v>
      </c>
      <c r="AZ53">
        <v>0</v>
      </c>
      <c r="BA53">
        <v>0</v>
      </c>
      <c r="BB53">
        <v>0</v>
      </c>
      <c r="BC53">
        <v>0</v>
      </c>
      <c r="BD53">
        <v>0</v>
      </c>
      <c r="BE53">
        <v>0</v>
      </c>
      <c r="BF53">
        <v>0</v>
      </c>
      <c r="BG53">
        <v>0</v>
      </c>
      <c r="BH53">
        <v>0</v>
      </c>
      <c r="BI53">
        <v>0</v>
      </c>
      <c r="BJ53">
        <v>0</v>
      </c>
      <c r="BK53">
        <v>0</v>
      </c>
      <c r="BL53">
        <v>0</v>
      </c>
      <c r="BM53">
        <v>0</v>
      </c>
      <c r="BN53">
        <v>0</v>
      </c>
      <c r="BO53">
        <v>0</v>
      </c>
      <c r="BP53">
        <v>0</v>
      </c>
      <c r="BQ53">
        <v>0</v>
      </c>
      <c r="BR53">
        <v>0</v>
      </c>
      <c r="BS53">
        <v>0</v>
      </c>
      <c r="BT53">
        <v>0</v>
      </c>
      <c r="BU53">
        <v>0</v>
      </c>
      <c r="BV53">
        <v>0</v>
      </c>
      <c r="BW53">
        <v>0</v>
      </c>
      <c r="BX53">
        <v>0</v>
      </c>
    </row>
    <row r="54" spans="1:76" x14ac:dyDescent="0.25">
      <c r="A54">
        <v>50</v>
      </c>
      <c r="B54" s="85">
        <f t="shared" si="0"/>
        <v>44172</v>
      </c>
      <c r="P54">
        <v>50</v>
      </c>
      <c r="Q54">
        <v>0</v>
      </c>
      <c r="R54">
        <v>0</v>
      </c>
      <c r="S54">
        <v>0</v>
      </c>
      <c r="T54">
        <v>0</v>
      </c>
      <c r="U54">
        <v>0</v>
      </c>
      <c r="V54">
        <v>0</v>
      </c>
      <c r="W54">
        <v>0</v>
      </c>
      <c r="X54">
        <v>0</v>
      </c>
      <c r="Y54">
        <v>0</v>
      </c>
      <c r="Z54">
        <v>0</v>
      </c>
      <c r="AA54">
        <v>0</v>
      </c>
      <c r="AB54">
        <v>0</v>
      </c>
      <c r="AC54">
        <v>0</v>
      </c>
      <c r="AD54">
        <v>0</v>
      </c>
      <c r="AE54">
        <v>0</v>
      </c>
      <c r="AF54">
        <v>0</v>
      </c>
      <c r="AG54">
        <v>0</v>
      </c>
      <c r="AH54">
        <v>0</v>
      </c>
      <c r="AI54">
        <v>0</v>
      </c>
      <c r="AJ54">
        <v>0</v>
      </c>
      <c r="AK54">
        <v>0</v>
      </c>
      <c r="AL54">
        <v>0</v>
      </c>
      <c r="AM54">
        <v>0</v>
      </c>
      <c r="AN54">
        <v>0</v>
      </c>
      <c r="AO54">
        <v>0</v>
      </c>
      <c r="AP54">
        <v>0</v>
      </c>
      <c r="AQ54">
        <v>0</v>
      </c>
      <c r="AR54">
        <v>0</v>
      </c>
      <c r="AS54">
        <v>0</v>
      </c>
      <c r="AT54">
        <v>0</v>
      </c>
      <c r="AU54">
        <v>0</v>
      </c>
      <c r="AV54">
        <v>0</v>
      </c>
      <c r="AW54">
        <v>0</v>
      </c>
      <c r="AX54">
        <v>0</v>
      </c>
      <c r="AY54">
        <v>0</v>
      </c>
      <c r="AZ54">
        <v>0</v>
      </c>
      <c r="BA54">
        <v>0</v>
      </c>
      <c r="BB54">
        <v>0</v>
      </c>
      <c r="BC54">
        <v>0</v>
      </c>
      <c r="BD54">
        <v>0</v>
      </c>
      <c r="BE54">
        <v>0</v>
      </c>
      <c r="BF54">
        <v>0</v>
      </c>
      <c r="BG54">
        <v>0</v>
      </c>
      <c r="BH54">
        <v>0</v>
      </c>
      <c r="BI54">
        <v>0</v>
      </c>
      <c r="BJ54">
        <v>0</v>
      </c>
      <c r="BK54">
        <v>0</v>
      </c>
      <c r="BL54">
        <v>0</v>
      </c>
      <c r="BM54">
        <v>0</v>
      </c>
      <c r="BN54">
        <v>0</v>
      </c>
      <c r="BO54">
        <v>0</v>
      </c>
      <c r="BP54">
        <v>0</v>
      </c>
      <c r="BQ54">
        <v>0</v>
      </c>
      <c r="BR54">
        <v>0</v>
      </c>
      <c r="BS54">
        <v>0</v>
      </c>
      <c r="BT54">
        <v>0</v>
      </c>
      <c r="BU54">
        <v>0</v>
      </c>
      <c r="BV54">
        <v>0</v>
      </c>
      <c r="BW54">
        <v>0</v>
      </c>
      <c r="BX54">
        <v>0</v>
      </c>
    </row>
    <row r="55" spans="1:76" x14ac:dyDescent="0.25">
      <c r="A55">
        <v>51</v>
      </c>
      <c r="B55" s="85">
        <f t="shared" si="0"/>
        <v>44179</v>
      </c>
      <c r="P55">
        <v>51</v>
      </c>
      <c r="Q55">
        <v>0</v>
      </c>
      <c r="R55">
        <v>0</v>
      </c>
      <c r="S55">
        <v>0</v>
      </c>
      <c r="T55">
        <v>0</v>
      </c>
      <c r="U55">
        <v>0</v>
      </c>
      <c r="V55">
        <v>0</v>
      </c>
      <c r="W55">
        <v>0</v>
      </c>
      <c r="X55">
        <v>0</v>
      </c>
      <c r="Y55">
        <v>0</v>
      </c>
      <c r="Z55">
        <v>0</v>
      </c>
      <c r="AA55">
        <v>0</v>
      </c>
      <c r="AB55">
        <v>0</v>
      </c>
      <c r="AC55">
        <v>0</v>
      </c>
      <c r="AD55">
        <v>0</v>
      </c>
      <c r="AE55">
        <v>0</v>
      </c>
      <c r="AF55">
        <v>0</v>
      </c>
      <c r="AG55">
        <v>0</v>
      </c>
      <c r="AH55">
        <v>0</v>
      </c>
      <c r="AI55">
        <v>0</v>
      </c>
      <c r="AJ55">
        <v>0</v>
      </c>
      <c r="AK55">
        <v>0</v>
      </c>
      <c r="AL55">
        <v>0</v>
      </c>
      <c r="AM55">
        <v>0</v>
      </c>
      <c r="AN55">
        <v>0</v>
      </c>
      <c r="AO55">
        <v>0</v>
      </c>
      <c r="AP55">
        <v>0</v>
      </c>
      <c r="AQ55">
        <v>0</v>
      </c>
      <c r="AR55">
        <v>0</v>
      </c>
      <c r="AS55">
        <v>0</v>
      </c>
      <c r="AT55">
        <v>0</v>
      </c>
      <c r="AU55">
        <v>0</v>
      </c>
      <c r="AV55">
        <v>0</v>
      </c>
      <c r="AW55">
        <v>0</v>
      </c>
      <c r="AX55">
        <v>0</v>
      </c>
      <c r="AY55">
        <v>0</v>
      </c>
      <c r="AZ55">
        <v>0</v>
      </c>
      <c r="BA55">
        <v>0</v>
      </c>
      <c r="BB55">
        <v>0</v>
      </c>
      <c r="BC55">
        <v>0</v>
      </c>
      <c r="BD55">
        <v>0</v>
      </c>
      <c r="BE55">
        <v>0</v>
      </c>
      <c r="BF55">
        <v>0</v>
      </c>
      <c r="BG55">
        <v>0</v>
      </c>
      <c r="BH55">
        <v>0</v>
      </c>
      <c r="BI55">
        <v>0</v>
      </c>
      <c r="BJ55">
        <v>0</v>
      </c>
      <c r="BK55">
        <v>0</v>
      </c>
      <c r="BL55">
        <v>0</v>
      </c>
      <c r="BM55">
        <v>0</v>
      </c>
      <c r="BN55">
        <v>0</v>
      </c>
      <c r="BO55">
        <v>0</v>
      </c>
      <c r="BP55">
        <v>0</v>
      </c>
      <c r="BQ55">
        <v>0</v>
      </c>
      <c r="BR55">
        <v>0</v>
      </c>
      <c r="BS55">
        <v>0</v>
      </c>
      <c r="BT55">
        <v>0</v>
      </c>
      <c r="BU55">
        <v>0</v>
      </c>
      <c r="BV55">
        <v>0</v>
      </c>
      <c r="BW55">
        <v>0</v>
      </c>
      <c r="BX55">
        <v>0</v>
      </c>
    </row>
    <row r="56" spans="1:76" x14ac:dyDescent="0.25">
      <c r="A56">
        <v>52</v>
      </c>
      <c r="B56" s="85">
        <f t="shared" si="0"/>
        <v>44186</v>
      </c>
      <c r="P56">
        <v>52</v>
      </c>
      <c r="Q56">
        <v>0</v>
      </c>
      <c r="R56">
        <v>0</v>
      </c>
      <c r="S56">
        <v>0</v>
      </c>
      <c r="T56">
        <v>0</v>
      </c>
      <c r="U56">
        <v>0</v>
      </c>
      <c r="V56">
        <v>0</v>
      </c>
      <c r="W56">
        <v>0</v>
      </c>
      <c r="X56">
        <v>0</v>
      </c>
      <c r="Y56">
        <v>0</v>
      </c>
      <c r="Z56">
        <v>0</v>
      </c>
      <c r="AA56">
        <v>0</v>
      </c>
      <c r="AB56">
        <v>0</v>
      </c>
      <c r="AC56">
        <v>0</v>
      </c>
      <c r="AD56">
        <v>0</v>
      </c>
      <c r="AE56">
        <v>0</v>
      </c>
      <c r="AF56">
        <v>0</v>
      </c>
      <c r="AG56">
        <v>0</v>
      </c>
      <c r="AH56">
        <v>0</v>
      </c>
      <c r="AI56">
        <v>0</v>
      </c>
      <c r="AJ56">
        <v>0</v>
      </c>
      <c r="AK56">
        <v>0</v>
      </c>
      <c r="AL56">
        <v>0</v>
      </c>
      <c r="AM56">
        <v>0</v>
      </c>
      <c r="AN56">
        <v>0</v>
      </c>
      <c r="AO56">
        <v>0</v>
      </c>
      <c r="AP56">
        <v>0</v>
      </c>
      <c r="AQ56">
        <v>0</v>
      </c>
      <c r="AR56">
        <v>0</v>
      </c>
      <c r="AS56">
        <v>0</v>
      </c>
      <c r="AT56">
        <v>0</v>
      </c>
      <c r="AU56">
        <v>0</v>
      </c>
      <c r="AV56">
        <v>0</v>
      </c>
      <c r="AW56">
        <v>0</v>
      </c>
      <c r="AX56">
        <v>0</v>
      </c>
      <c r="AY56">
        <v>0</v>
      </c>
      <c r="AZ56">
        <v>0</v>
      </c>
      <c r="BA56">
        <v>0</v>
      </c>
      <c r="BB56">
        <v>0</v>
      </c>
      <c r="BC56">
        <v>0</v>
      </c>
      <c r="BD56">
        <v>0</v>
      </c>
      <c r="BE56">
        <v>0</v>
      </c>
      <c r="BF56">
        <v>0</v>
      </c>
      <c r="BG56">
        <v>0</v>
      </c>
      <c r="BH56">
        <v>0</v>
      </c>
      <c r="BI56">
        <v>0</v>
      </c>
      <c r="BJ56">
        <v>0</v>
      </c>
      <c r="BK56">
        <v>0</v>
      </c>
      <c r="BL56">
        <v>0</v>
      </c>
      <c r="BM56">
        <v>0</v>
      </c>
      <c r="BN56">
        <v>0</v>
      </c>
      <c r="BO56">
        <v>0</v>
      </c>
      <c r="BP56">
        <v>0</v>
      </c>
      <c r="BQ56">
        <v>0</v>
      </c>
      <c r="BR56">
        <v>0</v>
      </c>
      <c r="BS56">
        <v>0</v>
      </c>
      <c r="BT56">
        <v>0</v>
      </c>
      <c r="BU56">
        <v>0</v>
      </c>
      <c r="BV56">
        <v>0</v>
      </c>
      <c r="BW56">
        <v>0</v>
      </c>
      <c r="BX56">
        <v>0</v>
      </c>
    </row>
    <row r="57" spans="1:76" x14ac:dyDescent="0.25">
      <c r="B57"/>
    </row>
    <row r="58" spans="1:76" x14ac:dyDescent="0.25">
      <c r="B58"/>
    </row>
    <row r="59" spans="1:76" x14ac:dyDescent="0.25">
      <c r="B59"/>
    </row>
    <row r="60" spans="1:76" x14ac:dyDescent="0.25">
      <c r="B60"/>
    </row>
    <row r="61" spans="1:76" x14ac:dyDescent="0.25">
      <c r="B61"/>
    </row>
    <row r="62" spans="1:76" x14ac:dyDescent="0.25">
      <c r="B62"/>
    </row>
    <row r="63" spans="1:76" x14ac:dyDescent="0.25">
      <c r="B63"/>
    </row>
    <row r="64" spans="1:76" x14ac:dyDescent="0.25">
      <c r="B64"/>
    </row>
    <row r="65" spans="2:2" x14ac:dyDescent="0.25">
      <c r="B65"/>
    </row>
    <row r="66" spans="2:2" x14ac:dyDescent="0.25">
      <c r="B66"/>
    </row>
    <row r="67" spans="2:2" x14ac:dyDescent="0.25">
      <c r="B67"/>
    </row>
    <row r="68" spans="2:2" x14ac:dyDescent="0.25">
      <c r="B68"/>
    </row>
    <row r="69" spans="2:2" x14ac:dyDescent="0.25">
      <c r="B69"/>
    </row>
    <row r="70" spans="2:2" x14ac:dyDescent="0.25">
      <c r="B70"/>
    </row>
    <row r="71" spans="2:2" x14ac:dyDescent="0.25">
      <c r="B71"/>
    </row>
    <row r="72" spans="2:2" x14ac:dyDescent="0.25">
      <c r="B72"/>
    </row>
    <row r="73" spans="2:2" x14ac:dyDescent="0.25">
      <c r="B73"/>
    </row>
    <row r="74" spans="2:2" x14ac:dyDescent="0.25">
      <c r="B74"/>
    </row>
    <row r="75" spans="2:2" x14ac:dyDescent="0.25">
      <c r="B75"/>
    </row>
    <row r="76" spans="2:2" x14ac:dyDescent="0.25">
      <c r="B76"/>
    </row>
    <row r="77" spans="2:2" x14ac:dyDescent="0.25">
      <c r="B77"/>
    </row>
    <row r="78" spans="2:2" x14ac:dyDescent="0.25">
      <c r="B78"/>
    </row>
    <row r="79" spans="2:2" x14ac:dyDescent="0.25">
      <c r="B79"/>
    </row>
    <row r="80" spans="2:2" x14ac:dyDescent="0.25">
      <c r="B80"/>
    </row>
    <row r="81" spans="2:2" x14ac:dyDescent="0.25">
      <c r="B81"/>
    </row>
    <row r="82" spans="2:2" x14ac:dyDescent="0.25">
      <c r="B82"/>
    </row>
    <row r="83" spans="2:2" x14ac:dyDescent="0.25">
      <c r="B83"/>
    </row>
    <row r="84" spans="2:2" x14ac:dyDescent="0.25">
      <c r="B84"/>
    </row>
    <row r="85" spans="2:2" x14ac:dyDescent="0.25">
      <c r="B85"/>
    </row>
    <row r="86" spans="2:2" x14ac:dyDescent="0.25">
      <c r="B86"/>
    </row>
    <row r="87" spans="2:2" x14ac:dyDescent="0.25">
      <c r="B87"/>
    </row>
    <row r="88" spans="2:2" x14ac:dyDescent="0.25">
      <c r="B88"/>
    </row>
    <row r="89" spans="2:2" x14ac:dyDescent="0.25">
      <c r="B89"/>
    </row>
    <row r="90" spans="2:2" x14ac:dyDescent="0.25">
      <c r="B90"/>
    </row>
    <row r="91" spans="2:2" x14ac:dyDescent="0.25">
      <c r="B91"/>
    </row>
    <row r="92" spans="2:2" x14ac:dyDescent="0.25">
      <c r="B92"/>
    </row>
    <row r="93" spans="2:2" x14ac:dyDescent="0.25">
      <c r="B93"/>
    </row>
    <row r="94" spans="2:2" x14ac:dyDescent="0.25">
      <c r="B94"/>
    </row>
    <row r="95" spans="2:2" x14ac:dyDescent="0.25">
      <c r="B95"/>
    </row>
    <row r="96" spans="2:2" x14ac:dyDescent="0.25">
      <c r="B96"/>
    </row>
    <row r="97" spans="2:2" x14ac:dyDescent="0.25">
      <c r="B97"/>
    </row>
    <row r="98" spans="2:2" x14ac:dyDescent="0.25">
      <c r="B98"/>
    </row>
    <row r="99" spans="2:2" x14ac:dyDescent="0.25">
      <c r="B99"/>
    </row>
    <row r="100" spans="2:2" x14ac:dyDescent="0.25">
      <c r="B100"/>
    </row>
    <row r="101" spans="2:2" x14ac:dyDescent="0.25">
      <c r="B101"/>
    </row>
    <row r="102" spans="2:2" x14ac:dyDescent="0.25">
      <c r="B102"/>
    </row>
    <row r="103" spans="2:2" x14ac:dyDescent="0.25">
      <c r="B103"/>
    </row>
    <row r="104" spans="2:2" x14ac:dyDescent="0.25">
      <c r="B104"/>
    </row>
    <row r="105" spans="2:2" x14ac:dyDescent="0.25">
      <c r="B105"/>
    </row>
    <row r="106" spans="2:2" x14ac:dyDescent="0.25">
      <c r="B106"/>
    </row>
    <row r="107" spans="2:2" x14ac:dyDescent="0.25">
      <c r="B107"/>
    </row>
    <row r="108" spans="2:2" x14ac:dyDescent="0.25">
      <c r="B108"/>
    </row>
    <row r="109" spans="2:2" x14ac:dyDescent="0.25">
      <c r="B109"/>
    </row>
    <row r="110" spans="2:2" x14ac:dyDescent="0.25">
      <c r="B110"/>
    </row>
    <row r="111" spans="2:2" x14ac:dyDescent="0.25">
      <c r="B111"/>
    </row>
    <row r="112" spans="2:2" x14ac:dyDescent="0.25">
      <c r="B112"/>
    </row>
    <row r="113" spans="2:2" x14ac:dyDescent="0.25">
      <c r="B113"/>
    </row>
    <row r="114" spans="2:2" x14ac:dyDescent="0.25">
      <c r="B114"/>
    </row>
    <row r="115" spans="2:2" x14ac:dyDescent="0.25">
      <c r="B115"/>
    </row>
    <row r="116" spans="2:2" x14ac:dyDescent="0.25">
      <c r="B116"/>
    </row>
    <row r="117" spans="2:2" x14ac:dyDescent="0.25">
      <c r="B117"/>
    </row>
    <row r="118" spans="2:2" x14ac:dyDescent="0.25">
      <c r="B118"/>
    </row>
    <row r="119" spans="2:2" x14ac:dyDescent="0.25">
      <c r="B119"/>
    </row>
    <row r="120" spans="2:2" x14ac:dyDescent="0.25">
      <c r="B120"/>
    </row>
    <row r="121" spans="2:2" x14ac:dyDescent="0.25">
      <c r="B121"/>
    </row>
    <row r="122" spans="2:2" x14ac:dyDescent="0.25">
      <c r="B122"/>
    </row>
    <row r="123" spans="2:2" x14ac:dyDescent="0.25">
      <c r="B123"/>
    </row>
    <row r="124" spans="2:2" x14ac:dyDescent="0.25">
      <c r="B124"/>
    </row>
    <row r="125" spans="2:2" x14ac:dyDescent="0.25">
      <c r="B125"/>
    </row>
    <row r="126" spans="2:2" x14ac:dyDescent="0.25">
      <c r="B126"/>
    </row>
    <row r="127" spans="2:2" x14ac:dyDescent="0.25">
      <c r="B127"/>
    </row>
    <row r="128" spans="2:2" x14ac:dyDescent="0.25">
      <c r="B128"/>
    </row>
    <row r="129" spans="2:2" x14ac:dyDescent="0.25">
      <c r="B129"/>
    </row>
    <row r="130" spans="2:2" x14ac:dyDescent="0.25">
      <c r="B130"/>
    </row>
    <row r="131" spans="2:2" x14ac:dyDescent="0.25">
      <c r="B131"/>
    </row>
    <row r="132" spans="2:2" x14ac:dyDescent="0.25">
      <c r="B132"/>
    </row>
    <row r="133" spans="2:2" x14ac:dyDescent="0.25">
      <c r="B133"/>
    </row>
    <row r="134" spans="2:2" x14ac:dyDescent="0.25">
      <c r="B134"/>
    </row>
    <row r="135" spans="2:2" x14ac:dyDescent="0.25">
      <c r="B135"/>
    </row>
    <row r="136" spans="2:2" x14ac:dyDescent="0.25">
      <c r="B136"/>
    </row>
    <row r="137" spans="2:2" x14ac:dyDescent="0.25">
      <c r="B137"/>
    </row>
    <row r="138" spans="2:2" x14ac:dyDescent="0.25">
      <c r="B138"/>
    </row>
    <row r="139" spans="2:2" x14ac:dyDescent="0.25">
      <c r="B139"/>
    </row>
    <row r="140" spans="2:2" x14ac:dyDescent="0.25">
      <c r="B140"/>
    </row>
    <row r="141" spans="2:2" x14ac:dyDescent="0.25">
      <c r="B141"/>
    </row>
    <row r="142" spans="2:2" x14ac:dyDescent="0.25">
      <c r="B142"/>
    </row>
    <row r="143" spans="2:2" x14ac:dyDescent="0.25">
      <c r="B143"/>
    </row>
    <row r="144" spans="2:2" x14ac:dyDescent="0.25">
      <c r="B144"/>
    </row>
    <row r="145" spans="2:2" x14ac:dyDescent="0.25">
      <c r="B145"/>
    </row>
    <row r="146" spans="2:2" x14ac:dyDescent="0.25">
      <c r="B146"/>
    </row>
    <row r="147" spans="2:2" x14ac:dyDescent="0.25">
      <c r="B147"/>
    </row>
    <row r="148" spans="2:2" x14ac:dyDescent="0.25">
      <c r="B148"/>
    </row>
    <row r="149" spans="2:2" x14ac:dyDescent="0.25">
      <c r="B149"/>
    </row>
    <row r="150" spans="2:2" x14ac:dyDescent="0.25">
      <c r="B150"/>
    </row>
    <row r="151" spans="2:2" x14ac:dyDescent="0.25">
      <c r="B151"/>
    </row>
    <row r="152" spans="2:2" x14ac:dyDescent="0.25">
      <c r="B152"/>
    </row>
    <row r="153" spans="2:2" x14ac:dyDescent="0.25">
      <c r="B153"/>
    </row>
    <row r="154" spans="2:2" x14ac:dyDescent="0.25">
      <c r="B154"/>
    </row>
    <row r="155" spans="2:2" x14ac:dyDescent="0.25">
      <c r="B155"/>
    </row>
    <row r="156" spans="2:2" x14ac:dyDescent="0.25">
      <c r="B156"/>
    </row>
    <row r="157" spans="2:2" x14ac:dyDescent="0.25">
      <c r="B157"/>
    </row>
    <row r="158" spans="2:2" x14ac:dyDescent="0.25">
      <c r="B158"/>
    </row>
    <row r="159" spans="2:2" x14ac:dyDescent="0.25">
      <c r="B159"/>
    </row>
    <row r="160" spans="2:2" x14ac:dyDescent="0.25">
      <c r="B160"/>
    </row>
    <row r="161" spans="2:2" x14ac:dyDescent="0.25">
      <c r="B161"/>
    </row>
    <row r="162" spans="2:2" x14ac:dyDescent="0.25">
      <c r="B162"/>
    </row>
    <row r="163" spans="2:2" x14ac:dyDescent="0.25">
      <c r="B163"/>
    </row>
    <row r="164" spans="2:2" x14ac:dyDescent="0.25">
      <c r="B164"/>
    </row>
    <row r="165" spans="2:2" x14ac:dyDescent="0.25">
      <c r="B165"/>
    </row>
    <row r="166" spans="2:2" x14ac:dyDescent="0.25">
      <c r="B166"/>
    </row>
    <row r="167" spans="2:2" x14ac:dyDescent="0.25">
      <c r="B167"/>
    </row>
    <row r="168" spans="2:2" x14ac:dyDescent="0.25">
      <c r="B168"/>
    </row>
    <row r="169" spans="2:2" x14ac:dyDescent="0.25">
      <c r="B169"/>
    </row>
    <row r="170" spans="2:2" x14ac:dyDescent="0.25">
      <c r="B170"/>
    </row>
    <row r="171" spans="2:2" x14ac:dyDescent="0.25">
      <c r="B171"/>
    </row>
    <row r="172" spans="2:2" x14ac:dyDescent="0.25">
      <c r="B172"/>
    </row>
    <row r="173" spans="2:2" x14ac:dyDescent="0.25">
      <c r="B173"/>
    </row>
    <row r="174" spans="2:2" x14ac:dyDescent="0.25">
      <c r="B174"/>
    </row>
    <row r="175" spans="2:2" x14ac:dyDescent="0.25">
      <c r="B175"/>
    </row>
    <row r="176" spans="2:2" x14ac:dyDescent="0.25">
      <c r="B176"/>
    </row>
    <row r="177" spans="2:2" x14ac:dyDescent="0.25">
      <c r="B177"/>
    </row>
    <row r="178" spans="2:2" x14ac:dyDescent="0.25">
      <c r="B178"/>
    </row>
    <row r="179" spans="2:2" x14ac:dyDescent="0.25">
      <c r="B179"/>
    </row>
    <row r="180" spans="2:2" x14ac:dyDescent="0.25">
      <c r="B180"/>
    </row>
    <row r="181" spans="2:2" x14ac:dyDescent="0.25">
      <c r="B181"/>
    </row>
    <row r="182" spans="2:2" x14ac:dyDescent="0.25">
      <c r="B182"/>
    </row>
    <row r="183" spans="2:2" x14ac:dyDescent="0.25">
      <c r="B183"/>
    </row>
    <row r="184" spans="2:2" x14ac:dyDescent="0.25">
      <c r="B184"/>
    </row>
    <row r="185" spans="2:2" x14ac:dyDescent="0.25">
      <c r="B185"/>
    </row>
    <row r="186" spans="2:2" x14ac:dyDescent="0.25">
      <c r="B186"/>
    </row>
    <row r="187" spans="2:2" x14ac:dyDescent="0.25">
      <c r="B187"/>
    </row>
    <row r="188" spans="2:2" x14ac:dyDescent="0.25">
      <c r="B188"/>
    </row>
    <row r="189" spans="2:2" x14ac:dyDescent="0.25">
      <c r="B189"/>
    </row>
    <row r="190" spans="2:2" x14ac:dyDescent="0.25">
      <c r="B190"/>
    </row>
    <row r="191" spans="2:2" x14ac:dyDescent="0.25">
      <c r="B191"/>
    </row>
    <row r="192" spans="2:2" x14ac:dyDescent="0.25">
      <c r="B192"/>
    </row>
    <row r="193" spans="2:2" x14ac:dyDescent="0.25">
      <c r="B193"/>
    </row>
    <row r="194" spans="2:2" x14ac:dyDescent="0.25">
      <c r="B194"/>
    </row>
    <row r="195" spans="2:2" x14ac:dyDescent="0.25">
      <c r="B195"/>
    </row>
    <row r="196" spans="2:2" x14ac:dyDescent="0.25">
      <c r="B196"/>
    </row>
    <row r="197" spans="2:2" x14ac:dyDescent="0.25">
      <c r="B197"/>
    </row>
    <row r="198" spans="2:2" x14ac:dyDescent="0.25">
      <c r="B198"/>
    </row>
    <row r="199" spans="2:2" x14ac:dyDescent="0.25">
      <c r="B199"/>
    </row>
    <row r="200" spans="2:2" x14ac:dyDescent="0.25">
      <c r="B200"/>
    </row>
    <row r="201" spans="2:2" x14ac:dyDescent="0.25">
      <c r="B201"/>
    </row>
    <row r="202" spans="2:2" x14ac:dyDescent="0.25">
      <c r="B202"/>
    </row>
    <row r="203" spans="2:2" x14ac:dyDescent="0.25">
      <c r="B203"/>
    </row>
    <row r="204" spans="2:2" x14ac:dyDescent="0.25">
      <c r="B204"/>
    </row>
    <row r="205" spans="2:2" x14ac:dyDescent="0.25">
      <c r="B205"/>
    </row>
    <row r="206" spans="2:2" x14ac:dyDescent="0.25">
      <c r="B206"/>
    </row>
    <row r="207" spans="2:2" x14ac:dyDescent="0.25">
      <c r="B207"/>
    </row>
    <row r="208" spans="2:2" x14ac:dyDescent="0.25">
      <c r="B208"/>
    </row>
    <row r="209" spans="2:2" x14ac:dyDescent="0.25">
      <c r="B209"/>
    </row>
    <row r="210" spans="2:2" x14ac:dyDescent="0.25">
      <c r="B210"/>
    </row>
    <row r="211" spans="2:2" x14ac:dyDescent="0.25">
      <c r="B211"/>
    </row>
    <row r="212" spans="2:2" x14ac:dyDescent="0.25">
      <c r="B212"/>
    </row>
    <row r="213" spans="2:2" x14ac:dyDescent="0.25">
      <c r="B213"/>
    </row>
    <row r="214" spans="2:2" x14ac:dyDescent="0.25">
      <c r="B214"/>
    </row>
    <row r="215" spans="2:2" x14ac:dyDescent="0.25">
      <c r="B215"/>
    </row>
    <row r="216" spans="2:2" x14ac:dyDescent="0.25">
      <c r="B216"/>
    </row>
    <row r="217" spans="2:2" x14ac:dyDescent="0.25">
      <c r="B217"/>
    </row>
    <row r="218" spans="2:2" x14ac:dyDescent="0.25">
      <c r="B218"/>
    </row>
    <row r="219" spans="2:2" x14ac:dyDescent="0.25">
      <c r="B219"/>
    </row>
    <row r="220" spans="2:2" x14ac:dyDescent="0.25">
      <c r="B220"/>
    </row>
    <row r="221" spans="2:2" x14ac:dyDescent="0.25">
      <c r="B221"/>
    </row>
    <row r="222" spans="2:2" x14ac:dyDescent="0.25">
      <c r="B222"/>
    </row>
    <row r="223" spans="2:2" x14ac:dyDescent="0.25">
      <c r="B223"/>
    </row>
    <row r="224" spans="2:2" x14ac:dyDescent="0.25">
      <c r="B224"/>
    </row>
    <row r="225" spans="2:2" x14ac:dyDescent="0.25">
      <c r="B225"/>
    </row>
    <row r="226" spans="2:2" x14ac:dyDescent="0.25">
      <c r="B226"/>
    </row>
    <row r="227" spans="2:2" x14ac:dyDescent="0.25">
      <c r="B227"/>
    </row>
    <row r="228" spans="2:2" x14ac:dyDescent="0.25">
      <c r="B228"/>
    </row>
    <row r="229" spans="2:2" x14ac:dyDescent="0.25">
      <c r="B229"/>
    </row>
    <row r="230" spans="2:2" x14ac:dyDescent="0.25">
      <c r="B230"/>
    </row>
    <row r="231" spans="2:2" x14ac:dyDescent="0.25">
      <c r="B231"/>
    </row>
    <row r="232" spans="2:2" x14ac:dyDescent="0.25">
      <c r="B232"/>
    </row>
    <row r="233" spans="2:2" x14ac:dyDescent="0.25">
      <c r="B233"/>
    </row>
    <row r="234" spans="2:2" x14ac:dyDescent="0.25">
      <c r="B234"/>
    </row>
    <row r="235" spans="2:2" x14ac:dyDescent="0.25">
      <c r="B235"/>
    </row>
    <row r="236" spans="2:2" x14ac:dyDescent="0.25">
      <c r="B236"/>
    </row>
    <row r="237" spans="2:2" x14ac:dyDescent="0.25">
      <c r="B237"/>
    </row>
    <row r="238" spans="2:2" x14ac:dyDescent="0.25">
      <c r="B238"/>
    </row>
    <row r="239" spans="2:2" x14ac:dyDescent="0.25">
      <c r="B239"/>
    </row>
    <row r="240" spans="2:2" x14ac:dyDescent="0.25">
      <c r="B240"/>
    </row>
    <row r="241" spans="2:2" x14ac:dyDescent="0.25">
      <c r="B241"/>
    </row>
    <row r="242" spans="2:2" x14ac:dyDescent="0.25">
      <c r="B242"/>
    </row>
    <row r="243" spans="2:2" x14ac:dyDescent="0.25">
      <c r="B243"/>
    </row>
    <row r="244" spans="2:2" x14ac:dyDescent="0.25">
      <c r="B244"/>
    </row>
    <row r="245" spans="2:2" x14ac:dyDescent="0.25">
      <c r="B245"/>
    </row>
    <row r="246" spans="2:2" x14ac:dyDescent="0.25">
      <c r="B246"/>
    </row>
    <row r="247" spans="2:2" x14ac:dyDescent="0.25">
      <c r="B247"/>
    </row>
    <row r="248" spans="2:2" x14ac:dyDescent="0.25">
      <c r="B248"/>
    </row>
    <row r="249" spans="2:2" x14ac:dyDescent="0.25">
      <c r="B249"/>
    </row>
    <row r="250" spans="2:2" x14ac:dyDescent="0.25">
      <c r="B250"/>
    </row>
    <row r="251" spans="2:2" x14ac:dyDescent="0.25">
      <c r="B251"/>
    </row>
    <row r="252" spans="2:2" x14ac:dyDescent="0.25">
      <c r="B252"/>
    </row>
    <row r="253" spans="2:2" x14ac:dyDescent="0.25">
      <c r="B253"/>
    </row>
    <row r="254" spans="2:2" x14ac:dyDescent="0.25">
      <c r="B254"/>
    </row>
    <row r="255" spans="2:2" x14ac:dyDescent="0.25">
      <c r="B255"/>
    </row>
    <row r="256" spans="2:2" x14ac:dyDescent="0.25">
      <c r="B256"/>
    </row>
    <row r="257" spans="2:2" x14ac:dyDescent="0.25">
      <c r="B257"/>
    </row>
    <row r="258" spans="2:2" x14ac:dyDescent="0.25">
      <c r="B258"/>
    </row>
    <row r="259" spans="2:2" x14ac:dyDescent="0.25">
      <c r="B259"/>
    </row>
    <row r="260" spans="2:2" x14ac:dyDescent="0.25">
      <c r="B260"/>
    </row>
    <row r="261" spans="2:2" x14ac:dyDescent="0.25">
      <c r="B261"/>
    </row>
    <row r="262" spans="2:2" x14ac:dyDescent="0.25">
      <c r="B262"/>
    </row>
    <row r="263" spans="2:2" x14ac:dyDescent="0.25">
      <c r="B263"/>
    </row>
    <row r="264" spans="2:2" x14ac:dyDescent="0.25">
      <c r="B264"/>
    </row>
    <row r="265" spans="2:2" x14ac:dyDescent="0.25">
      <c r="B265"/>
    </row>
    <row r="266" spans="2:2" x14ac:dyDescent="0.25">
      <c r="B266"/>
    </row>
    <row r="267" spans="2:2" x14ac:dyDescent="0.25">
      <c r="B267"/>
    </row>
    <row r="268" spans="2:2" x14ac:dyDescent="0.25">
      <c r="B268"/>
    </row>
    <row r="269" spans="2:2" x14ac:dyDescent="0.25">
      <c r="B269"/>
    </row>
    <row r="270" spans="2:2" x14ac:dyDescent="0.25">
      <c r="B270"/>
    </row>
    <row r="271" spans="2:2" x14ac:dyDescent="0.25">
      <c r="B271"/>
    </row>
    <row r="272" spans="2:2" x14ac:dyDescent="0.25">
      <c r="B272"/>
    </row>
    <row r="273" spans="2:2" x14ac:dyDescent="0.25">
      <c r="B273"/>
    </row>
    <row r="274" spans="2:2" x14ac:dyDescent="0.25">
      <c r="B274"/>
    </row>
    <row r="275" spans="2:2" x14ac:dyDescent="0.25">
      <c r="B275"/>
    </row>
    <row r="276" spans="2:2" x14ac:dyDescent="0.25">
      <c r="B276"/>
    </row>
    <row r="277" spans="2:2" x14ac:dyDescent="0.25">
      <c r="B277"/>
    </row>
    <row r="278" spans="2:2" x14ac:dyDescent="0.25">
      <c r="B278"/>
    </row>
    <row r="279" spans="2:2" x14ac:dyDescent="0.25">
      <c r="B279"/>
    </row>
    <row r="280" spans="2:2" x14ac:dyDescent="0.25">
      <c r="B280"/>
    </row>
    <row r="281" spans="2:2" x14ac:dyDescent="0.25">
      <c r="B281"/>
    </row>
    <row r="282" spans="2:2" x14ac:dyDescent="0.25">
      <c r="B282"/>
    </row>
    <row r="283" spans="2:2" x14ac:dyDescent="0.25">
      <c r="B283"/>
    </row>
    <row r="284" spans="2:2" x14ac:dyDescent="0.25">
      <c r="B284"/>
    </row>
    <row r="285" spans="2:2" x14ac:dyDescent="0.25">
      <c r="B285"/>
    </row>
    <row r="286" spans="2:2" x14ac:dyDescent="0.25">
      <c r="B286"/>
    </row>
    <row r="287" spans="2:2" x14ac:dyDescent="0.25">
      <c r="B287"/>
    </row>
    <row r="288" spans="2:2" x14ac:dyDescent="0.25">
      <c r="B288"/>
    </row>
    <row r="289" spans="2:2" x14ac:dyDescent="0.25">
      <c r="B289"/>
    </row>
    <row r="290" spans="2:2" x14ac:dyDescent="0.25">
      <c r="B290"/>
    </row>
    <row r="291" spans="2:2" x14ac:dyDescent="0.25">
      <c r="B291"/>
    </row>
    <row r="292" spans="2:2" x14ac:dyDescent="0.25">
      <c r="B292"/>
    </row>
    <row r="293" spans="2:2" x14ac:dyDescent="0.25">
      <c r="B293"/>
    </row>
    <row r="294" spans="2:2" x14ac:dyDescent="0.25">
      <c r="B294"/>
    </row>
    <row r="295" spans="2:2" x14ac:dyDescent="0.25">
      <c r="B295"/>
    </row>
    <row r="296" spans="2:2" x14ac:dyDescent="0.25">
      <c r="B296"/>
    </row>
    <row r="297" spans="2:2" x14ac:dyDescent="0.25">
      <c r="B297"/>
    </row>
    <row r="298" spans="2:2" x14ac:dyDescent="0.25">
      <c r="B298"/>
    </row>
    <row r="299" spans="2:2" x14ac:dyDescent="0.25">
      <c r="B299"/>
    </row>
    <row r="300" spans="2:2" x14ac:dyDescent="0.25">
      <c r="B300"/>
    </row>
    <row r="301" spans="2:2" x14ac:dyDescent="0.25">
      <c r="B301"/>
    </row>
    <row r="302" spans="2:2" x14ac:dyDescent="0.25">
      <c r="B302"/>
    </row>
    <row r="303" spans="2:2" x14ac:dyDescent="0.25">
      <c r="B303"/>
    </row>
    <row r="304" spans="2:2" x14ac:dyDescent="0.25">
      <c r="B304"/>
    </row>
    <row r="305" spans="2:2" x14ac:dyDescent="0.25">
      <c r="B305"/>
    </row>
    <row r="306" spans="2:2" x14ac:dyDescent="0.25">
      <c r="B306"/>
    </row>
    <row r="307" spans="2:2" x14ac:dyDescent="0.25">
      <c r="B307"/>
    </row>
    <row r="308" spans="2:2" x14ac:dyDescent="0.25">
      <c r="B308"/>
    </row>
    <row r="309" spans="2:2" x14ac:dyDescent="0.25">
      <c r="B309"/>
    </row>
    <row r="310" spans="2:2" x14ac:dyDescent="0.25">
      <c r="B310"/>
    </row>
    <row r="311" spans="2:2" x14ac:dyDescent="0.25">
      <c r="B311"/>
    </row>
    <row r="312" spans="2:2" x14ac:dyDescent="0.25">
      <c r="B312"/>
    </row>
    <row r="313" spans="2:2" x14ac:dyDescent="0.25">
      <c r="B313"/>
    </row>
    <row r="314" spans="2:2" x14ac:dyDescent="0.25">
      <c r="B314"/>
    </row>
    <row r="315" spans="2:2" x14ac:dyDescent="0.25">
      <c r="B315"/>
    </row>
    <row r="316" spans="2:2" x14ac:dyDescent="0.25">
      <c r="B316"/>
    </row>
    <row r="317" spans="2:2" x14ac:dyDescent="0.25">
      <c r="B317"/>
    </row>
    <row r="318" spans="2:2" x14ac:dyDescent="0.25">
      <c r="B318"/>
    </row>
    <row r="319" spans="2:2" x14ac:dyDescent="0.25">
      <c r="B319"/>
    </row>
    <row r="320" spans="2:2" x14ac:dyDescent="0.25">
      <c r="B320"/>
    </row>
    <row r="321" spans="2:2" x14ac:dyDescent="0.25">
      <c r="B321"/>
    </row>
    <row r="322" spans="2:2" x14ac:dyDescent="0.25">
      <c r="B322"/>
    </row>
    <row r="323" spans="2:2" x14ac:dyDescent="0.25">
      <c r="B323"/>
    </row>
    <row r="324" spans="2:2" x14ac:dyDescent="0.25">
      <c r="B324"/>
    </row>
    <row r="325" spans="2:2" x14ac:dyDescent="0.25">
      <c r="B325"/>
    </row>
    <row r="326" spans="2:2" x14ac:dyDescent="0.25">
      <c r="B326"/>
    </row>
    <row r="327" spans="2:2" x14ac:dyDescent="0.25">
      <c r="B327"/>
    </row>
    <row r="328" spans="2:2" x14ac:dyDescent="0.25">
      <c r="B328"/>
    </row>
    <row r="329" spans="2:2" x14ac:dyDescent="0.25">
      <c r="B329"/>
    </row>
    <row r="330" spans="2:2" x14ac:dyDescent="0.25">
      <c r="B330"/>
    </row>
    <row r="331" spans="2:2" x14ac:dyDescent="0.25">
      <c r="B331"/>
    </row>
    <row r="332" spans="2:2" x14ac:dyDescent="0.25">
      <c r="B332"/>
    </row>
    <row r="333" spans="2:2" x14ac:dyDescent="0.25">
      <c r="B333"/>
    </row>
    <row r="334" spans="2:2" x14ac:dyDescent="0.25">
      <c r="B334"/>
    </row>
    <row r="335" spans="2:2" x14ac:dyDescent="0.25">
      <c r="B335"/>
    </row>
    <row r="336" spans="2:2" x14ac:dyDescent="0.25">
      <c r="B336"/>
    </row>
    <row r="337" spans="2:2" x14ac:dyDescent="0.25">
      <c r="B337"/>
    </row>
    <row r="338" spans="2:2" x14ac:dyDescent="0.25">
      <c r="B338"/>
    </row>
    <row r="339" spans="2:2" x14ac:dyDescent="0.25">
      <c r="B339"/>
    </row>
    <row r="340" spans="2:2" x14ac:dyDescent="0.25">
      <c r="B340"/>
    </row>
    <row r="341" spans="2:2" x14ac:dyDescent="0.25">
      <c r="B341"/>
    </row>
    <row r="342" spans="2:2" x14ac:dyDescent="0.25">
      <c r="B342"/>
    </row>
    <row r="343" spans="2:2" x14ac:dyDescent="0.25">
      <c r="B343"/>
    </row>
    <row r="344" spans="2:2" x14ac:dyDescent="0.25">
      <c r="B344"/>
    </row>
    <row r="345" spans="2:2" x14ac:dyDescent="0.25">
      <c r="B345"/>
    </row>
    <row r="346" spans="2:2" x14ac:dyDescent="0.25">
      <c r="B346"/>
    </row>
    <row r="347" spans="2:2" x14ac:dyDescent="0.25">
      <c r="B347"/>
    </row>
    <row r="348" spans="2:2" x14ac:dyDescent="0.25">
      <c r="B348"/>
    </row>
    <row r="349" spans="2:2" x14ac:dyDescent="0.25">
      <c r="B349"/>
    </row>
    <row r="350" spans="2:2" x14ac:dyDescent="0.25">
      <c r="B350"/>
    </row>
    <row r="351" spans="2:2" x14ac:dyDescent="0.25">
      <c r="B351"/>
    </row>
    <row r="352" spans="2:2" x14ac:dyDescent="0.25">
      <c r="B352"/>
    </row>
    <row r="353" spans="2:2" x14ac:dyDescent="0.25">
      <c r="B353"/>
    </row>
    <row r="354" spans="2:2" x14ac:dyDescent="0.25">
      <c r="B354"/>
    </row>
    <row r="355" spans="2:2" x14ac:dyDescent="0.25">
      <c r="B355"/>
    </row>
    <row r="356" spans="2:2" x14ac:dyDescent="0.25">
      <c r="B356"/>
    </row>
    <row r="357" spans="2:2" x14ac:dyDescent="0.25">
      <c r="B357"/>
    </row>
    <row r="358" spans="2:2" x14ac:dyDescent="0.25">
      <c r="B358"/>
    </row>
    <row r="359" spans="2:2" x14ac:dyDescent="0.25">
      <c r="B359"/>
    </row>
    <row r="360" spans="2:2" x14ac:dyDescent="0.25">
      <c r="B360"/>
    </row>
    <row r="361" spans="2:2" x14ac:dyDescent="0.25">
      <c r="B361"/>
    </row>
    <row r="362" spans="2:2" x14ac:dyDescent="0.25">
      <c r="B362"/>
    </row>
    <row r="363" spans="2:2" x14ac:dyDescent="0.25">
      <c r="B363"/>
    </row>
    <row r="364" spans="2:2" x14ac:dyDescent="0.25">
      <c r="B364"/>
    </row>
    <row r="365" spans="2:2" x14ac:dyDescent="0.25">
      <c r="B365"/>
    </row>
    <row r="366" spans="2:2" x14ac:dyDescent="0.25">
      <c r="B366"/>
    </row>
    <row r="367" spans="2:2" x14ac:dyDescent="0.25">
      <c r="B367"/>
    </row>
    <row r="368" spans="2:2" x14ac:dyDescent="0.25">
      <c r="B368"/>
    </row>
    <row r="369" spans="2:2" x14ac:dyDescent="0.25">
      <c r="B369"/>
    </row>
    <row r="370" spans="2:2" x14ac:dyDescent="0.25">
      <c r="B370"/>
    </row>
    <row r="371" spans="2:2" x14ac:dyDescent="0.25">
      <c r="B371"/>
    </row>
    <row r="372" spans="2:2" x14ac:dyDescent="0.25">
      <c r="B372"/>
    </row>
    <row r="373" spans="2:2" x14ac:dyDescent="0.25">
      <c r="B373"/>
    </row>
    <row r="374" spans="2:2" x14ac:dyDescent="0.25">
      <c r="B374"/>
    </row>
    <row r="375" spans="2:2" x14ac:dyDescent="0.25">
      <c r="B375"/>
    </row>
    <row r="376" spans="2:2" x14ac:dyDescent="0.25">
      <c r="B376"/>
    </row>
    <row r="377" spans="2:2" x14ac:dyDescent="0.25">
      <c r="B377"/>
    </row>
    <row r="378" spans="2:2" x14ac:dyDescent="0.25">
      <c r="B378"/>
    </row>
    <row r="379" spans="2:2" x14ac:dyDescent="0.25">
      <c r="B379"/>
    </row>
    <row r="380" spans="2:2" x14ac:dyDescent="0.25">
      <c r="B380"/>
    </row>
    <row r="381" spans="2:2" x14ac:dyDescent="0.25">
      <c r="B381"/>
    </row>
    <row r="382" spans="2:2" x14ac:dyDescent="0.25">
      <c r="B382"/>
    </row>
    <row r="383" spans="2:2" x14ac:dyDescent="0.25">
      <c r="B383"/>
    </row>
    <row r="384" spans="2:2" x14ac:dyDescent="0.25">
      <c r="B384"/>
    </row>
    <row r="385" spans="2:2" x14ac:dyDescent="0.25">
      <c r="B385"/>
    </row>
    <row r="386" spans="2:2" x14ac:dyDescent="0.25">
      <c r="B386"/>
    </row>
    <row r="387" spans="2:2" x14ac:dyDescent="0.25">
      <c r="B387"/>
    </row>
    <row r="388" spans="2:2" x14ac:dyDescent="0.25">
      <c r="B388"/>
    </row>
    <row r="389" spans="2:2" x14ac:dyDescent="0.25">
      <c r="B389"/>
    </row>
    <row r="390" spans="2:2" x14ac:dyDescent="0.25">
      <c r="B390"/>
    </row>
    <row r="391" spans="2:2" x14ac:dyDescent="0.25">
      <c r="B391"/>
    </row>
    <row r="392" spans="2:2" x14ac:dyDescent="0.25">
      <c r="B392"/>
    </row>
    <row r="393" spans="2:2" x14ac:dyDescent="0.25">
      <c r="B393"/>
    </row>
    <row r="394" spans="2:2" x14ac:dyDescent="0.25">
      <c r="B394"/>
    </row>
    <row r="395" spans="2:2" x14ac:dyDescent="0.25">
      <c r="B395"/>
    </row>
    <row r="396" spans="2:2" x14ac:dyDescent="0.25">
      <c r="B396"/>
    </row>
    <row r="397" spans="2:2" x14ac:dyDescent="0.25">
      <c r="B397"/>
    </row>
    <row r="398" spans="2:2" x14ac:dyDescent="0.25">
      <c r="B398"/>
    </row>
    <row r="399" spans="2:2" x14ac:dyDescent="0.25">
      <c r="B399"/>
    </row>
    <row r="400" spans="2:2" x14ac:dyDescent="0.25">
      <c r="B400"/>
    </row>
    <row r="401" spans="2:2" x14ac:dyDescent="0.25">
      <c r="B401"/>
    </row>
    <row r="402" spans="2:2" x14ac:dyDescent="0.25">
      <c r="B402"/>
    </row>
    <row r="403" spans="2:2" x14ac:dyDescent="0.25">
      <c r="B403"/>
    </row>
    <row r="404" spans="2:2" x14ac:dyDescent="0.25">
      <c r="B404"/>
    </row>
    <row r="405" spans="2:2" x14ac:dyDescent="0.25">
      <c r="B405"/>
    </row>
    <row r="406" spans="2:2" x14ac:dyDescent="0.25">
      <c r="B406"/>
    </row>
    <row r="407" spans="2:2" x14ac:dyDescent="0.25">
      <c r="B407"/>
    </row>
    <row r="408" spans="2:2" x14ac:dyDescent="0.25">
      <c r="B408"/>
    </row>
    <row r="409" spans="2:2" x14ac:dyDescent="0.25">
      <c r="B409"/>
    </row>
    <row r="410" spans="2:2" x14ac:dyDescent="0.25">
      <c r="B410"/>
    </row>
    <row r="411" spans="2:2" x14ac:dyDescent="0.25">
      <c r="B411"/>
    </row>
    <row r="412" spans="2:2" x14ac:dyDescent="0.25">
      <c r="B412"/>
    </row>
    <row r="413" spans="2:2" x14ac:dyDescent="0.25">
      <c r="B413"/>
    </row>
    <row r="414" spans="2:2" x14ac:dyDescent="0.25">
      <c r="B414"/>
    </row>
    <row r="415" spans="2:2" x14ac:dyDescent="0.25">
      <c r="B415"/>
    </row>
    <row r="416" spans="2:2" x14ac:dyDescent="0.25">
      <c r="B416"/>
    </row>
    <row r="417" spans="2:2" x14ac:dyDescent="0.25">
      <c r="B417"/>
    </row>
    <row r="418" spans="2:2" x14ac:dyDescent="0.25">
      <c r="B418"/>
    </row>
    <row r="419" spans="2:2" x14ac:dyDescent="0.25">
      <c r="B419"/>
    </row>
    <row r="420" spans="2:2" x14ac:dyDescent="0.25">
      <c r="B420"/>
    </row>
    <row r="421" spans="2:2" x14ac:dyDescent="0.25">
      <c r="B421"/>
    </row>
    <row r="422" spans="2:2" x14ac:dyDescent="0.25">
      <c r="B422"/>
    </row>
    <row r="423" spans="2:2" x14ac:dyDescent="0.25">
      <c r="B423"/>
    </row>
    <row r="424" spans="2:2" x14ac:dyDescent="0.25">
      <c r="B424"/>
    </row>
    <row r="425" spans="2:2" x14ac:dyDescent="0.25">
      <c r="B425"/>
    </row>
    <row r="426" spans="2:2" x14ac:dyDescent="0.25">
      <c r="B426"/>
    </row>
    <row r="427" spans="2:2" x14ac:dyDescent="0.25">
      <c r="B427"/>
    </row>
    <row r="428" spans="2:2" x14ac:dyDescent="0.25">
      <c r="B428"/>
    </row>
    <row r="429" spans="2:2" x14ac:dyDescent="0.25">
      <c r="B429"/>
    </row>
    <row r="430" spans="2:2" x14ac:dyDescent="0.25">
      <c r="B430"/>
    </row>
    <row r="431" spans="2:2" x14ac:dyDescent="0.25">
      <c r="B431"/>
    </row>
    <row r="432" spans="2:2" x14ac:dyDescent="0.25">
      <c r="B432"/>
    </row>
    <row r="433" spans="2:2" x14ac:dyDescent="0.25">
      <c r="B433"/>
    </row>
    <row r="434" spans="2:2" x14ac:dyDescent="0.25">
      <c r="B434"/>
    </row>
    <row r="435" spans="2:2" x14ac:dyDescent="0.25">
      <c r="B435"/>
    </row>
    <row r="436" spans="2:2" x14ac:dyDescent="0.25">
      <c r="B436"/>
    </row>
    <row r="437" spans="2:2" x14ac:dyDescent="0.25">
      <c r="B437"/>
    </row>
    <row r="438" spans="2:2" x14ac:dyDescent="0.25">
      <c r="B438"/>
    </row>
    <row r="439" spans="2:2" x14ac:dyDescent="0.25">
      <c r="B439"/>
    </row>
    <row r="440" spans="2:2" x14ac:dyDescent="0.25">
      <c r="B440"/>
    </row>
    <row r="441" spans="2:2" x14ac:dyDescent="0.25">
      <c r="B441"/>
    </row>
    <row r="442" spans="2:2" x14ac:dyDescent="0.25">
      <c r="B442"/>
    </row>
    <row r="443" spans="2:2" x14ac:dyDescent="0.25">
      <c r="B443"/>
    </row>
    <row r="444" spans="2:2" x14ac:dyDescent="0.25">
      <c r="B444"/>
    </row>
    <row r="445" spans="2:2" x14ac:dyDescent="0.25">
      <c r="B445"/>
    </row>
    <row r="446" spans="2:2" x14ac:dyDescent="0.25">
      <c r="B446"/>
    </row>
    <row r="447" spans="2:2" x14ac:dyDescent="0.25">
      <c r="B447"/>
    </row>
    <row r="448" spans="2:2" x14ac:dyDescent="0.25">
      <c r="B448"/>
    </row>
    <row r="449" spans="2:2" x14ac:dyDescent="0.25">
      <c r="B449"/>
    </row>
    <row r="450" spans="2:2" x14ac:dyDescent="0.25">
      <c r="B450"/>
    </row>
    <row r="451" spans="2:2" x14ac:dyDescent="0.25">
      <c r="B451"/>
    </row>
    <row r="452" spans="2:2" x14ac:dyDescent="0.25">
      <c r="B452"/>
    </row>
    <row r="453" spans="2:2" x14ac:dyDescent="0.25">
      <c r="B453"/>
    </row>
    <row r="454" spans="2:2" x14ac:dyDescent="0.25">
      <c r="B454"/>
    </row>
    <row r="455" spans="2:2" x14ac:dyDescent="0.25">
      <c r="B455"/>
    </row>
    <row r="456" spans="2:2" x14ac:dyDescent="0.25">
      <c r="B456"/>
    </row>
    <row r="457" spans="2:2" x14ac:dyDescent="0.25">
      <c r="B457"/>
    </row>
    <row r="458" spans="2:2" x14ac:dyDescent="0.25">
      <c r="B458"/>
    </row>
    <row r="459" spans="2:2" x14ac:dyDescent="0.25">
      <c r="B459"/>
    </row>
    <row r="460" spans="2:2" x14ac:dyDescent="0.25">
      <c r="B460"/>
    </row>
    <row r="461" spans="2:2" x14ac:dyDescent="0.25">
      <c r="B461"/>
    </row>
    <row r="462" spans="2:2" x14ac:dyDescent="0.25">
      <c r="B462"/>
    </row>
    <row r="463" spans="2:2" x14ac:dyDescent="0.25">
      <c r="B463"/>
    </row>
    <row r="464" spans="2:2" x14ac:dyDescent="0.25">
      <c r="B464"/>
    </row>
    <row r="465" spans="2:2" x14ac:dyDescent="0.25">
      <c r="B465"/>
    </row>
    <row r="466" spans="2:2" x14ac:dyDescent="0.25">
      <c r="B466"/>
    </row>
    <row r="467" spans="2:2" x14ac:dyDescent="0.25">
      <c r="B467"/>
    </row>
    <row r="468" spans="2:2" x14ac:dyDescent="0.25">
      <c r="B468"/>
    </row>
    <row r="469" spans="2:2" x14ac:dyDescent="0.25">
      <c r="B469"/>
    </row>
    <row r="470" spans="2:2" x14ac:dyDescent="0.25">
      <c r="B470"/>
    </row>
    <row r="471" spans="2:2" x14ac:dyDescent="0.25">
      <c r="B471"/>
    </row>
    <row r="472" spans="2:2" x14ac:dyDescent="0.25">
      <c r="B472"/>
    </row>
    <row r="473" spans="2:2" x14ac:dyDescent="0.25">
      <c r="B473"/>
    </row>
    <row r="474" spans="2:2" x14ac:dyDescent="0.25">
      <c r="B474"/>
    </row>
    <row r="475" spans="2:2" x14ac:dyDescent="0.25">
      <c r="B475"/>
    </row>
    <row r="476" spans="2:2" x14ac:dyDescent="0.25">
      <c r="B476"/>
    </row>
    <row r="477" spans="2:2" x14ac:dyDescent="0.25">
      <c r="B477"/>
    </row>
    <row r="478" spans="2:2" x14ac:dyDescent="0.25">
      <c r="B478"/>
    </row>
    <row r="479" spans="2:2" x14ac:dyDescent="0.25">
      <c r="B479"/>
    </row>
    <row r="480" spans="2:2" x14ac:dyDescent="0.25">
      <c r="B480"/>
    </row>
    <row r="481" spans="2:2" x14ac:dyDescent="0.25">
      <c r="B481"/>
    </row>
    <row r="482" spans="2:2" x14ac:dyDescent="0.25">
      <c r="B482"/>
    </row>
    <row r="483" spans="2:2" x14ac:dyDescent="0.25">
      <c r="B483"/>
    </row>
    <row r="484" spans="2:2" x14ac:dyDescent="0.25">
      <c r="B484"/>
    </row>
    <row r="485" spans="2:2" x14ac:dyDescent="0.25">
      <c r="B485"/>
    </row>
    <row r="486" spans="2:2" x14ac:dyDescent="0.25">
      <c r="B486"/>
    </row>
    <row r="487" spans="2:2" x14ac:dyDescent="0.25">
      <c r="B487"/>
    </row>
    <row r="488" spans="2:2" x14ac:dyDescent="0.25">
      <c r="B488"/>
    </row>
    <row r="489" spans="2:2" x14ac:dyDescent="0.25">
      <c r="B489"/>
    </row>
    <row r="490" spans="2:2" x14ac:dyDescent="0.25">
      <c r="B490"/>
    </row>
    <row r="491" spans="2:2" x14ac:dyDescent="0.25">
      <c r="B491"/>
    </row>
    <row r="492" spans="2:2" x14ac:dyDescent="0.25">
      <c r="B492"/>
    </row>
    <row r="493" spans="2:2" x14ac:dyDescent="0.25">
      <c r="B493"/>
    </row>
    <row r="494" spans="2:2" x14ac:dyDescent="0.25">
      <c r="B494"/>
    </row>
    <row r="495" spans="2:2" x14ac:dyDescent="0.25">
      <c r="B495"/>
    </row>
    <row r="496" spans="2:2" x14ac:dyDescent="0.25">
      <c r="B496"/>
    </row>
    <row r="497" spans="2:2" x14ac:dyDescent="0.25">
      <c r="B497"/>
    </row>
    <row r="498" spans="2:2" x14ac:dyDescent="0.25">
      <c r="B498"/>
    </row>
    <row r="499" spans="2:2" x14ac:dyDescent="0.25">
      <c r="B499"/>
    </row>
    <row r="500" spans="2:2" x14ac:dyDescent="0.25">
      <c r="B500"/>
    </row>
    <row r="501" spans="2:2" x14ac:dyDescent="0.25">
      <c r="B501"/>
    </row>
    <row r="502" spans="2:2" x14ac:dyDescent="0.25">
      <c r="B502"/>
    </row>
    <row r="503" spans="2:2" x14ac:dyDescent="0.25">
      <c r="B503"/>
    </row>
    <row r="504" spans="2:2" x14ac:dyDescent="0.25">
      <c r="B504"/>
    </row>
    <row r="505" spans="2:2" x14ac:dyDescent="0.25">
      <c r="B505"/>
    </row>
    <row r="506" spans="2:2" x14ac:dyDescent="0.25">
      <c r="B506"/>
    </row>
    <row r="507" spans="2:2" x14ac:dyDescent="0.25">
      <c r="B507"/>
    </row>
    <row r="508" spans="2:2" x14ac:dyDescent="0.25">
      <c r="B508"/>
    </row>
    <row r="509" spans="2:2" x14ac:dyDescent="0.25">
      <c r="B509"/>
    </row>
    <row r="510" spans="2:2" x14ac:dyDescent="0.25">
      <c r="B510"/>
    </row>
    <row r="511" spans="2:2" x14ac:dyDescent="0.25">
      <c r="B511"/>
    </row>
    <row r="512" spans="2:2" x14ac:dyDescent="0.25">
      <c r="B512"/>
    </row>
    <row r="513" spans="2:2" x14ac:dyDescent="0.25">
      <c r="B513"/>
    </row>
    <row r="514" spans="2:2" x14ac:dyDescent="0.25">
      <c r="B514"/>
    </row>
    <row r="515" spans="2:2" x14ac:dyDescent="0.25">
      <c r="B515"/>
    </row>
    <row r="516" spans="2:2" x14ac:dyDescent="0.25">
      <c r="B516"/>
    </row>
    <row r="517" spans="2:2" x14ac:dyDescent="0.25">
      <c r="B517"/>
    </row>
    <row r="518" spans="2:2" x14ac:dyDescent="0.25">
      <c r="B518"/>
    </row>
    <row r="519" spans="2:2" x14ac:dyDescent="0.25">
      <c r="B519"/>
    </row>
    <row r="520" spans="2:2" x14ac:dyDescent="0.25">
      <c r="B520"/>
    </row>
    <row r="521" spans="2:2" x14ac:dyDescent="0.25">
      <c r="B521"/>
    </row>
    <row r="522" spans="2:2" x14ac:dyDescent="0.25">
      <c r="B522"/>
    </row>
    <row r="523" spans="2:2" x14ac:dyDescent="0.25">
      <c r="B523"/>
    </row>
    <row r="524" spans="2:2" x14ac:dyDescent="0.25">
      <c r="B524"/>
    </row>
    <row r="525" spans="2:2" x14ac:dyDescent="0.25">
      <c r="B525"/>
    </row>
    <row r="526" spans="2:2" x14ac:dyDescent="0.25">
      <c r="B526"/>
    </row>
    <row r="527" spans="2:2" x14ac:dyDescent="0.25">
      <c r="B527"/>
    </row>
    <row r="528" spans="2:2" x14ac:dyDescent="0.25">
      <c r="B528"/>
    </row>
    <row r="529" spans="2:2" x14ac:dyDescent="0.25">
      <c r="B529"/>
    </row>
    <row r="530" spans="2:2" x14ac:dyDescent="0.25">
      <c r="B530"/>
    </row>
    <row r="531" spans="2:2" x14ac:dyDescent="0.25">
      <c r="B531"/>
    </row>
    <row r="532" spans="2:2" x14ac:dyDescent="0.25">
      <c r="B532"/>
    </row>
    <row r="533" spans="2:2" x14ac:dyDescent="0.25">
      <c r="B533"/>
    </row>
    <row r="534" spans="2:2" x14ac:dyDescent="0.25">
      <c r="B534"/>
    </row>
    <row r="535" spans="2:2" x14ac:dyDescent="0.25">
      <c r="B535"/>
    </row>
    <row r="536" spans="2:2" x14ac:dyDescent="0.25">
      <c r="B536"/>
    </row>
    <row r="537" spans="2:2" x14ac:dyDescent="0.25">
      <c r="B537"/>
    </row>
    <row r="538" spans="2:2" x14ac:dyDescent="0.25">
      <c r="B538"/>
    </row>
    <row r="539" spans="2:2" x14ac:dyDescent="0.25">
      <c r="B539"/>
    </row>
    <row r="540" spans="2:2" x14ac:dyDescent="0.25">
      <c r="B540"/>
    </row>
    <row r="541" spans="2:2" x14ac:dyDescent="0.25">
      <c r="B541"/>
    </row>
    <row r="542" spans="2:2" x14ac:dyDescent="0.25">
      <c r="B542"/>
    </row>
    <row r="543" spans="2:2" x14ac:dyDescent="0.25">
      <c r="B543"/>
    </row>
    <row r="544" spans="2:2" x14ac:dyDescent="0.25">
      <c r="B544"/>
    </row>
    <row r="545" spans="2:2" x14ac:dyDescent="0.25">
      <c r="B545"/>
    </row>
    <row r="546" spans="2:2" x14ac:dyDescent="0.25">
      <c r="B546"/>
    </row>
    <row r="547" spans="2:2" x14ac:dyDescent="0.25">
      <c r="B547"/>
    </row>
    <row r="548" spans="2:2" x14ac:dyDescent="0.25">
      <c r="B548"/>
    </row>
    <row r="549" spans="2:2" x14ac:dyDescent="0.25">
      <c r="B549"/>
    </row>
    <row r="550" spans="2:2" x14ac:dyDescent="0.25">
      <c r="B550"/>
    </row>
    <row r="551" spans="2:2" x14ac:dyDescent="0.25">
      <c r="B551"/>
    </row>
    <row r="552" spans="2:2" x14ac:dyDescent="0.25">
      <c r="B552"/>
    </row>
    <row r="553" spans="2:2" x14ac:dyDescent="0.25">
      <c r="B553"/>
    </row>
    <row r="554" spans="2:2" x14ac:dyDescent="0.25">
      <c r="B554"/>
    </row>
    <row r="555" spans="2:2" x14ac:dyDescent="0.25">
      <c r="B555"/>
    </row>
    <row r="556" spans="2:2" x14ac:dyDescent="0.25">
      <c r="B556"/>
    </row>
    <row r="557" spans="2:2" x14ac:dyDescent="0.25">
      <c r="B557"/>
    </row>
    <row r="558" spans="2:2" x14ac:dyDescent="0.25">
      <c r="B558"/>
    </row>
    <row r="559" spans="2:2" x14ac:dyDescent="0.25">
      <c r="B559"/>
    </row>
    <row r="560" spans="2:2" x14ac:dyDescent="0.25">
      <c r="B560"/>
    </row>
    <row r="561" spans="2:2" x14ac:dyDescent="0.25">
      <c r="B561"/>
    </row>
    <row r="562" spans="2:2" x14ac:dyDescent="0.25">
      <c r="B562"/>
    </row>
    <row r="563" spans="2:2" x14ac:dyDescent="0.25">
      <c r="B563"/>
    </row>
    <row r="564" spans="2:2" x14ac:dyDescent="0.25">
      <c r="B564"/>
    </row>
    <row r="565" spans="2:2" x14ac:dyDescent="0.25">
      <c r="B565"/>
    </row>
    <row r="566" spans="2:2" x14ac:dyDescent="0.25">
      <c r="B566"/>
    </row>
    <row r="567" spans="2:2" x14ac:dyDescent="0.25">
      <c r="B567"/>
    </row>
    <row r="568" spans="2:2" x14ac:dyDescent="0.25">
      <c r="B568"/>
    </row>
    <row r="569" spans="2:2" x14ac:dyDescent="0.25">
      <c r="B569"/>
    </row>
    <row r="570" spans="2:2" x14ac:dyDescent="0.25">
      <c r="B570"/>
    </row>
    <row r="571" spans="2:2" x14ac:dyDescent="0.25">
      <c r="B571"/>
    </row>
    <row r="572" spans="2:2" x14ac:dyDescent="0.25">
      <c r="B572"/>
    </row>
    <row r="573" spans="2:2" x14ac:dyDescent="0.25">
      <c r="B573"/>
    </row>
    <row r="574" spans="2:2" x14ac:dyDescent="0.25">
      <c r="B574"/>
    </row>
    <row r="575" spans="2:2" x14ac:dyDescent="0.25">
      <c r="B575"/>
    </row>
    <row r="576" spans="2:2" x14ac:dyDescent="0.25">
      <c r="B576"/>
    </row>
    <row r="577" spans="2:2" x14ac:dyDescent="0.25">
      <c r="B577"/>
    </row>
    <row r="578" spans="2:2" x14ac:dyDescent="0.25">
      <c r="B578"/>
    </row>
    <row r="579" spans="2:2" x14ac:dyDescent="0.25">
      <c r="B579"/>
    </row>
    <row r="580" spans="2:2" x14ac:dyDescent="0.25">
      <c r="B580"/>
    </row>
    <row r="581" spans="2:2" x14ac:dyDescent="0.25">
      <c r="B581"/>
    </row>
    <row r="582" spans="2:2" x14ac:dyDescent="0.25">
      <c r="B582"/>
    </row>
    <row r="583" spans="2:2" x14ac:dyDescent="0.25">
      <c r="B583"/>
    </row>
    <row r="584" spans="2:2" x14ac:dyDescent="0.25">
      <c r="B584"/>
    </row>
    <row r="585" spans="2:2" x14ac:dyDescent="0.25">
      <c r="B585"/>
    </row>
    <row r="586" spans="2:2" x14ac:dyDescent="0.25">
      <c r="B586"/>
    </row>
    <row r="587" spans="2:2" x14ac:dyDescent="0.25">
      <c r="B587"/>
    </row>
    <row r="588" spans="2:2" x14ac:dyDescent="0.25">
      <c r="B588"/>
    </row>
    <row r="589" spans="2:2" x14ac:dyDescent="0.25">
      <c r="B589"/>
    </row>
    <row r="590" spans="2:2" x14ac:dyDescent="0.25">
      <c r="B590"/>
    </row>
    <row r="591" spans="2:2" x14ac:dyDescent="0.25">
      <c r="B591"/>
    </row>
    <row r="592" spans="2:2" x14ac:dyDescent="0.25">
      <c r="B592"/>
    </row>
    <row r="593" spans="2:2" x14ac:dyDescent="0.25">
      <c r="B593"/>
    </row>
    <row r="594" spans="2:2" x14ac:dyDescent="0.25">
      <c r="B594"/>
    </row>
    <row r="595" spans="2:2" x14ac:dyDescent="0.25">
      <c r="B595"/>
    </row>
    <row r="596" spans="2:2" x14ac:dyDescent="0.25">
      <c r="B596"/>
    </row>
    <row r="597" spans="2:2" x14ac:dyDescent="0.25">
      <c r="B597"/>
    </row>
    <row r="598" spans="2:2" x14ac:dyDescent="0.25">
      <c r="B598"/>
    </row>
    <row r="599" spans="2:2" x14ac:dyDescent="0.25">
      <c r="B599"/>
    </row>
    <row r="600" spans="2:2" x14ac:dyDescent="0.25">
      <c r="B600"/>
    </row>
    <row r="601" spans="2:2" x14ac:dyDescent="0.25">
      <c r="B601"/>
    </row>
    <row r="602" spans="2:2" x14ac:dyDescent="0.25">
      <c r="B602"/>
    </row>
    <row r="603" spans="2:2" x14ac:dyDescent="0.25">
      <c r="B603"/>
    </row>
    <row r="604" spans="2:2" x14ac:dyDescent="0.25">
      <c r="B604"/>
    </row>
    <row r="605" spans="2:2" x14ac:dyDescent="0.25">
      <c r="B605"/>
    </row>
    <row r="606" spans="2:2" x14ac:dyDescent="0.25">
      <c r="B606"/>
    </row>
    <row r="607" spans="2:2" x14ac:dyDescent="0.25">
      <c r="B607"/>
    </row>
    <row r="608" spans="2:2" x14ac:dyDescent="0.25">
      <c r="B608"/>
    </row>
    <row r="609" spans="2:2" x14ac:dyDescent="0.25">
      <c r="B609"/>
    </row>
    <row r="610" spans="2:2" x14ac:dyDescent="0.25">
      <c r="B610"/>
    </row>
    <row r="611" spans="2:2" x14ac:dyDescent="0.25">
      <c r="B611"/>
    </row>
    <row r="612" spans="2:2" x14ac:dyDescent="0.25">
      <c r="B612"/>
    </row>
    <row r="613" spans="2:2" x14ac:dyDescent="0.25">
      <c r="B613"/>
    </row>
    <row r="614" spans="2:2" x14ac:dyDescent="0.25">
      <c r="B614"/>
    </row>
    <row r="615" spans="2:2" x14ac:dyDescent="0.25">
      <c r="B615"/>
    </row>
    <row r="616" spans="2:2" x14ac:dyDescent="0.25">
      <c r="B616"/>
    </row>
    <row r="617" spans="2:2" x14ac:dyDescent="0.25">
      <c r="B617"/>
    </row>
    <row r="618" spans="2:2" x14ac:dyDescent="0.25">
      <c r="B618"/>
    </row>
    <row r="619" spans="2:2" x14ac:dyDescent="0.25">
      <c r="B619"/>
    </row>
    <row r="620" spans="2:2" x14ac:dyDescent="0.25">
      <c r="B620"/>
    </row>
    <row r="621" spans="2:2" x14ac:dyDescent="0.25">
      <c r="B621"/>
    </row>
    <row r="622" spans="2:2" x14ac:dyDescent="0.25">
      <c r="B622"/>
    </row>
    <row r="623" spans="2:2" x14ac:dyDescent="0.25">
      <c r="B623"/>
    </row>
    <row r="624" spans="2:2" x14ac:dyDescent="0.25">
      <c r="B624"/>
    </row>
    <row r="625" spans="2:2" x14ac:dyDescent="0.25">
      <c r="B625"/>
    </row>
    <row r="626" spans="2:2" x14ac:dyDescent="0.25">
      <c r="B626"/>
    </row>
    <row r="627" spans="2:2" x14ac:dyDescent="0.25">
      <c r="B627"/>
    </row>
    <row r="628" spans="2:2" x14ac:dyDescent="0.25">
      <c r="B628"/>
    </row>
    <row r="629" spans="2:2" x14ac:dyDescent="0.25">
      <c r="B629"/>
    </row>
    <row r="630" spans="2:2" x14ac:dyDescent="0.25">
      <c r="B630"/>
    </row>
    <row r="631" spans="2:2" x14ac:dyDescent="0.25">
      <c r="B631"/>
    </row>
    <row r="632" spans="2:2" x14ac:dyDescent="0.25">
      <c r="B632"/>
    </row>
    <row r="633" spans="2:2" x14ac:dyDescent="0.25">
      <c r="B633"/>
    </row>
    <row r="634" spans="2:2" x14ac:dyDescent="0.25">
      <c r="B634"/>
    </row>
    <row r="635" spans="2:2" x14ac:dyDescent="0.25">
      <c r="B635"/>
    </row>
    <row r="636" spans="2:2" x14ac:dyDescent="0.25">
      <c r="B636"/>
    </row>
    <row r="637" spans="2:2" x14ac:dyDescent="0.25">
      <c r="B637"/>
    </row>
    <row r="638" spans="2:2" x14ac:dyDescent="0.25">
      <c r="B638"/>
    </row>
    <row r="639" spans="2:2" x14ac:dyDescent="0.25">
      <c r="B639"/>
    </row>
    <row r="640" spans="2:2" x14ac:dyDescent="0.25">
      <c r="B640"/>
    </row>
    <row r="641" spans="2:2" x14ac:dyDescent="0.25">
      <c r="B641"/>
    </row>
    <row r="642" spans="2:2" x14ac:dyDescent="0.25">
      <c r="B642"/>
    </row>
    <row r="643" spans="2:2" x14ac:dyDescent="0.25">
      <c r="B643"/>
    </row>
    <row r="644" spans="2:2" x14ac:dyDescent="0.25">
      <c r="B644"/>
    </row>
    <row r="645" spans="2:2" x14ac:dyDescent="0.25">
      <c r="B645"/>
    </row>
    <row r="646" spans="2:2" x14ac:dyDescent="0.25">
      <c r="B646"/>
    </row>
    <row r="647" spans="2:2" x14ac:dyDescent="0.25">
      <c r="B647"/>
    </row>
    <row r="648" spans="2:2" x14ac:dyDescent="0.25">
      <c r="B648"/>
    </row>
    <row r="649" spans="2:2" x14ac:dyDescent="0.25">
      <c r="B649"/>
    </row>
    <row r="650" spans="2:2" x14ac:dyDescent="0.25">
      <c r="B650"/>
    </row>
    <row r="651" spans="2:2" x14ac:dyDescent="0.25">
      <c r="B651"/>
    </row>
    <row r="652" spans="2:2" x14ac:dyDescent="0.25">
      <c r="B652"/>
    </row>
    <row r="653" spans="2:2" x14ac:dyDescent="0.25">
      <c r="B653"/>
    </row>
    <row r="654" spans="2:2" x14ac:dyDescent="0.25">
      <c r="B654"/>
    </row>
    <row r="655" spans="2:2" x14ac:dyDescent="0.25">
      <c r="B655"/>
    </row>
    <row r="656" spans="2:2" x14ac:dyDescent="0.25">
      <c r="B656"/>
    </row>
    <row r="657" spans="2:2" x14ac:dyDescent="0.25">
      <c r="B657"/>
    </row>
    <row r="658" spans="2:2" x14ac:dyDescent="0.25">
      <c r="B658"/>
    </row>
    <row r="659" spans="2:2" x14ac:dyDescent="0.25">
      <c r="B659"/>
    </row>
    <row r="660" spans="2:2" x14ac:dyDescent="0.25">
      <c r="B660"/>
    </row>
    <row r="661" spans="2:2" x14ac:dyDescent="0.25">
      <c r="B661"/>
    </row>
    <row r="662" spans="2:2" x14ac:dyDescent="0.25">
      <c r="B662"/>
    </row>
    <row r="663" spans="2:2" x14ac:dyDescent="0.25">
      <c r="B663"/>
    </row>
    <row r="664" spans="2:2" x14ac:dyDescent="0.25">
      <c r="B664"/>
    </row>
    <row r="665" spans="2:2" x14ac:dyDescent="0.25">
      <c r="B665"/>
    </row>
    <row r="666" spans="2:2" x14ac:dyDescent="0.25">
      <c r="B666"/>
    </row>
    <row r="667" spans="2:2" x14ac:dyDescent="0.25">
      <c r="B667"/>
    </row>
    <row r="668" spans="2:2" x14ac:dyDescent="0.25">
      <c r="B668"/>
    </row>
    <row r="669" spans="2:2" x14ac:dyDescent="0.25">
      <c r="B669"/>
    </row>
    <row r="670" spans="2:2" x14ac:dyDescent="0.25">
      <c r="B670"/>
    </row>
    <row r="671" spans="2:2" x14ac:dyDescent="0.25">
      <c r="B671"/>
    </row>
    <row r="672" spans="2:2" x14ac:dyDescent="0.25">
      <c r="B672"/>
    </row>
    <row r="673" spans="2:2" x14ac:dyDescent="0.25">
      <c r="B673"/>
    </row>
    <row r="674" spans="2:2" x14ac:dyDescent="0.25">
      <c r="B674"/>
    </row>
    <row r="675" spans="2:2" x14ac:dyDescent="0.25">
      <c r="B675"/>
    </row>
    <row r="676" spans="2:2" x14ac:dyDescent="0.25">
      <c r="B676"/>
    </row>
    <row r="677" spans="2:2" x14ac:dyDescent="0.25">
      <c r="B677"/>
    </row>
    <row r="678" spans="2:2" x14ac:dyDescent="0.25">
      <c r="B678"/>
    </row>
    <row r="679" spans="2:2" x14ac:dyDescent="0.25">
      <c r="B679"/>
    </row>
    <row r="680" spans="2:2" x14ac:dyDescent="0.25">
      <c r="B680"/>
    </row>
    <row r="681" spans="2:2" x14ac:dyDescent="0.25">
      <c r="B681"/>
    </row>
    <row r="682" spans="2:2" x14ac:dyDescent="0.25">
      <c r="B682"/>
    </row>
    <row r="683" spans="2:2" x14ac:dyDescent="0.25">
      <c r="B683"/>
    </row>
    <row r="684" spans="2:2" x14ac:dyDescent="0.25">
      <c r="B684"/>
    </row>
    <row r="685" spans="2:2" x14ac:dyDescent="0.25">
      <c r="B685"/>
    </row>
    <row r="686" spans="2:2" x14ac:dyDescent="0.25">
      <c r="B686"/>
    </row>
    <row r="687" spans="2:2" x14ac:dyDescent="0.25">
      <c r="B687"/>
    </row>
    <row r="688" spans="2:2" x14ac:dyDescent="0.25">
      <c r="B688"/>
    </row>
    <row r="689" spans="2:2" x14ac:dyDescent="0.25">
      <c r="B689"/>
    </row>
    <row r="690" spans="2:2" x14ac:dyDescent="0.25">
      <c r="B690"/>
    </row>
    <row r="691" spans="2:2" x14ac:dyDescent="0.25">
      <c r="B691"/>
    </row>
    <row r="692" spans="2:2" x14ac:dyDescent="0.25">
      <c r="B692"/>
    </row>
    <row r="693" spans="2:2" x14ac:dyDescent="0.25">
      <c r="B693"/>
    </row>
    <row r="694" spans="2:2" x14ac:dyDescent="0.25">
      <c r="B694"/>
    </row>
    <row r="695" spans="2:2" x14ac:dyDescent="0.25">
      <c r="B695"/>
    </row>
    <row r="696" spans="2:2" x14ac:dyDescent="0.25">
      <c r="B696"/>
    </row>
    <row r="697" spans="2:2" x14ac:dyDescent="0.25">
      <c r="B697"/>
    </row>
    <row r="698" spans="2:2" x14ac:dyDescent="0.25">
      <c r="B698"/>
    </row>
    <row r="699" spans="2:2" x14ac:dyDescent="0.25">
      <c r="B699"/>
    </row>
    <row r="700" spans="2:2" x14ac:dyDescent="0.25">
      <c r="B700"/>
    </row>
    <row r="701" spans="2:2" x14ac:dyDescent="0.25">
      <c r="B701"/>
    </row>
    <row r="702" spans="2:2" x14ac:dyDescent="0.25">
      <c r="B702"/>
    </row>
    <row r="703" spans="2:2" x14ac:dyDescent="0.25">
      <c r="B703"/>
    </row>
    <row r="704" spans="2:2" x14ac:dyDescent="0.25">
      <c r="B704"/>
    </row>
    <row r="705" spans="2:2" x14ac:dyDescent="0.25">
      <c r="B705"/>
    </row>
    <row r="706" spans="2:2" x14ac:dyDescent="0.25">
      <c r="B706"/>
    </row>
    <row r="707" spans="2:2" x14ac:dyDescent="0.25">
      <c r="B707"/>
    </row>
    <row r="708" spans="2:2" x14ac:dyDescent="0.25">
      <c r="B708"/>
    </row>
    <row r="709" spans="2:2" x14ac:dyDescent="0.25">
      <c r="B709"/>
    </row>
    <row r="710" spans="2:2" x14ac:dyDescent="0.25">
      <c r="B710"/>
    </row>
    <row r="711" spans="2:2" x14ac:dyDescent="0.25">
      <c r="B711"/>
    </row>
    <row r="712" spans="2:2" x14ac:dyDescent="0.25">
      <c r="B712"/>
    </row>
    <row r="713" spans="2:2" x14ac:dyDescent="0.25">
      <c r="B713"/>
    </row>
    <row r="714" spans="2:2" x14ac:dyDescent="0.25">
      <c r="B714"/>
    </row>
    <row r="715" spans="2:2" x14ac:dyDescent="0.25">
      <c r="B715"/>
    </row>
    <row r="716" spans="2:2" x14ac:dyDescent="0.25">
      <c r="B716"/>
    </row>
    <row r="717" spans="2:2" x14ac:dyDescent="0.25">
      <c r="B717"/>
    </row>
    <row r="718" spans="2:2" x14ac:dyDescent="0.25">
      <c r="B718"/>
    </row>
    <row r="719" spans="2:2" x14ac:dyDescent="0.25">
      <c r="B719"/>
    </row>
    <row r="720" spans="2:2" x14ac:dyDescent="0.25">
      <c r="B720"/>
    </row>
    <row r="721" spans="2:2" x14ac:dyDescent="0.25">
      <c r="B721"/>
    </row>
    <row r="722" spans="2:2" x14ac:dyDescent="0.25">
      <c r="B722"/>
    </row>
    <row r="723" spans="2:2" x14ac:dyDescent="0.25">
      <c r="B723"/>
    </row>
    <row r="724" spans="2:2" x14ac:dyDescent="0.25">
      <c r="B724"/>
    </row>
    <row r="725" spans="2:2" x14ac:dyDescent="0.25">
      <c r="B725"/>
    </row>
    <row r="726" spans="2:2" x14ac:dyDescent="0.25">
      <c r="B726"/>
    </row>
    <row r="727" spans="2:2" x14ac:dyDescent="0.25">
      <c r="B727"/>
    </row>
    <row r="728" spans="2:2" x14ac:dyDescent="0.25">
      <c r="B728"/>
    </row>
    <row r="729" spans="2:2" x14ac:dyDescent="0.25">
      <c r="B729"/>
    </row>
    <row r="730" spans="2:2" x14ac:dyDescent="0.25">
      <c r="B730"/>
    </row>
    <row r="731" spans="2:2" x14ac:dyDescent="0.25">
      <c r="B731"/>
    </row>
    <row r="732" spans="2:2" x14ac:dyDescent="0.25">
      <c r="B732"/>
    </row>
    <row r="733" spans="2:2" x14ac:dyDescent="0.25">
      <c r="B733"/>
    </row>
    <row r="734" spans="2:2" x14ac:dyDescent="0.25">
      <c r="B734"/>
    </row>
    <row r="735" spans="2:2" x14ac:dyDescent="0.25">
      <c r="B735"/>
    </row>
    <row r="736" spans="2:2" x14ac:dyDescent="0.25">
      <c r="B736"/>
    </row>
    <row r="737" spans="2:2" x14ac:dyDescent="0.25">
      <c r="B737"/>
    </row>
    <row r="738" spans="2:2" x14ac:dyDescent="0.25">
      <c r="B738"/>
    </row>
    <row r="739" spans="2:2" x14ac:dyDescent="0.25">
      <c r="B739"/>
    </row>
    <row r="740" spans="2:2" x14ac:dyDescent="0.25">
      <c r="B740"/>
    </row>
    <row r="741" spans="2:2" x14ac:dyDescent="0.25">
      <c r="B741"/>
    </row>
    <row r="742" spans="2:2" x14ac:dyDescent="0.25">
      <c r="B742"/>
    </row>
    <row r="743" spans="2:2" x14ac:dyDescent="0.25">
      <c r="B743"/>
    </row>
    <row r="744" spans="2:2" x14ac:dyDescent="0.25">
      <c r="B744"/>
    </row>
    <row r="745" spans="2:2" x14ac:dyDescent="0.25">
      <c r="B745"/>
    </row>
    <row r="746" spans="2:2" x14ac:dyDescent="0.25">
      <c r="B746"/>
    </row>
    <row r="747" spans="2:2" x14ac:dyDescent="0.25">
      <c r="B747"/>
    </row>
    <row r="748" spans="2:2" x14ac:dyDescent="0.25">
      <c r="B748"/>
    </row>
    <row r="749" spans="2:2" x14ac:dyDescent="0.25">
      <c r="B749"/>
    </row>
    <row r="750" spans="2:2" x14ac:dyDescent="0.25">
      <c r="B750"/>
    </row>
    <row r="751" spans="2:2" x14ac:dyDescent="0.25">
      <c r="B751"/>
    </row>
    <row r="752" spans="2:2" x14ac:dyDescent="0.25">
      <c r="B752"/>
    </row>
    <row r="753" spans="2:2" x14ac:dyDescent="0.25">
      <c r="B753"/>
    </row>
    <row r="754" spans="2:2" x14ac:dyDescent="0.25">
      <c r="B754"/>
    </row>
    <row r="755" spans="2:2" x14ac:dyDescent="0.25">
      <c r="B755"/>
    </row>
    <row r="756" spans="2:2" x14ac:dyDescent="0.25">
      <c r="B756"/>
    </row>
    <row r="757" spans="2:2" x14ac:dyDescent="0.25">
      <c r="B757"/>
    </row>
    <row r="758" spans="2:2" x14ac:dyDescent="0.25">
      <c r="B758"/>
    </row>
    <row r="759" spans="2:2" x14ac:dyDescent="0.25">
      <c r="B759"/>
    </row>
    <row r="760" spans="2:2" x14ac:dyDescent="0.25">
      <c r="B760"/>
    </row>
    <row r="761" spans="2:2" x14ac:dyDescent="0.25">
      <c r="B761"/>
    </row>
    <row r="762" spans="2:2" x14ac:dyDescent="0.25">
      <c r="B762"/>
    </row>
    <row r="763" spans="2:2" x14ac:dyDescent="0.25">
      <c r="B763"/>
    </row>
    <row r="764" spans="2:2" x14ac:dyDescent="0.25">
      <c r="B764"/>
    </row>
    <row r="765" spans="2:2" x14ac:dyDescent="0.25">
      <c r="B765"/>
    </row>
    <row r="766" spans="2:2" x14ac:dyDescent="0.25">
      <c r="B766"/>
    </row>
    <row r="767" spans="2:2" x14ac:dyDescent="0.25">
      <c r="B767"/>
    </row>
    <row r="768" spans="2:2" x14ac:dyDescent="0.25">
      <c r="B768"/>
    </row>
    <row r="769" spans="2:2" x14ac:dyDescent="0.25">
      <c r="B769"/>
    </row>
    <row r="770" spans="2:2" x14ac:dyDescent="0.25">
      <c r="B770"/>
    </row>
    <row r="771" spans="2:2" x14ac:dyDescent="0.25">
      <c r="B771"/>
    </row>
    <row r="772" spans="2:2" x14ac:dyDescent="0.25">
      <c r="B772"/>
    </row>
    <row r="773" spans="2:2" x14ac:dyDescent="0.25">
      <c r="B773"/>
    </row>
    <row r="774" spans="2:2" x14ac:dyDescent="0.25">
      <c r="B774"/>
    </row>
    <row r="775" spans="2:2" x14ac:dyDescent="0.25">
      <c r="B775"/>
    </row>
    <row r="776" spans="2:2" x14ac:dyDescent="0.25">
      <c r="B776"/>
    </row>
    <row r="777" spans="2:2" x14ac:dyDescent="0.25">
      <c r="B777"/>
    </row>
    <row r="778" spans="2:2" x14ac:dyDescent="0.25">
      <c r="B778"/>
    </row>
    <row r="779" spans="2:2" x14ac:dyDescent="0.25">
      <c r="B779"/>
    </row>
    <row r="780" spans="2:2" x14ac:dyDescent="0.25">
      <c r="B780"/>
    </row>
    <row r="781" spans="2:2" x14ac:dyDescent="0.25">
      <c r="B781"/>
    </row>
    <row r="782" spans="2:2" x14ac:dyDescent="0.25">
      <c r="B782"/>
    </row>
    <row r="783" spans="2:2" x14ac:dyDescent="0.25">
      <c r="B783"/>
    </row>
    <row r="784" spans="2:2" x14ac:dyDescent="0.25">
      <c r="B784"/>
    </row>
    <row r="785" spans="2:2" x14ac:dyDescent="0.25">
      <c r="B785"/>
    </row>
    <row r="786" spans="2:2" x14ac:dyDescent="0.25">
      <c r="B786"/>
    </row>
    <row r="787" spans="2:2" x14ac:dyDescent="0.25">
      <c r="B787"/>
    </row>
    <row r="788" spans="2:2" x14ac:dyDescent="0.25">
      <c r="B788"/>
    </row>
    <row r="789" spans="2:2" x14ac:dyDescent="0.25">
      <c r="B789"/>
    </row>
    <row r="790" spans="2:2" x14ac:dyDescent="0.25">
      <c r="B790"/>
    </row>
    <row r="791" spans="2:2" x14ac:dyDescent="0.25">
      <c r="B791"/>
    </row>
    <row r="792" spans="2:2" x14ac:dyDescent="0.25">
      <c r="B792"/>
    </row>
    <row r="793" spans="2:2" x14ac:dyDescent="0.25">
      <c r="B793"/>
    </row>
    <row r="794" spans="2:2" x14ac:dyDescent="0.25">
      <c r="B794"/>
    </row>
    <row r="795" spans="2:2" x14ac:dyDescent="0.25">
      <c r="B795"/>
    </row>
    <row r="796" spans="2:2" x14ac:dyDescent="0.25">
      <c r="B796"/>
    </row>
    <row r="797" spans="2:2" x14ac:dyDescent="0.25">
      <c r="B797"/>
    </row>
    <row r="798" spans="2:2" x14ac:dyDescent="0.25">
      <c r="B798"/>
    </row>
    <row r="799" spans="2:2" x14ac:dyDescent="0.25">
      <c r="B799"/>
    </row>
    <row r="800" spans="2:2" x14ac:dyDescent="0.25">
      <c r="B800"/>
    </row>
    <row r="801" spans="2:2" x14ac:dyDescent="0.25">
      <c r="B801"/>
    </row>
    <row r="802" spans="2:2" x14ac:dyDescent="0.25">
      <c r="B802"/>
    </row>
    <row r="803" spans="2:2" x14ac:dyDescent="0.25">
      <c r="B803"/>
    </row>
    <row r="804" spans="2:2" x14ac:dyDescent="0.25">
      <c r="B804"/>
    </row>
    <row r="805" spans="2:2" x14ac:dyDescent="0.25">
      <c r="B805"/>
    </row>
    <row r="806" spans="2:2" x14ac:dyDescent="0.25">
      <c r="B806"/>
    </row>
    <row r="807" spans="2:2" x14ac:dyDescent="0.25">
      <c r="B807"/>
    </row>
    <row r="808" spans="2:2" x14ac:dyDescent="0.25">
      <c r="B808"/>
    </row>
    <row r="809" spans="2:2" x14ac:dyDescent="0.25">
      <c r="B809"/>
    </row>
    <row r="810" spans="2:2" x14ac:dyDescent="0.25">
      <c r="B810"/>
    </row>
    <row r="811" spans="2:2" x14ac:dyDescent="0.25">
      <c r="B811"/>
    </row>
    <row r="812" spans="2:2" x14ac:dyDescent="0.25">
      <c r="B812"/>
    </row>
    <row r="813" spans="2:2" x14ac:dyDescent="0.25">
      <c r="B813"/>
    </row>
    <row r="814" spans="2:2" x14ac:dyDescent="0.25">
      <c r="B814"/>
    </row>
    <row r="815" spans="2:2" x14ac:dyDescent="0.25">
      <c r="B815"/>
    </row>
    <row r="816" spans="2:2" x14ac:dyDescent="0.25">
      <c r="B816"/>
    </row>
    <row r="817" spans="2:2" x14ac:dyDescent="0.25">
      <c r="B817"/>
    </row>
    <row r="818" spans="2:2" x14ac:dyDescent="0.25">
      <c r="B818"/>
    </row>
    <row r="819" spans="2:2" x14ac:dyDescent="0.25">
      <c r="B819"/>
    </row>
    <row r="820" spans="2:2" x14ac:dyDescent="0.25">
      <c r="B820"/>
    </row>
    <row r="821" spans="2:2" x14ac:dyDescent="0.25">
      <c r="B821"/>
    </row>
    <row r="822" spans="2:2" x14ac:dyDescent="0.25">
      <c r="B822"/>
    </row>
    <row r="823" spans="2:2" x14ac:dyDescent="0.25">
      <c r="B823"/>
    </row>
    <row r="824" spans="2:2" x14ac:dyDescent="0.25">
      <c r="B824"/>
    </row>
    <row r="825" spans="2:2" x14ac:dyDescent="0.25">
      <c r="B825"/>
    </row>
    <row r="826" spans="2:2" x14ac:dyDescent="0.25">
      <c r="B826"/>
    </row>
    <row r="827" spans="2:2" x14ac:dyDescent="0.25">
      <c r="B827"/>
    </row>
    <row r="828" spans="2:2" x14ac:dyDescent="0.25">
      <c r="B828"/>
    </row>
    <row r="829" spans="2:2" x14ac:dyDescent="0.25">
      <c r="B829"/>
    </row>
    <row r="830" spans="2:2" x14ac:dyDescent="0.25">
      <c r="B830"/>
    </row>
    <row r="831" spans="2:2" x14ac:dyDescent="0.25">
      <c r="B831"/>
    </row>
    <row r="832" spans="2:2" x14ac:dyDescent="0.25">
      <c r="B832"/>
    </row>
    <row r="833" spans="2:2" x14ac:dyDescent="0.25">
      <c r="B833"/>
    </row>
    <row r="834" spans="2:2" x14ac:dyDescent="0.25">
      <c r="B834"/>
    </row>
    <row r="835" spans="2:2" x14ac:dyDescent="0.25">
      <c r="B835"/>
    </row>
    <row r="836" spans="2:2" x14ac:dyDescent="0.25">
      <c r="B836"/>
    </row>
    <row r="837" spans="2:2" x14ac:dyDescent="0.25">
      <c r="B837"/>
    </row>
    <row r="838" spans="2:2" x14ac:dyDescent="0.25">
      <c r="B838"/>
    </row>
    <row r="839" spans="2:2" x14ac:dyDescent="0.25">
      <c r="B839"/>
    </row>
    <row r="840" spans="2:2" x14ac:dyDescent="0.25">
      <c r="B840"/>
    </row>
    <row r="841" spans="2:2" x14ac:dyDescent="0.25">
      <c r="B841"/>
    </row>
    <row r="842" spans="2:2" x14ac:dyDescent="0.25">
      <c r="B842"/>
    </row>
    <row r="843" spans="2:2" x14ac:dyDescent="0.25">
      <c r="B843"/>
    </row>
    <row r="844" spans="2:2" x14ac:dyDescent="0.25">
      <c r="B844"/>
    </row>
    <row r="845" spans="2:2" x14ac:dyDescent="0.25">
      <c r="B845"/>
    </row>
    <row r="846" spans="2:2" x14ac:dyDescent="0.25">
      <c r="B846"/>
    </row>
    <row r="847" spans="2:2" x14ac:dyDescent="0.25">
      <c r="B847"/>
    </row>
    <row r="848" spans="2:2" x14ac:dyDescent="0.25">
      <c r="B848"/>
    </row>
    <row r="849" spans="2:2" x14ac:dyDescent="0.25">
      <c r="B849"/>
    </row>
    <row r="850" spans="2:2" x14ac:dyDescent="0.25">
      <c r="B850"/>
    </row>
    <row r="851" spans="2:2" x14ac:dyDescent="0.25">
      <c r="B851"/>
    </row>
    <row r="852" spans="2:2" x14ac:dyDescent="0.25">
      <c r="B852"/>
    </row>
    <row r="853" spans="2:2" x14ac:dyDescent="0.25">
      <c r="B853"/>
    </row>
    <row r="854" spans="2:2" x14ac:dyDescent="0.25">
      <c r="B854"/>
    </row>
    <row r="855" spans="2:2" x14ac:dyDescent="0.25">
      <c r="B855"/>
    </row>
    <row r="856" spans="2:2" x14ac:dyDescent="0.25">
      <c r="B856"/>
    </row>
    <row r="857" spans="2:2" x14ac:dyDescent="0.25">
      <c r="B857"/>
    </row>
    <row r="858" spans="2:2" x14ac:dyDescent="0.25">
      <c r="B858"/>
    </row>
    <row r="859" spans="2:2" x14ac:dyDescent="0.25">
      <c r="B859"/>
    </row>
    <row r="860" spans="2:2" x14ac:dyDescent="0.25">
      <c r="B860"/>
    </row>
    <row r="861" spans="2:2" x14ac:dyDescent="0.25">
      <c r="B861"/>
    </row>
    <row r="862" spans="2:2" x14ac:dyDescent="0.25">
      <c r="B862"/>
    </row>
    <row r="863" spans="2:2" x14ac:dyDescent="0.25">
      <c r="B863"/>
    </row>
    <row r="864" spans="2:2" x14ac:dyDescent="0.25">
      <c r="B864"/>
    </row>
    <row r="865" spans="2:2" x14ac:dyDescent="0.25">
      <c r="B865"/>
    </row>
    <row r="866" spans="2:2" x14ac:dyDescent="0.25">
      <c r="B866"/>
    </row>
    <row r="867" spans="2:2" x14ac:dyDescent="0.25">
      <c r="B867"/>
    </row>
    <row r="868" spans="2:2" x14ac:dyDescent="0.25">
      <c r="B868"/>
    </row>
    <row r="869" spans="2:2" x14ac:dyDescent="0.25">
      <c r="B869"/>
    </row>
    <row r="870" spans="2:2" x14ac:dyDescent="0.25">
      <c r="B870"/>
    </row>
    <row r="871" spans="2:2" x14ac:dyDescent="0.25">
      <c r="B871"/>
    </row>
    <row r="872" spans="2:2" x14ac:dyDescent="0.25">
      <c r="B872"/>
    </row>
    <row r="873" spans="2:2" x14ac:dyDescent="0.25">
      <c r="B873"/>
    </row>
    <row r="874" spans="2:2" x14ac:dyDescent="0.25">
      <c r="B874"/>
    </row>
    <row r="875" spans="2:2" x14ac:dyDescent="0.25">
      <c r="B875"/>
    </row>
    <row r="876" spans="2:2" x14ac:dyDescent="0.25">
      <c r="B876"/>
    </row>
    <row r="877" spans="2:2" x14ac:dyDescent="0.25">
      <c r="B877"/>
    </row>
    <row r="878" spans="2:2" x14ac:dyDescent="0.25">
      <c r="B878"/>
    </row>
    <row r="879" spans="2:2" x14ac:dyDescent="0.25">
      <c r="B879"/>
    </row>
    <row r="880" spans="2:2" x14ac:dyDescent="0.25">
      <c r="B880"/>
    </row>
    <row r="881" spans="2:2" x14ac:dyDescent="0.25">
      <c r="B881"/>
    </row>
    <row r="882" spans="2:2" x14ac:dyDescent="0.25">
      <c r="B882"/>
    </row>
    <row r="883" spans="2:2" x14ac:dyDescent="0.25">
      <c r="B883"/>
    </row>
    <row r="884" spans="2:2" x14ac:dyDescent="0.25">
      <c r="B884"/>
    </row>
    <row r="885" spans="2:2" x14ac:dyDescent="0.25">
      <c r="B885"/>
    </row>
    <row r="886" spans="2:2" x14ac:dyDescent="0.25">
      <c r="B886"/>
    </row>
    <row r="887" spans="2:2" x14ac:dyDescent="0.25">
      <c r="B887"/>
    </row>
    <row r="888" spans="2:2" x14ac:dyDescent="0.25">
      <c r="B888"/>
    </row>
    <row r="889" spans="2:2" x14ac:dyDescent="0.25">
      <c r="B889"/>
    </row>
    <row r="890" spans="2:2" x14ac:dyDescent="0.25">
      <c r="B890"/>
    </row>
    <row r="891" spans="2:2" x14ac:dyDescent="0.25">
      <c r="B891"/>
    </row>
    <row r="892" spans="2:2" x14ac:dyDescent="0.25">
      <c r="B892"/>
    </row>
    <row r="893" spans="2:2" x14ac:dyDescent="0.25">
      <c r="B893"/>
    </row>
    <row r="894" spans="2:2" x14ac:dyDescent="0.25">
      <c r="B894"/>
    </row>
    <row r="895" spans="2:2" x14ac:dyDescent="0.25">
      <c r="B895"/>
    </row>
    <row r="896" spans="2:2" x14ac:dyDescent="0.25">
      <c r="B896"/>
    </row>
    <row r="897" spans="2:2" x14ac:dyDescent="0.25">
      <c r="B897"/>
    </row>
    <row r="898" spans="2:2" x14ac:dyDescent="0.25">
      <c r="B898"/>
    </row>
    <row r="899" spans="2:2" x14ac:dyDescent="0.25">
      <c r="B899"/>
    </row>
    <row r="900" spans="2:2" x14ac:dyDescent="0.25">
      <c r="B900"/>
    </row>
    <row r="901" spans="2:2" x14ac:dyDescent="0.25">
      <c r="B901"/>
    </row>
    <row r="902" spans="2:2" x14ac:dyDescent="0.25">
      <c r="B902"/>
    </row>
    <row r="903" spans="2:2" x14ac:dyDescent="0.25">
      <c r="B903"/>
    </row>
    <row r="904" spans="2:2" x14ac:dyDescent="0.25">
      <c r="B904"/>
    </row>
    <row r="905" spans="2:2" x14ac:dyDescent="0.25">
      <c r="B905"/>
    </row>
    <row r="906" spans="2:2" x14ac:dyDescent="0.25">
      <c r="B906"/>
    </row>
    <row r="907" spans="2:2" x14ac:dyDescent="0.25">
      <c r="B907"/>
    </row>
    <row r="908" spans="2:2" x14ac:dyDescent="0.25">
      <c r="B908"/>
    </row>
    <row r="909" spans="2:2" x14ac:dyDescent="0.25">
      <c r="B909"/>
    </row>
    <row r="910" spans="2:2" x14ac:dyDescent="0.25">
      <c r="B910"/>
    </row>
    <row r="911" spans="2:2" x14ac:dyDescent="0.25">
      <c r="B911"/>
    </row>
    <row r="912" spans="2:2" x14ac:dyDescent="0.25">
      <c r="B912"/>
    </row>
    <row r="913" spans="2:2" x14ac:dyDescent="0.25">
      <c r="B913"/>
    </row>
    <row r="914" spans="2:2" x14ac:dyDescent="0.25">
      <c r="B914"/>
    </row>
    <row r="915" spans="2:2" x14ac:dyDescent="0.25">
      <c r="B915"/>
    </row>
    <row r="916" spans="2:2" x14ac:dyDescent="0.25">
      <c r="B916"/>
    </row>
    <row r="917" spans="2:2" x14ac:dyDescent="0.25">
      <c r="B917"/>
    </row>
    <row r="918" spans="2:2" x14ac:dyDescent="0.25">
      <c r="B918"/>
    </row>
    <row r="919" spans="2:2" x14ac:dyDescent="0.25">
      <c r="B919"/>
    </row>
    <row r="920" spans="2:2" x14ac:dyDescent="0.25">
      <c r="B920"/>
    </row>
    <row r="921" spans="2:2" x14ac:dyDescent="0.25">
      <c r="B921"/>
    </row>
    <row r="922" spans="2:2" x14ac:dyDescent="0.25">
      <c r="B922"/>
    </row>
    <row r="923" spans="2:2" x14ac:dyDescent="0.25">
      <c r="B923"/>
    </row>
    <row r="924" spans="2:2" x14ac:dyDescent="0.25">
      <c r="B924"/>
    </row>
    <row r="925" spans="2:2" x14ac:dyDescent="0.25">
      <c r="B925"/>
    </row>
    <row r="926" spans="2:2" x14ac:dyDescent="0.25">
      <c r="B926"/>
    </row>
    <row r="927" spans="2:2" x14ac:dyDescent="0.25">
      <c r="B927"/>
    </row>
    <row r="928" spans="2:2" x14ac:dyDescent="0.25">
      <c r="B928"/>
    </row>
    <row r="929" spans="2:2" x14ac:dyDescent="0.25">
      <c r="B929"/>
    </row>
    <row r="930" spans="2:2" x14ac:dyDescent="0.25">
      <c r="B930"/>
    </row>
    <row r="931" spans="2:2" x14ac:dyDescent="0.25">
      <c r="B931"/>
    </row>
    <row r="932" spans="2:2" x14ac:dyDescent="0.25">
      <c r="B932"/>
    </row>
    <row r="933" spans="2:2" x14ac:dyDescent="0.25">
      <c r="B933"/>
    </row>
    <row r="934" spans="2:2" x14ac:dyDescent="0.25">
      <c r="B934"/>
    </row>
    <row r="935" spans="2:2" x14ac:dyDescent="0.25">
      <c r="B935"/>
    </row>
    <row r="936" spans="2:2" x14ac:dyDescent="0.25">
      <c r="B936"/>
    </row>
    <row r="937" spans="2:2" x14ac:dyDescent="0.25">
      <c r="B937"/>
    </row>
    <row r="938" spans="2:2" x14ac:dyDescent="0.25">
      <c r="B938"/>
    </row>
    <row r="939" spans="2:2" x14ac:dyDescent="0.25">
      <c r="B939"/>
    </row>
    <row r="940" spans="2:2" x14ac:dyDescent="0.25">
      <c r="B940"/>
    </row>
    <row r="941" spans="2:2" x14ac:dyDescent="0.25">
      <c r="B941"/>
    </row>
    <row r="942" spans="2:2" x14ac:dyDescent="0.25">
      <c r="B942"/>
    </row>
    <row r="943" spans="2:2" x14ac:dyDescent="0.25">
      <c r="B943"/>
    </row>
    <row r="944" spans="2:2" x14ac:dyDescent="0.25">
      <c r="B944"/>
    </row>
    <row r="945" spans="2:2" x14ac:dyDescent="0.25">
      <c r="B945"/>
    </row>
    <row r="946" spans="2:2" x14ac:dyDescent="0.25">
      <c r="B946"/>
    </row>
    <row r="947" spans="2:2" x14ac:dyDescent="0.25">
      <c r="B947"/>
    </row>
    <row r="948" spans="2:2" x14ac:dyDescent="0.25">
      <c r="B948"/>
    </row>
    <row r="949" spans="2:2" x14ac:dyDescent="0.25">
      <c r="B949"/>
    </row>
    <row r="950" spans="2:2" x14ac:dyDescent="0.25">
      <c r="B950"/>
    </row>
    <row r="951" spans="2:2" x14ac:dyDescent="0.25">
      <c r="B951"/>
    </row>
    <row r="952" spans="2:2" x14ac:dyDescent="0.25">
      <c r="B952"/>
    </row>
    <row r="953" spans="2:2" x14ac:dyDescent="0.25">
      <c r="B953"/>
    </row>
    <row r="954" spans="2:2" x14ac:dyDescent="0.25">
      <c r="B954"/>
    </row>
    <row r="955" spans="2:2" x14ac:dyDescent="0.25">
      <c r="B955"/>
    </row>
    <row r="956" spans="2:2" x14ac:dyDescent="0.25">
      <c r="B956"/>
    </row>
    <row r="957" spans="2:2" x14ac:dyDescent="0.25">
      <c r="B957"/>
    </row>
    <row r="958" spans="2:2" x14ac:dyDescent="0.25">
      <c r="B958"/>
    </row>
    <row r="959" spans="2:2" x14ac:dyDescent="0.25">
      <c r="B959"/>
    </row>
    <row r="960" spans="2:2" x14ac:dyDescent="0.25">
      <c r="B960"/>
    </row>
    <row r="961" spans="2:2" x14ac:dyDescent="0.25">
      <c r="B961"/>
    </row>
    <row r="962" spans="2:2" x14ac:dyDescent="0.25">
      <c r="B962"/>
    </row>
    <row r="963" spans="2:2" x14ac:dyDescent="0.25">
      <c r="B963"/>
    </row>
    <row r="964" spans="2:2" x14ac:dyDescent="0.25">
      <c r="B964"/>
    </row>
    <row r="965" spans="2:2" x14ac:dyDescent="0.25">
      <c r="B965"/>
    </row>
    <row r="966" spans="2:2" x14ac:dyDescent="0.25">
      <c r="B966"/>
    </row>
    <row r="967" spans="2:2" x14ac:dyDescent="0.25">
      <c r="B967"/>
    </row>
    <row r="968" spans="2:2" x14ac:dyDescent="0.25">
      <c r="B968"/>
    </row>
    <row r="969" spans="2:2" x14ac:dyDescent="0.25">
      <c r="B969"/>
    </row>
    <row r="970" spans="2:2" x14ac:dyDescent="0.25">
      <c r="B970"/>
    </row>
    <row r="971" spans="2:2" x14ac:dyDescent="0.25">
      <c r="B971"/>
    </row>
    <row r="972" spans="2:2" x14ac:dyDescent="0.25">
      <c r="B972"/>
    </row>
    <row r="973" spans="2:2" x14ac:dyDescent="0.25">
      <c r="B973"/>
    </row>
    <row r="974" spans="2:2" x14ac:dyDescent="0.25">
      <c r="B974"/>
    </row>
    <row r="975" spans="2:2" x14ac:dyDescent="0.25">
      <c r="B975"/>
    </row>
    <row r="976" spans="2:2" x14ac:dyDescent="0.25">
      <c r="B976"/>
    </row>
    <row r="977" spans="2:2" x14ac:dyDescent="0.25">
      <c r="B977"/>
    </row>
    <row r="978" spans="2:2" x14ac:dyDescent="0.25">
      <c r="B978"/>
    </row>
    <row r="979" spans="2:2" x14ac:dyDescent="0.25">
      <c r="B979"/>
    </row>
    <row r="980" spans="2:2" x14ac:dyDescent="0.25">
      <c r="B980"/>
    </row>
    <row r="981" spans="2:2" x14ac:dyDescent="0.25">
      <c r="B981"/>
    </row>
    <row r="982" spans="2:2" x14ac:dyDescent="0.25">
      <c r="B982"/>
    </row>
    <row r="983" spans="2:2" x14ac:dyDescent="0.25">
      <c r="B983"/>
    </row>
    <row r="984" spans="2:2" x14ac:dyDescent="0.25">
      <c r="B984"/>
    </row>
    <row r="985" spans="2:2" x14ac:dyDescent="0.25">
      <c r="B985"/>
    </row>
    <row r="986" spans="2:2" x14ac:dyDescent="0.25">
      <c r="B986"/>
    </row>
    <row r="987" spans="2:2" x14ac:dyDescent="0.25">
      <c r="B987"/>
    </row>
    <row r="988" spans="2:2" x14ac:dyDescent="0.25">
      <c r="B988"/>
    </row>
    <row r="989" spans="2:2" x14ac:dyDescent="0.25">
      <c r="B989"/>
    </row>
    <row r="990" spans="2:2" x14ac:dyDescent="0.25">
      <c r="B990"/>
    </row>
    <row r="991" spans="2:2" x14ac:dyDescent="0.25">
      <c r="B991"/>
    </row>
    <row r="992" spans="2:2" x14ac:dyDescent="0.25">
      <c r="B992"/>
    </row>
    <row r="993" spans="2:2" x14ac:dyDescent="0.25">
      <c r="B993"/>
    </row>
    <row r="994" spans="2:2" x14ac:dyDescent="0.25">
      <c r="B994"/>
    </row>
    <row r="995" spans="2:2" x14ac:dyDescent="0.25">
      <c r="B995"/>
    </row>
    <row r="996" spans="2:2" x14ac:dyDescent="0.25">
      <c r="B996"/>
    </row>
    <row r="997" spans="2:2" x14ac:dyDescent="0.25">
      <c r="B997"/>
    </row>
    <row r="998" spans="2:2" x14ac:dyDescent="0.25">
      <c r="B998"/>
    </row>
    <row r="999" spans="2:2" x14ac:dyDescent="0.25">
      <c r="B999"/>
    </row>
    <row r="1000" spans="2:2" x14ac:dyDescent="0.25">
      <c r="B1000"/>
    </row>
    <row r="1001" spans="2:2" x14ac:dyDescent="0.25">
      <c r="B1001"/>
    </row>
    <row r="1002" spans="2:2" x14ac:dyDescent="0.25">
      <c r="B1002"/>
    </row>
    <row r="1003" spans="2:2" x14ac:dyDescent="0.25">
      <c r="B1003"/>
    </row>
    <row r="1004" spans="2:2" x14ac:dyDescent="0.25">
      <c r="B1004"/>
    </row>
    <row r="1005" spans="2:2" x14ac:dyDescent="0.25">
      <c r="B1005"/>
    </row>
    <row r="1006" spans="2:2" x14ac:dyDescent="0.25">
      <c r="B1006"/>
    </row>
    <row r="1007" spans="2:2" x14ac:dyDescent="0.25">
      <c r="B1007"/>
    </row>
    <row r="1008" spans="2:2" x14ac:dyDescent="0.25">
      <c r="B1008"/>
    </row>
    <row r="1009" spans="2:2" x14ac:dyDescent="0.25">
      <c r="B1009"/>
    </row>
    <row r="1010" spans="2:2" x14ac:dyDescent="0.25">
      <c r="B1010"/>
    </row>
    <row r="1011" spans="2:2" x14ac:dyDescent="0.25">
      <c r="B1011"/>
    </row>
    <row r="1012" spans="2:2" x14ac:dyDescent="0.25">
      <c r="B1012"/>
    </row>
    <row r="1013" spans="2:2" x14ac:dyDescent="0.25">
      <c r="B1013"/>
    </row>
    <row r="1014" spans="2:2" x14ac:dyDescent="0.25">
      <c r="B1014"/>
    </row>
    <row r="1015" spans="2:2" x14ac:dyDescent="0.25">
      <c r="B1015"/>
    </row>
    <row r="1016" spans="2:2" x14ac:dyDescent="0.25">
      <c r="B1016"/>
    </row>
    <row r="1017" spans="2:2" x14ac:dyDescent="0.25">
      <c r="B1017"/>
    </row>
    <row r="1018" spans="2:2" x14ac:dyDescent="0.25">
      <c r="B1018"/>
    </row>
    <row r="1019" spans="2:2" x14ac:dyDescent="0.25">
      <c r="B1019"/>
    </row>
    <row r="1020" spans="2:2" x14ac:dyDescent="0.25">
      <c r="B1020"/>
    </row>
    <row r="1021" spans="2:2" x14ac:dyDescent="0.25">
      <c r="B1021"/>
    </row>
    <row r="1022" spans="2:2" x14ac:dyDescent="0.25">
      <c r="B1022"/>
    </row>
    <row r="1023" spans="2:2" x14ac:dyDescent="0.25">
      <c r="B1023"/>
    </row>
    <row r="1024" spans="2:2" x14ac:dyDescent="0.25">
      <c r="B1024"/>
    </row>
    <row r="1025" spans="2:2" x14ac:dyDescent="0.25">
      <c r="B1025"/>
    </row>
    <row r="1026" spans="2:2" x14ac:dyDescent="0.25">
      <c r="B1026"/>
    </row>
    <row r="1027" spans="2:2" x14ac:dyDescent="0.25">
      <c r="B1027"/>
    </row>
    <row r="1028" spans="2:2" x14ac:dyDescent="0.25">
      <c r="B1028"/>
    </row>
    <row r="1029" spans="2:2" x14ac:dyDescent="0.25">
      <c r="B1029"/>
    </row>
    <row r="1030" spans="2:2" x14ac:dyDescent="0.25">
      <c r="B1030"/>
    </row>
    <row r="1031" spans="2:2" x14ac:dyDescent="0.25">
      <c r="B1031"/>
    </row>
    <row r="1032" spans="2:2" x14ac:dyDescent="0.25">
      <c r="B1032"/>
    </row>
    <row r="1033" spans="2:2" x14ac:dyDescent="0.25">
      <c r="B1033"/>
    </row>
    <row r="1034" spans="2:2" x14ac:dyDescent="0.25">
      <c r="B1034"/>
    </row>
    <row r="1035" spans="2:2" x14ac:dyDescent="0.25">
      <c r="B1035"/>
    </row>
    <row r="1036" spans="2:2" x14ac:dyDescent="0.25">
      <c r="B1036"/>
    </row>
    <row r="1037" spans="2:2" x14ac:dyDescent="0.25">
      <c r="B1037"/>
    </row>
    <row r="1038" spans="2:2" x14ac:dyDescent="0.25">
      <c r="B1038"/>
    </row>
    <row r="1039" spans="2:2" x14ac:dyDescent="0.25">
      <c r="B1039"/>
    </row>
    <row r="1040" spans="2:2" x14ac:dyDescent="0.25">
      <c r="B1040"/>
    </row>
    <row r="1041" spans="2:2" x14ac:dyDescent="0.25">
      <c r="B1041"/>
    </row>
    <row r="1042" spans="2:2" x14ac:dyDescent="0.25">
      <c r="B1042"/>
    </row>
    <row r="1043" spans="2:2" x14ac:dyDescent="0.25">
      <c r="B1043"/>
    </row>
    <row r="1044" spans="2:2" x14ac:dyDescent="0.25">
      <c r="B1044"/>
    </row>
    <row r="1045" spans="2:2" x14ac:dyDescent="0.25">
      <c r="B1045"/>
    </row>
    <row r="1046" spans="2:2" x14ac:dyDescent="0.25">
      <c r="B1046"/>
    </row>
    <row r="1047" spans="2:2" x14ac:dyDescent="0.25">
      <c r="B1047"/>
    </row>
    <row r="1048" spans="2:2" x14ac:dyDescent="0.25">
      <c r="B1048"/>
    </row>
    <row r="1049" spans="2:2" x14ac:dyDescent="0.25">
      <c r="B1049"/>
    </row>
    <row r="1050" spans="2:2" x14ac:dyDescent="0.25">
      <c r="B1050"/>
    </row>
    <row r="1051" spans="2:2" x14ac:dyDescent="0.25">
      <c r="B1051"/>
    </row>
    <row r="1052" spans="2:2" x14ac:dyDescent="0.25">
      <c r="B1052"/>
    </row>
    <row r="1053" spans="2:2" x14ac:dyDescent="0.25">
      <c r="B1053"/>
    </row>
    <row r="1054" spans="2:2" x14ac:dyDescent="0.25">
      <c r="B1054"/>
    </row>
    <row r="1055" spans="2:2" x14ac:dyDescent="0.25">
      <c r="B1055"/>
    </row>
    <row r="1056" spans="2:2" x14ac:dyDescent="0.25">
      <c r="B1056"/>
    </row>
    <row r="1057" spans="2:2" x14ac:dyDescent="0.25">
      <c r="B1057"/>
    </row>
    <row r="1058" spans="2:2" x14ac:dyDescent="0.25">
      <c r="B1058"/>
    </row>
    <row r="1059" spans="2:2" x14ac:dyDescent="0.25">
      <c r="B1059"/>
    </row>
    <row r="1060" spans="2:2" x14ac:dyDescent="0.25">
      <c r="B1060"/>
    </row>
    <row r="1061" spans="2:2" x14ac:dyDescent="0.25">
      <c r="B1061"/>
    </row>
    <row r="1062" spans="2:2" x14ac:dyDescent="0.25">
      <c r="B1062"/>
    </row>
    <row r="1063" spans="2:2" x14ac:dyDescent="0.25">
      <c r="B1063"/>
    </row>
    <row r="1064" spans="2:2" x14ac:dyDescent="0.25">
      <c r="B1064"/>
    </row>
    <row r="1065" spans="2:2" x14ac:dyDescent="0.25">
      <c r="B1065"/>
    </row>
    <row r="1066" spans="2:2" x14ac:dyDescent="0.25">
      <c r="B1066"/>
    </row>
    <row r="1067" spans="2:2" x14ac:dyDescent="0.25">
      <c r="B1067"/>
    </row>
    <row r="1068" spans="2:2" x14ac:dyDescent="0.25">
      <c r="B1068"/>
    </row>
    <row r="1069" spans="2:2" x14ac:dyDescent="0.25">
      <c r="B1069"/>
    </row>
    <row r="1070" spans="2:2" x14ac:dyDescent="0.25">
      <c r="B1070"/>
    </row>
    <row r="1071" spans="2:2" x14ac:dyDescent="0.25">
      <c r="B1071"/>
    </row>
    <row r="1072" spans="2:2" x14ac:dyDescent="0.25">
      <c r="B1072"/>
    </row>
    <row r="1073" spans="2:2" x14ac:dyDescent="0.25">
      <c r="B1073"/>
    </row>
    <row r="1074" spans="2:2" x14ac:dyDescent="0.25">
      <c r="B1074"/>
    </row>
    <row r="1075" spans="2:2" x14ac:dyDescent="0.25">
      <c r="B1075"/>
    </row>
    <row r="1076" spans="2:2" x14ac:dyDescent="0.25">
      <c r="B1076"/>
    </row>
    <row r="1077" spans="2:2" x14ac:dyDescent="0.25">
      <c r="B1077"/>
    </row>
    <row r="1078" spans="2:2" x14ac:dyDescent="0.25">
      <c r="B1078"/>
    </row>
    <row r="1079" spans="2:2" x14ac:dyDescent="0.25">
      <c r="B1079"/>
    </row>
    <row r="1080" spans="2:2" x14ac:dyDescent="0.25">
      <c r="B1080"/>
    </row>
    <row r="1081" spans="2:2" x14ac:dyDescent="0.25">
      <c r="B1081"/>
    </row>
    <row r="1082" spans="2:2" x14ac:dyDescent="0.25">
      <c r="B1082"/>
    </row>
    <row r="1083" spans="2:2" x14ac:dyDescent="0.25">
      <c r="B1083"/>
    </row>
    <row r="1084" spans="2:2" x14ac:dyDescent="0.25">
      <c r="B1084"/>
    </row>
    <row r="1085" spans="2:2" x14ac:dyDescent="0.25">
      <c r="B1085"/>
    </row>
    <row r="1086" spans="2:2" x14ac:dyDescent="0.25">
      <c r="B1086"/>
    </row>
    <row r="1087" spans="2:2" x14ac:dyDescent="0.25">
      <c r="B1087"/>
    </row>
    <row r="1088" spans="2:2" x14ac:dyDescent="0.25">
      <c r="B1088"/>
    </row>
    <row r="1089" spans="2:2" x14ac:dyDescent="0.25">
      <c r="B1089"/>
    </row>
    <row r="1090" spans="2:2" x14ac:dyDescent="0.25">
      <c r="B1090"/>
    </row>
    <row r="1091" spans="2:2" x14ac:dyDescent="0.25">
      <c r="B1091"/>
    </row>
    <row r="1092" spans="2:2" x14ac:dyDescent="0.25">
      <c r="B1092"/>
    </row>
    <row r="1093" spans="2:2" x14ac:dyDescent="0.25">
      <c r="B1093"/>
    </row>
    <row r="1094" spans="2:2" x14ac:dyDescent="0.25">
      <c r="B1094"/>
    </row>
    <row r="1095" spans="2:2" x14ac:dyDescent="0.25">
      <c r="B1095"/>
    </row>
    <row r="1096" spans="2:2" x14ac:dyDescent="0.25">
      <c r="B1096"/>
    </row>
    <row r="1097" spans="2:2" x14ac:dyDescent="0.25">
      <c r="B1097"/>
    </row>
    <row r="1098" spans="2:2" x14ac:dyDescent="0.25">
      <c r="B1098"/>
    </row>
    <row r="1099" spans="2:2" x14ac:dyDescent="0.25">
      <c r="B1099"/>
    </row>
    <row r="1100" spans="2:2" x14ac:dyDescent="0.25">
      <c r="B1100"/>
    </row>
    <row r="1101" spans="2:2" x14ac:dyDescent="0.25">
      <c r="B1101"/>
    </row>
    <row r="1102" spans="2:2" x14ac:dyDescent="0.25">
      <c r="B1102"/>
    </row>
    <row r="1103" spans="2:2" x14ac:dyDescent="0.25">
      <c r="B1103"/>
    </row>
    <row r="1104" spans="2:2" x14ac:dyDescent="0.25">
      <c r="B1104"/>
    </row>
    <row r="1105" spans="2:2" x14ac:dyDescent="0.25">
      <c r="B1105"/>
    </row>
    <row r="1106" spans="2:2" x14ac:dyDescent="0.25">
      <c r="B1106"/>
    </row>
    <row r="1107" spans="2:2" x14ac:dyDescent="0.25">
      <c r="B1107"/>
    </row>
    <row r="1108" spans="2:2" x14ac:dyDescent="0.25">
      <c r="B1108"/>
    </row>
    <row r="1109" spans="2:2" x14ac:dyDescent="0.25">
      <c r="B1109"/>
    </row>
    <row r="1110" spans="2:2" x14ac:dyDescent="0.25">
      <c r="B1110"/>
    </row>
    <row r="1111" spans="2:2" x14ac:dyDescent="0.25">
      <c r="B1111"/>
    </row>
    <row r="1112" spans="2:2" x14ac:dyDescent="0.25">
      <c r="B1112"/>
    </row>
    <row r="1113" spans="2:2" x14ac:dyDescent="0.25">
      <c r="B1113"/>
    </row>
    <row r="1114" spans="2:2" x14ac:dyDescent="0.25">
      <c r="B1114"/>
    </row>
    <row r="1115" spans="2:2" x14ac:dyDescent="0.25">
      <c r="B1115"/>
    </row>
    <row r="1116" spans="2:2" x14ac:dyDescent="0.25">
      <c r="B1116"/>
    </row>
    <row r="1117" spans="2:2" x14ac:dyDescent="0.25">
      <c r="B1117"/>
    </row>
    <row r="1118" spans="2:2" x14ac:dyDescent="0.25">
      <c r="B1118"/>
    </row>
    <row r="1119" spans="2:2" x14ac:dyDescent="0.25">
      <c r="B1119"/>
    </row>
    <row r="1120" spans="2:2" x14ac:dyDescent="0.25">
      <c r="B1120"/>
    </row>
    <row r="1121" spans="2:2" x14ac:dyDescent="0.25">
      <c r="B1121"/>
    </row>
    <row r="1122" spans="2:2" x14ac:dyDescent="0.25">
      <c r="B1122"/>
    </row>
    <row r="1123" spans="2:2" x14ac:dyDescent="0.25">
      <c r="B1123"/>
    </row>
    <row r="1124" spans="2:2" x14ac:dyDescent="0.25">
      <c r="B1124"/>
    </row>
    <row r="1125" spans="2:2" x14ac:dyDescent="0.25">
      <c r="B1125"/>
    </row>
    <row r="1126" spans="2:2" x14ac:dyDescent="0.25">
      <c r="B1126"/>
    </row>
    <row r="1127" spans="2:2" x14ac:dyDescent="0.25">
      <c r="B1127"/>
    </row>
    <row r="1128" spans="2:2" x14ac:dyDescent="0.25">
      <c r="B1128"/>
    </row>
    <row r="1129" spans="2:2" x14ac:dyDescent="0.25">
      <c r="B1129"/>
    </row>
    <row r="1130" spans="2:2" x14ac:dyDescent="0.25">
      <c r="B1130"/>
    </row>
    <row r="1131" spans="2:2" x14ac:dyDescent="0.25">
      <c r="B1131"/>
    </row>
    <row r="1132" spans="2:2" x14ac:dyDescent="0.25">
      <c r="B1132"/>
    </row>
    <row r="1133" spans="2:2" x14ac:dyDescent="0.25">
      <c r="B1133"/>
    </row>
    <row r="1134" spans="2:2" x14ac:dyDescent="0.25">
      <c r="B1134"/>
    </row>
    <row r="1135" spans="2:2" x14ac:dyDescent="0.25">
      <c r="B1135"/>
    </row>
    <row r="1136" spans="2:2" x14ac:dyDescent="0.25">
      <c r="B1136"/>
    </row>
    <row r="1137" spans="2:2" x14ac:dyDescent="0.25">
      <c r="B1137"/>
    </row>
    <row r="1138" spans="2:2" x14ac:dyDescent="0.25">
      <c r="B1138"/>
    </row>
    <row r="1139" spans="2:2" x14ac:dyDescent="0.25">
      <c r="B1139"/>
    </row>
    <row r="1140" spans="2:2" x14ac:dyDescent="0.25">
      <c r="B1140"/>
    </row>
    <row r="1141" spans="2:2" x14ac:dyDescent="0.25">
      <c r="B1141"/>
    </row>
    <row r="1142" spans="2:2" x14ac:dyDescent="0.25">
      <c r="B1142"/>
    </row>
    <row r="1143" spans="2:2" x14ac:dyDescent="0.25">
      <c r="B1143"/>
    </row>
    <row r="1144" spans="2:2" x14ac:dyDescent="0.25">
      <c r="B1144"/>
    </row>
    <row r="1145" spans="2:2" x14ac:dyDescent="0.25">
      <c r="B1145"/>
    </row>
    <row r="1146" spans="2:2" x14ac:dyDescent="0.25">
      <c r="B1146"/>
    </row>
    <row r="1147" spans="2:2" x14ac:dyDescent="0.25">
      <c r="B1147"/>
    </row>
    <row r="1148" spans="2:2" x14ac:dyDescent="0.25">
      <c r="B1148"/>
    </row>
    <row r="1149" spans="2:2" x14ac:dyDescent="0.25">
      <c r="B1149"/>
    </row>
    <row r="1150" spans="2:2" x14ac:dyDescent="0.25">
      <c r="B1150"/>
    </row>
    <row r="1151" spans="2:2" x14ac:dyDescent="0.25">
      <c r="B1151"/>
    </row>
    <row r="1152" spans="2:2" x14ac:dyDescent="0.25">
      <c r="B1152"/>
    </row>
    <row r="1153" spans="2:2" x14ac:dyDescent="0.25">
      <c r="B1153"/>
    </row>
    <row r="1154" spans="2:2" x14ac:dyDescent="0.25">
      <c r="B1154"/>
    </row>
    <row r="1155" spans="2:2" x14ac:dyDescent="0.25">
      <c r="B1155"/>
    </row>
    <row r="1156" spans="2:2" x14ac:dyDescent="0.25">
      <c r="B1156"/>
    </row>
    <row r="1157" spans="2:2" x14ac:dyDescent="0.25">
      <c r="B1157"/>
    </row>
    <row r="1158" spans="2:2" x14ac:dyDescent="0.25">
      <c r="B1158"/>
    </row>
    <row r="1159" spans="2:2" x14ac:dyDescent="0.25">
      <c r="B1159"/>
    </row>
    <row r="1160" spans="2:2" x14ac:dyDescent="0.25">
      <c r="B1160"/>
    </row>
    <row r="1161" spans="2:2" x14ac:dyDescent="0.25">
      <c r="B1161"/>
    </row>
    <row r="1162" spans="2:2" x14ac:dyDescent="0.25">
      <c r="B1162"/>
    </row>
    <row r="1163" spans="2:2" x14ac:dyDescent="0.25">
      <c r="B1163"/>
    </row>
    <row r="1164" spans="2:2" x14ac:dyDescent="0.25">
      <c r="B1164"/>
    </row>
    <row r="1165" spans="2:2" x14ac:dyDescent="0.25">
      <c r="B1165"/>
    </row>
    <row r="1166" spans="2:2" x14ac:dyDescent="0.25">
      <c r="B1166"/>
    </row>
    <row r="1167" spans="2:2" x14ac:dyDescent="0.25">
      <c r="B1167"/>
    </row>
    <row r="1168" spans="2:2" x14ac:dyDescent="0.25">
      <c r="B1168"/>
    </row>
    <row r="1169" spans="2:2" x14ac:dyDescent="0.25">
      <c r="B1169"/>
    </row>
    <row r="1170" spans="2:2" x14ac:dyDescent="0.25">
      <c r="B1170"/>
    </row>
    <row r="1171" spans="2:2" x14ac:dyDescent="0.25">
      <c r="B1171"/>
    </row>
    <row r="1172" spans="2:2" x14ac:dyDescent="0.25">
      <c r="B1172"/>
    </row>
    <row r="1173" spans="2:2" x14ac:dyDescent="0.25">
      <c r="B1173"/>
    </row>
    <row r="1174" spans="2:2" x14ac:dyDescent="0.25">
      <c r="B1174"/>
    </row>
    <row r="1175" spans="2:2" x14ac:dyDescent="0.25">
      <c r="B1175"/>
    </row>
    <row r="1176" spans="2:2" x14ac:dyDescent="0.25">
      <c r="B1176"/>
    </row>
    <row r="1177" spans="2:2" x14ac:dyDescent="0.25">
      <c r="B1177"/>
    </row>
    <row r="1178" spans="2:2" x14ac:dyDescent="0.25">
      <c r="B1178"/>
    </row>
    <row r="1179" spans="2:2" x14ac:dyDescent="0.25">
      <c r="B1179"/>
    </row>
    <row r="1180" spans="2:2" x14ac:dyDescent="0.25">
      <c r="B1180"/>
    </row>
    <row r="1181" spans="2:2" x14ac:dyDescent="0.25">
      <c r="B1181"/>
    </row>
    <row r="1182" spans="2:2" x14ac:dyDescent="0.25">
      <c r="B1182"/>
    </row>
    <row r="1183" spans="2:2" x14ac:dyDescent="0.25">
      <c r="B1183"/>
    </row>
    <row r="1184" spans="2:2" x14ac:dyDescent="0.25">
      <c r="B1184"/>
    </row>
    <row r="1185" spans="2:2" x14ac:dyDescent="0.25">
      <c r="B1185"/>
    </row>
    <row r="1186" spans="2:2" x14ac:dyDescent="0.25">
      <c r="B1186"/>
    </row>
    <row r="1187" spans="2:2" x14ac:dyDescent="0.25">
      <c r="B1187"/>
    </row>
    <row r="1188" spans="2:2" x14ac:dyDescent="0.25">
      <c r="B1188"/>
    </row>
    <row r="1189" spans="2:2" x14ac:dyDescent="0.25">
      <c r="B1189"/>
    </row>
    <row r="1190" spans="2:2" x14ac:dyDescent="0.25">
      <c r="B1190"/>
    </row>
    <row r="1191" spans="2:2" x14ac:dyDescent="0.25">
      <c r="B1191"/>
    </row>
    <row r="1192" spans="2:2" x14ac:dyDescent="0.25">
      <c r="B1192"/>
    </row>
    <row r="1193" spans="2:2" x14ac:dyDescent="0.25">
      <c r="B1193"/>
    </row>
    <row r="1194" spans="2:2" x14ac:dyDescent="0.25">
      <c r="B1194"/>
    </row>
    <row r="1195" spans="2:2" x14ac:dyDescent="0.25">
      <c r="B1195"/>
    </row>
    <row r="1196" spans="2:2" x14ac:dyDescent="0.25">
      <c r="B1196"/>
    </row>
    <row r="1197" spans="2:2" x14ac:dyDescent="0.25">
      <c r="B1197"/>
    </row>
    <row r="1198" spans="2:2" x14ac:dyDescent="0.25">
      <c r="B1198"/>
    </row>
    <row r="1199" spans="2:2" x14ac:dyDescent="0.25">
      <c r="B1199"/>
    </row>
    <row r="1200" spans="2:2" x14ac:dyDescent="0.25">
      <c r="B1200"/>
    </row>
    <row r="1201" spans="2:2" x14ac:dyDescent="0.25">
      <c r="B1201"/>
    </row>
    <row r="1202" spans="2:2" x14ac:dyDescent="0.25">
      <c r="B1202"/>
    </row>
    <row r="1203" spans="2:2" x14ac:dyDescent="0.25">
      <c r="B1203"/>
    </row>
    <row r="1204" spans="2:2" x14ac:dyDescent="0.25">
      <c r="B1204"/>
    </row>
    <row r="1205" spans="2:2" x14ac:dyDescent="0.25">
      <c r="B1205"/>
    </row>
    <row r="1206" spans="2:2" x14ac:dyDescent="0.25">
      <c r="B1206"/>
    </row>
    <row r="1207" spans="2:2" x14ac:dyDescent="0.25">
      <c r="B1207"/>
    </row>
    <row r="1208" spans="2:2" x14ac:dyDescent="0.25">
      <c r="B1208"/>
    </row>
    <row r="1209" spans="2:2" x14ac:dyDescent="0.25">
      <c r="B1209"/>
    </row>
    <row r="1210" spans="2:2" x14ac:dyDescent="0.25">
      <c r="B1210"/>
    </row>
    <row r="1211" spans="2:2" x14ac:dyDescent="0.25">
      <c r="B1211"/>
    </row>
    <row r="1212" spans="2:2" x14ac:dyDescent="0.25">
      <c r="B1212"/>
    </row>
    <row r="1213" spans="2:2" x14ac:dyDescent="0.25">
      <c r="B1213"/>
    </row>
    <row r="1214" spans="2:2" x14ac:dyDescent="0.25">
      <c r="B1214"/>
    </row>
    <row r="1215" spans="2:2" x14ac:dyDescent="0.25">
      <c r="B1215"/>
    </row>
    <row r="1216" spans="2:2" x14ac:dyDescent="0.25">
      <c r="B1216"/>
    </row>
    <row r="1217" spans="2:2" x14ac:dyDescent="0.25">
      <c r="B1217"/>
    </row>
    <row r="1218" spans="2:2" x14ac:dyDescent="0.25">
      <c r="B1218"/>
    </row>
    <row r="1219" spans="2:2" x14ac:dyDescent="0.25">
      <c r="B1219"/>
    </row>
    <row r="1220" spans="2:2" x14ac:dyDescent="0.25">
      <c r="B1220"/>
    </row>
    <row r="1221" spans="2:2" x14ac:dyDescent="0.25">
      <c r="B1221"/>
    </row>
    <row r="1222" spans="2:2" x14ac:dyDescent="0.25">
      <c r="B1222"/>
    </row>
    <row r="1223" spans="2:2" x14ac:dyDescent="0.25">
      <c r="B1223"/>
    </row>
    <row r="1224" spans="2:2" x14ac:dyDescent="0.25">
      <c r="B1224"/>
    </row>
    <row r="1225" spans="2:2" x14ac:dyDescent="0.25">
      <c r="B1225"/>
    </row>
    <row r="1226" spans="2:2" x14ac:dyDescent="0.25">
      <c r="B1226"/>
    </row>
    <row r="1227" spans="2:2" x14ac:dyDescent="0.25">
      <c r="B1227"/>
    </row>
    <row r="1228" spans="2:2" x14ac:dyDescent="0.25">
      <c r="B1228"/>
    </row>
    <row r="1229" spans="2:2" x14ac:dyDescent="0.25">
      <c r="B1229"/>
    </row>
    <row r="1230" spans="2:2" x14ac:dyDescent="0.25">
      <c r="B1230"/>
    </row>
    <row r="1231" spans="2:2" x14ac:dyDescent="0.25">
      <c r="B1231"/>
    </row>
    <row r="1232" spans="2:2" x14ac:dyDescent="0.25">
      <c r="B1232"/>
    </row>
    <row r="1233" spans="2:2" x14ac:dyDescent="0.25">
      <c r="B1233"/>
    </row>
    <row r="1234" spans="2:2" x14ac:dyDescent="0.25">
      <c r="B1234"/>
    </row>
    <row r="1235" spans="2:2" x14ac:dyDescent="0.25">
      <c r="B1235"/>
    </row>
    <row r="1236" spans="2:2" x14ac:dyDescent="0.25">
      <c r="B1236"/>
    </row>
    <row r="1237" spans="2:2" x14ac:dyDescent="0.25">
      <c r="B1237"/>
    </row>
    <row r="1238" spans="2:2" x14ac:dyDescent="0.25">
      <c r="B1238"/>
    </row>
    <row r="1239" spans="2:2" x14ac:dyDescent="0.25">
      <c r="B1239"/>
    </row>
    <row r="1240" spans="2:2" x14ac:dyDescent="0.25">
      <c r="B1240"/>
    </row>
    <row r="1241" spans="2:2" x14ac:dyDescent="0.25">
      <c r="B1241"/>
    </row>
    <row r="1242" spans="2:2" x14ac:dyDescent="0.25">
      <c r="B1242"/>
    </row>
    <row r="1243" spans="2:2" x14ac:dyDescent="0.25">
      <c r="B1243"/>
    </row>
    <row r="1244" spans="2:2" x14ac:dyDescent="0.25">
      <c r="B1244"/>
    </row>
    <row r="1245" spans="2:2" x14ac:dyDescent="0.25">
      <c r="B1245"/>
    </row>
    <row r="1246" spans="2:2" x14ac:dyDescent="0.25">
      <c r="B1246"/>
    </row>
    <row r="1247" spans="2:2" x14ac:dyDescent="0.25">
      <c r="B1247"/>
    </row>
    <row r="1248" spans="2:2" x14ac:dyDescent="0.25">
      <c r="B1248"/>
    </row>
    <row r="1249" spans="2:2" x14ac:dyDescent="0.25">
      <c r="B1249"/>
    </row>
    <row r="1250" spans="2:2" x14ac:dyDescent="0.25">
      <c r="B1250"/>
    </row>
    <row r="1251" spans="2:2" x14ac:dyDescent="0.25">
      <c r="B1251"/>
    </row>
    <row r="1252" spans="2:2" x14ac:dyDescent="0.25">
      <c r="B1252"/>
    </row>
    <row r="1253" spans="2:2" x14ac:dyDescent="0.25">
      <c r="B1253"/>
    </row>
    <row r="1254" spans="2:2" x14ac:dyDescent="0.25">
      <c r="B1254"/>
    </row>
    <row r="1255" spans="2:2" x14ac:dyDescent="0.25">
      <c r="B1255"/>
    </row>
    <row r="1256" spans="2:2" x14ac:dyDescent="0.25">
      <c r="B1256"/>
    </row>
    <row r="1257" spans="2:2" x14ac:dyDescent="0.25">
      <c r="B1257"/>
    </row>
    <row r="1258" spans="2:2" x14ac:dyDescent="0.25">
      <c r="B1258"/>
    </row>
    <row r="1259" spans="2:2" x14ac:dyDescent="0.25">
      <c r="B1259"/>
    </row>
    <row r="1260" spans="2:2" x14ac:dyDescent="0.25">
      <c r="B1260"/>
    </row>
    <row r="1261" spans="2:2" x14ac:dyDescent="0.25">
      <c r="B1261"/>
    </row>
    <row r="1262" spans="2:2" x14ac:dyDescent="0.25">
      <c r="B1262"/>
    </row>
    <row r="1263" spans="2:2" x14ac:dyDescent="0.25">
      <c r="B1263"/>
    </row>
    <row r="1264" spans="2:2" x14ac:dyDescent="0.25">
      <c r="B1264"/>
    </row>
    <row r="1265" spans="2:2" x14ac:dyDescent="0.25">
      <c r="B1265"/>
    </row>
    <row r="1266" spans="2:2" x14ac:dyDescent="0.25">
      <c r="B1266"/>
    </row>
    <row r="1267" spans="2:2" x14ac:dyDescent="0.25">
      <c r="B1267"/>
    </row>
    <row r="1268" spans="2:2" x14ac:dyDescent="0.25">
      <c r="B1268"/>
    </row>
    <row r="1269" spans="2:2" x14ac:dyDescent="0.25">
      <c r="B1269"/>
    </row>
    <row r="1270" spans="2:2" x14ac:dyDescent="0.25">
      <c r="B1270"/>
    </row>
    <row r="1271" spans="2:2" x14ac:dyDescent="0.25">
      <c r="B1271"/>
    </row>
    <row r="1272" spans="2:2" x14ac:dyDescent="0.25">
      <c r="B1272"/>
    </row>
    <row r="1273" spans="2:2" x14ac:dyDescent="0.25">
      <c r="B1273"/>
    </row>
    <row r="1274" spans="2:2" x14ac:dyDescent="0.25">
      <c r="B1274"/>
    </row>
    <row r="1275" spans="2:2" x14ac:dyDescent="0.25">
      <c r="B1275"/>
    </row>
    <row r="1276" spans="2:2" x14ac:dyDescent="0.25">
      <c r="B1276"/>
    </row>
    <row r="1277" spans="2:2" x14ac:dyDescent="0.25">
      <c r="B1277"/>
    </row>
    <row r="1278" spans="2:2" x14ac:dyDescent="0.25">
      <c r="B1278"/>
    </row>
    <row r="1279" spans="2:2" x14ac:dyDescent="0.25">
      <c r="B1279"/>
    </row>
    <row r="1280" spans="2:2" x14ac:dyDescent="0.25">
      <c r="B1280"/>
    </row>
    <row r="1281" spans="2:2" x14ac:dyDescent="0.25">
      <c r="B1281"/>
    </row>
    <row r="1282" spans="2:2" x14ac:dyDescent="0.25">
      <c r="B1282"/>
    </row>
    <row r="1283" spans="2:2" x14ac:dyDescent="0.25">
      <c r="B1283"/>
    </row>
    <row r="1284" spans="2:2" x14ac:dyDescent="0.25">
      <c r="B1284"/>
    </row>
    <row r="1285" spans="2:2" x14ac:dyDescent="0.25">
      <c r="B1285"/>
    </row>
    <row r="1286" spans="2:2" x14ac:dyDescent="0.25">
      <c r="B1286"/>
    </row>
    <row r="1287" spans="2:2" x14ac:dyDescent="0.25">
      <c r="B1287"/>
    </row>
    <row r="1288" spans="2:2" x14ac:dyDescent="0.25">
      <c r="B1288"/>
    </row>
    <row r="1289" spans="2:2" x14ac:dyDescent="0.25">
      <c r="B1289"/>
    </row>
    <row r="1290" spans="2:2" x14ac:dyDescent="0.25">
      <c r="B1290"/>
    </row>
    <row r="1291" spans="2:2" x14ac:dyDescent="0.25">
      <c r="B1291"/>
    </row>
    <row r="1292" spans="2:2" x14ac:dyDescent="0.25">
      <c r="B1292"/>
    </row>
    <row r="1293" spans="2:2" x14ac:dyDescent="0.25">
      <c r="B1293"/>
    </row>
    <row r="1294" spans="2:2" x14ac:dyDescent="0.25">
      <c r="B1294"/>
    </row>
    <row r="1295" spans="2:2" x14ac:dyDescent="0.25">
      <c r="B1295"/>
    </row>
    <row r="1296" spans="2:2" x14ac:dyDescent="0.25">
      <c r="B1296"/>
    </row>
    <row r="1297" spans="2:2" x14ac:dyDescent="0.25">
      <c r="B1297"/>
    </row>
    <row r="1298" spans="2:2" x14ac:dyDescent="0.25">
      <c r="B1298"/>
    </row>
    <row r="1299" spans="2:2" x14ac:dyDescent="0.25">
      <c r="B1299"/>
    </row>
    <row r="1300" spans="2:2" x14ac:dyDescent="0.25">
      <c r="B1300"/>
    </row>
    <row r="1301" spans="2:2" x14ac:dyDescent="0.25">
      <c r="B1301"/>
    </row>
    <row r="1302" spans="2:2" x14ac:dyDescent="0.25">
      <c r="B1302"/>
    </row>
    <row r="1303" spans="2:2" x14ac:dyDescent="0.25">
      <c r="B1303"/>
    </row>
    <row r="1304" spans="2:2" x14ac:dyDescent="0.25">
      <c r="B1304"/>
    </row>
    <row r="1305" spans="2:2" x14ac:dyDescent="0.25">
      <c r="B1305"/>
    </row>
    <row r="1306" spans="2:2" x14ac:dyDescent="0.25">
      <c r="B1306"/>
    </row>
    <row r="1307" spans="2:2" x14ac:dyDescent="0.25">
      <c r="B1307"/>
    </row>
    <row r="1308" spans="2:2" x14ac:dyDescent="0.25">
      <c r="B1308"/>
    </row>
    <row r="1309" spans="2:2" x14ac:dyDescent="0.25">
      <c r="B1309"/>
    </row>
    <row r="1310" spans="2:2" x14ac:dyDescent="0.25">
      <c r="B1310"/>
    </row>
    <row r="1311" spans="2:2" x14ac:dyDescent="0.25">
      <c r="B1311"/>
    </row>
    <row r="1312" spans="2:2" x14ac:dyDescent="0.25">
      <c r="B1312"/>
    </row>
    <row r="1313" spans="2:2" x14ac:dyDescent="0.25">
      <c r="B1313"/>
    </row>
    <row r="1314" spans="2:2" x14ac:dyDescent="0.25">
      <c r="B1314"/>
    </row>
    <row r="1315" spans="2:2" x14ac:dyDescent="0.25">
      <c r="B1315"/>
    </row>
    <row r="1316" spans="2:2" x14ac:dyDescent="0.25">
      <c r="B1316"/>
    </row>
    <row r="1317" spans="2:2" x14ac:dyDescent="0.25">
      <c r="B1317"/>
    </row>
    <row r="1318" spans="2:2" x14ac:dyDescent="0.25">
      <c r="B1318"/>
    </row>
    <row r="1319" spans="2:2" x14ac:dyDescent="0.25">
      <c r="B1319"/>
    </row>
    <row r="1320" spans="2:2" x14ac:dyDescent="0.25">
      <c r="B1320"/>
    </row>
    <row r="1321" spans="2:2" x14ac:dyDescent="0.25">
      <c r="B1321"/>
    </row>
    <row r="1322" spans="2:2" x14ac:dyDescent="0.25">
      <c r="B1322"/>
    </row>
    <row r="1323" spans="2:2" x14ac:dyDescent="0.25">
      <c r="B1323"/>
    </row>
    <row r="1324" spans="2:2" x14ac:dyDescent="0.25">
      <c r="B1324"/>
    </row>
    <row r="1325" spans="2:2" x14ac:dyDescent="0.25">
      <c r="B1325"/>
    </row>
    <row r="1326" spans="2:2" x14ac:dyDescent="0.25">
      <c r="B1326"/>
    </row>
    <row r="1327" spans="2:2" x14ac:dyDescent="0.25">
      <c r="B1327"/>
    </row>
    <row r="1328" spans="2:2" x14ac:dyDescent="0.25">
      <c r="B1328"/>
    </row>
    <row r="1329" spans="2:2" x14ac:dyDescent="0.25">
      <c r="B1329"/>
    </row>
    <row r="1330" spans="2:2" x14ac:dyDescent="0.25">
      <c r="B1330"/>
    </row>
    <row r="1331" spans="2:2" x14ac:dyDescent="0.25">
      <c r="B1331"/>
    </row>
    <row r="1332" spans="2:2" x14ac:dyDescent="0.25">
      <c r="B1332"/>
    </row>
    <row r="1333" spans="2:2" x14ac:dyDescent="0.25">
      <c r="B1333"/>
    </row>
    <row r="1334" spans="2:2" x14ac:dyDescent="0.25">
      <c r="B1334"/>
    </row>
    <row r="1335" spans="2:2" x14ac:dyDescent="0.25">
      <c r="B1335"/>
    </row>
    <row r="1336" spans="2:2" x14ac:dyDescent="0.25">
      <c r="B1336"/>
    </row>
    <row r="1337" spans="2:2" x14ac:dyDescent="0.25">
      <c r="B1337"/>
    </row>
    <row r="1338" spans="2:2" x14ac:dyDescent="0.25">
      <c r="B1338"/>
    </row>
    <row r="1339" spans="2:2" x14ac:dyDescent="0.25">
      <c r="B1339"/>
    </row>
    <row r="1340" spans="2:2" x14ac:dyDescent="0.25">
      <c r="B1340"/>
    </row>
    <row r="1341" spans="2:2" x14ac:dyDescent="0.25">
      <c r="B1341"/>
    </row>
    <row r="1342" spans="2:2" x14ac:dyDescent="0.25">
      <c r="B1342"/>
    </row>
    <row r="1343" spans="2:2" x14ac:dyDescent="0.25">
      <c r="B1343"/>
    </row>
    <row r="1344" spans="2:2" x14ac:dyDescent="0.25">
      <c r="B1344"/>
    </row>
    <row r="1345" spans="2:2" x14ac:dyDescent="0.25">
      <c r="B1345"/>
    </row>
    <row r="1346" spans="2:2" x14ac:dyDescent="0.25">
      <c r="B1346"/>
    </row>
    <row r="1347" spans="2:2" x14ac:dyDescent="0.25">
      <c r="B1347"/>
    </row>
    <row r="1348" spans="2:2" x14ac:dyDescent="0.25">
      <c r="B1348"/>
    </row>
    <row r="1349" spans="2:2" x14ac:dyDescent="0.25">
      <c r="B1349"/>
    </row>
    <row r="1350" spans="2:2" x14ac:dyDescent="0.25">
      <c r="B1350"/>
    </row>
    <row r="1351" spans="2:2" x14ac:dyDescent="0.25">
      <c r="B1351"/>
    </row>
    <row r="1352" spans="2:2" x14ac:dyDescent="0.25">
      <c r="B1352"/>
    </row>
    <row r="1353" spans="2:2" x14ac:dyDescent="0.25">
      <c r="B1353"/>
    </row>
    <row r="1354" spans="2:2" x14ac:dyDescent="0.25">
      <c r="B1354"/>
    </row>
    <row r="1355" spans="2:2" x14ac:dyDescent="0.25">
      <c r="B1355"/>
    </row>
    <row r="1356" spans="2:2" x14ac:dyDescent="0.25">
      <c r="B1356"/>
    </row>
    <row r="1357" spans="2:2" x14ac:dyDescent="0.25">
      <c r="B1357"/>
    </row>
    <row r="1358" spans="2:2" x14ac:dyDescent="0.25">
      <c r="B1358"/>
    </row>
    <row r="1359" spans="2:2" x14ac:dyDescent="0.25">
      <c r="B1359"/>
    </row>
    <row r="1360" spans="2:2" x14ac:dyDescent="0.25">
      <c r="B1360"/>
    </row>
    <row r="1361" spans="2:2" x14ac:dyDescent="0.25">
      <c r="B1361"/>
    </row>
    <row r="1362" spans="2:2" x14ac:dyDescent="0.25">
      <c r="B1362"/>
    </row>
    <row r="1363" spans="2:2" x14ac:dyDescent="0.25">
      <c r="B1363"/>
    </row>
    <row r="1364" spans="2:2" x14ac:dyDescent="0.25">
      <c r="B1364"/>
    </row>
    <row r="1365" spans="2:2" x14ac:dyDescent="0.25">
      <c r="B1365"/>
    </row>
    <row r="1366" spans="2:2" x14ac:dyDescent="0.25">
      <c r="B1366"/>
    </row>
    <row r="1367" spans="2:2" x14ac:dyDescent="0.25">
      <c r="B1367"/>
    </row>
    <row r="1368" spans="2:2" x14ac:dyDescent="0.25">
      <c r="B1368"/>
    </row>
    <row r="1369" spans="2:2" x14ac:dyDescent="0.25">
      <c r="B1369"/>
    </row>
    <row r="1370" spans="2:2" x14ac:dyDescent="0.25">
      <c r="B1370"/>
    </row>
    <row r="1371" spans="2:2" x14ac:dyDescent="0.25">
      <c r="B1371"/>
    </row>
    <row r="1372" spans="2:2" x14ac:dyDescent="0.25">
      <c r="B1372"/>
    </row>
    <row r="1373" spans="2:2" x14ac:dyDescent="0.25">
      <c r="B1373"/>
    </row>
    <row r="1374" spans="2:2" x14ac:dyDescent="0.25">
      <c r="B1374"/>
    </row>
    <row r="1375" spans="2:2" x14ac:dyDescent="0.25">
      <c r="B1375"/>
    </row>
    <row r="1376" spans="2:2" x14ac:dyDescent="0.25">
      <c r="B1376"/>
    </row>
    <row r="1377" spans="2:2" x14ac:dyDescent="0.25">
      <c r="B1377"/>
    </row>
    <row r="1378" spans="2:2" x14ac:dyDescent="0.25">
      <c r="B1378"/>
    </row>
    <row r="1379" spans="2:2" x14ac:dyDescent="0.25">
      <c r="B1379"/>
    </row>
    <row r="1380" spans="2:2" x14ac:dyDescent="0.25">
      <c r="B1380"/>
    </row>
    <row r="1381" spans="2:2" x14ac:dyDescent="0.25">
      <c r="B1381"/>
    </row>
    <row r="1382" spans="2:2" x14ac:dyDescent="0.25">
      <c r="B1382"/>
    </row>
    <row r="1383" spans="2:2" x14ac:dyDescent="0.25">
      <c r="B1383"/>
    </row>
    <row r="1384" spans="2:2" x14ac:dyDescent="0.25">
      <c r="B1384"/>
    </row>
    <row r="1385" spans="2:2" x14ac:dyDescent="0.25">
      <c r="B1385"/>
    </row>
    <row r="1386" spans="2:2" x14ac:dyDescent="0.25">
      <c r="B1386"/>
    </row>
    <row r="1387" spans="2:2" x14ac:dyDescent="0.25">
      <c r="B1387"/>
    </row>
    <row r="1388" spans="2:2" x14ac:dyDescent="0.25">
      <c r="B1388"/>
    </row>
    <row r="1389" spans="2:2" x14ac:dyDescent="0.25">
      <c r="B1389"/>
    </row>
    <row r="1390" spans="2:2" x14ac:dyDescent="0.25">
      <c r="B1390"/>
    </row>
    <row r="1391" spans="2:2" x14ac:dyDescent="0.25">
      <c r="B1391"/>
    </row>
    <row r="1392" spans="2:2" x14ac:dyDescent="0.25">
      <c r="B1392"/>
    </row>
    <row r="1393" spans="2:2" x14ac:dyDescent="0.25">
      <c r="B1393"/>
    </row>
    <row r="1394" spans="2:2" x14ac:dyDescent="0.25">
      <c r="B1394"/>
    </row>
    <row r="1395" spans="2:2" x14ac:dyDescent="0.25">
      <c r="B1395"/>
    </row>
    <row r="1396" spans="2:2" x14ac:dyDescent="0.25">
      <c r="B1396"/>
    </row>
    <row r="1397" spans="2:2" x14ac:dyDescent="0.25">
      <c r="B1397"/>
    </row>
    <row r="1398" spans="2:2" x14ac:dyDescent="0.25">
      <c r="B1398"/>
    </row>
    <row r="1399" spans="2:2" x14ac:dyDescent="0.25">
      <c r="B1399"/>
    </row>
    <row r="1400" spans="2:2" x14ac:dyDescent="0.25">
      <c r="B1400"/>
    </row>
    <row r="1401" spans="2:2" x14ac:dyDescent="0.25">
      <c r="B1401"/>
    </row>
    <row r="1402" spans="2:2" x14ac:dyDescent="0.25">
      <c r="B1402"/>
    </row>
    <row r="1403" spans="2:2" x14ac:dyDescent="0.25">
      <c r="B1403"/>
    </row>
    <row r="1404" spans="2:2" x14ac:dyDescent="0.25">
      <c r="B1404"/>
    </row>
    <row r="1405" spans="2:2" x14ac:dyDescent="0.25">
      <c r="B1405"/>
    </row>
    <row r="1406" spans="2:2" x14ac:dyDescent="0.25">
      <c r="B1406"/>
    </row>
    <row r="1407" spans="2:2" x14ac:dyDescent="0.25">
      <c r="B1407"/>
    </row>
    <row r="1408" spans="2:2" x14ac:dyDescent="0.25">
      <c r="B1408"/>
    </row>
    <row r="1409" spans="2:2" x14ac:dyDescent="0.25">
      <c r="B1409"/>
    </row>
    <row r="1410" spans="2:2" x14ac:dyDescent="0.25">
      <c r="B1410"/>
    </row>
    <row r="1411" spans="2:2" x14ac:dyDescent="0.25">
      <c r="B1411"/>
    </row>
    <row r="1412" spans="2:2" x14ac:dyDescent="0.25">
      <c r="B1412"/>
    </row>
    <row r="1413" spans="2:2" x14ac:dyDescent="0.25">
      <c r="B1413"/>
    </row>
    <row r="1414" spans="2:2" x14ac:dyDescent="0.25">
      <c r="B1414"/>
    </row>
    <row r="1415" spans="2:2" x14ac:dyDescent="0.25">
      <c r="B1415"/>
    </row>
    <row r="1416" spans="2:2" x14ac:dyDescent="0.25">
      <c r="B1416"/>
    </row>
    <row r="1417" spans="2:2" x14ac:dyDescent="0.25">
      <c r="B1417"/>
    </row>
    <row r="1418" spans="2:2" x14ac:dyDescent="0.25">
      <c r="B1418"/>
    </row>
    <row r="1419" spans="2:2" x14ac:dyDescent="0.25">
      <c r="B1419"/>
    </row>
    <row r="1420" spans="2:2" x14ac:dyDescent="0.25">
      <c r="B1420"/>
    </row>
    <row r="1421" spans="2:2" x14ac:dyDescent="0.25">
      <c r="B1421"/>
    </row>
    <row r="1422" spans="2:2" x14ac:dyDescent="0.25">
      <c r="B1422"/>
    </row>
    <row r="1423" spans="2:2" x14ac:dyDescent="0.25">
      <c r="B1423"/>
    </row>
    <row r="1424" spans="2:2" x14ac:dyDescent="0.25">
      <c r="B1424"/>
    </row>
    <row r="1425" spans="2:2" x14ac:dyDescent="0.25">
      <c r="B1425"/>
    </row>
    <row r="1426" spans="2:2" x14ac:dyDescent="0.25">
      <c r="B1426"/>
    </row>
    <row r="1427" spans="2:2" x14ac:dyDescent="0.25">
      <c r="B1427"/>
    </row>
    <row r="1428" spans="2:2" x14ac:dyDescent="0.25">
      <c r="B1428"/>
    </row>
    <row r="1429" spans="2:2" x14ac:dyDescent="0.25">
      <c r="B1429"/>
    </row>
    <row r="1430" spans="2:2" x14ac:dyDescent="0.25">
      <c r="B1430"/>
    </row>
    <row r="1431" spans="2:2" x14ac:dyDescent="0.25">
      <c r="B1431"/>
    </row>
    <row r="1432" spans="2:2" x14ac:dyDescent="0.25">
      <c r="B1432"/>
    </row>
    <row r="1433" spans="2:2" x14ac:dyDescent="0.25">
      <c r="B1433"/>
    </row>
    <row r="1434" spans="2:2" x14ac:dyDescent="0.25">
      <c r="B1434"/>
    </row>
    <row r="1435" spans="2:2" x14ac:dyDescent="0.25">
      <c r="B1435"/>
    </row>
    <row r="1436" spans="2:2" x14ac:dyDescent="0.25">
      <c r="B1436"/>
    </row>
    <row r="1437" spans="2:2" x14ac:dyDescent="0.25">
      <c r="B1437"/>
    </row>
    <row r="1438" spans="2:2" x14ac:dyDescent="0.25">
      <c r="B1438"/>
    </row>
    <row r="1439" spans="2:2" x14ac:dyDescent="0.25">
      <c r="B1439"/>
    </row>
    <row r="1440" spans="2:2" x14ac:dyDescent="0.25">
      <c r="B1440"/>
    </row>
    <row r="1441" spans="2:2" x14ac:dyDescent="0.25">
      <c r="B1441"/>
    </row>
    <row r="1442" spans="2:2" x14ac:dyDescent="0.25">
      <c r="B1442"/>
    </row>
    <row r="1443" spans="2:2" x14ac:dyDescent="0.25">
      <c r="B1443"/>
    </row>
    <row r="1444" spans="2:2" x14ac:dyDescent="0.25">
      <c r="B1444"/>
    </row>
    <row r="1445" spans="2:2" x14ac:dyDescent="0.25">
      <c r="B1445"/>
    </row>
    <row r="1446" spans="2:2" x14ac:dyDescent="0.25">
      <c r="B1446"/>
    </row>
    <row r="1447" spans="2:2" x14ac:dyDescent="0.25">
      <c r="B1447"/>
    </row>
    <row r="1448" spans="2:2" x14ac:dyDescent="0.25">
      <c r="B1448"/>
    </row>
    <row r="1449" spans="2:2" x14ac:dyDescent="0.25">
      <c r="B1449"/>
    </row>
    <row r="1450" spans="2:2" x14ac:dyDescent="0.25">
      <c r="B1450"/>
    </row>
    <row r="1451" spans="2:2" x14ac:dyDescent="0.25">
      <c r="B1451"/>
    </row>
    <row r="1452" spans="2:2" x14ac:dyDescent="0.25">
      <c r="B1452"/>
    </row>
    <row r="1453" spans="2:2" x14ac:dyDescent="0.25">
      <c r="B1453"/>
    </row>
    <row r="1454" spans="2:2" x14ac:dyDescent="0.25">
      <c r="B1454"/>
    </row>
    <row r="1455" spans="2:2" x14ac:dyDescent="0.25">
      <c r="B1455"/>
    </row>
    <row r="1456" spans="2:2" x14ac:dyDescent="0.25">
      <c r="B1456"/>
    </row>
    <row r="1457" spans="2:2" x14ac:dyDescent="0.25">
      <c r="B1457"/>
    </row>
    <row r="1458" spans="2:2" x14ac:dyDescent="0.25">
      <c r="B1458"/>
    </row>
    <row r="1459" spans="2:2" x14ac:dyDescent="0.25">
      <c r="B1459"/>
    </row>
    <row r="1460" spans="2:2" x14ac:dyDescent="0.25">
      <c r="B1460"/>
    </row>
    <row r="1461" spans="2:2" x14ac:dyDescent="0.25">
      <c r="B1461"/>
    </row>
    <row r="1462" spans="2:2" x14ac:dyDescent="0.25">
      <c r="B1462"/>
    </row>
    <row r="1463" spans="2:2" x14ac:dyDescent="0.25">
      <c r="B1463"/>
    </row>
    <row r="1464" spans="2:2" x14ac:dyDescent="0.25">
      <c r="B1464"/>
    </row>
    <row r="1465" spans="2:2" x14ac:dyDescent="0.25">
      <c r="B1465"/>
    </row>
    <row r="1466" spans="2:2" x14ac:dyDescent="0.25">
      <c r="B1466"/>
    </row>
    <row r="1467" spans="2:2" x14ac:dyDescent="0.25">
      <c r="B1467"/>
    </row>
    <row r="1468" spans="2:2" x14ac:dyDescent="0.25">
      <c r="B1468"/>
    </row>
    <row r="1469" spans="2:2" x14ac:dyDescent="0.25">
      <c r="B1469"/>
    </row>
    <row r="1470" spans="2:2" x14ac:dyDescent="0.25">
      <c r="B1470"/>
    </row>
    <row r="1471" spans="2:2" x14ac:dyDescent="0.25">
      <c r="B1471"/>
    </row>
    <row r="1472" spans="2:2" x14ac:dyDescent="0.25">
      <c r="B1472"/>
    </row>
    <row r="1473" spans="2:2" x14ac:dyDescent="0.25">
      <c r="B1473"/>
    </row>
    <row r="1474" spans="2:2" x14ac:dyDescent="0.25">
      <c r="B1474"/>
    </row>
    <row r="1475" spans="2:2" x14ac:dyDescent="0.25">
      <c r="B1475"/>
    </row>
    <row r="1476" spans="2:2" x14ac:dyDescent="0.25">
      <c r="B1476"/>
    </row>
    <row r="1477" spans="2:2" x14ac:dyDescent="0.25">
      <c r="B1477"/>
    </row>
    <row r="1478" spans="2:2" x14ac:dyDescent="0.25">
      <c r="B1478"/>
    </row>
    <row r="1479" spans="2:2" x14ac:dyDescent="0.25">
      <c r="B1479"/>
    </row>
    <row r="1480" spans="2:2" x14ac:dyDescent="0.25">
      <c r="B1480"/>
    </row>
    <row r="1481" spans="2:2" x14ac:dyDescent="0.25">
      <c r="B1481"/>
    </row>
    <row r="1482" spans="2:2" x14ac:dyDescent="0.25">
      <c r="B1482"/>
    </row>
    <row r="1483" spans="2:2" x14ac:dyDescent="0.25">
      <c r="B1483"/>
    </row>
    <row r="1484" spans="2:2" x14ac:dyDescent="0.25">
      <c r="B1484"/>
    </row>
    <row r="1485" spans="2:2" x14ac:dyDescent="0.25">
      <c r="B1485"/>
    </row>
    <row r="1486" spans="2:2" x14ac:dyDescent="0.25">
      <c r="B1486"/>
    </row>
    <row r="1487" spans="2:2" x14ac:dyDescent="0.25">
      <c r="B1487"/>
    </row>
    <row r="1488" spans="2:2" x14ac:dyDescent="0.25">
      <c r="B1488"/>
    </row>
    <row r="1489" spans="2:2" x14ac:dyDescent="0.25">
      <c r="B1489"/>
    </row>
    <row r="1490" spans="2:2" x14ac:dyDescent="0.25">
      <c r="B1490"/>
    </row>
    <row r="1491" spans="2:2" x14ac:dyDescent="0.25">
      <c r="B1491"/>
    </row>
    <row r="1492" spans="2:2" x14ac:dyDescent="0.25">
      <c r="B1492"/>
    </row>
    <row r="1493" spans="2:2" x14ac:dyDescent="0.25">
      <c r="B1493"/>
    </row>
    <row r="1494" spans="2:2" x14ac:dyDescent="0.25">
      <c r="B1494"/>
    </row>
    <row r="1495" spans="2:2" x14ac:dyDescent="0.25">
      <c r="B1495"/>
    </row>
    <row r="1496" spans="2:2" x14ac:dyDescent="0.25">
      <c r="B1496"/>
    </row>
    <row r="1497" spans="2:2" x14ac:dyDescent="0.25">
      <c r="B1497"/>
    </row>
    <row r="1498" spans="2:2" x14ac:dyDescent="0.25">
      <c r="B1498"/>
    </row>
    <row r="1499" spans="2:2" x14ac:dyDescent="0.25">
      <c r="B1499"/>
    </row>
    <row r="1500" spans="2:2" x14ac:dyDescent="0.25">
      <c r="B1500"/>
    </row>
    <row r="1501" spans="2:2" x14ac:dyDescent="0.25">
      <c r="B1501"/>
    </row>
    <row r="1502" spans="2:2" x14ac:dyDescent="0.25">
      <c r="B1502"/>
    </row>
    <row r="1503" spans="2:2" x14ac:dyDescent="0.25">
      <c r="B1503"/>
    </row>
    <row r="1504" spans="2:2" x14ac:dyDescent="0.25">
      <c r="B1504"/>
    </row>
    <row r="1505" spans="2:2" x14ac:dyDescent="0.25">
      <c r="B1505"/>
    </row>
    <row r="1506" spans="2:2" x14ac:dyDescent="0.25">
      <c r="B1506"/>
    </row>
    <row r="1507" spans="2:2" x14ac:dyDescent="0.25">
      <c r="B1507"/>
    </row>
    <row r="1508" spans="2:2" x14ac:dyDescent="0.25">
      <c r="B1508"/>
    </row>
    <row r="1509" spans="2:2" x14ac:dyDescent="0.25">
      <c r="B1509"/>
    </row>
    <row r="1510" spans="2:2" x14ac:dyDescent="0.25">
      <c r="B1510"/>
    </row>
    <row r="1511" spans="2:2" x14ac:dyDescent="0.25">
      <c r="B1511"/>
    </row>
    <row r="1512" spans="2:2" x14ac:dyDescent="0.25">
      <c r="B1512"/>
    </row>
    <row r="1513" spans="2:2" x14ac:dyDescent="0.25">
      <c r="B1513"/>
    </row>
    <row r="1514" spans="2:2" x14ac:dyDescent="0.25">
      <c r="B1514"/>
    </row>
    <row r="1515" spans="2:2" x14ac:dyDescent="0.25">
      <c r="B1515"/>
    </row>
    <row r="1516" spans="2:2" x14ac:dyDescent="0.25">
      <c r="B1516"/>
    </row>
    <row r="1517" spans="2:2" x14ac:dyDescent="0.25">
      <c r="B1517"/>
    </row>
    <row r="1518" spans="2:2" x14ac:dyDescent="0.25">
      <c r="B1518"/>
    </row>
    <row r="1519" spans="2:2" x14ac:dyDescent="0.25">
      <c r="B1519"/>
    </row>
    <row r="1520" spans="2:2" x14ac:dyDescent="0.25">
      <c r="B1520"/>
    </row>
    <row r="1521" spans="2:2" x14ac:dyDescent="0.25">
      <c r="B1521"/>
    </row>
    <row r="1522" spans="2:2" x14ac:dyDescent="0.25">
      <c r="B1522"/>
    </row>
    <row r="1523" spans="2:2" x14ac:dyDescent="0.25">
      <c r="B1523"/>
    </row>
    <row r="1524" spans="2:2" x14ac:dyDescent="0.25">
      <c r="B1524"/>
    </row>
    <row r="1525" spans="2:2" x14ac:dyDescent="0.25">
      <c r="B1525"/>
    </row>
    <row r="1526" spans="2:2" x14ac:dyDescent="0.25">
      <c r="B1526"/>
    </row>
    <row r="1527" spans="2:2" x14ac:dyDescent="0.25">
      <c r="B1527"/>
    </row>
    <row r="1528" spans="2:2" x14ac:dyDescent="0.25">
      <c r="B1528"/>
    </row>
    <row r="1529" spans="2:2" x14ac:dyDescent="0.25">
      <c r="B1529"/>
    </row>
    <row r="1530" spans="2:2" x14ac:dyDescent="0.25">
      <c r="B1530"/>
    </row>
    <row r="1531" spans="2:2" x14ac:dyDescent="0.25">
      <c r="B1531"/>
    </row>
    <row r="1532" spans="2:2" x14ac:dyDescent="0.25">
      <c r="B1532"/>
    </row>
    <row r="1533" spans="2:2" x14ac:dyDescent="0.25">
      <c r="B1533"/>
    </row>
    <row r="1534" spans="2:2" x14ac:dyDescent="0.25">
      <c r="B1534"/>
    </row>
    <row r="1535" spans="2:2" x14ac:dyDescent="0.25">
      <c r="B1535"/>
    </row>
    <row r="1536" spans="2:2" x14ac:dyDescent="0.25">
      <c r="B1536"/>
    </row>
    <row r="1537" spans="2:2" x14ac:dyDescent="0.25">
      <c r="B1537"/>
    </row>
    <row r="1538" spans="2:2" x14ac:dyDescent="0.25">
      <c r="B1538"/>
    </row>
    <row r="1539" spans="2:2" x14ac:dyDescent="0.25">
      <c r="B1539"/>
    </row>
    <row r="1540" spans="2:2" x14ac:dyDescent="0.25">
      <c r="B1540"/>
    </row>
    <row r="1541" spans="2:2" x14ac:dyDescent="0.25">
      <c r="B1541"/>
    </row>
    <row r="1542" spans="2:2" x14ac:dyDescent="0.25">
      <c r="B1542"/>
    </row>
    <row r="1543" spans="2:2" x14ac:dyDescent="0.25">
      <c r="B1543"/>
    </row>
    <row r="1544" spans="2:2" x14ac:dyDescent="0.25">
      <c r="B1544"/>
    </row>
    <row r="1545" spans="2:2" x14ac:dyDescent="0.25">
      <c r="B1545"/>
    </row>
    <row r="1546" spans="2:2" x14ac:dyDescent="0.25">
      <c r="B1546"/>
    </row>
    <row r="1547" spans="2:2" x14ac:dyDescent="0.25">
      <c r="B1547"/>
    </row>
    <row r="1548" spans="2:2" x14ac:dyDescent="0.25">
      <c r="B1548"/>
    </row>
    <row r="1549" spans="2:2" x14ac:dyDescent="0.25">
      <c r="B1549"/>
    </row>
    <row r="1550" spans="2:2" x14ac:dyDescent="0.25">
      <c r="B1550"/>
    </row>
    <row r="1551" spans="2:2" x14ac:dyDescent="0.25">
      <c r="B1551"/>
    </row>
    <row r="1552" spans="2:2" x14ac:dyDescent="0.25">
      <c r="B1552"/>
    </row>
    <row r="1553" spans="2:2" x14ac:dyDescent="0.25">
      <c r="B1553"/>
    </row>
    <row r="1554" spans="2:2" x14ac:dyDescent="0.25">
      <c r="B1554"/>
    </row>
    <row r="1555" spans="2:2" x14ac:dyDescent="0.25">
      <c r="B1555"/>
    </row>
    <row r="1556" spans="2:2" x14ac:dyDescent="0.25">
      <c r="B1556"/>
    </row>
    <row r="1557" spans="2:2" x14ac:dyDescent="0.25">
      <c r="B1557"/>
    </row>
    <row r="1558" spans="2:2" x14ac:dyDescent="0.25">
      <c r="B1558"/>
    </row>
    <row r="1559" spans="2:2" x14ac:dyDescent="0.25">
      <c r="B1559"/>
    </row>
    <row r="1560" spans="2:2" x14ac:dyDescent="0.25">
      <c r="B1560"/>
    </row>
    <row r="1561" spans="2:2" x14ac:dyDescent="0.25">
      <c r="B1561"/>
    </row>
    <row r="1562" spans="2:2" x14ac:dyDescent="0.25">
      <c r="B1562"/>
    </row>
    <row r="1563" spans="2:2" x14ac:dyDescent="0.25">
      <c r="B1563"/>
    </row>
    <row r="1564" spans="2:2" x14ac:dyDescent="0.25">
      <c r="B1564"/>
    </row>
    <row r="1565" spans="2:2" x14ac:dyDescent="0.25">
      <c r="B1565"/>
    </row>
    <row r="1566" spans="2:2" x14ac:dyDescent="0.25">
      <c r="B1566"/>
    </row>
    <row r="1567" spans="2:2" x14ac:dyDescent="0.25">
      <c r="B1567"/>
    </row>
    <row r="1568" spans="2:2" x14ac:dyDescent="0.25">
      <c r="B1568"/>
    </row>
    <row r="1569" spans="2:2" x14ac:dyDescent="0.25">
      <c r="B1569"/>
    </row>
    <row r="1570" spans="2:2" x14ac:dyDescent="0.25">
      <c r="B1570"/>
    </row>
    <row r="1571" spans="2:2" x14ac:dyDescent="0.25">
      <c r="B1571"/>
    </row>
    <row r="1572" spans="2:2" x14ac:dyDescent="0.25">
      <c r="B1572"/>
    </row>
    <row r="1573" spans="2:2" x14ac:dyDescent="0.25">
      <c r="B1573"/>
    </row>
    <row r="1574" spans="2:2" x14ac:dyDescent="0.25">
      <c r="B1574"/>
    </row>
    <row r="1575" spans="2:2" x14ac:dyDescent="0.25">
      <c r="B1575"/>
    </row>
    <row r="1576" spans="2:2" x14ac:dyDescent="0.25">
      <c r="B1576"/>
    </row>
    <row r="1577" spans="2:2" x14ac:dyDescent="0.25">
      <c r="B1577"/>
    </row>
    <row r="1578" spans="2:2" x14ac:dyDescent="0.25">
      <c r="B1578"/>
    </row>
    <row r="1579" spans="2:2" x14ac:dyDescent="0.25">
      <c r="B1579"/>
    </row>
    <row r="1580" spans="2:2" x14ac:dyDescent="0.25">
      <c r="B1580"/>
    </row>
    <row r="1581" spans="2:2" x14ac:dyDescent="0.25">
      <c r="B1581"/>
    </row>
    <row r="1582" spans="2:2" x14ac:dyDescent="0.25">
      <c r="B1582"/>
    </row>
    <row r="1583" spans="2:2" x14ac:dyDescent="0.25">
      <c r="B1583"/>
    </row>
    <row r="1584" spans="2:2" x14ac:dyDescent="0.25">
      <c r="B1584"/>
    </row>
    <row r="1585" spans="2:2" x14ac:dyDescent="0.25">
      <c r="B1585"/>
    </row>
    <row r="1586" spans="2:2" x14ac:dyDescent="0.25">
      <c r="B1586"/>
    </row>
    <row r="1587" spans="2:2" x14ac:dyDescent="0.25">
      <c r="B1587"/>
    </row>
    <row r="1588" spans="2:2" x14ac:dyDescent="0.25">
      <c r="B1588"/>
    </row>
    <row r="1589" spans="2:2" x14ac:dyDescent="0.25">
      <c r="B1589"/>
    </row>
    <row r="1590" spans="2:2" x14ac:dyDescent="0.25">
      <c r="B1590"/>
    </row>
    <row r="1591" spans="2:2" x14ac:dyDescent="0.25">
      <c r="B1591"/>
    </row>
    <row r="1592" spans="2:2" x14ac:dyDescent="0.25">
      <c r="B1592"/>
    </row>
    <row r="1593" spans="2:2" x14ac:dyDescent="0.25">
      <c r="B1593"/>
    </row>
    <row r="1594" spans="2:2" x14ac:dyDescent="0.25">
      <c r="B1594"/>
    </row>
    <row r="1595" spans="2:2" x14ac:dyDescent="0.25">
      <c r="B1595"/>
    </row>
    <row r="1596" spans="2:2" x14ac:dyDescent="0.25">
      <c r="B1596"/>
    </row>
    <row r="1597" spans="2:2" x14ac:dyDescent="0.25">
      <c r="B1597"/>
    </row>
    <row r="1598" spans="2:2" x14ac:dyDescent="0.25">
      <c r="B1598"/>
    </row>
    <row r="1599" spans="2:2" x14ac:dyDescent="0.25">
      <c r="B1599"/>
    </row>
    <row r="1600" spans="2:2" x14ac:dyDescent="0.25">
      <c r="B1600"/>
    </row>
    <row r="1601" spans="2:2" x14ac:dyDescent="0.25">
      <c r="B1601"/>
    </row>
    <row r="1602" spans="2:2" x14ac:dyDescent="0.25">
      <c r="B1602"/>
    </row>
    <row r="1603" spans="2:2" x14ac:dyDescent="0.25">
      <c r="B1603"/>
    </row>
    <row r="1604" spans="2:2" x14ac:dyDescent="0.25">
      <c r="B1604"/>
    </row>
    <row r="1605" spans="2:2" x14ac:dyDescent="0.25">
      <c r="B1605"/>
    </row>
    <row r="1606" spans="2:2" x14ac:dyDescent="0.25">
      <c r="B1606"/>
    </row>
    <row r="1607" spans="2:2" x14ac:dyDescent="0.25">
      <c r="B1607"/>
    </row>
    <row r="1608" spans="2:2" x14ac:dyDescent="0.25">
      <c r="B1608"/>
    </row>
    <row r="1609" spans="2:2" x14ac:dyDescent="0.25">
      <c r="B1609"/>
    </row>
    <row r="1610" spans="2:2" x14ac:dyDescent="0.25">
      <c r="B1610"/>
    </row>
    <row r="1611" spans="2:2" x14ac:dyDescent="0.25">
      <c r="B1611"/>
    </row>
    <row r="1612" spans="2:2" x14ac:dyDescent="0.25">
      <c r="B1612"/>
    </row>
    <row r="1613" spans="2:2" x14ac:dyDescent="0.25">
      <c r="B1613"/>
    </row>
    <row r="1614" spans="2:2" x14ac:dyDescent="0.25">
      <c r="B1614"/>
    </row>
    <row r="1615" spans="2:2" x14ac:dyDescent="0.25">
      <c r="B1615"/>
    </row>
    <row r="1616" spans="2:2" x14ac:dyDescent="0.25">
      <c r="B1616"/>
    </row>
    <row r="1617" spans="2:2" x14ac:dyDescent="0.25">
      <c r="B1617"/>
    </row>
    <row r="1618" spans="2:2" x14ac:dyDescent="0.25">
      <c r="B1618"/>
    </row>
    <row r="1619" spans="2:2" x14ac:dyDescent="0.25">
      <c r="B1619"/>
    </row>
    <row r="1620" spans="2:2" x14ac:dyDescent="0.25">
      <c r="B1620"/>
    </row>
    <row r="1621" spans="2:2" x14ac:dyDescent="0.25">
      <c r="B1621"/>
    </row>
    <row r="1622" spans="2:2" x14ac:dyDescent="0.25">
      <c r="B1622"/>
    </row>
    <row r="1623" spans="2:2" x14ac:dyDescent="0.25">
      <c r="B1623"/>
    </row>
    <row r="1624" spans="2:2" x14ac:dyDescent="0.25">
      <c r="B1624"/>
    </row>
    <row r="1625" spans="2:2" x14ac:dyDescent="0.25">
      <c r="B1625"/>
    </row>
    <row r="1626" spans="2:2" x14ac:dyDescent="0.25">
      <c r="B1626"/>
    </row>
    <row r="1627" spans="2:2" x14ac:dyDescent="0.25">
      <c r="B1627"/>
    </row>
    <row r="1628" spans="2:2" x14ac:dyDescent="0.25">
      <c r="B1628"/>
    </row>
    <row r="1629" spans="2:2" x14ac:dyDescent="0.25">
      <c r="B1629"/>
    </row>
    <row r="1630" spans="2:2" x14ac:dyDescent="0.25">
      <c r="B1630"/>
    </row>
    <row r="1631" spans="2:2" x14ac:dyDescent="0.25">
      <c r="B1631"/>
    </row>
    <row r="1632" spans="2:2" x14ac:dyDescent="0.25">
      <c r="B1632"/>
    </row>
    <row r="1633" spans="2:2" x14ac:dyDescent="0.25">
      <c r="B1633"/>
    </row>
    <row r="1634" spans="2:2" x14ac:dyDescent="0.25">
      <c r="B1634"/>
    </row>
    <row r="1635" spans="2:2" x14ac:dyDescent="0.25">
      <c r="B1635"/>
    </row>
    <row r="1636" spans="2:2" x14ac:dyDescent="0.25">
      <c r="B1636"/>
    </row>
    <row r="1637" spans="2:2" x14ac:dyDescent="0.25">
      <c r="B1637"/>
    </row>
    <row r="1638" spans="2:2" x14ac:dyDescent="0.25">
      <c r="B1638"/>
    </row>
    <row r="1639" spans="2:2" x14ac:dyDescent="0.25">
      <c r="B1639"/>
    </row>
    <row r="1640" spans="2:2" x14ac:dyDescent="0.25">
      <c r="B1640"/>
    </row>
    <row r="1641" spans="2:2" x14ac:dyDescent="0.25">
      <c r="B1641"/>
    </row>
    <row r="1642" spans="2:2" x14ac:dyDescent="0.25">
      <c r="B1642"/>
    </row>
    <row r="1643" spans="2:2" x14ac:dyDescent="0.25">
      <c r="B1643"/>
    </row>
    <row r="1644" spans="2:2" x14ac:dyDescent="0.25">
      <c r="B1644"/>
    </row>
    <row r="1645" spans="2:2" x14ac:dyDescent="0.25">
      <c r="B1645"/>
    </row>
    <row r="1646" spans="2:2" x14ac:dyDescent="0.25">
      <c r="B1646"/>
    </row>
    <row r="1647" spans="2:2" x14ac:dyDescent="0.25">
      <c r="B1647"/>
    </row>
    <row r="1648" spans="2:2" x14ac:dyDescent="0.25">
      <c r="B1648"/>
    </row>
    <row r="1649" spans="2:2" x14ac:dyDescent="0.25">
      <c r="B1649"/>
    </row>
    <row r="1650" spans="2:2" x14ac:dyDescent="0.25">
      <c r="B1650"/>
    </row>
    <row r="1651" spans="2:2" x14ac:dyDescent="0.25">
      <c r="B1651"/>
    </row>
    <row r="1652" spans="2:2" x14ac:dyDescent="0.25">
      <c r="B1652"/>
    </row>
    <row r="1653" spans="2:2" x14ac:dyDescent="0.25">
      <c r="B1653"/>
    </row>
    <row r="1654" spans="2:2" x14ac:dyDescent="0.25">
      <c r="B1654"/>
    </row>
    <row r="1655" spans="2:2" x14ac:dyDescent="0.25">
      <c r="B1655"/>
    </row>
    <row r="1656" spans="2:2" x14ac:dyDescent="0.25">
      <c r="B1656"/>
    </row>
    <row r="1657" spans="2:2" x14ac:dyDescent="0.25">
      <c r="B1657"/>
    </row>
    <row r="1658" spans="2:2" x14ac:dyDescent="0.25">
      <c r="B1658"/>
    </row>
    <row r="1659" spans="2:2" x14ac:dyDescent="0.25">
      <c r="B1659"/>
    </row>
    <row r="1660" spans="2:2" x14ac:dyDescent="0.25">
      <c r="B1660"/>
    </row>
    <row r="1661" spans="2:2" x14ac:dyDescent="0.25">
      <c r="B1661"/>
    </row>
    <row r="1662" spans="2:2" x14ac:dyDescent="0.25">
      <c r="B1662"/>
    </row>
    <row r="1663" spans="2:2" x14ac:dyDescent="0.25">
      <c r="B1663"/>
    </row>
    <row r="1664" spans="2:2" x14ac:dyDescent="0.25">
      <c r="B1664"/>
    </row>
    <row r="1665" spans="2:2" x14ac:dyDescent="0.25">
      <c r="B1665"/>
    </row>
    <row r="1666" spans="2:2" x14ac:dyDescent="0.25">
      <c r="B1666"/>
    </row>
    <row r="1667" spans="2:2" x14ac:dyDescent="0.25">
      <c r="B1667"/>
    </row>
    <row r="1668" spans="2:2" x14ac:dyDescent="0.25">
      <c r="B1668"/>
    </row>
    <row r="1669" spans="2:2" x14ac:dyDescent="0.25">
      <c r="B1669"/>
    </row>
    <row r="1670" spans="2:2" x14ac:dyDescent="0.25">
      <c r="B1670"/>
    </row>
    <row r="1671" spans="2:2" x14ac:dyDescent="0.25">
      <c r="B1671"/>
    </row>
    <row r="1672" spans="2:2" x14ac:dyDescent="0.25">
      <c r="B1672"/>
    </row>
    <row r="1673" spans="2:2" x14ac:dyDescent="0.25">
      <c r="B1673"/>
    </row>
    <row r="1674" spans="2:2" x14ac:dyDescent="0.25">
      <c r="B1674"/>
    </row>
    <row r="1675" spans="2:2" x14ac:dyDescent="0.25">
      <c r="B1675"/>
    </row>
    <row r="1676" spans="2:2" x14ac:dyDescent="0.25">
      <c r="B1676"/>
    </row>
    <row r="1677" spans="2:2" x14ac:dyDescent="0.25">
      <c r="B1677"/>
    </row>
    <row r="1678" spans="2:2" x14ac:dyDescent="0.25">
      <c r="B1678"/>
    </row>
    <row r="1679" spans="2:2" x14ac:dyDescent="0.25">
      <c r="B1679"/>
    </row>
    <row r="1680" spans="2:2" x14ac:dyDescent="0.25">
      <c r="B1680"/>
    </row>
    <row r="1681" spans="2:2" x14ac:dyDescent="0.25">
      <c r="B1681"/>
    </row>
    <row r="1682" spans="2:2" x14ac:dyDescent="0.25">
      <c r="B1682"/>
    </row>
    <row r="1683" spans="2:2" x14ac:dyDescent="0.25">
      <c r="B1683"/>
    </row>
    <row r="1684" spans="2:2" x14ac:dyDescent="0.25">
      <c r="B1684"/>
    </row>
    <row r="1685" spans="2:2" x14ac:dyDescent="0.25">
      <c r="B1685"/>
    </row>
    <row r="1686" spans="2:2" x14ac:dyDescent="0.25">
      <c r="B1686"/>
    </row>
    <row r="1687" spans="2:2" x14ac:dyDescent="0.25">
      <c r="B1687"/>
    </row>
    <row r="1688" spans="2:2" x14ac:dyDescent="0.25">
      <c r="B1688"/>
    </row>
    <row r="1689" spans="2:2" x14ac:dyDescent="0.25">
      <c r="B1689"/>
    </row>
    <row r="1690" spans="2:2" x14ac:dyDescent="0.25">
      <c r="B1690"/>
    </row>
    <row r="1691" spans="2:2" x14ac:dyDescent="0.25">
      <c r="B1691"/>
    </row>
    <row r="1692" spans="2:2" x14ac:dyDescent="0.25">
      <c r="B1692"/>
    </row>
    <row r="1693" spans="2:2" x14ac:dyDescent="0.25">
      <c r="B1693"/>
    </row>
    <row r="1694" spans="2:2" x14ac:dyDescent="0.25">
      <c r="B1694"/>
    </row>
    <row r="1695" spans="2:2" x14ac:dyDescent="0.25">
      <c r="B1695"/>
    </row>
    <row r="1696" spans="2:2" x14ac:dyDescent="0.25">
      <c r="B1696"/>
    </row>
    <row r="1697" spans="2:2" x14ac:dyDescent="0.25">
      <c r="B1697"/>
    </row>
    <row r="1698" spans="2:2" x14ac:dyDescent="0.25">
      <c r="B1698"/>
    </row>
    <row r="1699" spans="2:2" x14ac:dyDescent="0.25">
      <c r="B1699"/>
    </row>
    <row r="1700" spans="2:2" x14ac:dyDescent="0.25">
      <c r="B1700"/>
    </row>
    <row r="1701" spans="2:2" x14ac:dyDescent="0.25">
      <c r="B1701"/>
    </row>
    <row r="1702" spans="2:2" x14ac:dyDescent="0.25">
      <c r="B1702"/>
    </row>
    <row r="1703" spans="2:2" x14ac:dyDescent="0.25">
      <c r="B1703"/>
    </row>
    <row r="1704" spans="2:2" x14ac:dyDescent="0.25">
      <c r="B1704"/>
    </row>
    <row r="1705" spans="2:2" x14ac:dyDescent="0.25">
      <c r="B1705"/>
    </row>
    <row r="1706" spans="2:2" x14ac:dyDescent="0.25">
      <c r="B1706"/>
    </row>
    <row r="1707" spans="2:2" x14ac:dyDescent="0.25">
      <c r="B1707"/>
    </row>
    <row r="1708" spans="2:2" x14ac:dyDescent="0.25">
      <c r="B1708"/>
    </row>
    <row r="1709" spans="2:2" x14ac:dyDescent="0.25">
      <c r="B1709"/>
    </row>
    <row r="1710" spans="2:2" x14ac:dyDescent="0.25">
      <c r="B1710"/>
    </row>
    <row r="1711" spans="2:2" x14ac:dyDescent="0.25">
      <c r="B1711"/>
    </row>
    <row r="1712" spans="2:2" x14ac:dyDescent="0.25">
      <c r="B1712"/>
    </row>
    <row r="1713" spans="2:2" x14ac:dyDescent="0.25">
      <c r="B1713"/>
    </row>
    <row r="1714" spans="2:2" x14ac:dyDescent="0.25">
      <c r="B1714"/>
    </row>
    <row r="1715" spans="2:2" x14ac:dyDescent="0.25">
      <c r="B1715"/>
    </row>
    <row r="1716" spans="2:2" x14ac:dyDescent="0.25">
      <c r="B1716"/>
    </row>
    <row r="1717" spans="2:2" x14ac:dyDescent="0.25">
      <c r="B1717"/>
    </row>
    <row r="1718" spans="2:2" x14ac:dyDescent="0.25">
      <c r="B1718"/>
    </row>
    <row r="1719" spans="2:2" x14ac:dyDescent="0.25">
      <c r="B1719"/>
    </row>
    <row r="1720" spans="2:2" x14ac:dyDescent="0.25">
      <c r="B1720"/>
    </row>
    <row r="1721" spans="2:2" x14ac:dyDescent="0.25">
      <c r="B1721"/>
    </row>
    <row r="1722" spans="2:2" x14ac:dyDescent="0.25">
      <c r="B1722"/>
    </row>
    <row r="1723" spans="2:2" x14ac:dyDescent="0.25">
      <c r="B1723"/>
    </row>
    <row r="1724" spans="2:2" x14ac:dyDescent="0.25">
      <c r="B1724"/>
    </row>
    <row r="1725" spans="2:2" x14ac:dyDescent="0.25">
      <c r="B1725"/>
    </row>
    <row r="1726" spans="2:2" x14ac:dyDescent="0.25">
      <c r="B1726"/>
    </row>
    <row r="1727" spans="2:2" x14ac:dyDescent="0.25">
      <c r="B1727"/>
    </row>
    <row r="1728" spans="2:2" x14ac:dyDescent="0.25">
      <c r="B1728"/>
    </row>
    <row r="1729" spans="2:2" x14ac:dyDescent="0.25">
      <c r="B1729"/>
    </row>
    <row r="1730" spans="2:2" x14ac:dyDescent="0.25">
      <c r="B1730"/>
    </row>
    <row r="1731" spans="2:2" x14ac:dyDescent="0.25">
      <c r="B1731"/>
    </row>
    <row r="1732" spans="2:2" x14ac:dyDescent="0.25">
      <c r="B1732"/>
    </row>
    <row r="1733" spans="2:2" x14ac:dyDescent="0.25">
      <c r="B1733"/>
    </row>
    <row r="1734" spans="2:2" x14ac:dyDescent="0.25">
      <c r="B1734"/>
    </row>
    <row r="1735" spans="2:2" x14ac:dyDescent="0.25">
      <c r="B1735"/>
    </row>
    <row r="1736" spans="2:2" x14ac:dyDescent="0.25">
      <c r="B1736"/>
    </row>
    <row r="1737" spans="2:2" x14ac:dyDescent="0.25">
      <c r="B1737"/>
    </row>
    <row r="1738" spans="2:2" x14ac:dyDescent="0.25">
      <c r="B1738"/>
    </row>
    <row r="1739" spans="2:2" x14ac:dyDescent="0.25">
      <c r="B1739"/>
    </row>
    <row r="1740" spans="2:2" x14ac:dyDescent="0.25">
      <c r="B1740"/>
    </row>
    <row r="1741" spans="2:2" x14ac:dyDescent="0.25">
      <c r="B1741"/>
    </row>
    <row r="1742" spans="2:2" x14ac:dyDescent="0.25">
      <c r="B1742"/>
    </row>
    <row r="1743" spans="2:2" x14ac:dyDescent="0.25">
      <c r="B1743"/>
    </row>
    <row r="1744" spans="2:2" x14ac:dyDescent="0.25">
      <c r="B1744"/>
    </row>
    <row r="1745" spans="2:2" x14ac:dyDescent="0.25">
      <c r="B1745"/>
    </row>
    <row r="1746" spans="2:2" x14ac:dyDescent="0.25">
      <c r="B1746"/>
    </row>
    <row r="1747" spans="2:2" x14ac:dyDescent="0.25">
      <c r="B1747"/>
    </row>
    <row r="1748" spans="2:2" x14ac:dyDescent="0.25">
      <c r="B1748"/>
    </row>
    <row r="1749" spans="2:2" x14ac:dyDescent="0.25">
      <c r="B1749"/>
    </row>
    <row r="1750" spans="2:2" x14ac:dyDescent="0.25">
      <c r="B1750"/>
    </row>
    <row r="1751" spans="2:2" x14ac:dyDescent="0.25">
      <c r="B1751"/>
    </row>
    <row r="1752" spans="2:2" x14ac:dyDescent="0.25">
      <c r="B1752"/>
    </row>
    <row r="1753" spans="2:2" x14ac:dyDescent="0.25">
      <c r="B1753"/>
    </row>
    <row r="1754" spans="2:2" x14ac:dyDescent="0.25">
      <c r="B1754"/>
    </row>
    <row r="1755" spans="2:2" x14ac:dyDescent="0.25">
      <c r="B1755"/>
    </row>
    <row r="1756" spans="2:2" x14ac:dyDescent="0.25">
      <c r="B1756"/>
    </row>
    <row r="1757" spans="2:2" x14ac:dyDescent="0.25">
      <c r="B1757"/>
    </row>
    <row r="1758" spans="2:2" x14ac:dyDescent="0.25">
      <c r="B1758"/>
    </row>
    <row r="1759" spans="2:2" x14ac:dyDescent="0.25">
      <c r="B1759"/>
    </row>
    <row r="1760" spans="2:2" x14ac:dyDescent="0.25">
      <c r="B1760"/>
    </row>
    <row r="1761" spans="2:2" x14ac:dyDescent="0.25">
      <c r="B1761"/>
    </row>
    <row r="1762" spans="2:2" x14ac:dyDescent="0.25">
      <c r="B1762"/>
    </row>
    <row r="1763" spans="2:2" x14ac:dyDescent="0.25">
      <c r="B1763"/>
    </row>
    <row r="1764" spans="2:2" x14ac:dyDescent="0.25">
      <c r="B1764"/>
    </row>
    <row r="1765" spans="2:2" x14ac:dyDescent="0.25">
      <c r="B1765"/>
    </row>
    <row r="1766" spans="2:2" x14ac:dyDescent="0.25">
      <c r="B1766"/>
    </row>
    <row r="1767" spans="2:2" x14ac:dyDescent="0.25">
      <c r="B1767"/>
    </row>
    <row r="1768" spans="2:2" x14ac:dyDescent="0.25">
      <c r="B1768"/>
    </row>
    <row r="1769" spans="2:2" x14ac:dyDescent="0.25">
      <c r="B1769"/>
    </row>
    <row r="1770" spans="2:2" x14ac:dyDescent="0.25">
      <c r="B1770"/>
    </row>
    <row r="1771" spans="2:2" x14ac:dyDescent="0.25">
      <c r="B1771"/>
    </row>
    <row r="1772" spans="2:2" x14ac:dyDescent="0.25">
      <c r="B1772"/>
    </row>
    <row r="1773" spans="2:2" x14ac:dyDescent="0.25">
      <c r="B1773"/>
    </row>
    <row r="1774" spans="2:2" x14ac:dyDescent="0.25">
      <c r="B1774"/>
    </row>
    <row r="1775" spans="2:2" x14ac:dyDescent="0.25">
      <c r="B1775"/>
    </row>
    <row r="1776" spans="2:2" x14ac:dyDescent="0.25">
      <c r="B1776"/>
    </row>
    <row r="1777" spans="2:2" x14ac:dyDescent="0.25">
      <c r="B1777"/>
    </row>
    <row r="1778" spans="2:2" x14ac:dyDescent="0.25">
      <c r="B1778"/>
    </row>
    <row r="1779" spans="2:2" x14ac:dyDescent="0.25">
      <c r="B1779"/>
    </row>
    <row r="1780" spans="2:2" x14ac:dyDescent="0.25">
      <c r="B1780"/>
    </row>
    <row r="1781" spans="2:2" x14ac:dyDescent="0.25">
      <c r="B1781"/>
    </row>
    <row r="1782" spans="2:2" x14ac:dyDescent="0.25">
      <c r="B1782"/>
    </row>
    <row r="1783" spans="2:2" x14ac:dyDescent="0.25">
      <c r="B1783"/>
    </row>
    <row r="1784" spans="2:2" x14ac:dyDescent="0.25">
      <c r="B1784"/>
    </row>
    <row r="1785" spans="2:2" x14ac:dyDescent="0.25">
      <c r="B1785"/>
    </row>
    <row r="1786" spans="2:2" x14ac:dyDescent="0.25">
      <c r="B1786"/>
    </row>
    <row r="1787" spans="2:2" x14ac:dyDescent="0.25">
      <c r="B1787"/>
    </row>
    <row r="1788" spans="2:2" x14ac:dyDescent="0.25">
      <c r="B1788"/>
    </row>
    <row r="1789" spans="2:2" x14ac:dyDescent="0.25">
      <c r="B1789"/>
    </row>
    <row r="1790" spans="2:2" x14ac:dyDescent="0.25">
      <c r="B1790"/>
    </row>
    <row r="1791" spans="2:2" x14ac:dyDescent="0.25">
      <c r="B1791"/>
    </row>
    <row r="1792" spans="2:2" x14ac:dyDescent="0.25">
      <c r="B1792"/>
    </row>
    <row r="1793" spans="2:2" x14ac:dyDescent="0.25">
      <c r="B1793"/>
    </row>
    <row r="1794" spans="2:2" x14ac:dyDescent="0.25">
      <c r="B1794"/>
    </row>
    <row r="1795" spans="2:2" x14ac:dyDescent="0.25">
      <c r="B1795"/>
    </row>
    <row r="1796" spans="2:2" x14ac:dyDescent="0.25">
      <c r="B1796"/>
    </row>
    <row r="1797" spans="2:2" x14ac:dyDescent="0.25">
      <c r="B1797"/>
    </row>
    <row r="1798" spans="2:2" x14ac:dyDescent="0.25">
      <c r="B1798"/>
    </row>
    <row r="1799" spans="2:2" x14ac:dyDescent="0.25">
      <c r="B1799"/>
    </row>
    <row r="1800" spans="2:2" x14ac:dyDescent="0.25">
      <c r="B1800"/>
    </row>
    <row r="1801" spans="2:2" x14ac:dyDescent="0.25">
      <c r="B1801"/>
    </row>
    <row r="1802" spans="2:2" x14ac:dyDescent="0.25">
      <c r="B1802"/>
    </row>
    <row r="1803" spans="2:2" x14ac:dyDescent="0.25">
      <c r="B1803"/>
    </row>
    <row r="1804" spans="2:2" x14ac:dyDescent="0.25">
      <c r="B1804"/>
    </row>
    <row r="1805" spans="2:2" x14ac:dyDescent="0.25">
      <c r="B1805"/>
    </row>
    <row r="1806" spans="2:2" x14ac:dyDescent="0.25">
      <c r="B1806"/>
    </row>
    <row r="1807" spans="2:2" x14ac:dyDescent="0.25">
      <c r="B1807"/>
    </row>
    <row r="1808" spans="2:2" x14ac:dyDescent="0.25">
      <c r="B1808"/>
    </row>
    <row r="1809" spans="2:2" x14ac:dyDescent="0.25">
      <c r="B1809"/>
    </row>
    <row r="1810" spans="2:2" x14ac:dyDescent="0.25">
      <c r="B1810"/>
    </row>
    <row r="1811" spans="2:2" x14ac:dyDescent="0.25">
      <c r="B1811"/>
    </row>
    <row r="1812" spans="2:2" x14ac:dyDescent="0.25">
      <c r="B1812"/>
    </row>
    <row r="1813" spans="2:2" x14ac:dyDescent="0.25">
      <c r="B1813"/>
    </row>
    <row r="1814" spans="2:2" x14ac:dyDescent="0.25">
      <c r="B1814"/>
    </row>
    <row r="1815" spans="2:2" x14ac:dyDescent="0.25">
      <c r="B1815"/>
    </row>
    <row r="1816" spans="2:2" x14ac:dyDescent="0.25">
      <c r="B1816"/>
    </row>
    <row r="1817" spans="2:2" x14ac:dyDescent="0.25">
      <c r="B1817"/>
    </row>
    <row r="1818" spans="2:2" x14ac:dyDescent="0.25">
      <c r="B1818"/>
    </row>
    <row r="1819" spans="2:2" x14ac:dyDescent="0.25">
      <c r="B1819"/>
    </row>
    <row r="1820" spans="2:2" x14ac:dyDescent="0.25">
      <c r="B1820"/>
    </row>
    <row r="1821" spans="2:2" x14ac:dyDescent="0.25">
      <c r="B1821"/>
    </row>
    <row r="1822" spans="2:2" x14ac:dyDescent="0.25">
      <c r="B1822"/>
    </row>
    <row r="1823" spans="2:2" x14ac:dyDescent="0.25">
      <c r="B1823"/>
    </row>
    <row r="1824" spans="2:2" x14ac:dyDescent="0.25">
      <c r="B1824"/>
    </row>
    <row r="1825" spans="2:2" x14ac:dyDescent="0.25">
      <c r="B1825"/>
    </row>
    <row r="1826" spans="2:2" x14ac:dyDescent="0.25">
      <c r="B1826"/>
    </row>
    <row r="1827" spans="2:2" x14ac:dyDescent="0.25">
      <c r="B1827"/>
    </row>
    <row r="1828" spans="2:2" x14ac:dyDescent="0.25">
      <c r="B1828"/>
    </row>
    <row r="1829" spans="2:2" x14ac:dyDescent="0.25">
      <c r="B1829"/>
    </row>
    <row r="1830" spans="2:2" x14ac:dyDescent="0.25">
      <c r="B1830"/>
    </row>
    <row r="1831" spans="2:2" x14ac:dyDescent="0.25">
      <c r="B1831"/>
    </row>
    <row r="1832" spans="2:2" x14ac:dyDescent="0.25">
      <c r="B1832"/>
    </row>
    <row r="1833" spans="2:2" x14ac:dyDescent="0.25">
      <c r="B1833"/>
    </row>
    <row r="1834" spans="2:2" x14ac:dyDescent="0.25">
      <c r="B1834"/>
    </row>
    <row r="1835" spans="2:2" x14ac:dyDescent="0.25">
      <c r="B1835"/>
    </row>
    <row r="1836" spans="2:2" x14ac:dyDescent="0.25">
      <c r="B1836"/>
    </row>
    <row r="1837" spans="2:2" x14ac:dyDescent="0.25">
      <c r="B1837"/>
    </row>
    <row r="1838" spans="2:2" x14ac:dyDescent="0.25">
      <c r="B1838"/>
    </row>
    <row r="1839" spans="2:2" x14ac:dyDescent="0.25">
      <c r="B1839"/>
    </row>
    <row r="1840" spans="2:2" x14ac:dyDescent="0.25">
      <c r="B1840"/>
    </row>
    <row r="1841" spans="2:2" x14ac:dyDescent="0.25">
      <c r="B1841"/>
    </row>
    <row r="1842" spans="2:2" x14ac:dyDescent="0.25">
      <c r="B1842"/>
    </row>
    <row r="1843" spans="2:2" x14ac:dyDescent="0.25">
      <c r="B1843"/>
    </row>
    <row r="1844" spans="2:2" x14ac:dyDescent="0.25">
      <c r="B1844"/>
    </row>
    <row r="1845" spans="2:2" x14ac:dyDescent="0.25">
      <c r="B1845"/>
    </row>
    <row r="1846" spans="2:2" x14ac:dyDescent="0.25">
      <c r="B1846"/>
    </row>
    <row r="1847" spans="2:2" x14ac:dyDescent="0.25">
      <c r="B1847"/>
    </row>
    <row r="1848" spans="2:2" x14ac:dyDescent="0.25">
      <c r="B1848"/>
    </row>
    <row r="1849" spans="2:2" x14ac:dyDescent="0.25">
      <c r="B1849"/>
    </row>
    <row r="1850" spans="2:2" x14ac:dyDescent="0.25">
      <c r="B1850"/>
    </row>
    <row r="1851" spans="2:2" x14ac:dyDescent="0.25">
      <c r="B1851"/>
    </row>
    <row r="1852" spans="2:2" x14ac:dyDescent="0.25">
      <c r="B1852"/>
    </row>
    <row r="1853" spans="2:2" x14ac:dyDescent="0.25">
      <c r="B1853"/>
    </row>
    <row r="1854" spans="2:2" x14ac:dyDescent="0.25">
      <c r="B1854"/>
    </row>
    <row r="1855" spans="2:2" x14ac:dyDescent="0.25">
      <c r="B1855"/>
    </row>
    <row r="1856" spans="2:2" x14ac:dyDescent="0.25">
      <c r="B1856"/>
    </row>
    <row r="1857" spans="2:2" x14ac:dyDescent="0.25">
      <c r="B1857"/>
    </row>
    <row r="1858" spans="2:2" x14ac:dyDescent="0.25">
      <c r="B1858"/>
    </row>
    <row r="1859" spans="2:2" x14ac:dyDescent="0.25">
      <c r="B1859"/>
    </row>
    <row r="1860" spans="2:2" x14ac:dyDescent="0.25">
      <c r="B1860"/>
    </row>
    <row r="1861" spans="2:2" x14ac:dyDescent="0.25">
      <c r="B1861"/>
    </row>
    <row r="1862" spans="2:2" x14ac:dyDescent="0.25">
      <c r="B1862"/>
    </row>
    <row r="1863" spans="2:2" x14ac:dyDescent="0.25">
      <c r="B1863"/>
    </row>
    <row r="1864" spans="2:2" x14ac:dyDescent="0.25">
      <c r="B1864"/>
    </row>
    <row r="1865" spans="2:2" x14ac:dyDescent="0.25">
      <c r="B1865"/>
    </row>
    <row r="1866" spans="2:2" x14ac:dyDescent="0.25">
      <c r="B1866"/>
    </row>
    <row r="1867" spans="2:2" x14ac:dyDescent="0.25">
      <c r="B1867"/>
    </row>
    <row r="1868" spans="2:2" x14ac:dyDescent="0.25">
      <c r="B1868"/>
    </row>
    <row r="1869" spans="2:2" x14ac:dyDescent="0.25">
      <c r="B1869"/>
    </row>
    <row r="1870" spans="2:2" x14ac:dyDescent="0.25">
      <c r="B1870"/>
    </row>
    <row r="1871" spans="2:2" x14ac:dyDescent="0.25">
      <c r="B1871"/>
    </row>
    <row r="1872" spans="2:2" x14ac:dyDescent="0.25">
      <c r="B1872"/>
    </row>
    <row r="1873" spans="2:2" x14ac:dyDescent="0.25">
      <c r="B1873"/>
    </row>
    <row r="1874" spans="2:2" x14ac:dyDescent="0.25">
      <c r="B1874"/>
    </row>
    <row r="1875" spans="2:2" x14ac:dyDescent="0.25">
      <c r="B1875"/>
    </row>
    <row r="1876" spans="2:2" x14ac:dyDescent="0.25">
      <c r="B1876"/>
    </row>
    <row r="1877" spans="2:2" x14ac:dyDescent="0.25">
      <c r="B1877"/>
    </row>
    <row r="1878" spans="2:2" x14ac:dyDescent="0.25">
      <c r="B1878"/>
    </row>
    <row r="1879" spans="2:2" x14ac:dyDescent="0.25">
      <c r="B1879"/>
    </row>
    <row r="1880" spans="2:2" x14ac:dyDescent="0.25">
      <c r="B1880"/>
    </row>
    <row r="1881" spans="2:2" x14ac:dyDescent="0.25">
      <c r="B1881"/>
    </row>
    <row r="1882" spans="2:2" x14ac:dyDescent="0.25">
      <c r="B1882"/>
    </row>
    <row r="1883" spans="2:2" x14ac:dyDescent="0.25">
      <c r="B1883"/>
    </row>
    <row r="1884" spans="2:2" x14ac:dyDescent="0.25">
      <c r="B1884"/>
    </row>
    <row r="1885" spans="2:2" x14ac:dyDescent="0.25">
      <c r="B1885"/>
    </row>
    <row r="1886" spans="2:2" x14ac:dyDescent="0.25">
      <c r="B1886"/>
    </row>
    <row r="1887" spans="2:2" x14ac:dyDescent="0.25">
      <c r="B1887"/>
    </row>
    <row r="1888" spans="2:2" x14ac:dyDescent="0.25">
      <c r="B1888"/>
    </row>
    <row r="1889" spans="2:2" x14ac:dyDescent="0.25">
      <c r="B1889"/>
    </row>
    <row r="1890" spans="2:2" x14ac:dyDescent="0.25">
      <c r="B1890"/>
    </row>
    <row r="1891" spans="2:2" x14ac:dyDescent="0.25">
      <c r="B1891"/>
    </row>
    <row r="1892" spans="2:2" x14ac:dyDescent="0.25">
      <c r="B1892"/>
    </row>
    <row r="1893" spans="2:2" x14ac:dyDescent="0.25">
      <c r="B1893"/>
    </row>
    <row r="1894" spans="2:2" x14ac:dyDescent="0.25">
      <c r="B1894"/>
    </row>
    <row r="1895" spans="2:2" x14ac:dyDescent="0.25">
      <c r="B1895"/>
    </row>
    <row r="1896" spans="2:2" x14ac:dyDescent="0.25">
      <c r="B1896"/>
    </row>
    <row r="1897" spans="2:2" x14ac:dyDescent="0.25">
      <c r="B1897"/>
    </row>
    <row r="1898" spans="2:2" x14ac:dyDescent="0.25">
      <c r="B1898"/>
    </row>
    <row r="1899" spans="2:2" x14ac:dyDescent="0.25">
      <c r="B1899"/>
    </row>
    <row r="1900" spans="2:2" x14ac:dyDescent="0.25">
      <c r="B1900"/>
    </row>
    <row r="1901" spans="2:2" x14ac:dyDescent="0.25">
      <c r="B1901"/>
    </row>
    <row r="1902" spans="2:2" x14ac:dyDescent="0.25">
      <c r="B1902"/>
    </row>
    <row r="1903" spans="2:2" x14ac:dyDescent="0.25">
      <c r="B1903"/>
    </row>
    <row r="1904" spans="2:2" x14ac:dyDescent="0.25">
      <c r="B1904"/>
    </row>
    <row r="1905" spans="2:2" x14ac:dyDescent="0.25">
      <c r="B1905"/>
    </row>
    <row r="1906" spans="2:2" x14ac:dyDescent="0.25">
      <c r="B1906"/>
    </row>
    <row r="1907" spans="2:2" x14ac:dyDescent="0.25">
      <c r="B1907"/>
    </row>
    <row r="1908" spans="2:2" x14ac:dyDescent="0.25">
      <c r="B1908"/>
    </row>
    <row r="1909" spans="2:2" x14ac:dyDescent="0.25">
      <c r="B1909"/>
    </row>
    <row r="1910" spans="2:2" x14ac:dyDescent="0.25">
      <c r="B1910"/>
    </row>
    <row r="1911" spans="2:2" x14ac:dyDescent="0.25">
      <c r="B1911"/>
    </row>
    <row r="1912" spans="2:2" x14ac:dyDescent="0.25">
      <c r="B1912"/>
    </row>
    <row r="1913" spans="2:2" x14ac:dyDescent="0.25">
      <c r="B1913"/>
    </row>
    <row r="1914" spans="2:2" x14ac:dyDescent="0.25">
      <c r="B1914"/>
    </row>
    <row r="1915" spans="2:2" x14ac:dyDescent="0.25">
      <c r="B1915"/>
    </row>
    <row r="1916" spans="2:2" x14ac:dyDescent="0.25">
      <c r="B1916"/>
    </row>
    <row r="1917" spans="2:2" x14ac:dyDescent="0.25">
      <c r="B1917"/>
    </row>
    <row r="1918" spans="2:2" x14ac:dyDescent="0.25">
      <c r="B1918"/>
    </row>
    <row r="1919" spans="2:2" x14ac:dyDescent="0.25">
      <c r="B1919"/>
    </row>
    <row r="1920" spans="2:2" x14ac:dyDescent="0.25">
      <c r="B1920"/>
    </row>
    <row r="1921" spans="2:2" x14ac:dyDescent="0.25">
      <c r="B1921"/>
    </row>
    <row r="1922" spans="2:2" x14ac:dyDescent="0.25">
      <c r="B1922"/>
    </row>
    <row r="1923" spans="2:2" x14ac:dyDescent="0.25">
      <c r="B1923"/>
    </row>
    <row r="1924" spans="2:2" x14ac:dyDescent="0.25">
      <c r="B1924"/>
    </row>
    <row r="1925" spans="2:2" x14ac:dyDescent="0.25">
      <c r="B1925"/>
    </row>
    <row r="1926" spans="2:2" x14ac:dyDescent="0.25">
      <c r="B1926"/>
    </row>
    <row r="1927" spans="2:2" x14ac:dyDescent="0.25">
      <c r="B1927"/>
    </row>
    <row r="1928" spans="2:2" x14ac:dyDescent="0.25">
      <c r="B1928"/>
    </row>
    <row r="1929" spans="2:2" x14ac:dyDescent="0.25">
      <c r="B1929"/>
    </row>
    <row r="1930" spans="2:2" x14ac:dyDescent="0.25">
      <c r="B1930"/>
    </row>
    <row r="1931" spans="2:2" x14ac:dyDescent="0.25">
      <c r="B1931"/>
    </row>
    <row r="1932" spans="2:2" x14ac:dyDescent="0.25">
      <c r="B1932"/>
    </row>
    <row r="1933" spans="2:2" x14ac:dyDescent="0.25">
      <c r="B1933"/>
    </row>
    <row r="1934" spans="2:2" x14ac:dyDescent="0.25">
      <c r="B1934"/>
    </row>
    <row r="1935" spans="2:2" x14ac:dyDescent="0.25">
      <c r="B1935"/>
    </row>
    <row r="1936" spans="2:2" x14ac:dyDescent="0.25">
      <c r="B1936"/>
    </row>
    <row r="1937" spans="2:2" x14ac:dyDescent="0.25">
      <c r="B1937"/>
    </row>
    <row r="1938" spans="2:2" x14ac:dyDescent="0.25">
      <c r="B1938"/>
    </row>
    <row r="1939" spans="2:2" x14ac:dyDescent="0.25">
      <c r="B1939"/>
    </row>
    <row r="1940" spans="2:2" x14ac:dyDescent="0.25">
      <c r="B1940"/>
    </row>
    <row r="1941" spans="2:2" x14ac:dyDescent="0.25">
      <c r="B1941"/>
    </row>
    <row r="1942" spans="2:2" x14ac:dyDescent="0.25">
      <c r="B1942"/>
    </row>
    <row r="1943" spans="2:2" x14ac:dyDescent="0.25">
      <c r="B1943"/>
    </row>
    <row r="1944" spans="2:2" x14ac:dyDescent="0.25">
      <c r="B1944"/>
    </row>
    <row r="1945" spans="2:2" x14ac:dyDescent="0.25">
      <c r="B1945"/>
    </row>
    <row r="1946" spans="2:2" x14ac:dyDescent="0.25">
      <c r="B1946"/>
    </row>
    <row r="1947" spans="2:2" x14ac:dyDescent="0.25">
      <c r="B1947"/>
    </row>
    <row r="1948" spans="2:2" x14ac:dyDescent="0.25">
      <c r="B1948"/>
    </row>
    <row r="1949" spans="2:2" x14ac:dyDescent="0.25">
      <c r="B1949"/>
    </row>
    <row r="1950" spans="2:2" x14ac:dyDescent="0.25">
      <c r="B1950"/>
    </row>
    <row r="1951" spans="2:2" x14ac:dyDescent="0.25">
      <c r="B1951"/>
    </row>
    <row r="1952" spans="2:2" x14ac:dyDescent="0.25">
      <c r="B1952"/>
    </row>
    <row r="1953" spans="2:2" x14ac:dyDescent="0.25">
      <c r="B1953"/>
    </row>
    <row r="1954" spans="2:2" x14ac:dyDescent="0.25">
      <c r="B1954"/>
    </row>
    <row r="1955" spans="2:2" x14ac:dyDescent="0.25">
      <c r="B1955"/>
    </row>
    <row r="1956" spans="2:2" x14ac:dyDescent="0.25">
      <c r="B1956"/>
    </row>
    <row r="1957" spans="2:2" x14ac:dyDescent="0.25">
      <c r="B1957"/>
    </row>
    <row r="1958" spans="2:2" x14ac:dyDescent="0.25">
      <c r="B1958"/>
    </row>
    <row r="1959" spans="2:2" x14ac:dyDescent="0.25">
      <c r="B1959"/>
    </row>
    <row r="1960" spans="2:2" x14ac:dyDescent="0.25">
      <c r="B1960"/>
    </row>
    <row r="1961" spans="2:2" x14ac:dyDescent="0.25">
      <c r="B1961"/>
    </row>
    <row r="1962" spans="2:2" x14ac:dyDescent="0.25">
      <c r="B1962"/>
    </row>
    <row r="1963" spans="2:2" x14ac:dyDescent="0.25">
      <c r="B1963"/>
    </row>
    <row r="1964" spans="2:2" x14ac:dyDescent="0.25">
      <c r="B1964"/>
    </row>
    <row r="1965" spans="2:2" x14ac:dyDescent="0.25">
      <c r="B1965"/>
    </row>
    <row r="1966" spans="2:2" x14ac:dyDescent="0.25">
      <c r="B1966"/>
    </row>
    <row r="1967" spans="2:2" x14ac:dyDescent="0.25">
      <c r="B1967"/>
    </row>
    <row r="1968" spans="2:2" x14ac:dyDescent="0.25">
      <c r="B1968"/>
    </row>
    <row r="1969" spans="2:2" x14ac:dyDescent="0.25">
      <c r="B1969"/>
    </row>
    <row r="1970" spans="2:2" x14ac:dyDescent="0.25">
      <c r="B1970"/>
    </row>
    <row r="1971" spans="2:2" x14ac:dyDescent="0.25">
      <c r="B1971"/>
    </row>
    <row r="1972" spans="2:2" x14ac:dyDescent="0.25">
      <c r="B1972"/>
    </row>
    <row r="1973" spans="2:2" x14ac:dyDescent="0.25">
      <c r="B1973"/>
    </row>
    <row r="1974" spans="2:2" x14ac:dyDescent="0.25">
      <c r="B1974"/>
    </row>
    <row r="1975" spans="2:2" x14ac:dyDescent="0.25">
      <c r="B1975"/>
    </row>
    <row r="1976" spans="2:2" x14ac:dyDescent="0.25">
      <c r="B1976"/>
    </row>
    <row r="1977" spans="2:2" x14ac:dyDescent="0.25">
      <c r="B1977"/>
    </row>
    <row r="1978" spans="2:2" x14ac:dyDescent="0.25">
      <c r="B1978"/>
    </row>
    <row r="1979" spans="2:2" x14ac:dyDescent="0.25">
      <c r="B1979"/>
    </row>
    <row r="1980" spans="2:2" x14ac:dyDescent="0.25">
      <c r="B1980"/>
    </row>
    <row r="1981" spans="2:2" x14ac:dyDescent="0.25">
      <c r="B1981"/>
    </row>
    <row r="1982" spans="2:2" x14ac:dyDescent="0.25">
      <c r="B1982"/>
    </row>
    <row r="1983" spans="2:2" x14ac:dyDescent="0.25">
      <c r="B1983"/>
    </row>
    <row r="1984" spans="2:2" x14ac:dyDescent="0.25">
      <c r="B1984"/>
    </row>
    <row r="1985" spans="2:2" x14ac:dyDescent="0.25">
      <c r="B1985"/>
    </row>
    <row r="1986" spans="2:2" x14ac:dyDescent="0.25">
      <c r="B1986"/>
    </row>
    <row r="1987" spans="2:2" x14ac:dyDescent="0.25">
      <c r="B1987"/>
    </row>
    <row r="1988" spans="2:2" x14ac:dyDescent="0.25">
      <c r="B1988"/>
    </row>
    <row r="1989" spans="2:2" x14ac:dyDescent="0.25">
      <c r="B1989"/>
    </row>
    <row r="1990" spans="2:2" x14ac:dyDescent="0.25">
      <c r="B1990"/>
    </row>
    <row r="1991" spans="2:2" x14ac:dyDescent="0.25">
      <c r="B1991"/>
    </row>
    <row r="1992" spans="2:2" x14ac:dyDescent="0.25">
      <c r="B1992"/>
    </row>
    <row r="1993" spans="2:2" x14ac:dyDescent="0.25">
      <c r="B1993"/>
    </row>
    <row r="1994" spans="2:2" x14ac:dyDescent="0.25">
      <c r="B1994"/>
    </row>
    <row r="1995" spans="2:2" x14ac:dyDescent="0.25">
      <c r="B1995"/>
    </row>
    <row r="1996" spans="2:2" x14ac:dyDescent="0.25">
      <c r="B1996"/>
    </row>
    <row r="1997" spans="2:2" x14ac:dyDescent="0.25">
      <c r="B1997"/>
    </row>
    <row r="1998" spans="2:2" x14ac:dyDescent="0.25">
      <c r="B1998"/>
    </row>
    <row r="1999" spans="2:2" x14ac:dyDescent="0.25">
      <c r="B1999"/>
    </row>
    <row r="2000" spans="2:2" x14ac:dyDescent="0.25">
      <c r="B2000"/>
    </row>
    <row r="2001" spans="2:2" x14ac:dyDescent="0.25">
      <c r="B2001"/>
    </row>
    <row r="2002" spans="2:2" x14ac:dyDescent="0.25">
      <c r="B2002"/>
    </row>
    <row r="2003" spans="2:2" x14ac:dyDescent="0.25">
      <c r="B2003"/>
    </row>
    <row r="2004" spans="2:2" x14ac:dyDescent="0.25">
      <c r="B2004"/>
    </row>
    <row r="2005" spans="2:2" x14ac:dyDescent="0.25">
      <c r="B2005"/>
    </row>
    <row r="2006" spans="2:2" x14ac:dyDescent="0.25">
      <c r="B2006"/>
    </row>
    <row r="2007" spans="2:2" x14ac:dyDescent="0.25">
      <c r="B2007"/>
    </row>
    <row r="2008" spans="2:2" x14ac:dyDescent="0.25">
      <c r="B2008"/>
    </row>
    <row r="2009" spans="2:2" x14ac:dyDescent="0.25">
      <c r="B2009"/>
    </row>
    <row r="2010" spans="2:2" x14ac:dyDescent="0.25">
      <c r="B2010"/>
    </row>
    <row r="2011" spans="2:2" x14ac:dyDescent="0.25">
      <c r="B2011"/>
    </row>
    <row r="2012" spans="2:2" x14ac:dyDescent="0.25">
      <c r="B2012"/>
    </row>
    <row r="2013" spans="2:2" x14ac:dyDescent="0.25">
      <c r="B2013"/>
    </row>
    <row r="2014" spans="2:2" x14ac:dyDescent="0.25">
      <c r="B2014"/>
    </row>
    <row r="2015" spans="2:2" x14ac:dyDescent="0.25">
      <c r="B2015"/>
    </row>
    <row r="2016" spans="2:2" x14ac:dyDescent="0.25">
      <c r="B2016"/>
    </row>
    <row r="2017" spans="2:2" x14ac:dyDescent="0.25">
      <c r="B2017"/>
    </row>
    <row r="2018" spans="2:2" x14ac:dyDescent="0.25">
      <c r="B2018"/>
    </row>
    <row r="2019" spans="2:2" x14ac:dyDescent="0.25">
      <c r="B2019"/>
    </row>
    <row r="2020" spans="2:2" x14ac:dyDescent="0.25">
      <c r="B2020"/>
    </row>
    <row r="2021" spans="2:2" x14ac:dyDescent="0.25">
      <c r="B2021"/>
    </row>
    <row r="2022" spans="2:2" x14ac:dyDescent="0.25">
      <c r="B2022"/>
    </row>
    <row r="2023" spans="2:2" x14ac:dyDescent="0.25">
      <c r="B2023"/>
    </row>
    <row r="2024" spans="2:2" x14ac:dyDescent="0.25">
      <c r="B2024"/>
    </row>
    <row r="2025" spans="2:2" x14ac:dyDescent="0.25">
      <c r="B2025"/>
    </row>
    <row r="2026" spans="2:2" x14ac:dyDescent="0.25">
      <c r="B2026"/>
    </row>
    <row r="2027" spans="2:2" x14ac:dyDescent="0.25">
      <c r="B2027"/>
    </row>
    <row r="2028" spans="2:2" x14ac:dyDescent="0.25">
      <c r="B2028"/>
    </row>
    <row r="2029" spans="2:2" x14ac:dyDescent="0.25">
      <c r="B2029"/>
    </row>
    <row r="2030" spans="2:2" x14ac:dyDescent="0.25">
      <c r="B2030"/>
    </row>
    <row r="2031" spans="2:2" x14ac:dyDescent="0.25">
      <c r="B2031"/>
    </row>
    <row r="2032" spans="2:2" x14ac:dyDescent="0.25">
      <c r="B2032"/>
    </row>
    <row r="2033" spans="2:2" x14ac:dyDescent="0.25">
      <c r="B2033"/>
    </row>
    <row r="2034" spans="2:2" x14ac:dyDescent="0.25">
      <c r="B2034"/>
    </row>
    <row r="2035" spans="2:2" x14ac:dyDescent="0.25">
      <c r="B2035"/>
    </row>
    <row r="2036" spans="2:2" x14ac:dyDescent="0.25">
      <c r="B2036"/>
    </row>
    <row r="2037" spans="2:2" x14ac:dyDescent="0.25">
      <c r="B2037"/>
    </row>
    <row r="2038" spans="2:2" x14ac:dyDescent="0.25">
      <c r="B2038"/>
    </row>
    <row r="2039" spans="2:2" x14ac:dyDescent="0.25">
      <c r="B2039"/>
    </row>
    <row r="2040" spans="2:2" x14ac:dyDescent="0.25">
      <c r="B2040"/>
    </row>
    <row r="2041" spans="2:2" x14ac:dyDescent="0.25">
      <c r="B2041"/>
    </row>
    <row r="2042" spans="2:2" x14ac:dyDescent="0.25">
      <c r="B2042"/>
    </row>
    <row r="2043" spans="2:2" x14ac:dyDescent="0.25">
      <c r="B2043"/>
    </row>
    <row r="2044" spans="2:2" x14ac:dyDescent="0.25">
      <c r="B2044"/>
    </row>
    <row r="2045" spans="2:2" x14ac:dyDescent="0.25">
      <c r="B2045"/>
    </row>
    <row r="2046" spans="2:2" x14ac:dyDescent="0.25">
      <c r="B2046"/>
    </row>
    <row r="2047" spans="2:2" x14ac:dyDescent="0.25">
      <c r="B2047"/>
    </row>
    <row r="2048" spans="2:2" x14ac:dyDescent="0.25">
      <c r="B2048"/>
    </row>
    <row r="2049" spans="2:2" x14ac:dyDescent="0.25">
      <c r="B2049"/>
    </row>
    <row r="2050" spans="2:2" x14ac:dyDescent="0.25">
      <c r="B2050"/>
    </row>
    <row r="2051" spans="2:2" x14ac:dyDescent="0.25">
      <c r="B2051"/>
    </row>
    <row r="2052" spans="2:2" x14ac:dyDescent="0.25">
      <c r="B2052"/>
    </row>
    <row r="2053" spans="2:2" x14ac:dyDescent="0.25">
      <c r="B2053"/>
    </row>
    <row r="2054" spans="2:2" x14ac:dyDescent="0.25">
      <c r="B2054"/>
    </row>
    <row r="2055" spans="2:2" x14ac:dyDescent="0.25">
      <c r="B2055"/>
    </row>
    <row r="2056" spans="2:2" x14ac:dyDescent="0.25">
      <c r="B2056"/>
    </row>
    <row r="2057" spans="2:2" x14ac:dyDescent="0.25">
      <c r="B2057"/>
    </row>
    <row r="2058" spans="2:2" x14ac:dyDescent="0.25">
      <c r="B2058"/>
    </row>
    <row r="2059" spans="2:2" x14ac:dyDescent="0.25">
      <c r="B2059"/>
    </row>
    <row r="2060" spans="2:2" x14ac:dyDescent="0.25">
      <c r="B2060"/>
    </row>
    <row r="2061" spans="2:2" x14ac:dyDescent="0.25">
      <c r="B2061"/>
    </row>
    <row r="2062" spans="2:2" x14ac:dyDescent="0.25">
      <c r="B2062"/>
    </row>
    <row r="2063" spans="2:2" x14ac:dyDescent="0.25">
      <c r="B2063"/>
    </row>
    <row r="2064" spans="2:2" x14ac:dyDescent="0.25">
      <c r="B2064"/>
    </row>
    <row r="2065" spans="2:2" x14ac:dyDescent="0.25">
      <c r="B2065"/>
    </row>
    <row r="2066" spans="2:2" x14ac:dyDescent="0.25">
      <c r="B2066"/>
    </row>
    <row r="2067" spans="2:2" x14ac:dyDescent="0.25">
      <c r="B2067"/>
    </row>
    <row r="2068" spans="2:2" x14ac:dyDescent="0.25">
      <c r="B2068"/>
    </row>
    <row r="2069" spans="2:2" x14ac:dyDescent="0.25">
      <c r="B2069"/>
    </row>
    <row r="2070" spans="2:2" x14ac:dyDescent="0.25">
      <c r="B2070"/>
    </row>
    <row r="2071" spans="2:2" x14ac:dyDescent="0.25">
      <c r="B2071"/>
    </row>
    <row r="2072" spans="2:2" x14ac:dyDescent="0.25">
      <c r="B2072"/>
    </row>
    <row r="2073" spans="2:2" x14ac:dyDescent="0.25">
      <c r="B2073"/>
    </row>
    <row r="2074" spans="2:2" x14ac:dyDescent="0.25">
      <c r="B2074"/>
    </row>
    <row r="2075" spans="2:2" x14ac:dyDescent="0.25">
      <c r="B2075"/>
    </row>
    <row r="2076" spans="2:2" x14ac:dyDescent="0.25">
      <c r="B2076"/>
    </row>
    <row r="2077" spans="2:2" x14ac:dyDescent="0.25">
      <c r="B2077"/>
    </row>
    <row r="2078" spans="2:2" x14ac:dyDescent="0.25">
      <c r="B2078"/>
    </row>
    <row r="2079" spans="2:2" x14ac:dyDescent="0.25">
      <c r="B2079"/>
    </row>
    <row r="2080" spans="2:2" x14ac:dyDescent="0.25">
      <c r="B2080"/>
    </row>
    <row r="2081" spans="2:2" x14ac:dyDescent="0.25">
      <c r="B2081"/>
    </row>
    <row r="2082" spans="2:2" x14ac:dyDescent="0.25">
      <c r="B2082"/>
    </row>
    <row r="2083" spans="2:2" x14ac:dyDescent="0.25">
      <c r="B2083"/>
    </row>
    <row r="2084" spans="2:2" x14ac:dyDescent="0.25">
      <c r="B2084"/>
    </row>
    <row r="2085" spans="2:2" x14ac:dyDescent="0.25">
      <c r="B2085"/>
    </row>
    <row r="2086" spans="2:2" x14ac:dyDescent="0.25">
      <c r="B2086"/>
    </row>
    <row r="2087" spans="2:2" x14ac:dyDescent="0.25">
      <c r="B2087"/>
    </row>
    <row r="2088" spans="2:2" x14ac:dyDescent="0.25">
      <c r="B2088"/>
    </row>
    <row r="2089" spans="2:2" x14ac:dyDescent="0.25">
      <c r="B2089"/>
    </row>
    <row r="2090" spans="2:2" x14ac:dyDescent="0.25">
      <c r="B2090"/>
    </row>
    <row r="2091" spans="2:2" x14ac:dyDescent="0.25">
      <c r="B2091"/>
    </row>
    <row r="2092" spans="2:2" x14ac:dyDescent="0.25">
      <c r="B2092"/>
    </row>
    <row r="2093" spans="2:2" x14ac:dyDescent="0.25">
      <c r="B2093"/>
    </row>
    <row r="2094" spans="2:2" x14ac:dyDescent="0.25">
      <c r="B2094"/>
    </row>
    <row r="2095" spans="2:2" x14ac:dyDescent="0.25">
      <c r="B2095"/>
    </row>
    <row r="2096" spans="2:2" x14ac:dyDescent="0.25">
      <c r="B2096"/>
    </row>
    <row r="2097" spans="2:2" x14ac:dyDescent="0.25">
      <c r="B2097"/>
    </row>
    <row r="2098" spans="2:2" x14ac:dyDescent="0.25">
      <c r="B2098"/>
    </row>
    <row r="2099" spans="2:2" x14ac:dyDescent="0.25">
      <c r="B2099"/>
    </row>
    <row r="2100" spans="2:2" x14ac:dyDescent="0.25">
      <c r="B2100"/>
    </row>
    <row r="2101" spans="2:2" x14ac:dyDescent="0.25">
      <c r="B2101"/>
    </row>
    <row r="2102" spans="2:2" x14ac:dyDescent="0.25">
      <c r="B2102"/>
    </row>
    <row r="2103" spans="2:2" x14ac:dyDescent="0.25">
      <c r="B2103"/>
    </row>
    <row r="2104" spans="2:2" x14ac:dyDescent="0.25">
      <c r="B2104"/>
    </row>
    <row r="2105" spans="2:2" x14ac:dyDescent="0.25">
      <c r="B2105"/>
    </row>
    <row r="2106" spans="2:2" x14ac:dyDescent="0.25">
      <c r="B2106"/>
    </row>
    <row r="2107" spans="2:2" x14ac:dyDescent="0.25">
      <c r="B2107"/>
    </row>
    <row r="2108" spans="2:2" x14ac:dyDescent="0.25">
      <c r="B2108"/>
    </row>
    <row r="2109" spans="2:2" x14ac:dyDescent="0.25">
      <c r="B2109"/>
    </row>
    <row r="2110" spans="2:2" x14ac:dyDescent="0.25">
      <c r="B2110"/>
    </row>
    <row r="2111" spans="2:2" x14ac:dyDescent="0.25">
      <c r="B2111"/>
    </row>
    <row r="2112" spans="2:2" x14ac:dyDescent="0.25">
      <c r="B2112"/>
    </row>
    <row r="2113" spans="2:2" x14ac:dyDescent="0.25">
      <c r="B2113"/>
    </row>
    <row r="2114" spans="2:2" x14ac:dyDescent="0.25">
      <c r="B2114"/>
    </row>
    <row r="2115" spans="2:2" x14ac:dyDescent="0.25">
      <c r="B2115"/>
    </row>
    <row r="2116" spans="2:2" x14ac:dyDescent="0.25">
      <c r="B2116"/>
    </row>
    <row r="2117" spans="2:2" x14ac:dyDescent="0.25">
      <c r="B2117"/>
    </row>
    <row r="2118" spans="2:2" x14ac:dyDescent="0.25">
      <c r="B2118"/>
    </row>
    <row r="2119" spans="2:2" x14ac:dyDescent="0.25">
      <c r="B2119"/>
    </row>
    <row r="2120" spans="2:2" x14ac:dyDescent="0.25">
      <c r="B2120"/>
    </row>
    <row r="2121" spans="2:2" x14ac:dyDescent="0.25">
      <c r="B2121"/>
    </row>
    <row r="2122" spans="2:2" x14ac:dyDescent="0.25">
      <c r="B2122"/>
    </row>
    <row r="2123" spans="2:2" x14ac:dyDescent="0.25">
      <c r="B2123"/>
    </row>
    <row r="2124" spans="2:2" x14ac:dyDescent="0.25">
      <c r="B2124"/>
    </row>
    <row r="2125" spans="2:2" x14ac:dyDescent="0.25">
      <c r="B2125"/>
    </row>
    <row r="2126" spans="2:2" x14ac:dyDescent="0.25">
      <c r="B2126"/>
    </row>
    <row r="2127" spans="2:2" x14ac:dyDescent="0.25">
      <c r="B2127"/>
    </row>
    <row r="2128" spans="2:2" x14ac:dyDescent="0.25">
      <c r="B2128"/>
    </row>
    <row r="2129" spans="2:2" x14ac:dyDescent="0.25">
      <c r="B2129"/>
    </row>
    <row r="2130" spans="2:2" x14ac:dyDescent="0.25">
      <c r="B2130"/>
    </row>
    <row r="2131" spans="2:2" x14ac:dyDescent="0.25">
      <c r="B2131"/>
    </row>
    <row r="2132" spans="2:2" x14ac:dyDescent="0.25">
      <c r="B2132"/>
    </row>
    <row r="2133" spans="2:2" x14ac:dyDescent="0.25">
      <c r="B2133"/>
    </row>
    <row r="2134" spans="2:2" x14ac:dyDescent="0.25">
      <c r="B2134"/>
    </row>
    <row r="2135" spans="2:2" x14ac:dyDescent="0.25">
      <c r="B2135"/>
    </row>
    <row r="2136" spans="2:2" x14ac:dyDescent="0.25">
      <c r="B2136"/>
    </row>
    <row r="2137" spans="2:2" x14ac:dyDescent="0.25">
      <c r="B2137"/>
    </row>
    <row r="2138" spans="2:2" x14ac:dyDescent="0.25">
      <c r="B2138"/>
    </row>
    <row r="2139" spans="2:2" x14ac:dyDescent="0.25">
      <c r="B2139"/>
    </row>
    <row r="2140" spans="2:2" x14ac:dyDescent="0.25">
      <c r="B2140"/>
    </row>
    <row r="2141" spans="2:2" x14ac:dyDescent="0.25">
      <c r="B2141"/>
    </row>
    <row r="2142" spans="2:2" x14ac:dyDescent="0.25">
      <c r="B2142"/>
    </row>
    <row r="2143" spans="2:2" x14ac:dyDescent="0.25">
      <c r="B2143"/>
    </row>
    <row r="2144" spans="2:2" x14ac:dyDescent="0.25">
      <c r="B2144"/>
    </row>
    <row r="2145" spans="2:2" x14ac:dyDescent="0.25">
      <c r="B2145"/>
    </row>
    <row r="2146" spans="2:2" x14ac:dyDescent="0.25">
      <c r="B2146"/>
    </row>
    <row r="2147" spans="2:2" x14ac:dyDescent="0.25">
      <c r="B2147"/>
    </row>
    <row r="2148" spans="2:2" x14ac:dyDescent="0.25">
      <c r="B2148"/>
    </row>
    <row r="2149" spans="2:2" x14ac:dyDescent="0.25">
      <c r="B2149"/>
    </row>
    <row r="2150" spans="2:2" x14ac:dyDescent="0.25">
      <c r="B2150"/>
    </row>
    <row r="2151" spans="2:2" x14ac:dyDescent="0.25">
      <c r="B2151"/>
    </row>
    <row r="2152" spans="2:2" x14ac:dyDescent="0.25">
      <c r="B2152"/>
    </row>
    <row r="2153" spans="2:2" x14ac:dyDescent="0.25">
      <c r="B2153"/>
    </row>
    <row r="2154" spans="2:2" x14ac:dyDescent="0.25">
      <c r="B2154"/>
    </row>
    <row r="2155" spans="2:2" x14ac:dyDescent="0.25">
      <c r="B2155"/>
    </row>
    <row r="2156" spans="2:2" x14ac:dyDescent="0.25">
      <c r="B2156"/>
    </row>
    <row r="2157" spans="2:2" x14ac:dyDescent="0.25">
      <c r="B2157"/>
    </row>
    <row r="2158" spans="2:2" x14ac:dyDescent="0.25">
      <c r="B2158"/>
    </row>
    <row r="2159" spans="2:2" x14ac:dyDescent="0.25">
      <c r="B2159"/>
    </row>
    <row r="2160" spans="2:2" x14ac:dyDescent="0.25">
      <c r="B2160"/>
    </row>
    <row r="2161" spans="2:2" x14ac:dyDescent="0.25">
      <c r="B2161"/>
    </row>
    <row r="2162" spans="2:2" x14ac:dyDescent="0.25">
      <c r="B2162"/>
    </row>
    <row r="2163" spans="2:2" x14ac:dyDescent="0.25">
      <c r="B2163"/>
    </row>
    <row r="2164" spans="2:2" x14ac:dyDescent="0.25">
      <c r="B2164"/>
    </row>
    <row r="2165" spans="2:2" x14ac:dyDescent="0.25">
      <c r="B2165"/>
    </row>
    <row r="2166" spans="2:2" x14ac:dyDescent="0.25">
      <c r="B2166"/>
    </row>
    <row r="2167" spans="2:2" x14ac:dyDescent="0.25">
      <c r="B2167"/>
    </row>
    <row r="2168" spans="2:2" x14ac:dyDescent="0.25">
      <c r="B2168"/>
    </row>
    <row r="2169" spans="2:2" x14ac:dyDescent="0.25">
      <c r="B2169"/>
    </row>
    <row r="2170" spans="2:2" x14ac:dyDescent="0.25">
      <c r="B2170"/>
    </row>
    <row r="2171" spans="2:2" x14ac:dyDescent="0.25">
      <c r="B2171"/>
    </row>
    <row r="2172" spans="2:2" x14ac:dyDescent="0.25">
      <c r="B2172"/>
    </row>
    <row r="2173" spans="2:2" x14ac:dyDescent="0.25">
      <c r="B2173"/>
    </row>
    <row r="2174" spans="2:2" x14ac:dyDescent="0.25">
      <c r="B2174"/>
    </row>
    <row r="2175" spans="2:2" x14ac:dyDescent="0.25">
      <c r="B2175"/>
    </row>
    <row r="2176" spans="2:2" x14ac:dyDescent="0.25">
      <c r="B2176"/>
    </row>
    <row r="2177" spans="2:2" x14ac:dyDescent="0.25">
      <c r="B2177"/>
    </row>
    <row r="2178" spans="2:2" x14ac:dyDescent="0.25">
      <c r="B2178"/>
    </row>
    <row r="2179" spans="2:2" x14ac:dyDescent="0.25">
      <c r="B2179"/>
    </row>
    <row r="2180" spans="2:2" x14ac:dyDescent="0.25">
      <c r="B2180"/>
    </row>
    <row r="2181" spans="2:2" x14ac:dyDescent="0.25">
      <c r="B2181"/>
    </row>
    <row r="2182" spans="2:2" x14ac:dyDescent="0.25">
      <c r="B2182"/>
    </row>
    <row r="2183" spans="2:2" x14ac:dyDescent="0.25">
      <c r="B2183"/>
    </row>
    <row r="2184" spans="2:2" x14ac:dyDescent="0.25">
      <c r="B2184"/>
    </row>
    <row r="2185" spans="2:2" x14ac:dyDescent="0.25">
      <c r="B2185"/>
    </row>
    <row r="2186" spans="2:2" x14ac:dyDescent="0.25">
      <c r="B2186"/>
    </row>
    <row r="2187" spans="2:2" x14ac:dyDescent="0.25">
      <c r="B2187"/>
    </row>
    <row r="2188" spans="2:2" x14ac:dyDescent="0.25">
      <c r="B2188"/>
    </row>
    <row r="2189" spans="2:2" x14ac:dyDescent="0.25">
      <c r="B2189"/>
    </row>
    <row r="2190" spans="2:2" x14ac:dyDescent="0.25">
      <c r="B2190"/>
    </row>
    <row r="2191" spans="2:2" x14ac:dyDescent="0.25">
      <c r="B2191"/>
    </row>
    <row r="2192" spans="2:2" x14ac:dyDescent="0.25">
      <c r="B2192"/>
    </row>
    <row r="2193" spans="2:2" x14ac:dyDescent="0.25">
      <c r="B2193"/>
    </row>
    <row r="2194" spans="2:2" x14ac:dyDescent="0.25">
      <c r="B2194"/>
    </row>
    <row r="2195" spans="2:2" x14ac:dyDescent="0.25">
      <c r="B2195"/>
    </row>
    <row r="2196" spans="2:2" x14ac:dyDescent="0.25">
      <c r="B2196"/>
    </row>
    <row r="2197" spans="2:2" x14ac:dyDescent="0.25">
      <c r="B2197"/>
    </row>
    <row r="2198" spans="2:2" x14ac:dyDescent="0.25">
      <c r="B2198"/>
    </row>
    <row r="2199" spans="2:2" x14ac:dyDescent="0.25">
      <c r="B2199"/>
    </row>
    <row r="2200" spans="2:2" x14ac:dyDescent="0.25">
      <c r="B2200"/>
    </row>
    <row r="2201" spans="2:2" x14ac:dyDescent="0.25">
      <c r="B2201"/>
    </row>
    <row r="2202" spans="2:2" x14ac:dyDescent="0.25">
      <c r="B2202"/>
    </row>
    <row r="2203" spans="2:2" x14ac:dyDescent="0.25">
      <c r="B2203"/>
    </row>
    <row r="2204" spans="2:2" x14ac:dyDescent="0.25">
      <c r="B2204"/>
    </row>
    <row r="2205" spans="2:2" x14ac:dyDescent="0.25">
      <c r="B2205"/>
    </row>
    <row r="2206" spans="2:2" x14ac:dyDescent="0.25">
      <c r="B2206"/>
    </row>
    <row r="2207" spans="2:2" x14ac:dyDescent="0.25">
      <c r="B2207"/>
    </row>
    <row r="2208" spans="2:2" x14ac:dyDescent="0.25">
      <c r="B2208"/>
    </row>
    <row r="2209" spans="2:2" x14ac:dyDescent="0.25">
      <c r="B2209"/>
    </row>
    <row r="2210" spans="2:2" x14ac:dyDescent="0.25">
      <c r="B2210"/>
    </row>
    <row r="2211" spans="2:2" x14ac:dyDescent="0.25">
      <c r="B2211"/>
    </row>
    <row r="2212" spans="2:2" x14ac:dyDescent="0.25">
      <c r="B2212"/>
    </row>
    <row r="2213" spans="2:2" x14ac:dyDescent="0.25">
      <c r="B2213"/>
    </row>
    <row r="2214" spans="2:2" x14ac:dyDescent="0.25">
      <c r="B2214"/>
    </row>
    <row r="2215" spans="2:2" x14ac:dyDescent="0.25">
      <c r="B2215"/>
    </row>
    <row r="2216" spans="2:2" x14ac:dyDescent="0.25">
      <c r="B2216"/>
    </row>
    <row r="2217" spans="2:2" x14ac:dyDescent="0.25">
      <c r="B2217"/>
    </row>
    <row r="2218" spans="2:2" x14ac:dyDescent="0.25">
      <c r="B2218"/>
    </row>
    <row r="2219" spans="2:2" x14ac:dyDescent="0.25">
      <c r="B2219"/>
    </row>
    <row r="2220" spans="2:2" x14ac:dyDescent="0.25">
      <c r="B2220"/>
    </row>
    <row r="2221" spans="2:2" x14ac:dyDescent="0.25">
      <c r="B2221"/>
    </row>
    <row r="2222" spans="2:2" x14ac:dyDescent="0.25">
      <c r="B2222"/>
    </row>
    <row r="2223" spans="2:2" x14ac:dyDescent="0.25">
      <c r="B2223"/>
    </row>
    <row r="2224" spans="2:2" x14ac:dyDescent="0.25">
      <c r="B2224"/>
    </row>
    <row r="2225" spans="2:2" x14ac:dyDescent="0.25">
      <c r="B2225"/>
    </row>
    <row r="2226" spans="2:2" x14ac:dyDescent="0.25">
      <c r="B2226"/>
    </row>
    <row r="2227" spans="2:2" x14ac:dyDescent="0.25">
      <c r="B2227"/>
    </row>
    <row r="2228" spans="2:2" x14ac:dyDescent="0.25">
      <c r="B2228"/>
    </row>
    <row r="2229" spans="2:2" x14ac:dyDescent="0.25">
      <c r="B2229"/>
    </row>
    <row r="2230" spans="2:2" x14ac:dyDescent="0.25">
      <c r="B2230"/>
    </row>
    <row r="2231" spans="2:2" x14ac:dyDescent="0.25">
      <c r="B2231"/>
    </row>
    <row r="2232" spans="2:2" x14ac:dyDescent="0.25">
      <c r="B2232"/>
    </row>
    <row r="2233" spans="2:2" x14ac:dyDescent="0.25">
      <c r="B2233"/>
    </row>
    <row r="2234" spans="2:2" x14ac:dyDescent="0.25">
      <c r="B2234"/>
    </row>
    <row r="2235" spans="2:2" x14ac:dyDescent="0.25">
      <c r="B2235"/>
    </row>
    <row r="2236" spans="2:2" x14ac:dyDescent="0.25">
      <c r="B2236"/>
    </row>
    <row r="2237" spans="2:2" x14ac:dyDescent="0.25">
      <c r="B2237"/>
    </row>
    <row r="2238" spans="2:2" x14ac:dyDescent="0.25">
      <c r="B2238"/>
    </row>
    <row r="2239" spans="2:2" x14ac:dyDescent="0.25">
      <c r="B2239"/>
    </row>
    <row r="2240" spans="2:2" x14ac:dyDescent="0.25">
      <c r="B2240"/>
    </row>
    <row r="2241" spans="2:2" x14ac:dyDescent="0.25">
      <c r="B2241"/>
    </row>
    <row r="2242" spans="2:2" x14ac:dyDescent="0.25">
      <c r="B2242"/>
    </row>
    <row r="2243" spans="2:2" x14ac:dyDescent="0.25">
      <c r="B2243"/>
    </row>
    <row r="2244" spans="2:2" x14ac:dyDescent="0.25">
      <c r="B2244"/>
    </row>
    <row r="2245" spans="2:2" x14ac:dyDescent="0.25">
      <c r="B2245"/>
    </row>
    <row r="2246" spans="2:2" x14ac:dyDescent="0.25">
      <c r="B2246"/>
    </row>
    <row r="2247" spans="2:2" x14ac:dyDescent="0.25">
      <c r="B2247"/>
    </row>
    <row r="2248" spans="2:2" x14ac:dyDescent="0.25">
      <c r="B2248"/>
    </row>
    <row r="2249" spans="2:2" x14ac:dyDescent="0.25">
      <c r="B2249"/>
    </row>
    <row r="2250" spans="2:2" x14ac:dyDescent="0.25">
      <c r="B2250"/>
    </row>
    <row r="2251" spans="2:2" x14ac:dyDescent="0.25">
      <c r="B2251"/>
    </row>
    <row r="2252" spans="2:2" x14ac:dyDescent="0.25">
      <c r="B2252"/>
    </row>
    <row r="2253" spans="2:2" x14ac:dyDescent="0.25">
      <c r="B2253"/>
    </row>
    <row r="2254" spans="2:2" x14ac:dyDescent="0.25">
      <c r="B2254"/>
    </row>
    <row r="2255" spans="2:2" x14ac:dyDescent="0.25">
      <c r="B2255"/>
    </row>
    <row r="2256" spans="2:2" x14ac:dyDescent="0.25">
      <c r="B2256"/>
    </row>
    <row r="2257" spans="2:2" x14ac:dyDescent="0.25">
      <c r="B2257"/>
    </row>
    <row r="2258" spans="2:2" x14ac:dyDescent="0.25">
      <c r="B2258"/>
    </row>
    <row r="2259" spans="2:2" x14ac:dyDescent="0.25">
      <c r="B2259"/>
    </row>
    <row r="2260" spans="2:2" x14ac:dyDescent="0.25">
      <c r="B2260"/>
    </row>
    <row r="2261" spans="2:2" x14ac:dyDescent="0.25">
      <c r="B2261"/>
    </row>
    <row r="2262" spans="2:2" x14ac:dyDescent="0.25">
      <c r="B2262"/>
    </row>
    <row r="2263" spans="2:2" x14ac:dyDescent="0.25">
      <c r="B2263"/>
    </row>
    <row r="2264" spans="2:2" x14ac:dyDescent="0.25">
      <c r="B2264"/>
    </row>
    <row r="2265" spans="2:2" x14ac:dyDescent="0.25">
      <c r="B2265"/>
    </row>
    <row r="2266" spans="2:2" x14ac:dyDescent="0.25">
      <c r="B2266"/>
    </row>
    <row r="2267" spans="2:2" x14ac:dyDescent="0.25">
      <c r="B2267"/>
    </row>
    <row r="2268" spans="2:2" x14ac:dyDescent="0.25">
      <c r="B2268"/>
    </row>
    <row r="2269" spans="2:2" x14ac:dyDescent="0.25">
      <c r="B2269"/>
    </row>
    <row r="2270" spans="2:2" x14ac:dyDescent="0.25">
      <c r="B2270"/>
    </row>
    <row r="2271" spans="2:2" x14ac:dyDescent="0.25">
      <c r="B2271"/>
    </row>
    <row r="2272" spans="2:2" x14ac:dyDescent="0.25">
      <c r="B2272"/>
    </row>
    <row r="2273" spans="2:2" x14ac:dyDescent="0.25">
      <c r="B2273"/>
    </row>
    <row r="2274" spans="2:2" x14ac:dyDescent="0.25">
      <c r="B2274"/>
    </row>
    <row r="2275" spans="2:2" x14ac:dyDescent="0.25">
      <c r="B2275"/>
    </row>
    <row r="2276" spans="2:2" x14ac:dyDescent="0.25">
      <c r="B2276"/>
    </row>
    <row r="2277" spans="2:2" x14ac:dyDescent="0.25">
      <c r="B2277"/>
    </row>
    <row r="2278" spans="2:2" x14ac:dyDescent="0.25">
      <c r="B2278"/>
    </row>
    <row r="2279" spans="2:2" x14ac:dyDescent="0.25">
      <c r="B2279"/>
    </row>
    <row r="2280" spans="2:2" x14ac:dyDescent="0.25">
      <c r="B2280"/>
    </row>
    <row r="2281" spans="2:2" x14ac:dyDescent="0.25">
      <c r="B2281"/>
    </row>
    <row r="2282" spans="2:2" x14ac:dyDescent="0.25">
      <c r="B2282"/>
    </row>
    <row r="2283" spans="2:2" x14ac:dyDescent="0.25">
      <c r="B2283"/>
    </row>
    <row r="2284" spans="2:2" x14ac:dyDescent="0.25">
      <c r="B2284"/>
    </row>
    <row r="2285" spans="2:2" x14ac:dyDescent="0.25">
      <c r="B2285"/>
    </row>
    <row r="2286" spans="2:2" x14ac:dyDescent="0.25">
      <c r="B2286"/>
    </row>
    <row r="2287" spans="2:2" x14ac:dyDescent="0.25">
      <c r="B2287"/>
    </row>
    <row r="2288" spans="2:2" x14ac:dyDescent="0.25">
      <c r="B2288"/>
    </row>
    <row r="2289" spans="2:2" x14ac:dyDescent="0.25">
      <c r="B2289"/>
    </row>
    <row r="2290" spans="2:2" x14ac:dyDescent="0.25">
      <c r="B2290"/>
    </row>
    <row r="2291" spans="2:2" x14ac:dyDescent="0.25">
      <c r="B2291"/>
    </row>
    <row r="2292" spans="2:2" x14ac:dyDescent="0.25">
      <c r="B2292"/>
    </row>
    <row r="2293" spans="2:2" x14ac:dyDescent="0.25">
      <c r="B2293"/>
    </row>
    <row r="2294" spans="2:2" x14ac:dyDescent="0.25">
      <c r="B2294"/>
    </row>
    <row r="2295" spans="2:2" x14ac:dyDescent="0.25">
      <c r="B2295"/>
    </row>
    <row r="2296" spans="2:2" x14ac:dyDescent="0.25">
      <c r="B2296"/>
    </row>
    <row r="2297" spans="2:2" x14ac:dyDescent="0.25">
      <c r="B2297"/>
    </row>
    <row r="2298" spans="2:2" x14ac:dyDescent="0.25">
      <c r="B2298"/>
    </row>
    <row r="2299" spans="2:2" x14ac:dyDescent="0.25">
      <c r="B2299"/>
    </row>
    <row r="2300" spans="2:2" x14ac:dyDescent="0.25">
      <c r="B2300"/>
    </row>
    <row r="2301" spans="2:2" x14ac:dyDescent="0.25">
      <c r="B2301"/>
    </row>
    <row r="2302" spans="2:2" x14ac:dyDescent="0.25">
      <c r="B2302"/>
    </row>
    <row r="2303" spans="2:2" x14ac:dyDescent="0.25">
      <c r="B2303"/>
    </row>
    <row r="2304" spans="2:2" x14ac:dyDescent="0.25">
      <c r="B2304"/>
    </row>
    <row r="2305" spans="2:2" x14ac:dyDescent="0.25">
      <c r="B2305"/>
    </row>
    <row r="2306" spans="2:2" x14ac:dyDescent="0.25">
      <c r="B2306"/>
    </row>
    <row r="2307" spans="2:2" x14ac:dyDescent="0.25">
      <c r="B2307"/>
    </row>
    <row r="2308" spans="2:2" x14ac:dyDescent="0.25">
      <c r="B2308"/>
    </row>
    <row r="2309" spans="2:2" x14ac:dyDescent="0.25">
      <c r="B2309"/>
    </row>
    <row r="2310" spans="2:2" x14ac:dyDescent="0.25">
      <c r="B2310"/>
    </row>
    <row r="2311" spans="2:2" x14ac:dyDescent="0.25">
      <c r="B2311"/>
    </row>
    <row r="2312" spans="2:2" x14ac:dyDescent="0.25">
      <c r="B2312"/>
    </row>
    <row r="2313" spans="2:2" x14ac:dyDescent="0.25">
      <c r="B2313"/>
    </row>
    <row r="2314" spans="2:2" x14ac:dyDescent="0.25">
      <c r="B2314"/>
    </row>
    <row r="2315" spans="2:2" x14ac:dyDescent="0.25">
      <c r="B2315"/>
    </row>
    <row r="2316" spans="2:2" x14ac:dyDescent="0.25">
      <c r="B2316"/>
    </row>
    <row r="2317" spans="2:2" x14ac:dyDescent="0.25">
      <c r="B2317"/>
    </row>
    <row r="2318" spans="2:2" x14ac:dyDescent="0.25">
      <c r="B2318"/>
    </row>
    <row r="2319" spans="2:2" x14ac:dyDescent="0.25">
      <c r="B2319"/>
    </row>
    <row r="2320" spans="2:2" x14ac:dyDescent="0.25">
      <c r="B2320"/>
    </row>
    <row r="2321" spans="2:2" x14ac:dyDescent="0.25">
      <c r="B2321"/>
    </row>
    <row r="2322" spans="2:2" x14ac:dyDescent="0.25">
      <c r="B2322"/>
    </row>
    <row r="2323" spans="2:2" x14ac:dyDescent="0.25">
      <c r="B2323"/>
    </row>
    <row r="2324" spans="2:2" x14ac:dyDescent="0.25">
      <c r="B2324"/>
    </row>
    <row r="2325" spans="2:2" x14ac:dyDescent="0.25">
      <c r="B2325"/>
    </row>
    <row r="2326" spans="2:2" x14ac:dyDescent="0.25">
      <c r="B2326"/>
    </row>
    <row r="2327" spans="2:2" x14ac:dyDescent="0.25">
      <c r="B2327"/>
    </row>
    <row r="2328" spans="2:2" x14ac:dyDescent="0.25">
      <c r="B2328"/>
    </row>
    <row r="2329" spans="2:2" x14ac:dyDescent="0.25">
      <c r="B2329"/>
    </row>
    <row r="2330" spans="2:2" x14ac:dyDescent="0.25">
      <c r="B2330"/>
    </row>
    <row r="2331" spans="2:2" x14ac:dyDescent="0.25">
      <c r="B2331"/>
    </row>
    <row r="2332" spans="2:2" x14ac:dyDescent="0.25">
      <c r="B2332"/>
    </row>
    <row r="2333" spans="2:2" x14ac:dyDescent="0.25">
      <c r="B2333"/>
    </row>
    <row r="2334" spans="2:2" x14ac:dyDescent="0.25">
      <c r="B2334"/>
    </row>
    <row r="2335" spans="2:2" x14ac:dyDescent="0.25">
      <c r="B2335"/>
    </row>
    <row r="2336" spans="2:2" x14ac:dyDescent="0.25">
      <c r="B2336"/>
    </row>
    <row r="2337" spans="2:2" x14ac:dyDescent="0.25">
      <c r="B2337"/>
    </row>
    <row r="2338" spans="2:2" x14ac:dyDescent="0.25">
      <c r="B2338"/>
    </row>
    <row r="2339" spans="2:2" x14ac:dyDescent="0.25">
      <c r="B2339"/>
    </row>
    <row r="2340" spans="2:2" x14ac:dyDescent="0.25">
      <c r="B2340"/>
    </row>
    <row r="2341" spans="2:2" x14ac:dyDescent="0.25">
      <c r="B2341"/>
    </row>
    <row r="2342" spans="2:2" x14ac:dyDescent="0.25">
      <c r="B2342"/>
    </row>
    <row r="2343" spans="2:2" x14ac:dyDescent="0.25">
      <c r="B2343"/>
    </row>
    <row r="2344" spans="2:2" x14ac:dyDescent="0.25">
      <c r="B2344"/>
    </row>
    <row r="2345" spans="2:2" x14ac:dyDescent="0.25">
      <c r="B2345"/>
    </row>
    <row r="2346" spans="2:2" x14ac:dyDescent="0.25">
      <c r="B2346"/>
    </row>
    <row r="2347" spans="2:2" x14ac:dyDescent="0.25">
      <c r="B2347"/>
    </row>
    <row r="2348" spans="2:2" x14ac:dyDescent="0.25">
      <c r="B2348"/>
    </row>
    <row r="2349" spans="2:2" x14ac:dyDescent="0.25">
      <c r="B2349"/>
    </row>
    <row r="2350" spans="2:2" x14ac:dyDescent="0.25">
      <c r="B2350"/>
    </row>
    <row r="2351" spans="2:2" x14ac:dyDescent="0.25">
      <c r="B2351"/>
    </row>
    <row r="2352" spans="2:2" x14ac:dyDescent="0.25">
      <c r="B2352"/>
    </row>
    <row r="2353" spans="2:2" x14ac:dyDescent="0.25">
      <c r="B2353"/>
    </row>
    <row r="2354" spans="2:2" x14ac:dyDescent="0.25">
      <c r="B2354"/>
    </row>
    <row r="2355" spans="2:2" x14ac:dyDescent="0.25">
      <c r="B2355"/>
    </row>
    <row r="2356" spans="2:2" x14ac:dyDescent="0.25">
      <c r="B2356"/>
    </row>
    <row r="2357" spans="2:2" x14ac:dyDescent="0.25">
      <c r="B2357"/>
    </row>
    <row r="2358" spans="2:2" x14ac:dyDescent="0.25">
      <c r="B2358"/>
    </row>
    <row r="2359" spans="2:2" x14ac:dyDescent="0.25">
      <c r="B2359"/>
    </row>
    <row r="2360" spans="2:2" x14ac:dyDescent="0.25">
      <c r="B2360"/>
    </row>
    <row r="2361" spans="2:2" x14ac:dyDescent="0.25">
      <c r="B2361"/>
    </row>
    <row r="2362" spans="2:2" x14ac:dyDescent="0.25">
      <c r="B2362"/>
    </row>
    <row r="2363" spans="2:2" x14ac:dyDescent="0.25">
      <c r="B2363"/>
    </row>
    <row r="2364" spans="2:2" x14ac:dyDescent="0.25">
      <c r="B2364"/>
    </row>
    <row r="2365" spans="2:2" x14ac:dyDescent="0.25">
      <c r="B2365"/>
    </row>
    <row r="2366" spans="2:2" x14ac:dyDescent="0.25">
      <c r="B2366"/>
    </row>
    <row r="2367" spans="2:2" x14ac:dyDescent="0.25">
      <c r="B2367"/>
    </row>
    <row r="2368" spans="2:2" x14ac:dyDescent="0.25">
      <c r="B2368"/>
    </row>
    <row r="2369" spans="2:2" x14ac:dyDescent="0.25">
      <c r="B2369"/>
    </row>
    <row r="2370" spans="2:2" x14ac:dyDescent="0.25">
      <c r="B2370"/>
    </row>
    <row r="2371" spans="2:2" x14ac:dyDescent="0.25">
      <c r="B2371"/>
    </row>
    <row r="2372" spans="2:2" x14ac:dyDescent="0.25">
      <c r="B2372"/>
    </row>
    <row r="2373" spans="2:2" x14ac:dyDescent="0.25">
      <c r="B2373"/>
    </row>
    <row r="2374" spans="2:2" x14ac:dyDescent="0.25">
      <c r="B2374"/>
    </row>
    <row r="2375" spans="2:2" x14ac:dyDescent="0.25">
      <c r="B2375"/>
    </row>
    <row r="2376" spans="2:2" x14ac:dyDescent="0.25">
      <c r="B2376"/>
    </row>
    <row r="2377" spans="2:2" x14ac:dyDescent="0.25">
      <c r="B2377"/>
    </row>
    <row r="2378" spans="2:2" x14ac:dyDescent="0.25">
      <c r="B2378"/>
    </row>
    <row r="2379" spans="2:2" x14ac:dyDescent="0.25">
      <c r="B2379"/>
    </row>
    <row r="2380" spans="2:2" x14ac:dyDescent="0.25">
      <c r="B2380"/>
    </row>
    <row r="2381" spans="2:2" x14ac:dyDescent="0.25">
      <c r="B2381"/>
    </row>
    <row r="2382" spans="2:2" x14ac:dyDescent="0.25">
      <c r="B2382"/>
    </row>
    <row r="2383" spans="2:2" x14ac:dyDescent="0.25">
      <c r="B2383"/>
    </row>
    <row r="2384" spans="2:2" x14ac:dyDescent="0.25">
      <c r="B2384"/>
    </row>
    <row r="2385" spans="2:2" x14ac:dyDescent="0.25">
      <c r="B2385"/>
    </row>
    <row r="2386" spans="2:2" x14ac:dyDescent="0.25">
      <c r="B2386"/>
    </row>
    <row r="2387" spans="2:2" x14ac:dyDescent="0.25">
      <c r="B2387"/>
    </row>
    <row r="2388" spans="2:2" x14ac:dyDescent="0.25">
      <c r="B2388"/>
    </row>
    <row r="2389" spans="2:2" x14ac:dyDescent="0.25">
      <c r="B2389"/>
    </row>
    <row r="2390" spans="2:2" x14ac:dyDescent="0.25">
      <c r="B2390"/>
    </row>
    <row r="2391" spans="2:2" x14ac:dyDescent="0.25">
      <c r="B2391"/>
    </row>
    <row r="2392" spans="2:2" x14ac:dyDescent="0.25">
      <c r="B2392"/>
    </row>
    <row r="2393" spans="2:2" x14ac:dyDescent="0.25">
      <c r="B2393"/>
    </row>
    <row r="2394" spans="2:2" x14ac:dyDescent="0.25">
      <c r="B2394"/>
    </row>
    <row r="2395" spans="2:2" x14ac:dyDescent="0.25">
      <c r="B2395"/>
    </row>
    <row r="2396" spans="2:2" x14ac:dyDescent="0.25">
      <c r="B2396"/>
    </row>
    <row r="2397" spans="2:2" x14ac:dyDescent="0.25">
      <c r="B2397"/>
    </row>
    <row r="2398" spans="2:2" x14ac:dyDescent="0.25">
      <c r="B2398"/>
    </row>
    <row r="2399" spans="2:2" x14ac:dyDescent="0.25">
      <c r="B2399"/>
    </row>
    <row r="2400" spans="2:2" x14ac:dyDescent="0.25">
      <c r="B2400"/>
    </row>
    <row r="2401" spans="2:2" x14ac:dyDescent="0.25">
      <c r="B2401"/>
    </row>
    <row r="2402" spans="2:2" x14ac:dyDescent="0.25">
      <c r="B2402"/>
    </row>
    <row r="2403" spans="2:2" x14ac:dyDescent="0.25">
      <c r="B2403"/>
    </row>
    <row r="2404" spans="2:2" x14ac:dyDescent="0.25">
      <c r="B2404"/>
    </row>
    <row r="2405" spans="2:2" x14ac:dyDescent="0.25">
      <c r="B2405"/>
    </row>
    <row r="2406" spans="2:2" x14ac:dyDescent="0.25">
      <c r="B2406"/>
    </row>
    <row r="2407" spans="2:2" x14ac:dyDescent="0.25">
      <c r="B2407"/>
    </row>
    <row r="2408" spans="2:2" x14ac:dyDescent="0.25">
      <c r="B2408"/>
    </row>
    <row r="2409" spans="2:2" x14ac:dyDescent="0.25">
      <c r="B2409"/>
    </row>
    <row r="2410" spans="2:2" x14ac:dyDescent="0.25">
      <c r="B2410"/>
    </row>
    <row r="2411" spans="2:2" x14ac:dyDescent="0.25">
      <c r="B2411"/>
    </row>
    <row r="2412" spans="2:2" x14ac:dyDescent="0.25">
      <c r="B2412"/>
    </row>
    <row r="2413" spans="2:2" x14ac:dyDescent="0.25">
      <c r="B2413"/>
    </row>
    <row r="2414" spans="2:2" x14ac:dyDescent="0.25">
      <c r="B2414"/>
    </row>
    <row r="2415" spans="2:2" x14ac:dyDescent="0.25">
      <c r="B2415"/>
    </row>
    <row r="2416" spans="2:2" x14ac:dyDescent="0.25">
      <c r="B2416"/>
    </row>
    <row r="2417" spans="2:2" x14ac:dyDescent="0.25">
      <c r="B2417"/>
    </row>
    <row r="2418" spans="2:2" x14ac:dyDescent="0.25">
      <c r="B2418"/>
    </row>
    <row r="2419" spans="2:2" x14ac:dyDescent="0.25">
      <c r="B2419"/>
    </row>
    <row r="2420" spans="2:2" x14ac:dyDescent="0.25">
      <c r="B2420"/>
    </row>
    <row r="2421" spans="2:2" x14ac:dyDescent="0.25">
      <c r="B2421"/>
    </row>
    <row r="2422" spans="2:2" x14ac:dyDescent="0.25">
      <c r="B2422"/>
    </row>
    <row r="2423" spans="2:2" x14ac:dyDescent="0.25">
      <c r="B2423"/>
    </row>
    <row r="2424" spans="2:2" x14ac:dyDescent="0.25">
      <c r="B2424"/>
    </row>
    <row r="2425" spans="2:2" x14ac:dyDescent="0.25">
      <c r="B2425"/>
    </row>
    <row r="2426" spans="2:2" x14ac:dyDescent="0.25">
      <c r="B2426"/>
    </row>
    <row r="2427" spans="2:2" x14ac:dyDescent="0.25">
      <c r="B2427"/>
    </row>
    <row r="2428" spans="2:2" x14ac:dyDescent="0.25">
      <c r="B2428"/>
    </row>
    <row r="2429" spans="2:2" x14ac:dyDescent="0.25">
      <c r="B2429"/>
    </row>
    <row r="2430" spans="2:2" x14ac:dyDescent="0.25">
      <c r="B2430"/>
    </row>
    <row r="2431" spans="2:2" x14ac:dyDescent="0.25">
      <c r="B2431"/>
    </row>
    <row r="2432" spans="2:2" x14ac:dyDescent="0.25">
      <c r="B2432"/>
    </row>
    <row r="2433" spans="2:2" x14ac:dyDescent="0.25">
      <c r="B2433"/>
    </row>
    <row r="2434" spans="2:2" x14ac:dyDescent="0.25">
      <c r="B2434"/>
    </row>
    <row r="2435" spans="2:2" x14ac:dyDescent="0.25">
      <c r="B2435"/>
    </row>
    <row r="2436" spans="2:2" x14ac:dyDescent="0.25">
      <c r="B2436"/>
    </row>
    <row r="2437" spans="2:2" x14ac:dyDescent="0.25">
      <c r="B2437"/>
    </row>
    <row r="2438" spans="2:2" x14ac:dyDescent="0.25">
      <c r="B2438"/>
    </row>
    <row r="2439" spans="2:2" x14ac:dyDescent="0.25">
      <c r="B2439"/>
    </row>
    <row r="2440" spans="2:2" x14ac:dyDescent="0.25">
      <c r="B2440"/>
    </row>
    <row r="2441" spans="2:2" x14ac:dyDescent="0.25">
      <c r="B2441"/>
    </row>
    <row r="2442" spans="2:2" x14ac:dyDescent="0.25">
      <c r="B2442"/>
    </row>
    <row r="2443" spans="2:2" x14ac:dyDescent="0.25">
      <c r="B2443"/>
    </row>
    <row r="2444" spans="2:2" x14ac:dyDescent="0.25">
      <c r="B2444"/>
    </row>
    <row r="2445" spans="2:2" x14ac:dyDescent="0.25">
      <c r="B2445"/>
    </row>
    <row r="2446" spans="2:2" x14ac:dyDescent="0.25">
      <c r="B2446"/>
    </row>
    <row r="2447" spans="2:2" x14ac:dyDescent="0.25">
      <c r="B2447"/>
    </row>
    <row r="2448" spans="2:2" x14ac:dyDescent="0.25">
      <c r="B2448"/>
    </row>
    <row r="2449" spans="2:2" x14ac:dyDescent="0.25">
      <c r="B2449"/>
    </row>
    <row r="2450" spans="2:2" x14ac:dyDescent="0.25">
      <c r="B2450"/>
    </row>
    <row r="2451" spans="2:2" x14ac:dyDescent="0.25">
      <c r="B2451"/>
    </row>
    <row r="2452" spans="2:2" x14ac:dyDescent="0.25">
      <c r="B2452"/>
    </row>
    <row r="2453" spans="2:2" x14ac:dyDescent="0.25">
      <c r="B2453"/>
    </row>
    <row r="2454" spans="2:2" x14ac:dyDescent="0.25">
      <c r="B2454"/>
    </row>
    <row r="2455" spans="2:2" x14ac:dyDescent="0.25">
      <c r="B2455"/>
    </row>
    <row r="2456" spans="2:2" x14ac:dyDescent="0.25">
      <c r="B2456"/>
    </row>
    <row r="2457" spans="2:2" x14ac:dyDescent="0.25">
      <c r="B2457"/>
    </row>
    <row r="2458" spans="2:2" x14ac:dyDescent="0.25">
      <c r="B2458"/>
    </row>
    <row r="2459" spans="2:2" x14ac:dyDescent="0.25">
      <c r="B2459"/>
    </row>
    <row r="2460" spans="2:2" x14ac:dyDescent="0.25">
      <c r="B2460"/>
    </row>
    <row r="2461" spans="2:2" x14ac:dyDescent="0.25">
      <c r="B2461"/>
    </row>
    <row r="2462" spans="2:2" x14ac:dyDescent="0.25">
      <c r="B2462"/>
    </row>
    <row r="2463" spans="2:2" x14ac:dyDescent="0.25">
      <c r="B2463"/>
    </row>
    <row r="2464" spans="2:2" x14ac:dyDescent="0.25">
      <c r="B2464"/>
    </row>
    <row r="2465" spans="2:2" x14ac:dyDescent="0.25">
      <c r="B2465"/>
    </row>
    <row r="2466" spans="2:2" x14ac:dyDescent="0.25">
      <c r="B2466"/>
    </row>
    <row r="2467" spans="2:2" x14ac:dyDescent="0.25">
      <c r="B2467"/>
    </row>
    <row r="2468" spans="2:2" x14ac:dyDescent="0.25">
      <c r="B2468"/>
    </row>
    <row r="2469" spans="2:2" x14ac:dyDescent="0.25">
      <c r="B2469"/>
    </row>
    <row r="2470" spans="2:2" x14ac:dyDescent="0.25">
      <c r="B2470"/>
    </row>
    <row r="2471" spans="2:2" x14ac:dyDescent="0.25">
      <c r="B2471"/>
    </row>
    <row r="2472" spans="2:2" x14ac:dyDescent="0.25">
      <c r="B2472"/>
    </row>
    <row r="2473" spans="2:2" x14ac:dyDescent="0.25">
      <c r="B2473"/>
    </row>
    <row r="2474" spans="2:2" x14ac:dyDescent="0.25">
      <c r="B2474"/>
    </row>
    <row r="2475" spans="2:2" x14ac:dyDescent="0.25">
      <c r="B2475"/>
    </row>
    <row r="2476" spans="2:2" x14ac:dyDescent="0.25">
      <c r="B2476"/>
    </row>
    <row r="2477" spans="2:2" x14ac:dyDescent="0.25">
      <c r="B2477"/>
    </row>
    <row r="2478" spans="2:2" x14ac:dyDescent="0.25">
      <c r="B2478"/>
    </row>
    <row r="2479" spans="2:2" x14ac:dyDescent="0.25">
      <c r="B2479"/>
    </row>
    <row r="2480" spans="2:2" x14ac:dyDescent="0.25">
      <c r="B2480"/>
    </row>
    <row r="2481" spans="2:2" x14ac:dyDescent="0.25">
      <c r="B2481"/>
    </row>
    <row r="2482" spans="2:2" x14ac:dyDescent="0.25">
      <c r="B2482"/>
    </row>
    <row r="2483" spans="2:2" x14ac:dyDescent="0.25">
      <c r="B2483"/>
    </row>
    <row r="2484" spans="2:2" x14ac:dyDescent="0.25">
      <c r="B2484"/>
    </row>
    <row r="2485" spans="2:2" x14ac:dyDescent="0.25">
      <c r="B2485"/>
    </row>
    <row r="2486" spans="2:2" x14ac:dyDescent="0.25">
      <c r="B2486"/>
    </row>
    <row r="2487" spans="2:2" x14ac:dyDescent="0.25">
      <c r="B2487"/>
    </row>
    <row r="2488" spans="2:2" x14ac:dyDescent="0.25">
      <c r="B2488"/>
    </row>
    <row r="2489" spans="2:2" x14ac:dyDescent="0.25">
      <c r="B2489"/>
    </row>
    <row r="2490" spans="2:2" x14ac:dyDescent="0.25">
      <c r="B2490"/>
    </row>
    <row r="2491" spans="2:2" x14ac:dyDescent="0.25">
      <c r="B2491"/>
    </row>
    <row r="2492" spans="2:2" x14ac:dyDescent="0.25">
      <c r="B2492"/>
    </row>
    <row r="2493" spans="2:2" x14ac:dyDescent="0.25">
      <c r="B2493"/>
    </row>
    <row r="2494" spans="2:2" x14ac:dyDescent="0.25">
      <c r="B2494"/>
    </row>
    <row r="2495" spans="2:2" x14ac:dyDescent="0.25">
      <c r="B2495"/>
    </row>
    <row r="2496" spans="2:2" x14ac:dyDescent="0.25">
      <c r="B2496"/>
    </row>
    <row r="2497" spans="2:2" x14ac:dyDescent="0.25">
      <c r="B2497"/>
    </row>
    <row r="2498" spans="2:2" x14ac:dyDescent="0.25">
      <c r="B2498"/>
    </row>
    <row r="2499" spans="2:2" x14ac:dyDescent="0.25">
      <c r="B2499"/>
    </row>
    <row r="2500" spans="2:2" x14ac:dyDescent="0.25">
      <c r="B2500"/>
    </row>
    <row r="2501" spans="2:2" x14ac:dyDescent="0.25">
      <c r="B2501"/>
    </row>
    <row r="2502" spans="2:2" x14ac:dyDescent="0.25">
      <c r="B2502"/>
    </row>
    <row r="2503" spans="2:2" x14ac:dyDescent="0.25">
      <c r="B2503"/>
    </row>
    <row r="2504" spans="2:2" x14ac:dyDescent="0.25">
      <c r="B2504"/>
    </row>
    <row r="2505" spans="2:2" x14ac:dyDescent="0.25">
      <c r="B2505"/>
    </row>
    <row r="2506" spans="2:2" x14ac:dyDescent="0.25">
      <c r="B2506"/>
    </row>
    <row r="2507" spans="2:2" x14ac:dyDescent="0.25">
      <c r="B2507"/>
    </row>
    <row r="2508" spans="2:2" x14ac:dyDescent="0.25">
      <c r="B2508"/>
    </row>
    <row r="2509" spans="2:2" x14ac:dyDescent="0.25">
      <c r="B2509"/>
    </row>
    <row r="2510" spans="2:2" x14ac:dyDescent="0.25">
      <c r="B2510"/>
    </row>
    <row r="2511" spans="2:2" x14ac:dyDescent="0.25">
      <c r="B2511"/>
    </row>
    <row r="2512" spans="2:2" x14ac:dyDescent="0.25">
      <c r="B2512"/>
    </row>
    <row r="2513" spans="2:2" x14ac:dyDescent="0.25">
      <c r="B2513"/>
    </row>
    <row r="2514" spans="2:2" x14ac:dyDescent="0.25">
      <c r="B2514"/>
    </row>
    <row r="2515" spans="2:2" x14ac:dyDescent="0.25">
      <c r="B2515"/>
    </row>
    <row r="2516" spans="2:2" x14ac:dyDescent="0.25">
      <c r="B2516"/>
    </row>
    <row r="2517" spans="2:2" x14ac:dyDescent="0.25">
      <c r="B2517"/>
    </row>
    <row r="2518" spans="2:2" x14ac:dyDescent="0.25">
      <c r="B2518"/>
    </row>
    <row r="2519" spans="2:2" x14ac:dyDescent="0.25">
      <c r="B2519"/>
    </row>
    <row r="2520" spans="2:2" x14ac:dyDescent="0.25">
      <c r="B2520"/>
    </row>
    <row r="2521" spans="2:2" x14ac:dyDescent="0.25">
      <c r="B2521"/>
    </row>
    <row r="2522" spans="2:2" x14ac:dyDescent="0.25">
      <c r="B2522"/>
    </row>
    <row r="2523" spans="2:2" x14ac:dyDescent="0.25">
      <c r="B2523"/>
    </row>
    <row r="2524" spans="2:2" x14ac:dyDescent="0.25">
      <c r="B2524"/>
    </row>
    <row r="2525" spans="2:2" x14ac:dyDescent="0.25">
      <c r="B2525"/>
    </row>
    <row r="2526" spans="2:2" x14ac:dyDescent="0.25">
      <c r="B2526"/>
    </row>
    <row r="2527" spans="2:2" x14ac:dyDescent="0.25">
      <c r="B2527"/>
    </row>
    <row r="2528" spans="2:2" x14ac:dyDescent="0.25">
      <c r="B2528"/>
    </row>
    <row r="2529" spans="2:2" x14ac:dyDescent="0.25">
      <c r="B2529"/>
    </row>
    <row r="2530" spans="2:2" x14ac:dyDescent="0.25">
      <c r="B2530"/>
    </row>
    <row r="2531" spans="2:2" x14ac:dyDescent="0.25">
      <c r="B2531"/>
    </row>
    <row r="2532" spans="2:2" x14ac:dyDescent="0.25">
      <c r="B2532"/>
    </row>
    <row r="2533" spans="2:2" x14ac:dyDescent="0.25">
      <c r="B2533"/>
    </row>
    <row r="2534" spans="2:2" x14ac:dyDescent="0.25">
      <c r="B2534"/>
    </row>
    <row r="2535" spans="2:2" x14ac:dyDescent="0.25">
      <c r="B2535"/>
    </row>
    <row r="2536" spans="2:2" x14ac:dyDescent="0.25">
      <c r="B2536"/>
    </row>
    <row r="2537" spans="2:2" x14ac:dyDescent="0.25">
      <c r="B2537"/>
    </row>
    <row r="2538" spans="2:2" x14ac:dyDescent="0.25">
      <c r="B2538"/>
    </row>
    <row r="2539" spans="2:2" x14ac:dyDescent="0.25">
      <c r="B2539"/>
    </row>
    <row r="2540" spans="2:2" x14ac:dyDescent="0.25">
      <c r="B2540"/>
    </row>
    <row r="2541" spans="2:2" x14ac:dyDescent="0.25">
      <c r="B2541"/>
    </row>
    <row r="2542" spans="2:2" x14ac:dyDescent="0.25">
      <c r="B2542"/>
    </row>
    <row r="2543" spans="2:2" x14ac:dyDescent="0.25">
      <c r="B2543"/>
    </row>
    <row r="2544" spans="2:2" x14ac:dyDescent="0.25">
      <c r="B2544"/>
    </row>
    <row r="2545" spans="2:2" x14ac:dyDescent="0.25">
      <c r="B2545"/>
    </row>
    <row r="2546" spans="2:2" x14ac:dyDescent="0.25">
      <c r="B2546"/>
    </row>
    <row r="2547" spans="2:2" x14ac:dyDescent="0.25">
      <c r="B2547"/>
    </row>
    <row r="2548" spans="2:2" x14ac:dyDescent="0.25">
      <c r="B2548"/>
    </row>
    <row r="2549" spans="2:2" x14ac:dyDescent="0.25">
      <c r="B2549"/>
    </row>
    <row r="2550" spans="2:2" x14ac:dyDescent="0.25">
      <c r="B2550"/>
    </row>
    <row r="2551" spans="2:2" x14ac:dyDescent="0.25">
      <c r="B2551"/>
    </row>
    <row r="2552" spans="2:2" x14ac:dyDescent="0.25">
      <c r="B2552"/>
    </row>
    <row r="2553" spans="2:2" x14ac:dyDescent="0.25">
      <c r="B2553"/>
    </row>
    <row r="2554" spans="2:2" x14ac:dyDescent="0.25">
      <c r="B2554"/>
    </row>
    <row r="2555" spans="2:2" x14ac:dyDescent="0.25">
      <c r="B2555"/>
    </row>
    <row r="2556" spans="2:2" x14ac:dyDescent="0.25">
      <c r="B2556"/>
    </row>
    <row r="2557" spans="2:2" x14ac:dyDescent="0.25">
      <c r="B2557"/>
    </row>
    <row r="2558" spans="2:2" x14ac:dyDescent="0.25">
      <c r="B2558"/>
    </row>
    <row r="2559" spans="2:2" x14ac:dyDescent="0.25">
      <c r="B2559"/>
    </row>
    <row r="2560" spans="2:2" x14ac:dyDescent="0.25">
      <c r="B2560"/>
    </row>
    <row r="2561" spans="2:2" x14ac:dyDescent="0.25">
      <c r="B2561"/>
    </row>
    <row r="2562" spans="2:2" x14ac:dyDescent="0.25">
      <c r="B2562"/>
    </row>
    <row r="2563" spans="2:2" x14ac:dyDescent="0.25">
      <c r="B2563"/>
    </row>
    <row r="2564" spans="2:2" x14ac:dyDescent="0.25">
      <c r="B2564"/>
    </row>
    <row r="2565" spans="2:2" x14ac:dyDescent="0.25">
      <c r="B2565"/>
    </row>
    <row r="2566" spans="2:2" x14ac:dyDescent="0.25">
      <c r="B2566"/>
    </row>
    <row r="2567" spans="2:2" x14ac:dyDescent="0.25">
      <c r="B2567"/>
    </row>
    <row r="2568" spans="2:2" x14ac:dyDescent="0.25">
      <c r="B2568"/>
    </row>
    <row r="2569" spans="2:2" x14ac:dyDescent="0.25">
      <c r="B2569"/>
    </row>
    <row r="2570" spans="2:2" x14ac:dyDescent="0.25">
      <c r="B2570"/>
    </row>
    <row r="2571" spans="2:2" x14ac:dyDescent="0.25">
      <c r="B2571"/>
    </row>
    <row r="2572" spans="2:2" x14ac:dyDescent="0.25">
      <c r="B2572"/>
    </row>
    <row r="2573" spans="2:2" x14ac:dyDescent="0.25">
      <c r="B2573"/>
    </row>
    <row r="2574" spans="2:2" x14ac:dyDescent="0.25">
      <c r="B2574"/>
    </row>
    <row r="2575" spans="2:2" x14ac:dyDescent="0.25">
      <c r="B2575"/>
    </row>
    <row r="2576" spans="2:2" x14ac:dyDescent="0.25">
      <c r="B2576"/>
    </row>
    <row r="2577" spans="2:2" x14ac:dyDescent="0.25">
      <c r="B2577"/>
    </row>
    <row r="2578" spans="2:2" x14ac:dyDescent="0.25">
      <c r="B2578"/>
    </row>
    <row r="2579" spans="2:2" x14ac:dyDescent="0.25">
      <c r="B2579"/>
    </row>
    <row r="2580" spans="2:2" x14ac:dyDescent="0.25">
      <c r="B2580"/>
    </row>
    <row r="2581" spans="2:2" x14ac:dyDescent="0.25">
      <c r="B2581"/>
    </row>
    <row r="2582" spans="2:2" x14ac:dyDescent="0.25">
      <c r="B2582"/>
    </row>
    <row r="2583" spans="2:2" x14ac:dyDescent="0.25">
      <c r="B2583"/>
    </row>
    <row r="2584" spans="2:2" x14ac:dyDescent="0.25">
      <c r="B2584"/>
    </row>
    <row r="2585" spans="2:2" x14ac:dyDescent="0.25">
      <c r="B2585"/>
    </row>
    <row r="2586" spans="2:2" x14ac:dyDescent="0.25">
      <c r="B2586"/>
    </row>
    <row r="2587" spans="2:2" x14ac:dyDescent="0.25">
      <c r="B2587"/>
    </row>
    <row r="2588" spans="2:2" x14ac:dyDescent="0.25">
      <c r="B2588"/>
    </row>
    <row r="2589" spans="2:2" x14ac:dyDescent="0.25">
      <c r="B2589"/>
    </row>
    <row r="2590" spans="2:2" x14ac:dyDescent="0.25">
      <c r="B2590"/>
    </row>
    <row r="2591" spans="2:2" x14ac:dyDescent="0.25">
      <c r="B2591"/>
    </row>
    <row r="2592" spans="2:2" x14ac:dyDescent="0.25">
      <c r="B2592"/>
    </row>
    <row r="2593" spans="2:2" x14ac:dyDescent="0.25">
      <c r="B2593"/>
    </row>
    <row r="2594" spans="2:2" x14ac:dyDescent="0.25">
      <c r="B2594"/>
    </row>
    <row r="2595" spans="2:2" x14ac:dyDescent="0.25">
      <c r="B2595"/>
    </row>
    <row r="2596" spans="2:2" x14ac:dyDescent="0.25">
      <c r="B2596"/>
    </row>
    <row r="2597" spans="2:2" x14ac:dyDescent="0.25">
      <c r="B2597"/>
    </row>
    <row r="2598" spans="2:2" x14ac:dyDescent="0.25">
      <c r="B2598"/>
    </row>
    <row r="2599" spans="2:2" x14ac:dyDescent="0.25">
      <c r="B2599"/>
    </row>
    <row r="2600" spans="2:2" x14ac:dyDescent="0.25">
      <c r="B2600"/>
    </row>
    <row r="2601" spans="2:2" x14ac:dyDescent="0.25">
      <c r="B2601"/>
    </row>
    <row r="2602" spans="2:2" x14ac:dyDescent="0.25">
      <c r="B2602"/>
    </row>
    <row r="2603" spans="2:2" x14ac:dyDescent="0.25">
      <c r="B2603"/>
    </row>
    <row r="2604" spans="2:2" x14ac:dyDescent="0.25">
      <c r="B2604"/>
    </row>
    <row r="2605" spans="2:2" x14ac:dyDescent="0.25">
      <c r="B2605"/>
    </row>
    <row r="2606" spans="2:2" x14ac:dyDescent="0.25">
      <c r="B2606"/>
    </row>
    <row r="2607" spans="2:2" x14ac:dyDescent="0.25">
      <c r="B2607"/>
    </row>
    <row r="2608" spans="2:2" x14ac:dyDescent="0.25">
      <c r="B2608"/>
    </row>
    <row r="2609" spans="2:2" x14ac:dyDescent="0.25">
      <c r="B2609"/>
    </row>
    <row r="2610" spans="2:2" x14ac:dyDescent="0.25">
      <c r="B2610"/>
    </row>
    <row r="2611" spans="2:2" x14ac:dyDescent="0.25">
      <c r="B2611"/>
    </row>
    <row r="2612" spans="2:2" x14ac:dyDescent="0.25">
      <c r="B2612"/>
    </row>
    <row r="2613" spans="2:2" x14ac:dyDescent="0.25">
      <c r="B2613"/>
    </row>
    <row r="2614" spans="2:2" x14ac:dyDescent="0.25">
      <c r="B2614"/>
    </row>
    <row r="2615" spans="2:2" x14ac:dyDescent="0.25">
      <c r="B2615"/>
    </row>
    <row r="2616" spans="2:2" x14ac:dyDescent="0.25">
      <c r="B2616"/>
    </row>
    <row r="2617" spans="2:2" x14ac:dyDescent="0.25">
      <c r="B2617"/>
    </row>
    <row r="2618" spans="2:2" x14ac:dyDescent="0.25">
      <c r="B2618"/>
    </row>
    <row r="2619" spans="2:2" x14ac:dyDescent="0.25">
      <c r="B2619"/>
    </row>
    <row r="2620" spans="2:2" x14ac:dyDescent="0.25">
      <c r="B2620"/>
    </row>
    <row r="2621" spans="2:2" x14ac:dyDescent="0.25">
      <c r="B2621"/>
    </row>
    <row r="2622" spans="2:2" x14ac:dyDescent="0.25">
      <c r="B2622"/>
    </row>
    <row r="2623" spans="2:2" x14ac:dyDescent="0.25">
      <c r="B2623"/>
    </row>
    <row r="2624" spans="2:2" x14ac:dyDescent="0.25">
      <c r="B2624"/>
    </row>
    <row r="2625" spans="2:2" x14ac:dyDescent="0.25">
      <c r="B2625"/>
    </row>
    <row r="2626" spans="2:2" x14ac:dyDescent="0.25">
      <c r="B2626"/>
    </row>
    <row r="2627" spans="2:2" x14ac:dyDescent="0.25">
      <c r="B2627"/>
    </row>
    <row r="2628" spans="2:2" x14ac:dyDescent="0.25">
      <c r="B2628"/>
    </row>
    <row r="2629" spans="2:2" x14ac:dyDescent="0.25">
      <c r="B2629"/>
    </row>
    <row r="2630" spans="2:2" x14ac:dyDescent="0.25">
      <c r="B2630"/>
    </row>
    <row r="2631" spans="2:2" x14ac:dyDescent="0.25">
      <c r="B2631"/>
    </row>
    <row r="2632" spans="2:2" x14ac:dyDescent="0.25">
      <c r="B2632"/>
    </row>
    <row r="2633" spans="2:2" x14ac:dyDescent="0.25">
      <c r="B2633"/>
    </row>
    <row r="2634" spans="2:2" x14ac:dyDescent="0.25">
      <c r="B2634"/>
    </row>
    <row r="2635" spans="2:2" x14ac:dyDescent="0.25">
      <c r="B2635"/>
    </row>
    <row r="2636" spans="2:2" x14ac:dyDescent="0.25">
      <c r="B2636"/>
    </row>
    <row r="2637" spans="2:2" x14ac:dyDescent="0.25">
      <c r="B2637"/>
    </row>
    <row r="2638" spans="2:2" x14ac:dyDescent="0.25">
      <c r="B2638"/>
    </row>
    <row r="2639" spans="2:2" x14ac:dyDescent="0.25">
      <c r="B2639"/>
    </row>
    <row r="2640" spans="2:2" x14ac:dyDescent="0.25">
      <c r="B2640"/>
    </row>
    <row r="2641" spans="2:2" x14ac:dyDescent="0.25">
      <c r="B2641"/>
    </row>
    <row r="2642" spans="2:2" x14ac:dyDescent="0.25">
      <c r="B2642"/>
    </row>
    <row r="2643" spans="2:2" x14ac:dyDescent="0.25">
      <c r="B2643"/>
    </row>
    <row r="2644" spans="2:2" x14ac:dyDescent="0.25">
      <c r="B2644"/>
    </row>
    <row r="2645" spans="2:2" x14ac:dyDescent="0.25">
      <c r="B2645"/>
    </row>
    <row r="2646" spans="2:2" x14ac:dyDescent="0.25">
      <c r="B2646"/>
    </row>
    <row r="2647" spans="2:2" x14ac:dyDescent="0.25">
      <c r="B2647"/>
    </row>
    <row r="2648" spans="2:2" x14ac:dyDescent="0.25">
      <c r="B2648"/>
    </row>
    <row r="2649" spans="2:2" x14ac:dyDescent="0.25">
      <c r="B2649"/>
    </row>
    <row r="2650" spans="2:2" x14ac:dyDescent="0.25">
      <c r="B2650"/>
    </row>
    <row r="2651" spans="2:2" x14ac:dyDescent="0.25">
      <c r="B2651"/>
    </row>
    <row r="2652" spans="2:2" x14ac:dyDescent="0.25">
      <c r="B2652"/>
    </row>
    <row r="2653" spans="2:2" x14ac:dyDescent="0.25">
      <c r="B2653"/>
    </row>
    <row r="2654" spans="2:2" x14ac:dyDescent="0.25">
      <c r="B2654"/>
    </row>
    <row r="2655" spans="2:2" x14ac:dyDescent="0.25">
      <c r="B2655"/>
    </row>
    <row r="2656" spans="2:2" x14ac:dyDescent="0.25">
      <c r="B2656"/>
    </row>
    <row r="2657" spans="2:2" x14ac:dyDescent="0.25">
      <c r="B2657"/>
    </row>
    <row r="2658" spans="2:2" x14ac:dyDescent="0.25">
      <c r="B2658"/>
    </row>
    <row r="2659" spans="2:2" x14ac:dyDescent="0.25">
      <c r="B2659"/>
    </row>
    <row r="2660" spans="2:2" x14ac:dyDescent="0.25">
      <c r="B2660"/>
    </row>
    <row r="2661" spans="2:2" x14ac:dyDescent="0.25">
      <c r="B2661"/>
    </row>
    <row r="2662" spans="2:2" x14ac:dyDescent="0.25">
      <c r="B2662"/>
    </row>
    <row r="2663" spans="2:2" x14ac:dyDescent="0.25">
      <c r="B2663"/>
    </row>
    <row r="2664" spans="2:2" x14ac:dyDescent="0.25">
      <c r="B2664"/>
    </row>
    <row r="2665" spans="2:2" x14ac:dyDescent="0.25">
      <c r="B2665"/>
    </row>
    <row r="2666" spans="2:2" x14ac:dyDescent="0.25">
      <c r="B2666"/>
    </row>
    <row r="2667" spans="2:2" x14ac:dyDescent="0.25">
      <c r="B2667"/>
    </row>
    <row r="2668" spans="2:2" x14ac:dyDescent="0.25">
      <c r="B2668"/>
    </row>
    <row r="2669" spans="2:2" x14ac:dyDescent="0.25">
      <c r="B2669"/>
    </row>
    <row r="2670" spans="2:2" x14ac:dyDescent="0.25">
      <c r="B2670"/>
    </row>
    <row r="2671" spans="2:2" x14ac:dyDescent="0.25">
      <c r="B2671"/>
    </row>
    <row r="2672" spans="2:2" x14ac:dyDescent="0.25">
      <c r="B2672"/>
    </row>
    <row r="2673" spans="2:2" x14ac:dyDescent="0.25">
      <c r="B2673"/>
    </row>
    <row r="2674" spans="2:2" x14ac:dyDescent="0.25">
      <c r="B2674"/>
    </row>
    <row r="2675" spans="2:2" x14ac:dyDescent="0.25">
      <c r="B2675"/>
    </row>
    <row r="2676" spans="2:2" x14ac:dyDescent="0.25">
      <c r="B2676"/>
    </row>
    <row r="2677" spans="2:2" x14ac:dyDescent="0.25">
      <c r="B2677"/>
    </row>
    <row r="2678" spans="2:2" x14ac:dyDescent="0.25">
      <c r="B2678"/>
    </row>
    <row r="2679" spans="2:2" x14ac:dyDescent="0.25">
      <c r="B2679"/>
    </row>
    <row r="2680" spans="2:2" x14ac:dyDescent="0.25">
      <c r="B2680"/>
    </row>
    <row r="2681" spans="2:2" x14ac:dyDescent="0.25">
      <c r="B2681"/>
    </row>
    <row r="2682" spans="2:2" x14ac:dyDescent="0.25">
      <c r="B2682"/>
    </row>
    <row r="2683" spans="2:2" x14ac:dyDescent="0.25">
      <c r="B2683"/>
    </row>
    <row r="2684" spans="2:2" x14ac:dyDescent="0.25">
      <c r="B2684"/>
    </row>
    <row r="2685" spans="2:2" x14ac:dyDescent="0.25">
      <c r="B2685"/>
    </row>
    <row r="2686" spans="2:2" x14ac:dyDescent="0.25">
      <c r="B2686"/>
    </row>
    <row r="2687" spans="2:2" x14ac:dyDescent="0.25">
      <c r="B2687"/>
    </row>
    <row r="2688" spans="2:2" x14ac:dyDescent="0.25">
      <c r="B2688"/>
    </row>
    <row r="2689" spans="2:2" x14ac:dyDescent="0.25">
      <c r="B2689"/>
    </row>
    <row r="2690" spans="2:2" x14ac:dyDescent="0.25">
      <c r="B2690"/>
    </row>
    <row r="2691" spans="2:2" x14ac:dyDescent="0.25">
      <c r="B2691"/>
    </row>
    <row r="2692" spans="2:2" x14ac:dyDescent="0.25">
      <c r="B2692"/>
    </row>
    <row r="2693" spans="2:2" x14ac:dyDescent="0.25">
      <c r="B2693"/>
    </row>
    <row r="2694" spans="2:2" x14ac:dyDescent="0.25">
      <c r="B2694"/>
    </row>
    <row r="2695" spans="2:2" x14ac:dyDescent="0.25">
      <c r="B2695"/>
    </row>
    <row r="2696" spans="2:2" x14ac:dyDescent="0.25">
      <c r="B2696"/>
    </row>
    <row r="2697" spans="2:2" x14ac:dyDescent="0.25">
      <c r="B2697"/>
    </row>
    <row r="2698" spans="2:2" x14ac:dyDescent="0.25">
      <c r="B2698"/>
    </row>
    <row r="2699" spans="2:2" x14ac:dyDescent="0.25">
      <c r="B2699"/>
    </row>
    <row r="2700" spans="2:2" x14ac:dyDescent="0.25">
      <c r="B2700"/>
    </row>
    <row r="2701" spans="2:2" x14ac:dyDescent="0.25">
      <c r="B2701"/>
    </row>
    <row r="2702" spans="2:2" x14ac:dyDescent="0.25">
      <c r="B2702"/>
    </row>
    <row r="2703" spans="2:2" x14ac:dyDescent="0.25">
      <c r="B2703"/>
    </row>
    <row r="2704" spans="2:2" x14ac:dyDescent="0.25">
      <c r="B2704"/>
    </row>
    <row r="2705" spans="2:2" x14ac:dyDescent="0.25">
      <c r="B2705"/>
    </row>
    <row r="2706" spans="2:2" x14ac:dyDescent="0.25">
      <c r="B2706"/>
    </row>
    <row r="2707" spans="2:2" x14ac:dyDescent="0.25">
      <c r="B2707"/>
    </row>
    <row r="2708" spans="2:2" x14ac:dyDescent="0.25">
      <c r="B2708"/>
    </row>
    <row r="2709" spans="2:2" x14ac:dyDescent="0.25">
      <c r="B2709"/>
    </row>
    <row r="2710" spans="2:2" x14ac:dyDescent="0.25">
      <c r="B2710"/>
    </row>
    <row r="2711" spans="2:2" x14ac:dyDescent="0.25">
      <c r="B2711"/>
    </row>
    <row r="2712" spans="2:2" x14ac:dyDescent="0.25">
      <c r="B2712"/>
    </row>
    <row r="2713" spans="2:2" x14ac:dyDescent="0.25">
      <c r="B2713"/>
    </row>
    <row r="2714" spans="2:2" x14ac:dyDescent="0.25">
      <c r="B2714"/>
    </row>
    <row r="2715" spans="2:2" x14ac:dyDescent="0.25">
      <c r="B2715"/>
    </row>
    <row r="2716" spans="2:2" x14ac:dyDescent="0.25">
      <c r="B2716"/>
    </row>
    <row r="2717" spans="2:2" x14ac:dyDescent="0.25">
      <c r="B2717"/>
    </row>
    <row r="2718" spans="2:2" x14ac:dyDescent="0.25">
      <c r="B2718"/>
    </row>
    <row r="2719" spans="2:2" x14ac:dyDescent="0.25">
      <c r="B2719"/>
    </row>
    <row r="2720" spans="2:2" x14ac:dyDescent="0.25">
      <c r="B2720"/>
    </row>
    <row r="2721" spans="2:2" x14ac:dyDescent="0.25">
      <c r="B2721"/>
    </row>
    <row r="2722" spans="2:2" x14ac:dyDescent="0.25">
      <c r="B2722"/>
    </row>
    <row r="2723" spans="2:2" x14ac:dyDescent="0.25">
      <c r="B2723"/>
    </row>
    <row r="2724" spans="2:2" x14ac:dyDescent="0.25">
      <c r="B2724"/>
    </row>
    <row r="2725" spans="2:2" x14ac:dyDescent="0.25">
      <c r="B2725"/>
    </row>
    <row r="2726" spans="2:2" x14ac:dyDescent="0.25">
      <c r="B2726"/>
    </row>
    <row r="2727" spans="2:2" x14ac:dyDescent="0.25">
      <c r="B2727"/>
    </row>
    <row r="2728" spans="2:2" x14ac:dyDescent="0.25">
      <c r="B2728"/>
    </row>
    <row r="2729" spans="2:2" x14ac:dyDescent="0.25">
      <c r="B2729"/>
    </row>
    <row r="2730" spans="2:2" x14ac:dyDescent="0.25">
      <c r="B2730"/>
    </row>
    <row r="2731" spans="2:2" x14ac:dyDescent="0.25">
      <c r="B2731"/>
    </row>
    <row r="2732" spans="2:2" x14ac:dyDescent="0.25">
      <c r="B2732"/>
    </row>
    <row r="2733" spans="2:2" x14ac:dyDescent="0.25">
      <c r="B2733"/>
    </row>
    <row r="2734" spans="2:2" x14ac:dyDescent="0.25">
      <c r="B2734"/>
    </row>
    <row r="2735" spans="2:2" x14ac:dyDescent="0.25">
      <c r="B2735"/>
    </row>
    <row r="2736" spans="2:2" x14ac:dyDescent="0.25">
      <c r="B2736"/>
    </row>
    <row r="2737" spans="2:2" x14ac:dyDescent="0.25">
      <c r="B2737"/>
    </row>
    <row r="2738" spans="2:2" x14ac:dyDescent="0.25">
      <c r="B2738"/>
    </row>
    <row r="2739" spans="2:2" x14ac:dyDescent="0.25">
      <c r="B2739"/>
    </row>
    <row r="2740" spans="2:2" x14ac:dyDescent="0.25">
      <c r="B2740"/>
    </row>
    <row r="2741" spans="2:2" x14ac:dyDescent="0.25">
      <c r="B2741"/>
    </row>
    <row r="2742" spans="2:2" x14ac:dyDescent="0.25">
      <c r="B2742"/>
    </row>
    <row r="2743" spans="2:2" x14ac:dyDescent="0.25">
      <c r="B2743"/>
    </row>
    <row r="2744" spans="2:2" x14ac:dyDescent="0.25">
      <c r="B2744"/>
    </row>
    <row r="2745" spans="2:2" x14ac:dyDescent="0.25">
      <c r="B2745"/>
    </row>
    <row r="2746" spans="2:2" x14ac:dyDescent="0.25">
      <c r="B2746"/>
    </row>
    <row r="2747" spans="2:2" x14ac:dyDescent="0.25">
      <c r="B2747"/>
    </row>
    <row r="2748" spans="2:2" x14ac:dyDescent="0.25">
      <c r="B2748"/>
    </row>
    <row r="2749" spans="2:2" x14ac:dyDescent="0.25">
      <c r="B2749"/>
    </row>
    <row r="2750" spans="2:2" x14ac:dyDescent="0.25">
      <c r="B2750"/>
    </row>
    <row r="2751" spans="2:2" x14ac:dyDescent="0.25">
      <c r="B2751"/>
    </row>
    <row r="2752" spans="2:2" x14ac:dyDescent="0.25">
      <c r="B2752"/>
    </row>
    <row r="2753" spans="2:2" x14ac:dyDescent="0.25">
      <c r="B2753"/>
    </row>
    <row r="2754" spans="2:2" x14ac:dyDescent="0.25">
      <c r="B2754"/>
    </row>
    <row r="2755" spans="2:2" x14ac:dyDescent="0.25">
      <c r="B2755"/>
    </row>
    <row r="2756" spans="2:2" x14ac:dyDescent="0.25">
      <c r="B2756"/>
    </row>
    <row r="2757" spans="2:2" x14ac:dyDescent="0.25">
      <c r="B2757"/>
    </row>
    <row r="2758" spans="2:2" x14ac:dyDescent="0.25">
      <c r="B2758"/>
    </row>
    <row r="2759" spans="2:2" x14ac:dyDescent="0.25">
      <c r="B2759"/>
    </row>
    <row r="2760" spans="2:2" x14ac:dyDescent="0.25">
      <c r="B2760"/>
    </row>
    <row r="2761" spans="2:2" x14ac:dyDescent="0.25">
      <c r="B2761"/>
    </row>
    <row r="2762" spans="2:2" x14ac:dyDescent="0.25">
      <c r="B2762"/>
    </row>
    <row r="2763" spans="2:2" x14ac:dyDescent="0.25">
      <c r="B2763"/>
    </row>
    <row r="2764" spans="2:2" x14ac:dyDescent="0.25">
      <c r="B2764"/>
    </row>
    <row r="2765" spans="2:2" x14ac:dyDescent="0.25">
      <c r="B2765"/>
    </row>
    <row r="2766" spans="2:2" x14ac:dyDescent="0.25">
      <c r="B2766"/>
    </row>
    <row r="2767" spans="2:2" x14ac:dyDescent="0.25">
      <c r="B2767"/>
    </row>
    <row r="2768" spans="2:2" x14ac:dyDescent="0.25">
      <c r="B2768"/>
    </row>
    <row r="2769" spans="2:2" x14ac:dyDescent="0.25">
      <c r="B2769"/>
    </row>
    <row r="2770" spans="2:2" x14ac:dyDescent="0.25">
      <c r="B2770"/>
    </row>
    <row r="2771" spans="2:2" x14ac:dyDescent="0.25">
      <c r="B2771"/>
    </row>
    <row r="2772" spans="2:2" x14ac:dyDescent="0.25">
      <c r="B2772"/>
    </row>
    <row r="2773" spans="2:2" x14ac:dyDescent="0.25">
      <c r="B2773"/>
    </row>
    <row r="2774" spans="2:2" x14ac:dyDescent="0.25">
      <c r="B2774"/>
    </row>
    <row r="2775" spans="2:2" x14ac:dyDescent="0.25">
      <c r="B2775"/>
    </row>
    <row r="2776" spans="2:2" x14ac:dyDescent="0.25">
      <c r="B2776"/>
    </row>
    <row r="2777" spans="2:2" x14ac:dyDescent="0.25">
      <c r="B2777"/>
    </row>
    <row r="2778" spans="2:2" x14ac:dyDescent="0.25">
      <c r="B2778"/>
    </row>
    <row r="2779" spans="2:2" x14ac:dyDescent="0.25">
      <c r="B2779"/>
    </row>
    <row r="2780" spans="2:2" x14ac:dyDescent="0.25">
      <c r="B2780"/>
    </row>
    <row r="2781" spans="2:2" x14ac:dyDescent="0.25">
      <c r="B2781"/>
    </row>
    <row r="2782" spans="2:2" x14ac:dyDescent="0.25">
      <c r="B2782"/>
    </row>
    <row r="2783" spans="2:2" x14ac:dyDescent="0.25">
      <c r="B2783"/>
    </row>
    <row r="2784" spans="2:2" x14ac:dyDescent="0.25">
      <c r="B2784"/>
    </row>
    <row r="2785" spans="2:2" x14ac:dyDescent="0.25">
      <c r="B2785"/>
    </row>
    <row r="2786" spans="2:2" x14ac:dyDescent="0.25">
      <c r="B2786"/>
    </row>
    <row r="2787" spans="2:2" x14ac:dyDescent="0.25">
      <c r="B2787"/>
    </row>
    <row r="2788" spans="2:2" x14ac:dyDescent="0.25">
      <c r="B2788"/>
    </row>
    <row r="2789" spans="2:2" x14ac:dyDescent="0.25">
      <c r="B2789"/>
    </row>
    <row r="2790" spans="2:2" x14ac:dyDescent="0.25">
      <c r="B2790"/>
    </row>
    <row r="2791" spans="2:2" x14ac:dyDescent="0.25">
      <c r="B2791"/>
    </row>
    <row r="2792" spans="2:2" x14ac:dyDescent="0.25">
      <c r="B2792"/>
    </row>
    <row r="2793" spans="2:2" x14ac:dyDescent="0.25">
      <c r="B2793"/>
    </row>
    <row r="2794" spans="2:2" x14ac:dyDescent="0.25">
      <c r="B2794"/>
    </row>
    <row r="2795" spans="2:2" x14ac:dyDescent="0.25">
      <c r="B2795"/>
    </row>
    <row r="2796" spans="2:2" x14ac:dyDescent="0.25">
      <c r="B2796"/>
    </row>
    <row r="2797" spans="2:2" x14ac:dyDescent="0.25">
      <c r="B2797"/>
    </row>
    <row r="2798" spans="2:2" x14ac:dyDescent="0.25">
      <c r="B2798"/>
    </row>
    <row r="2799" spans="2:2" x14ac:dyDescent="0.25">
      <c r="B2799"/>
    </row>
    <row r="2800" spans="2:2" x14ac:dyDescent="0.25">
      <c r="B2800"/>
    </row>
    <row r="2801" spans="2:2" x14ac:dyDescent="0.25">
      <c r="B2801"/>
    </row>
    <row r="2802" spans="2:2" x14ac:dyDescent="0.25">
      <c r="B2802"/>
    </row>
    <row r="2803" spans="2:2" x14ac:dyDescent="0.25">
      <c r="B2803"/>
    </row>
    <row r="2804" spans="2:2" x14ac:dyDescent="0.25">
      <c r="B2804"/>
    </row>
    <row r="2805" spans="2:2" x14ac:dyDescent="0.25">
      <c r="B2805"/>
    </row>
    <row r="2806" spans="2:2" x14ac:dyDescent="0.25">
      <c r="B2806"/>
    </row>
    <row r="2807" spans="2:2" x14ac:dyDescent="0.25">
      <c r="B2807"/>
    </row>
    <row r="2808" spans="2:2" x14ac:dyDescent="0.25">
      <c r="B2808"/>
    </row>
    <row r="2809" spans="2:2" x14ac:dyDescent="0.25">
      <c r="B2809"/>
    </row>
    <row r="2810" spans="2:2" x14ac:dyDescent="0.25">
      <c r="B2810"/>
    </row>
    <row r="2811" spans="2:2" x14ac:dyDescent="0.25">
      <c r="B2811"/>
    </row>
    <row r="2812" spans="2:2" x14ac:dyDescent="0.25">
      <c r="B2812"/>
    </row>
    <row r="2813" spans="2:2" x14ac:dyDescent="0.25">
      <c r="B2813"/>
    </row>
    <row r="2814" spans="2:2" x14ac:dyDescent="0.25">
      <c r="B2814"/>
    </row>
    <row r="2815" spans="2:2" x14ac:dyDescent="0.25">
      <c r="B2815"/>
    </row>
    <row r="2816" spans="2:2" x14ac:dyDescent="0.25">
      <c r="B2816"/>
    </row>
    <row r="2817" spans="2:2" x14ac:dyDescent="0.25">
      <c r="B2817"/>
    </row>
    <row r="2818" spans="2:2" x14ac:dyDescent="0.25">
      <c r="B2818"/>
    </row>
    <row r="2819" spans="2:2" x14ac:dyDescent="0.25">
      <c r="B2819"/>
    </row>
    <row r="2820" spans="2:2" x14ac:dyDescent="0.25">
      <c r="B2820"/>
    </row>
    <row r="2821" spans="2:2" x14ac:dyDescent="0.25">
      <c r="B2821"/>
    </row>
    <row r="2822" spans="2:2" x14ac:dyDescent="0.25">
      <c r="B2822"/>
    </row>
    <row r="2823" spans="2:2" x14ac:dyDescent="0.25">
      <c r="B2823"/>
    </row>
    <row r="2824" spans="2:2" x14ac:dyDescent="0.25">
      <c r="B2824"/>
    </row>
    <row r="2825" spans="2:2" x14ac:dyDescent="0.25">
      <c r="B2825"/>
    </row>
    <row r="2826" spans="2:2" x14ac:dyDescent="0.25">
      <c r="B2826"/>
    </row>
    <row r="2827" spans="2:2" x14ac:dyDescent="0.25">
      <c r="B2827"/>
    </row>
    <row r="2828" spans="2:2" x14ac:dyDescent="0.25">
      <c r="B2828"/>
    </row>
    <row r="2829" spans="2:2" x14ac:dyDescent="0.25">
      <c r="B2829"/>
    </row>
    <row r="2830" spans="2:2" x14ac:dyDescent="0.25">
      <c r="B2830"/>
    </row>
    <row r="2831" spans="2:2" x14ac:dyDescent="0.25">
      <c r="B2831"/>
    </row>
    <row r="2832" spans="2:2" x14ac:dyDescent="0.25">
      <c r="B2832"/>
    </row>
    <row r="2833" spans="2:2" x14ac:dyDescent="0.25">
      <c r="B2833"/>
    </row>
    <row r="2834" spans="2:2" x14ac:dyDescent="0.25">
      <c r="B2834"/>
    </row>
    <row r="2835" spans="2:2" x14ac:dyDescent="0.25">
      <c r="B2835"/>
    </row>
    <row r="2836" spans="2:2" x14ac:dyDescent="0.25">
      <c r="B2836"/>
    </row>
    <row r="2837" spans="2:2" x14ac:dyDescent="0.25">
      <c r="B2837"/>
    </row>
    <row r="2838" spans="2:2" x14ac:dyDescent="0.25">
      <c r="B2838"/>
    </row>
    <row r="2839" spans="2:2" x14ac:dyDescent="0.25">
      <c r="B2839"/>
    </row>
    <row r="2840" spans="2:2" x14ac:dyDescent="0.25">
      <c r="B2840"/>
    </row>
    <row r="2841" spans="2:2" x14ac:dyDescent="0.25">
      <c r="B2841"/>
    </row>
    <row r="2842" spans="2:2" x14ac:dyDescent="0.25">
      <c r="B2842"/>
    </row>
    <row r="2843" spans="2:2" x14ac:dyDescent="0.25">
      <c r="B2843"/>
    </row>
    <row r="2844" spans="2:2" x14ac:dyDescent="0.25">
      <c r="B2844"/>
    </row>
    <row r="2845" spans="2:2" x14ac:dyDescent="0.25">
      <c r="B2845"/>
    </row>
    <row r="2846" spans="2:2" x14ac:dyDescent="0.25">
      <c r="B2846"/>
    </row>
    <row r="2847" spans="2:2" x14ac:dyDescent="0.25">
      <c r="B2847"/>
    </row>
    <row r="2848" spans="2:2" x14ac:dyDescent="0.25">
      <c r="B2848"/>
    </row>
    <row r="2849" spans="2:2" x14ac:dyDescent="0.25">
      <c r="B2849"/>
    </row>
    <row r="2850" spans="2:2" x14ac:dyDescent="0.25">
      <c r="B2850"/>
    </row>
    <row r="2851" spans="2:2" x14ac:dyDescent="0.25">
      <c r="B2851"/>
    </row>
    <row r="2852" spans="2:2" x14ac:dyDescent="0.25">
      <c r="B2852"/>
    </row>
    <row r="2853" spans="2:2" x14ac:dyDescent="0.25">
      <c r="B2853"/>
    </row>
    <row r="2854" spans="2:2" x14ac:dyDescent="0.25">
      <c r="B2854"/>
    </row>
    <row r="2855" spans="2:2" x14ac:dyDescent="0.25">
      <c r="B2855"/>
    </row>
    <row r="2856" spans="2:2" x14ac:dyDescent="0.25">
      <c r="B2856"/>
    </row>
    <row r="2857" spans="2:2" x14ac:dyDescent="0.25">
      <c r="B2857"/>
    </row>
    <row r="2858" spans="2:2" x14ac:dyDescent="0.25">
      <c r="B2858"/>
    </row>
    <row r="2859" spans="2:2" x14ac:dyDescent="0.25">
      <c r="B2859"/>
    </row>
    <row r="2860" spans="2:2" x14ac:dyDescent="0.25">
      <c r="B2860"/>
    </row>
    <row r="2861" spans="2:2" x14ac:dyDescent="0.25">
      <c r="B2861"/>
    </row>
    <row r="2862" spans="2:2" x14ac:dyDescent="0.25">
      <c r="B2862"/>
    </row>
    <row r="2863" spans="2:2" x14ac:dyDescent="0.25">
      <c r="B2863"/>
    </row>
    <row r="2864" spans="2:2" x14ac:dyDescent="0.25">
      <c r="B2864"/>
    </row>
    <row r="2865" spans="2:2" x14ac:dyDescent="0.25">
      <c r="B2865"/>
    </row>
    <row r="2866" spans="2:2" x14ac:dyDescent="0.25">
      <c r="B2866"/>
    </row>
    <row r="2867" spans="2:2" x14ac:dyDescent="0.25">
      <c r="B2867"/>
    </row>
    <row r="2868" spans="2:2" x14ac:dyDescent="0.25">
      <c r="B2868"/>
    </row>
    <row r="2869" spans="2:2" x14ac:dyDescent="0.25">
      <c r="B2869"/>
    </row>
    <row r="2870" spans="2:2" x14ac:dyDescent="0.25">
      <c r="B2870"/>
    </row>
    <row r="2871" spans="2:2" x14ac:dyDescent="0.25">
      <c r="B2871"/>
    </row>
    <row r="2872" spans="2:2" x14ac:dyDescent="0.25">
      <c r="B2872"/>
    </row>
    <row r="2873" spans="2:2" x14ac:dyDescent="0.25">
      <c r="B2873"/>
    </row>
    <row r="2874" spans="2:2" x14ac:dyDescent="0.25">
      <c r="B2874"/>
    </row>
    <row r="2875" spans="2:2" x14ac:dyDescent="0.25">
      <c r="B2875"/>
    </row>
    <row r="2876" spans="2:2" x14ac:dyDescent="0.25">
      <c r="B2876"/>
    </row>
    <row r="2877" spans="2:2" x14ac:dyDescent="0.25">
      <c r="B2877"/>
    </row>
    <row r="2878" spans="2:2" x14ac:dyDescent="0.25">
      <c r="B2878"/>
    </row>
    <row r="2879" spans="2:2" x14ac:dyDescent="0.25">
      <c r="B2879"/>
    </row>
    <row r="2880" spans="2:2" x14ac:dyDescent="0.25">
      <c r="B2880"/>
    </row>
    <row r="2881" spans="2:2" x14ac:dyDescent="0.25">
      <c r="B2881"/>
    </row>
    <row r="2882" spans="2:2" x14ac:dyDescent="0.25">
      <c r="B2882"/>
    </row>
    <row r="2883" spans="2:2" x14ac:dyDescent="0.25">
      <c r="B2883"/>
    </row>
    <row r="2884" spans="2:2" x14ac:dyDescent="0.25">
      <c r="B2884"/>
    </row>
    <row r="2885" spans="2:2" x14ac:dyDescent="0.25">
      <c r="B2885"/>
    </row>
    <row r="2886" spans="2:2" x14ac:dyDescent="0.25">
      <c r="B2886"/>
    </row>
    <row r="2887" spans="2:2" x14ac:dyDescent="0.25">
      <c r="B2887"/>
    </row>
    <row r="2888" spans="2:2" x14ac:dyDescent="0.25">
      <c r="B2888"/>
    </row>
    <row r="2889" spans="2:2" x14ac:dyDescent="0.25">
      <c r="B2889"/>
    </row>
    <row r="2890" spans="2:2" x14ac:dyDescent="0.25">
      <c r="B2890"/>
    </row>
    <row r="2891" spans="2:2" x14ac:dyDescent="0.25">
      <c r="B2891"/>
    </row>
    <row r="2892" spans="2:2" x14ac:dyDescent="0.25">
      <c r="B2892"/>
    </row>
    <row r="2893" spans="2:2" x14ac:dyDescent="0.25">
      <c r="B2893"/>
    </row>
    <row r="2894" spans="2:2" x14ac:dyDescent="0.25">
      <c r="B2894"/>
    </row>
    <row r="2895" spans="2:2" x14ac:dyDescent="0.25">
      <c r="B2895"/>
    </row>
    <row r="2896" spans="2:2" x14ac:dyDescent="0.25">
      <c r="B2896"/>
    </row>
    <row r="2897" spans="2:2" x14ac:dyDescent="0.25">
      <c r="B2897"/>
    </row>
    <row r="2898" spans="2:2" x14ac:dyDescent="0.25">
      <c r="B2898"/>
    </row>
    <row r="2899" spans="2:2" x14ac:dyDescent="0.25">
      <c r="B2899"/>
    </row>
    <row r="2900" spans="2:2" x14ac:dyDescent="0.25">
      <c r="B2900"/>
    </row>
    <row r="2901" spans="2:2" x14ac:dyDescent="0.25">
      <c r="B2901"/>
    </row>
    <row r="2902" spans="2:2" x14ac:dyDescent="0.25">
      <c r="B2902"/>
    </row>
    <row r="2903" spans="2:2" x14ac:dyDescent="0.25">
      <c r="B2903"/>
    </row>
    <row r="2904" spans="2:2" x14ac:dyDescent="0.25">
      <c r="B2904"/>
    </row>
    <row r="2905" spans="2:2" x14ac:dyDescent="0.25">
      <c r="B2905"/>
    </row>
    <row r="2906" spans="2:2" x14ac:dyDescent="0.25">
      <c r="B2906"/>
    </row>
    <row r="2907" spans="2:2" x14ac:dyDescent="0.25">
      <c r="B2907"/>
    </row>
    <row r="2908" spans="2:2" x14ac:dyDescent="0.25">
      <c r="B2908"/>
    </row>
    <row r="2909" spans="2:2" x14ac:dyDescent="0.25">
      <c r="B2909"/>
    </row>
    <row r="2910" spans="2:2" x14ac:dyDescent="0.25">
      <c r="B2910"/>
    </row>
    <row r="2911" spans="2:2" x14ac:dyDescent="0.25">
      <c r="B2911"/>
    </row>
    <row r="2912" spans="2:2" x14ac:dyDescent="0.25">
      <c r="B2912"/>
    </row>
    <row r="2913" spans="2:2" x14ac:dyDescent="0.25">
      <c r="B2913"/>
    </row>
    <row r="2914" spans="2:2" x14ac:dyDescent="0.25">
      <c r="B2914"/>
    </row>
    <row r="2915" spans="2:2" x14ac:dyDescent="0.25">
      <c r="B2915"/>
    </row>
    <row r="2916" spans="2:2" x14ac:dyDescent="0.25">
      <c r="B2916"/>
    </row>
    <row r="2917" spans="2:2" x14ac:dyDescent="0.25">
      <c r="B2917"/>
    </row>
    <row r="2918" spans="2:2" x14ac:dyDescent="0.25">
      <c r="B2918"/>
    </row>
    <row r="2919" spans="2:2" x14ac:dyDescent="0.25">
      <c r="B2919"/>
    </row>
    <row r="2920" spans="2:2" x14ac:dyDescent="0.25">
      <c r="B2920"/>
    </row>
    <row r="2921" spans="2:2" x14ac:dyDescent="0.25">
      <c r="B2921"/>
    </row>
    <row r="2922" spans="2:2" x14ac:dyDescent="0.25">
      <c r="B2922"/>
    </row>
    <row r="2923" spans="2:2" x14ac:dyDescent="0.25">
      <c r="B2923"/>
    </row>
    <row r="2924" spans="2:2" x14ac:dyDescent="0.25">
      <c r="B2924"/>
    </row>
    <row r="2925" spans="2:2" x14ac:dyDescent="0.25">
      <c r="B2925"/>
    </row>
    <row r="2926" spans="2:2" x14ac:dyDescent="0.25">
      <c r="B2926"/>
    </row>
    <row r="2927" spans="2:2" x14ac:dyDescent="0.25">
      <c r="B2927"/>
    </row>
    <row r="2928" spans="2:2" x14ac:dyDescent="0.25">
      <c r="B2928"/>
    </row>
    <row r="2929" spans="2:2" x14ac:dyDescent="0.25">
      <c r="B2929"/>
    </row>
    <row r="2930" spans="2:2" x14ac:dyDescent="0.25">
      <c r="B2930"/>
    </row>
    <row r="2931" spans="2:2" x14ac:dyDescent="0.25">
      <c r="B2931"/>
    </row>
    <row r="2932" spans="2:2" x14ac:dyDescent="0.25">
      <c r="B2932"/>
    </row>
    <row r="2933" spans="2:2" x14ac:dyDescent="0.25">
      <c r="B2933"/>
    </row>
    <row r="2934" spans="2:2" x14ac:dyDescent="0.25">
      <c r="B2934"/>
    </row>
    <row r="2935" spans="2:2" x14ac:dyDescent="0.25">
      <c r="B2935"/>
    </row>
    <row r="2936" spans="2:2" x14ac:dyDescent="0.25">
      <c r="B2936"/>
    </row>
    <row r="2937" spans="2:2" x14ac:dyDescent="0.25">
      <c r="B2937"/>
    </row>
    <row r="2938" spans="2:2" x14ac:dyDescent="0.25">
      <c r="B2938"/>
    </row>
    <row r="2939" spans="2:2" x14ac:dyDescent="0.25">
      <c r="B2939"/>
    </row>
    <row r="2940" spans="2:2" x14ac:dyDescent="0.25">
      <c r="B2940"/>
    </row>
    <row r="2941" spans="2:2" x14ac:dyDescent="0.25">
      <c r="B2941"/>
    </row>
    <row r="2942" spans="2:2" x14ac:dyDescent="0.25">
      <c r="B2942"/>
    </row>
    <row r="2943" spans="2:2" x14ac:dyDescent="0.25">
      <c r="B2943"/>
    </row>
    <row r="2944" spans="2:2" x14ac:dyDescent="0.25">
      <c r="B2944"/>
    </row>
    <row r="2945" spans="2:2" x14ac:dyDescent="0.25">
      <c r="B2945"/>
    </row>
    <row r="2946" spans="2:2" x14ac:dyDescent="0.25">
      <c r="B2946"/>
    </row>
    <row r="2947" spans="2:2" x14ac:dyDescent="0.25">
      <c r="B2947"/>
    </row>
    <row r="2948" spans="2:2" x14ac:dyDescent="0.25">
      <c r="B2948"/>
    </row>
    <row r="2949" spans="2:2" x14ac:dyDescent="0.25">
      <c r="B2949"/>
    </row>
    <row r="2950" spans="2:2" x14ac:dyDescent="0.25">
      <c r="B2950"/>
    </row>
    <row r="2951" spans="2:2" x14ac:dyDescent="0.25">
      <c r="B2951"/>
    </row>
    <row r="2952" spans="2:2" x14ac:dyDescent="0.25">
      <c r="B2952"/>
    </row>
    <row r="2953" spans="2:2" x14ac:dyDescent="0.25">
      <c r="B2953"/>
    </row>
    <row r="2954" spans="2:2" x14ac:dyDescent="0.25">
      <c r="B2954"/>
    </row>
    <row r="2955" spans="2:2" x14ac:dyDescent="0.25">
      <c r="B2955"/>
    </row>
    <row r="2956" spans="2:2" x14ac:dyDescent="0.25">
      <c r="B2956"/>
    </row>
    <row r="2957" spans="2:2" x14ac:dyDescent="0.25">
      <c r="B2957"/>
    </row>
    <row r="2958" spans="2:2" x14ac:dyDescent="0.25">
      <c r="B2958"/>
    </row>
    <row r="2959" spans="2:2" x14ac:dyDescent="0.25">
      <c r="B2959"/>
    </row>
    <row r="2960" spans="2:2" x14ac:dyDescent="0.25">
      <c r="B2960"/>
    </row>
    <row r="2961" spans="2:2" x14ac:dyDescent="0.25">
      <c r="B2961"/>
    </row>
    <row r="2962" spans="2:2" x14ac:dyDescent="0.25">
      <c r="B2962"/>
    </row>
    <row r="2963" spans="2:2" x14ac:dyDescent="0.25">
      <c r="B2963"/>
    </row>
    <row r="2964" spans="2:2" x14ac:dyDescent="0.25">
      <c r="B2964"/>
    </row>
    <row r="2965" spans="2:2" x14ac:dyDescent="0.25">
      <c r="B2965"/>
    </row>
    <row r="2966" spans="2:2" x14ac:dyDescent="0.25">
      <c r="B2966"/>
    </row>
    <row r="2967" spans="2:2" x14ac:dyDescent="0.25">
      <c r="B2967"/>
    </row>
    <row r="2968" spans="2:2" x14ac:dyDescent="0.25">
      <c r="B2968"/>
    </row>
    <row r="2969" spans="2:2" x14ac:dyDescent="0.25">
      <c r="B2969"/>
    </row>
    <row r="2970" spans="2:2" x14ac:dyDescent="0.25">
      <c r="B2970"/>
    </row>
    <row r="2971" spans="2:2" x14ac:dyDescent="0.25">
      <c r="B2971"/>
    </row>
    <row r="2972" spans="2:2" x14ac:dyDescent="0.25">
      <c r="B2972"/>
    </row>
    <row r="2973" spans="2:2" x14ac:dyDescent="0.25">
      <c r="B2973"/>
    </row>
    <row r="2974" spans="2:2" x14ac:dyDescent="0.25">
      <c r="B2974"/>
    </row>
    <row r="2975" spans="2:2" x14ac:dyDescent="0.25">
      <c r="B2975"/>
    </row>
    <row r="2976" spans="2:2" x14ac:dyDescent="0.25">
      <c r="B2976"/>
    </row>
    <row r="2977" spans="2:2" x14ac:dyDescent="0.25">
      <c r="B2977"/>
    </row>
    <row r="2978" spans="2:2" x14ac:dyDescent="0.25">
      <c r="B2978"/>
    </row>
    <row r="2979" spans="2:2" x14ac:dyDescent="0.25">
      <c r="B2979"/>
    </row>
    <row r="2980" spans="2:2" x14ac:dyDescent="0.25">
      <c r="B2980"/>
    </row>
    <row r="2981" spans="2:2" x14ac:dyDescent="0.25">
      <c r="B2981"/>
    </row>
    <row r="2982" spans="2:2" x14ac:dyDescent="0.25">
      <c r="B2982"/>
    </row>
    <row r="2983" spans="2:2" x14ac:dyDescent="0.25">
      <c r="B2983"/>
    </row>
    <row r="2984" spans="2:2" x14ac:dyDescent="0.25">
      <c r="B2984"/>
    </row>
    <row r="2985" spans="2:2" x14ac:dyDescent="0.25">
      <c r="B2985"/>
    </row>
    <row r="2986" spans="2:2" x14ac:dyDescent="0.25">
      <c r="B2986"/>
    </row>
    <row r="2987" spans="2:2" x14ac:dyDescent="0.25">
      <c r="B2987"/>
    </row>
    <row r="2988" spans="2:2" x14ac:dyDescent="0.25">
      <c r="B2988"/>
    </row>
    <row r="2989" spans="2:2" x14ac:dyDescent="0.25">
      <c r="B2989"/>
    </row>
    <row r="2990" spans="2:2" x14ac:dyDescent="0.25">
      <c r="B2990"/>
    </row>
    <row r="2991" spans="2:2" x14ac:dyDescent="0.25">
      <c r="B2991"/>
    </row>
    <row r="2992" spans="2:2" x14ac:dyDescent="0.25">
      <c r="B2992"/>
    </row>
    <row r="2993" spans="2:2" x14ac:dyDescent="0.25">
      <c r="B2993"/>
    </row>
    <row r="2994" spans="2:2" x14ac:dyDescent="0.25">
      <c r="B2994"/>
    </row>
    <row r="2995" spans="2:2" x14ac:dyDescent="0.25">
      <c r="B2995"/>
    </row>
    <row r="2996" spans="2:2" x14ac:dyDescent="0.25">
      <c r="B2996"/>
    </row>
    <row r="2997" spans="2:2" x14ac:dyDescent="0.25">
      <c r="B2997"/>
    </row>
    <row r="2998" spans="2:2" x14ac:dyDescent="0.25">
      <c r="B2998"/>
    </row>
    <row r="2999" spans="2:2" x14ac:dyDescent="0.25">
      <c r="B2999"/>
    </row>
    <row r="3000" spans="2:2" x14ac:dyDescent="0.25">
      <c r="B3000"/>
    </row>
    <row r="3001" spans="2:2" x14ac:dyDescent="0.25">
      <c r="B3001"/>
    </row>
    <row r="3002" spans="2:2" x14ac:dyDescent="0.25">
      <c r="B3002"/>
    </row>
    <row r="3003" spans="2:2" x14ac:dyDescent="0.25">
      <c r="B3003"/>
    </row>
    <row r="3004" spans="2:2" x14ac:dyDescent="0.25">
      <c r="B3004"/>
    </row>
    <row r="3005" spans="2:2" x14ac:dyDescent="0.25">
      <c r="B3005"/>
    </row>
    <row r="3006" spans="2:2" x14ac:dyDescent="0.25">
      <c r="B3006"/>
    </row>
    <row r="3007" spans="2:2" x14ac:dyDescent="0.25">
      <c r="B3007"/>
    </row>
    <row r="3008" spans="2:2" x14ac:dyDescent="0.25">
      <c r="B3008"/>
    </row>
    <row r="3009" spans="2:2" x14ac:dyDescent="0.25">
      <c r="B3009"/>
    </row>
    <row r="3010" spans="2:2" x14ac:dyDescent="0.25">
      <c r="B3010"/>
    </row>
    <row r="3011" spans="2:2" x14ac:dyDescent="0.25">
      <c r="B3011"/>
    </row>
    <row r="3012" spans="2:2" x14ac:dyDescent="0.25">
      <c r="B3012"/>
    </row>
    <row r="3013" spans="2:2" x14ac:dyDescent="0.25">
      <c r="B3013"/>
    </row>
    <row r="3014" spans="2:2" x14ac:dyDescent="0.25">
      <c r="B3014"/>
    </row>
    <row r="3015" spans="2:2" x14ac:dyDescent="0.25">
      <c r="B3015"/>
    </row>
    <row r="3016" spans="2:2" x14ac:dyDescent="0.25">
      <c r="B3016"/>
    </row>
    <row r="3017" spans="2:2" x14ac:dyDescent="0.25">
      <c r="B3017"/>
    </row>
    <row r="3018" spans="2:2" x14ac:dyDescent="0.25">
      <c r="B3018"/>
    </row>
    <row r="3019" spans="2:2" x14ac:dyDescent="0.25">
      <c r="B3019"/>
    </row>
    <row r="3020" spans="2:2" x14ac:dyDescent="0.25">
      <c r="B3020"/>
    </row>
    <row r="3021" spans="2:2" x14ac:dyDescent="0.25">
      <c r="B3021"/>
    </row>
    <row r="3022" spans="2:2" x14ac:dyDescent="0.25">
      <c r="B3022"/>
    </row>
    <row r="3023" spans="2:2" x14ac:dyDescent="0.25">
      <c r="B3023"/>
    </row>
    <row r="3024" spans="2:2" x14ac:dyDescent="0.25">
      <c r="B3024"/>
    </row>
    <row r="3025" spans="2:2" x14ac:dyDescent="0.25">
      <c r="B3025"/>
    </row>
    <row r="3026" spans="2:2" x14ac:dyDescent="0.25">
      <c r="B3026"/>
    </row>
    <row r="3027" spans="2:2" x14ac:dyDescent="0.25">
      <c r="B3027"/>
    </row>
    <row r="3028" spans="2:2" x14ac:dyDescent="0.25">
      <c r="B3028"/>
    </row>
    <row r="3029" spans="2:2" x14ac:dyDescent="0.25">
      <c r="B3029"/>
    </row>
    <row r="3030" spans="2:2" x14ac:dyDescent="0.25">
      <c r="B3030"/>
    </row>
    <row r="3031" spans="2:2" x14ac:dyDescent="0.25">
      <c r="B3031"/>
    </row>
    <row r="3032" spans="2:2" x14ac:dyDescent="0.25">
      <c r="B3032"/>
    </row>
    <row r="3033" spans="2:2" x14ac:dyDescent="0.25">
      <c r="B3033"/>
    </row>
    <row r="3034" spans="2:2" x14ac:dyDescent="0.25">
      <c r="B3034"/>
    </row>
    <row r="3035" spans="2:2" x14ac:dyDescent="0.25">
      <c r="B3035"/>
    </row>
    <row r="3036" spans="2:2" x14ac:dyDescent="0.25">
      <c r="B3036"/>
    </row>
    <row r="3037" spans="2:2" x14ac:dyDescent="0.25">
      <c r="B3037"/>
    </row>
    <row r="3038" spans="2:2" x14ac:dyDescent="0.25">
      <c r="B3038"/>
    </row>
    <row r="3039" spans="2:2" x14ac:dyDescent="0.25">
      <c r="B3039"/>
    </row>
    <row r="3040" spans="2:2" x14ac:dyDescent="0.25">
      <c r="B3040"/>
    </row>
    <row r="3041" spans="2:2" x14ac:dyDescent="0.25">
      <c r="B3041"/>
    </row>
    <row r="3042" spans="2:2" x14ac:dyDescent="0.25">
      <c r="B3042"/>
    </row>
    <row r="3043" spans="2:2" x14ac:dyDescent="0.25">
      <c r="B3043"/>
    </row>
    <row r="3044" spans="2:2" x14ac:dyDescent="0.25">
      <c r="B3044"/>
    </row>
    <row r="3045" spans="2:2" x14ac:dyDescent="0.25">
      <c r="B3045"/>
    </row>
    <row r="3046" spans="2:2" x14ac:dyDescent="0.25">
      <c r="B3046"/>
    </row>
    <row r="3047" spans="2:2" x14ac:dyDescent="0.25">
      <c r="B3047"/>
    </row>
    <row r="3048" spans="2:2" x14ac:dyDescent="0.25">
      <c r="B3048"/>
    </row>
    <row r="3049" spans="2:2" x14ac:dyDescent="0.25">
      <c r="B3049"/>
    </row>
    <row r="3050" spans="2:2" x14ac:dyDescent="0.25">
      <c r="B3050"/>
    </row>
    <row r="3051" spans="2:2" x14ac:dyDescent="0.25">
      <c r="B3051"/>
    </row>
    <row r="3052" spans="2:2" x14ac:dyDescent="0.25">
      <c r="B3052"/>
    </row>
    <row r="3053" spans="2:2" x14ac:dyDescent="0.25">
      <c r="B3053"/>
    </row>
    <row r="3054" spans="2:2" x14ac:dyDescent="0.25">
      <c r="B3054"/>
    </row>
    <row r="3055" spans="2:2" x14ac:dyDescent="0.25">
      <c r="B3055"/>
    </row>
    <row r="3056" spans="2:2" x14ac:dyDescent="0.25">
      <c r="B3056"/>
    </row>
    <row r="3057" spans="2:2" x14ac:dyDescent="0.25">
      <c r="B3057"/>
    </row>
    <row r="3058" spans="2:2" x14ac:dyDescent="0.25">
      <c r="B3058"/>
    </row>
    <row r="3059" spans="2:2" x14ac:dyDescent="0.25">
      <c r="B3059"/>
    </row>
    <row r="3060" spans="2:2" x14ac:dyDescent="0.25">
      <c r="B3060"/>
    </row>
    <row r="3061" spans="2:2" x14ac:dyDescent="0.25">
      <c r="B3061"/>
    </row>
    <row r="3062" spans="2:2" x14ac:dyDescent="0.25">
      <c r="B3062"/>
    </row>
    <row r="3063" spans="2:2" x14ac:dyDescent="0.25">
      <c r="B3063"/>
    </row>
    <row r="3064" spans="2:2" x14ac:dyDescent="0.25">
      <c r="B3064"/>
    </row>
    <row r="3065" spans="2:2" x14ac:dyDescent="0.25">
      <c r="B3065"/>
    </row>
    <row r="3066" spans="2:2" x14ac:dyDescent="0.25">
      <c r="B3066"/>
    </row>
    <row r="3067" spans="2:2" x14ac:dyDescent="0.25">
      <c r="B3067"/>
    </row>
    <row r="3068" spans="2:2" x14ac:dyDescent="0.25">
      <c r="B3068"/>
    </row>
    <row r="3069" spans="2:2" x14ac:dyDescent="0.25">
      <c r="B3069"/>
    </row>
    <row r="3070" spans="2:2" x14ac:dyDescent="0.25">
      <c r="B3070"/>
    </row>
    <row r="3071" spans="2:2" x14ac:dyDescent="0.25">
      <c r="B3071"/>
    </row>
    <row r="3072" spans="2:2" x14ac:dyDescent="0.25">
      <c r="B3072"/>
    </row>
    <row r="3073" spans="2:2" x14ac:dyDescent="0.25">
      <c r="B3073"/>
    </row>
    <row r="3074" spans="2:2" x14ac:dyDescent="0.25">
      <c r="B3074"/>
    </row>
    <row r="3075" spans="2:2" x14ac:dyDescent="0.25">
      <c r="B3075"/>
    </row>
    <row r="3076" spans="2:2" x14ac:dyDescent="0.25">
      <c r="B3076"/>
    </row>
    <row r="3077" spans="2:2" x14ac:dyDescent="0.25">
      <c r="B3077"/>
    </row>
    <row r="3078" spans="2:2" x14ac:dyDescent="0.25">
      <c r="B3078"/>
    </row>
    <row r="3079" spans="2:2" x14ac:dyDescent="0.25">
      <c r="B3079"/>
    </row>
    <row r="3080" spans="2:2" x14ac:dyDescent="0.25">
      <c r="B3080"/>
    </row>
    <row r="3081" spans="2:2" x14ac:dyDescent="0.25">
      <c r="B3081"/>
    </row>
    <row r="3082" spans="2:2" x14ac:dyDescent="0.25">
      <c r="B3082"/>
    </row>
    <row r="3083" spans="2:2" x14ac:dyDescent="0.25">
      <c r="B3083"/>
    </row>
    <row r="3084" spans="2:2" x14ac:dyDescent="0.25">
      <c r="B3084"/>
    </row>
    <row r="3085" spans="2:2" x14ac:dyDescent="0.25">
      <c r="B3085"/>
    </row>
    <row r="3086" spans="2:2" x14ac:dyDescent="0.25">
      <c r="B3086"/>
    </row>
    <row r="3087" spans="2:2" x14ac:dyDescent="0.25">
      <c r="B3087"/>
    </row>
    <row r="3088" spans="2:2" x14ac:dyDescent="0.25">
      <c r="B3088"/>
    </row>
    <row r="3089" spans="2:2" x14ac:dyDescent="0.25">
      <c r="B3089"/>
    </row>
    <row r="3090" spans="2:2" x14ac:dyDescent="0.25">
      <c r="B3090"/>
    </row>
    <row r="3091" spans="2:2" x14ac:dyDescent="0.25">
      <c r="B3091"/>
    </row>
    <row r="3092" spans="2:2" x14ac:dyDescent="0.25">
      <c r="B3092"/>
    </row>
    <row r="3093" spans="2:2" x14ac:dyDescent="0.25">
      <c r="B3093"/>
    </row>
    <row r="3094" spans="2:2" x14ac:dyDescent="0.25">
      <c r="B3094"/>
    </row>
    <row r="3095" spans="2:2" x14ac:dyDescent="0.25">
      <c r="B3095"/>
    </row>
    <row r="3096" spans="2:2" x14ac:dyDescent="0.25">
      <c r="B3096"/>
    </row>
    <row r="3097" spans="2:2" x14ac:dyDescent="0.25">
      <c r="B3097"/>
    </row>
    <row r="3098" spans="2:2" x14ac:dyDescent="0.25">
      <c r="B3098"/>
    </row>
    <row r="3099" spans="2:2" x14ac:dyDescent="0.25">
      <c r="B3099"/>
    </row>
    <row r="3100" spans="2:2" x14ac:dyDescent="0.25">
      <c r="B3100"/>
    </row>
    <row r="3101" spans="2:2" x14ac:dyDescent="0.25">
      <c r="B3101"/>
    </row>
    <row r="3102" spans="2:2" x14ac:dyDescent="0.25">
      <c r="B3102"/>
    </row>
    <row r="3103" spans="2:2" x14ac:dyDescent="0.25">
      <c r="B3103"/>
    </row>
    <row r="3104" spans="2:2" x14ac:dyDescent="0.25">
      <c r="B3104"/>
    </row>
    <row r="3105" spans="2:2" x14ac:dyDescent="0.25">
      <c r="B3105"/>
    </row>
    <row r="3106" spans="2:2" x14ac:dyDescent="0.25">
      <c r="B3106"/>
    </row>
    <row r="3107" spans="2:2" x14ac:dyDescent="0.25">
      <c r="B3107"/>
    </row>
    <row r="3108" spans="2:2" x14ac:dyDescent="0.25">
      <c r="B3108"/>
    </row>
    <row r="3109" spans="2:2" x14ac:dyDescent="0.25">
      <c r="B3109"/>
    </row>
    <row r="3110" spans="2:2" x14ac:dyDescent="0.25">
      <c r="B3110"/>
    </row>
    <row r="3111" spans="2:2" x14ac:dyDescent="0.25">
      <c r="B3111"/>
    </row>
    <row r="3112" spans="2:2" x14ac:dyDescent="0.25">
      <c r="B3112"/>
    </row>
    <row r="3113" spans="2:2" x14ac:dyDescent="0.25">
      <c r="B3113"/>
    </row>
    <row r="3114" spans="2:2" x14ac:dyDescent="0.25">
      <c r="B3114"/>
    </row>
    <row r="3115" spans="2:2" x14ac:dyDescent="0.25">
      <c r="B3115"/>
    </row>
    <row r="3116" spans="2:2" x14ac:dyDescent="0.25">
      <c r="B3116"/>
    </row>
    <row r="3117" spans="2:2" x14ac:dyDescent="0.25">
      <c r="B3117"/>
    </row>
    <row r="3118" spans="2:2" x14ac:dyDescent="0.25">
      <c r="B3118"/>
    </row>
    <row r="3119" spans="2:2" x14ac:dyDescent="0.25">
      <c r="B3119"/>
    </row>
    <row r="3120" spans="2:2" x14ac:dyDescent="0.25">
      <c r="B3120"/>
    </row>
    <row r="3121" spans="2:2" x14ac:dyDescent="0.25">
      <c r="B3121"/>
    </row>
    <row r="3122" spans="2:2" x14ac:dyDescent="0.25">
      <c r="B3122"/>
    </row>
    <row r="3123" spans="2:2" x14ac:dyDescent="0.25">
      <c r="B3123"/>
    </row>
    <row r="3124" spans="2:2" x14ac:dyDescent="0.25">
      <c r="B3124"/>
    </row>
  </sheetData>
  <pageMargins left="0.7" right="0.7" top="0.75" bottom="0.75" header="0.3" footer="0.3"/>
  <pageSetup paperSize="9"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0"/>
  <dimension ref="A1:T243"/>
  <sheetViews>
    <sheetView showGridLines="0" showRowColHeaders="0" topLeftCell="B1" zoomScaleNormal="100" workbookViewId="0">
      <selection activeCell="O5" sqref="O5:R5"/>
    </sheetView>
  </sheetViews>
  <sheetFormatPr defaultColWidth="9" defaultRowHeight="13.8" x14ac:dyDescent="0.25"/>
  <cols>
    <col min="1" max="1" width="9" style="18" hidden="1" customWidth="1"/>
    <col min="2" max="3" width="12.69921875" style="18" customWidth="1"/>
    <col min="4" max="6" width="15.59765625" style="18" customWidth="1"/>
    <col min="7" max="7" width="2.69921875" style="18" customWidth="1"/>
    <col min="8" max="8" width="16.19921875" style="18" customWidth="1"/>
    <col min="9" max="9" width="2.69921875" style="18" customWidth="1"/>
    <col min="10" max="10" width="16.69921875" style="18" customWidth="1"/>
    <col min="11" max="14" width="4.69921875" style="18" customWidth="1"/>
    <col min="15" max="15" width="11.59765625" style="18" customWidth="1"/>
    <col min="16" max="16" width="2.3984375" style="18" customWidth="1"/>
    <col min="17" max="17" width="9" style="18" customWidth="1"/>
    <col min="18" max="18" width="8.09765625" style="18" customWidth="1"/>
    <col min="19" max="19" width="1.5" style="18" customWidth="1"/>
    <col min="20" max="20" width="20.3984375" style="18" customWidth="1"/>
    <col min="21" max="16384" width="9" style="18"/>
  </cols>
  <sheetData>
    <row r="1" spans="1:20" x14ac:dyDescent="0.25">
      <c r="A1" s="115" t="s">
        <v>1227</v>
      </c>
      <c r="B1" s="115"/>
    </row>
    <row r="2" spans="1:20" x14ac:dyDescent="0.25">
      <c r="B2" s="46" t="str">
        <f>'Data files'!D4&amp;IF('Data files'!D4&lt;&gt;"",", ","")&amp;'Data files'!D7&amp;IF(ISERROR(FIND("SERVICE",UPPER('Data files'!D7),1))=FALSE,""," Service")</f>
        <v>Test Trust, Test service</v>
      </c>
      <c r="C2" s="47"/>
      <c r="D2" s="47"/>
      <c r="E2" s="47"/>
      <c r="F2" s="47"/>
      <c r="G2" s="47"/>
      <c r="H2" s="47"/>
      <c r="I2" s="47"/>
      <c r="J2" s="47"/>
      <c r="K2" s="47"/>
      <c r="L2" s="47"/>
      <c r="M2" s="47"/>
      <c r="N2" s="47"/>
      <c r="O2" s="47"/>
      <c r="P2" s="47"/>
      <c r="Q2" s="47"/>
      <c r="R2" s="47"/>
    </row>
    <row r="3" spans="1:20" x14ac:dyDescent="0.25">
      <c r="B3" s="19" t="s">
        <v>1103</v>
      </c>
    </row>
    <row r="4" spans="1:20" x14ac:dyDescent="0.25">
      <c r="B4" s="61" t="s">
        <v>1015</v>
      </c>
      <c r="J4" s="319" t="s">
        <v>1104</v>
      </c>
      <c r="K4" s="319"/>
      <c r="L4" s="319"/>
      <c r="M4" s="319"/>
      <c r="N4" s="319"/>
      <c r="O4" s="270" t="s">
        <v>1105</v>
      </c>
      <c r="P4" s="271"/>
      <c r="Q4" s="271"/>
      <c r="R4" s="272"/>
    </row>
    <row r="5" spans="1:20" x14ac:dyDescent="0.25">
      <c r="B5" s="148" t="s">
        <v>1025</v>
      </c>
      <c r="C5" s="146"/>
      <c r="D5" s="326" t="s">
        <v>1034</v>
      </c>
      <c r="E5" s="326"/>
      <c r="F5" s="326"/>
      <c r="J5" s="321" t="s">
        <v>989</v>
      </c>
      <c r="K5" s="322"/>
      <c r="L5" s="322"/>
      <c r="M5" s="322"/>
      <c r="N5" s="323"/>
      <c r="O5" s="270" t="s">
        <v>982</v>
      </c>
      <c r="P5" s="271"/>
      <c r="Q5" s="271"/>
      <c r="R5" s="272"/>
    </row>
    <row r="6" spans="1:20" x14ac:dyDescent="0.25">
      <c r="J6" s="321" t="s">
        <v>1240</v>
      </c>
      <c r="K6" s="322"/>
      <c r="L6" s="322"/>
      <c r="M6" s="322"/>
      <c r="N6" s="323"/>
      <c r="O6" s="270" t="s">
        <v>1159</v>
      </c>
      <c r="P6" s="271"/>
      <c r="Q6" s="271"/>
      <c r="R6" s="272"/>
    </row>
    <row r="7" spans="1:20" x14ac:dyDescent="0.25">
      <c r="T7" s="19" t="s">
        <v>1330</v>
      </c>
    </row>
    <row r="8" spans="1:20" x14ac:dyDescent="0.25">
      <c r="T8" s="102" t="s">
        <v>1380</v>
      </c>
    </row>
    <row r="11" spans="1:20" x14ac:dyDescent="0.25">
      <c r="T11" s="19" t="s">
        <v>1238</v>
      </c>
    </row>
    <row r="12" spans="1:20" x14ac:dyDescent="0.25">
      <c r="T12" s="102" t="s">
        <v>815</v>
      </c>
    </row>
    <row r="15" spans="1:20" x14ac:dyDescent="0.25">
      <c r="T15" s="19" t="str">
        <f>IF(AND(T8&lt;&gt;"", T8&lt;&gt;"Year"),T8&amp;":","")</f>
        <v>Line chart (by month):</v>
      </c>
    </row>
    <row r="16" spans="1:20" x14ac:dyDescent="0.25">
      <c r="T16" s="102">
        <v>1</v>
      </c>
    </row>
    <row r="23" spans="2:18" x14ac:dyDescent="0.25">
      <c r="M23" s="30"/>
    </row>
    <row r="26" spans="2:18" x14ac:dyDescent="0.25">
      <c r="E26" s="19"/>
      <c r="F26" s="19"/>
      <c r="G26" s="19"/>
      <c r="H26" s="19"/>
      <c r="K26" s="23" t="str">
        <f>IF(OR($O$5="Total", LEFT($O$5,7)="Overall"),"","Demand / Capacity balance status:")</f>
        <v/>
      </c>
      <c r="R26" s="48" t="str">
        <f ca="1">IF(OR($O$5="Total",LEFT($O$5,7)="Overall"),"",OFFSET('DC Balance'!$C$31,MATCH('Aggregate activity'!$O$5,'Data files'!$A$16:$A$35,0),0,1,1))</f>
        <v/>
      </c>
    </row>
    <row r="27" spans="2:18" ht="25.5" customHeight="1" x14ac:dyDescent="0.25">
      <c r="I27" s="150"/>
      <c r="J27" s="19"/>
      <c r="K27" s="320" t="str">
        <f>IF(OR($O$5="Total",LEFT($O$5,7)="Overall"),"",VLOOKUP(R26,'DC Balance'!$A$55:$C$57,2,0))</f>
        <v/>
      </c>
      <c r="L27" s="320"/>
      <c r="M27" s="320"/>
      <c r="N27" s="320"/>
      <c r="O27" s="320"/>
      <c r="P27" s="320"/>
      <c r="Q27" s="320"/>
      <c r="R27" s="320"/>
    </row>
    <row r="28" spans="2:18" ht="52.8" x14ac:dyDescent="0.25">
      <c r="B28" s="19" t="str">
        <f>IF(O5="Total","Overall Position",O5)</f>
        <v>Overall Position</v>
      </c>
      <c r="D28" s="49" t="s">
        <v>986</v>
      </c>
      <c r="E28" s="166" t="s">
        <v>947</v>
      </c>
      <c r="F28" s="166" t="s">
        <v>941</v>
      </c>
      <c r="G28" s="167"/>
      <c r="H28" s="166" t="s">
        <v>1312</v>
      </c>
      <c r="I28" s="168"/>
      <c r="J28" s="225" t="s">
        <v>1470</v>
      </c>
      <c r="K28" s="300" t="s">
        <v>1471</v>
      </c>
      <c r="L28" s="300"/>
      <c r="M28" s="300"/>
      <c r="N28" s="300"/>
    </row>
    <row r="29" spans="2:18" x14ac:dyDescent="0.25">
      <c r="B29" s="18" t="str">
        <f>IF(LEFT(Show_By,3)&lt;&gt;"Bar","Per "&amp;CHOOSE('Dependency (hide)'!$G$19,"Week", "Month","Year")&amp;IF(Show_By &lt;3,", averaged",", total"),"For "&amp;CHOOSE('Dependency (hide)'!$G$19, "week starting "&amp;TEXT(INDEX('Reference dates (hide)'!$N$43:$N$95,'Dependency (hide)'!$G$20),"dd/mm/yyyy"),TEXT(INDEX(Current_Months,'Dependency (hide)'!$G$20),"MMM yyyy"),'Data files'!$G$12))</f>
        <v>Per Year, total</v>
      </c>
      <c r="D29" s="144" t="str">
        <f>IFERROR(IF(OR($O$5="Total",$O$4="POD"),D40,INDEX(Aggregate_ProcessPOD_Picks,ROW(A1))),"")</f>
        <v>New</v>
      </c>
      <c r="E29" s="145">
        <f ca="1">IF(OR($O$5="Total",$O$4="POD"),'Dependency (hide)'!B5,INDEX('Aggregate activity'!$E$143:$E$202,((MATCH('Aggregate activity'!$O$5,'Data files'!$A$15:$A$35,0)-2)*3)+1))</f>
        <v>20573.086296004381</v>
      </c>
      <c r="F29" s="145">
        <f ca="1">IF(OR($O$5="Total",$O$4="POD"),'Dependency (hide)'!C5,INDEX('Aggregate activity'!$F$143:$F$202,((MATCH('Aggregate activity'!$O$5,'Data files'!$A$15:$A$35,0)-2)*3)+1))</f>
        <v>1271.8674450322542</v>
      </c>
      <c r="G29" s="146"/>
      <c r="H29" s="145">
        <f ca="1">IF(OR($O$5="Total",$O$4="POD"),'Dependency (hide)'!D5,INDEX('Aggregate activity'!$H$143:$H$202,((MATCH('Aggregate activity'!$O$5,'Data files'!$A$15:$A$35,0)-2)*3)+1))</f>
        <v>1093.6439813971613</v>
      </c>
      <c r="I29" s="149"/>
      <c r="J29" s="145">
        <f ca="1">IF(OR($O$5="Total",$O$4="POD"),'Dependency (hide)'!E5,INDEX('Aggregate activity'!$J$143:$J$202,((MATCH('Aggregate activity'!$O$5,'Data files'!$A$15:$A$35,0)-2)*3)+1))</f>
        <v>0</v>
      </c>
      <c r="K29" s="324">
        <f ca="1">IF(OR($O$5="Total",$O$4="POD"),'Dependency (hide)'!F5,INDEX('Aggregate activity'!$K$143:$K$202,((MATCH('Aggregate activity'!$O$5,'Data files'!$A$15:$A$35,0)-2)*3)+1))</f>
        <v>0</v>
      </c>
      <c r="L29" s="324"/>
      <c r="M29" s="324"/>
      <c r="N29" s="324"/>
    </row>
    <row r="30" spans="2:18" x14ac:dyDescent="0.25">
      <c r="D30" s="144" t="str">
        <f>IFERROR(IF(OR($O$5="Total",$O$4="POD"),D41,INDEX(Aggregate_ProcessPOD_Picks,ROW(A2))),"")</f>
        <v>Diagnostic (N)</v>
      </c>
      <c r="E30" s="145">
        <f ca="1">IF(OR($O$5="Total",$O$4="POD"),'Dependency (hide)'!B7,INDEX('Aggregate activity'!$E$143:$E$202,((MATCH('Aggregate activity'!$O$5,'Data files'!$A$15:$A$35,0)-2)*3)+2))</f>
        <v>0</v>
      </c>
      <c r="F30" s="145">
        <f ca="1">IF(OR($O$5="Total",$O$4="POD"),'Dependency (hide)'!C7,INDEX('Aggregate activity'!$F$143:$F$202,((MATCH('Aggregate activity'!$O$5,'Data files'!$A$15:$A$35,0)-2)*3)+2))</f>
        <v>0</v>
      </c>
      <c r="G30" s="146"/>
      <c r="H30" s="145">
        <f ca="1">IF(OR($O$5="Total",$O$4="POD"),'Dependency (hide)'!D7,INDEX('Aggregate activity'!$H$143:$H$202,((MATCH('Aggregate activity'!$O$5,'Data files'!$A$15:$A$35,0)-2)*3)+2))</f>
        <v>0</v>
      </c>
      <c r="I30" s="149"/>
      <c r="J30" s="145">
        <f ca="1">IF(OR($O$5="Total",$O$4="POD"),'Dependency (hide)'!E7,INDEX('Aggregate activity'!$J$143:$J$202,((MATCH('Aggregate activity'!$O$5,'Data files'!$A$15:$A$35,0)-2)*3)+2))</f>
        <v>0</v>
      </c>
      <c r="K30" s="325">
        <f ca="1">IF(OR($O$5="Total",$O$4="POD"),'Dependency (hide)'!F7,INDEX('Aggregate activity'!$K$143:$K$202,((MATCH('Aggregate activity'!$O$5,'Data files'!$A$15:$A$35,0)-2)*3)+2))</f>
        <v>0</v>
      </c>
      <c r="L30" s="325"/>
      <c r="M30" s="325"/>
      <c r="N30" s="325"/>
    </row>
    <row r="31" spans="2:18" x14ac:dyDescent="0.25">
      <c r="D31" s="144" t="str">
        <f>IFERROR(IF(OR($O$5="Total",$O$4="POD"),D42,INDEX(Aggregate_ProcessPOD_Picks,ROW(A3))),"")</f>
        <v>Follow Up</v>
      </c>
      <c r="E31" s="145">
        <f ca="1">IF(OR($O$5="Total",$O$4="POD"),'Dependency (hide)'!B9,INDEX('Aggregate activity'!$E$143:$E$202,((MATCH('Aggregate activity'!$O$5,'Data files'!$A$15:$A$35,0)-2)*3)+3))</f>
        <v>0</v>
      </c>
      <c r="F31" s="145">
        <f ca="1">IF(OR($O$5="Total",$O$4="POD"),'Dependency (hide)'!C9,INDEX('Aggregate activity'!$F$143:$F$202,((MATCH('Aggregate activity'!$O$5,'Data files'!$A$15:$A$35,0)-2)*3)+3))</f>
        <v>0</v>
      </c>
      <c r="G31" s="146"/>
      <c r="H31" s="145">
        <f ca="1">IF(OR($O$5="Total",$O$4="POD"),'Dependency (hide)'!D9,INDEX('Aggregate activity'!$H$143:$H$202,((MATCH('Aggregate activity'!$O$5,'Data files'!$A$15:$A$35,0)-2)*3)+3))</f>
        <v>0</v>
      </c>
      <c r="I31" s="149"/>
      <c r="J31" s="145">
        <f ca="1">IF(OR($O$5="Total",$O$4="POD"),'Dependency (hide)'!E9,INDEX('Aggregate activity'!$J$143:$J$202,((MATCH('Aggregate activity'!$O$5,'Data files'!$A$15:$A$35,0)-2)*3)+3))</f>
        <v>0</v>
      </c>
      <c r="K31" s="325">
        <f ca="1">IF(OR($O$5="Total",$O$4="POD"),'Dependency (hide)'!F9,INDEX('Aggregate activity'!$K$143:$K$202,((MATCH('Aggregate activity'!$O$5,'Data files'!$A$15:$A$35,0)-2)*3)+3))</f>
        <v>0</v>
      </c>
      <c r="L31" s="325"/>
      <c r="M31" s="325"/>
      <c r="N31" s="325"/>
    </row>
    <row r="32" spans="2:18" x14ac:dyDescent="0.25">
      <c r="D32" s="144" t="str">
        <f>IFERROR(IF(OR($O$5="Total",$O$4="POD"),D43,INDEX(Aggregate_ProcessPOD_Picks,ROW(A4))),"")</f>
        <v>Diagnostic (FU)</v>
      </c>
      <c r="E32" s="145">
        <f ca="1">IF(OR($O$5="Total",$O$4="POD"),'Dependency (hide)'!B11,0)</f>
        <v>0</v>
      </c>
      <c r="F32" s="145">
        <f ca="1">IF(OR($O$5="Total",$O$4="POD"),'Dependency (hide)'!C11,INDEX('Aggregate activity'!$H$143:$H$202,((MATCH('Aggregate activity'!$O$5,'Data files'!$A$15:$A$35,0)-2)*3)+4))</f>
        <v>0</v>
      </c>
      <c r="G32" s="146"/>
      <c r="H32" s="145">
        <f ca="1">IF(OR($O$5="Total",$O$4="POD"),'Dependency (hide)'!D11,INDEX('Aggregate activity'!$H$143:$H$202,((MATCH('Aggregate activity'!$O$5,'Data files'!$A$15:$A$35,0)-2)*3)+4))</f>
        <v>0</v>
      </c>
      <c r="I32" s="149"/>
      <c r="J32" s="145">
        <f ca="1">IF(OR($O$5="Total",$O$4="POD"),'Dependency (hide)'!E11,INDEX('Aggregate activity'!$J$143:$J$202,((MATCH('Aggregate activity'!$O$5,'Data files'!$A$15:$A$35,0)-2)*3)+1))</f>
        <v>0</v>
      </c>
      <c r="K32" s="325">
        <f ca="1">IF(OR($O$5="Total",$O$4="POD"),'Dependency (hide)'!F11,INDEX('Aggregate activity'!$K$143:$K$202,((MATCH('Aggregate activity'!$O$5,'Data files'!$A$15:$A$35,0)-2)*3)+1))</f>
        <v>0</v>
      </c>
      <c r="L32" s="325"/>
      <c r="M32" s="325"/>
      <c r="N32" s="325"/>
    </row>
    <row r="33" spans="1:14" x14ac:dyDescent="0.25">
      <c r="D33" s="144" t="str">
        <f>IFERROR(IF(OR($O$5="Total",$O$4="POD"),D44,INDEX(Aggregate_ProcessPOD_Picks,ROW(A5))),"")</f>
        <v>Admission</v>
      </c>
      <c r="E33" s="145">
        <f ca="1">IF(OR($O$5="Total",$O$4="POD"),'Dependency (hide)'!B13,0)</f>
        <v>0</v>
      </c>
      <c r="F33" s="145">
        <f ca="1">IF(OR($O$5="Total",$O$4="POD"),'Dependency (hide)'!C13,INDEX('Aggregate activity'!$H$143:$H$202,((MATCH('Aggregate activity'!$O$5,'Data files'!$A$15:$A$35,0)-2)*3)+5))</f>
        <v>0</v>
      </c>
      <c r="G33" s="146"/>
      <c r="H33" s="145">
        <f ca="1">IF(OR($O$5="Total",$O$4="POD"),'Dependency (hide)'!D13,INDEX('Aggregate activity'!$H$143:$H$202,((MATCH('Aggregate activity'!$O$5,'Data files'!$A$15:$A$35,0)-2)*3)+5))</f>
        <v>0</v>
      </c>
      <c r="I33" s="149"/>
      <c r="J33" s="145">
        <f ca="1">IF(OR($O$5="Total",$O$4="POD"),'Dependency (hide)'!E13,INDEX('Aggregate activity'!$J$143:$J$202,((MATCH('Aggregate activity'!$O$5,'Data files'!$A$15:$A$35,0)-2)*3)+1))</f>
        <v>0</v>
      </c>
      <c r="K33" s="325">
        <f ca="1">IF(OR($O$5="Total",$O$4="POD"),'Dependency (hide)'!F13,INDEX('Aggregate activity'!$K$143:$K$202,((MATCH('Aggregate activity'!$O$5,'Data files'!$A$15:$A$35,0)-2)*3)+1))</f>
        <v>0</v>
      </c>
      <c r="L33" s="325"/>
      <c r="M33" s="325"/>
      <c r="N33" s="325"/>
    </row>
    <row r="34" spans="1:14" hidden="1" x14ac:dyDescent="0.25">
      <c r="I34" s="151"/>
      <c r="K34" s="296"/>
      <c r="L34" s="296"/>
      <c r="M34" s="296"/>
      <c r="N34" s="296"/>
    </row>
    <row r="35" spans="1:14" hidden="1" x14ac:dyDescent="0.25">
      <c r="I35" s="151"/>
      <c r="K35" s="296"/>
      <c r="L35" s="296"/>
      <c r="M35" s="296"/>
      <c r="N35" s="296"/>
    </row>
    <row r="36" spans="1:14" x14ac:dyDescent="0.25">
      <c r="B36" s="19" t="s">
        <v>993</v>
      </c>
      <c r="C36"/>
      <c r="D36"/>
      <c r="E36"/>
      <c r="I36" s="151"/>
      <c r="K36" s="296"/>
      <c r="L36" s="296"/>
      <c r="M36" s="296"/>
      <c r="N36" s="296"/>
    </row>
    <row r="37" spans="1:14" x14ac:dyDescent="0.25">
      <c r="B37"/>
      <c r="C37"/>
      <c r="I37" s="151"/>
      <c r="K37" s="296"/>
      <c r="L37" s="296"/>
      <c r="M37" s="296"/>
      <c r="N37" s="296"/>
    </row>
    <row r="38" spans="1:14" s="33" customFormat="1" x14ac:dyDescent="0.25">
      <c r="A38" s="18"/>
      <c r="D38"/>
      <c r="E38" s="18"/>
      <c r="F38" s="18"/>
      <c r="G38" s="18"/>
      <c r="H38" s="18"/>
      <c r="I38" s="151"/>
      <c r="K38" s="296"/>
      <c r="L38" s="296"/>
      <c r="M38" s="296"/>
      <c r="N38" s="296"/>
    </row>
    <row r="39" spans="1:14" ht="39.6" hidden="1" customHeight="1" x14ac:dyDescent="0.25">
      <c r="B39" s="317" t="s">
        <v>994</v>
      </c>
      <c r="C39" s="318"/>
      <c r="D39" s="49" t="s">
        <v>986</v>
      </c>
      <c r="E39" s="28" t="s">
        <v>947</v>
      </c>
      <c r="F39" s="28" t="s">
        <v>941</v>
      </c>
      <c r="G39" s="31"/>
      <c r="H39" s="28" t="s">
        <v>1312</v>
      </c>
      <c r="I39" s="152"/>
      <c r="J39" s="28" t="s">
        <v>1364</v>
      </c>
      <c r="K39" s="327" t="s">
        <v>1365</v>
      </c>
      <c r="L39" s="328"/>
      <c r="M39" s="328"/>
      <c r="N39" s="329"/>
    </row>
    <row r="40" spans="1:14" hidden="1" x14ac:dyDescent="0.25">
      <c r="B40" s="316" t="str">
        <f>'Data files'!A16</f>
        <v>1. test service</v>
      </c>
      <c r="C40" s="316"/>
      <c r="D40" s="50" t="s">
        <v>815</v>
      </c>
      <c r="E40" s="32">
        <f ca="1">SUMIFS('Dependency (hide)'!$F$25:$F$103,'Dependency (hide)'!$B$25:$B$103,QUOTIENT(ROW(A1)-1,5)+1,'Dependency (hide)'!$E$25:$E$103,'Aggregate activity'!$D40)</f>
        <v>20573.086296004381</v>
      </c>
      <c r="F40" s="32">
        <f ca="1">SUMIFS('Dependency (hide)'!$G$25:$G$103,'Dependency (hide)'!$B$25:$B$103,QUOTIENT(ROW(A1)-1,5)+1,'Dependency (hide)'!$E$25:$E$103,'Aggregate activity'!$D40)</f>
        <v>1271.8674450322542</v>
      </c>
      <c r="H40" s="32">
        <f ca="1">SUMIFS('Dependency (hide)'!$H$25:$H$103,'Dependency (hide)'!$B$25:$B$103,QUOTIENT(ROW(A1)-1,5)+1,'Dependency (hide)'!$E$25:$E$103,'Aggregate activity'!$D40)</f>
        <v>1093.6439813971613</v>
      </c>
      <c r="I40" s="153"/>
      <c r="J40" s="32">
        <f ca="1">SUMIFS('Dependency (hide)'!$I$25:$I$103,'Dependency (hide)'!$B$25:$B$103,QUOTIENT(ROW(C1)-1,5)+1,'Dependency (hide)'!$E$25:$E$103,'Aggregate activity'!$D40)</f>
        <v>0</v>
      </c>
      <c r="K40" s="297">
        <f ca="1">SUMIFS('Dependency (hide)'!$J$25:$J$103,'Dependency (hide)'!$B$25:$B$103,QUOTIENT(ROW(D1)-1,5)+1,'Dependency (hide)'!$E$25:$E$103,'Aggregate activity'!$D40)</f>
        <v>0</v>
      </c>
      <c r="L40" s="298"/>
      <c r="M40" s="298"/>
      <c r="N40" s="299"/>
    </row>
    <row r="41" spans="1:14" hidden="1" x14ac:dyDescent="0.25">
      <c r="B41" s="316"/>
      <c r="C41" s="316"/>
      <c r="D41" s="50" t="s">
        <v>841</v>
      </c>
      <c r="E41" s="32">
        <f ca="1">SUMIFS('Dependency (hide)'!$F$25:$F$103,'Dependency (hide)'!$B$25:$B$103,QUOTIENT(ROW(A2)-1,5)+1,'Dependency (hide)'!$E$25:$E$103,'Aggregate activity'!$D41)</f>
        <v>0</v>
      </c>
      <c r="F41" s="32">
        <f ca="1">SUMIFS('Dependency (hide)'!$G$25:$G$103,'Dependency (hide)'!$B$25:$B$103,QUOTIENT(ROW(A2)-1,5)+1,'Dependency (hide)'!$E$25:$E$103,'Aggregate activity'!$D41)</f>
        <v>0</v>
      </c>
      <c r="H41" s="32">
        <f ca="1">SUMIFS('Dependency (hide)'!$H$25:$H$103,'Dependency (hide)'!$B$25:$B$103,QUOTIENT(ROW(A2)-1,5)+1,'Dependency (hide)'!$E$25:$E$103,'Aggregate activity'!$D41)</f>
        <v>0</v>
      </c>
      <c r="I41" s="153"/>
      <c r="J41" s="32">
        <f ca="1">SUMIFS('Dependency (hide)'!$I$25:$I$103,'Dependency (hide)'!$B$25:$B$103,QUOTIENT(ROW(C2)-1,5)+1,'Dependency (hide)'!$E$25:$E$103,'Aggregate activity'!$D41)</f>
        <v>0</v>
      </c>
      <c r="K41" s="297">
        <f ca="1">SUMIFS('Dependency (hide)'!$J$25:$J$103,'Dependency (hide)'!$B$25:$B$103,QUOTIENT(ROW(D2)-1,5)+1,'Dependency (hide)'!$E$25:$E$103,'Aggregate activity'!$D41)</f>
        <v>0</v>
      </c>
      <c r="L41" s="298"/>
      <c r="M41" s="298"/>
      <c r="N41" s="299"/>
    </row>
    <row r="42" spans="1:14" hidden="1" x14ac:dyDescent="0.25">
      <c r="B42" s="316"/>
      <c r="C42" s="316"/>
      <c r="D42" s="50" t="s">
        <v>818</v>
      </c>
      <c r="E42" s="32">
        <f ca="1">SUMIFS('Dependency (hide)'!$F$25:$F$103,'Dependency (hide)'!$B$25:$B$103,QUOTIENT(ROW(A3)-1,5)+1,'Dependency (hide)'!$E$25:$E$103,'Aggregate activity'!$D42)</f>
        <v>0</v>
      </c>
      <c r="F42" s="32">
        <f ca="1">SUMIFS('Dependency (hide)'!$G$25:$G$103,'Dependency (hide)'!$B$25:$B$103,QUOTIENT(ROW(A3)-1,5)+1,'Dependency (hide)'!$E$25:$E$103,'Aggregate activity'!$D42)</f>
        <v>0</v>
      </c>
      <c r="H42" s="32">
        <f ca="1">SUMIFS('Dependency (hide)'!$H$25:$H$103,'Dependency (hide)'!$B$25:$B$103,QUOTIENT(ROW(A3)-1,5)+1,'Dependency (hide)'!$E$25:$E$103,'Aggregate activity'!$D42)</f>
        <v>0</v>
      </c>
      <c r="I42" s="153"/>
      <c r="J42" s="32">
        <f ca="1">SUMIFS('Dependency (hide)'!$I$25:$I$103,'Dependency (hide)'!$B$25:$B$103,QUOTIENT(ROW(C3)-1,5)+1,'Dependency (hide)'!$E$25:$E$103,'Aggregate activity'!$D42)</f>
        <v>0</v>
      </c>
      <c r="K42" s="297">
        <f ca="1">SUMIFS('Dependency (hide)'!$J$25:$J$103,'Dependency (hide)'!$B$25:$B$103,QUOTIENT(ROW(D3)-1,5)+1,'Dependency (hide)'!$E$25:$E$103,'Aggregate activity'!$D42)</f>
        <v>0</v>
      </c>
      <c r="L42" s="298"/>
      <c r="M42" s="298"/>
      <c r="N42" s="299"/>
    </row>
    <row r="43" spans="1:14" hidden="1" x14ac:dyDescent="0.25">
      <c r="B43" s="316"/>
      <c r="C43" s="316"/>
      <c r="D43" s="50" t="s">
        <v>842</v>
      </c>
      <c r="E43" s="32">
        <f ca="1">SUMIFS('Dependency (hide)'!$F$25:$F$103,'Dependency (hide)'!$B$25:$B$103,QUOTIENT(ROW(A4)-1,5)+1,'Dependency (hide)'!$E$25:$E$103,'Aggregate activity'!$D43)</f>
        <v>0</v>
      </c>
      <c r="F43" s="32">
        <f ca="1">SUMIFS('Dependency (hide)'!$G$25:$G$103,'Dependency (hide)'!$B$25:$B$103,QUOTIENT(ROW(A4)-1,5)+1,'Dependency (hide)'!$E$25:$E$103,'Aggregate activity'!$D43)</f>
        <v>0</v>
      </c>
      <c r="H43" s="32">
        <f ca="1">SUMIFS('Dependency (hide)'!$H$25:$H$103,'Dependency (hide)'!$B$25:$B$103,QUOTIENT(ROW(A4)-1,5)+1,'Dependency (hide)'!$E$25:$E$103,'Aggregate activity'!$D43)</f>
        <v>0</v>
      </c>
      <c r="I43" s="153"/>
      <c r="J43" s="32">
        <f ca="1">SUMIFS('Dependency (hide)'!$I$25:$I$103,'Dependency (hide)'!$B$25:$B$103,QUOTIENT(ROW(C4)-1,5)+1,'Dependency (hide)'!$E$25:$E$103,'Aggregate activity'!$D43)</f>
        <v>0</v>
      </c>
      <c r="K43" s="297">
        <f ca="1">SUMIFS('Dependency (hide)'!$J$25:$J$103,'Dependency (hide)'!$B$25:$B$103,QUOTIENT(ROW(D4)-1,5)+1,'Dependency (hide)'!$E$25:$E$103,'Aggregate activity'!$D43)</f>
        <v>0</v>
      </c>
      <c r="L43" s="298"/>
      <c r="M43" s="298"/>
      <c r="N43" s="299"/>
    </row>
    <row r="44" spans="1:14" hidden="1" x14ac:dyDescent="0.25">
      <c r="B44" s="316"/>
      <c r="C44" s="316"/>
      <c r="D44" s="50" t="s">
        <v>839</v>
      </c>
      <c r="E44" s="32">
        <f ca="1">SUMIFS('Dependency (hide)'!$F$25:$F$103,'Dependency (hide)'!$B$25:$B$103,QUOTIENT(ROW(A5)-1,5)+1,'Dependency (hide)'!$E$25:$E$103,'Aggregate activity'!$D44)</f>
        <v>0</v>
      </c>
      <c r="F44" s="32">
        <f ca="1">SUMIFS('Dependency (hide)'!$G$25:$G$103,'Dependency (hide)'!$B$25:$B$103,QUOTIENT(ROW(A5)-1,5)+1,'Dependency (hide)'!$E$25:$E$103,'Aggregate activity'!$D44)</f>
        <v>0</v>
      </c>
      <c r="H44" s="32">
        <f ca="1">SUMIFS('Dependency (hide)'!$H$25:$H$103,'Dependency (hide)'!$B$25:$B$103,QUOTIENT(ROW(A5)-1,5)+1,'Dependency (hide)'!$E$25:$E$103,'Aggregate activity'!$D44)</f>
        <v>0</v>
      </c>
      <c r="I44" s="153"/>
      <c r="J44" s="32">
        <f ca="1">SUMIFS('Dependency (hide)'!$I$25:$I$103,'Dependency (hide)'!$B$25:$B$103,QUOTIENT(ROW(C5)-1,5)+1,'Dependency (hide)'!$E$25:$E$103,'Aggregate activity'!$D44)</f>
        <v>0</v>
      </c>
      <c r="K44" s="297">
        <f ca="1">SUMIFS('Dependency (hide)'!$J$25:$J$103,'Dependency (hide)'!$B$25:$B$103,QUOTIENT(ROW(D5)-1,5)+1,'Dependency (hide)'!$E$25:$E$103,'Aggregate activity'!$D44)</f>
        <v>0</v>
      </c>
      <c r="L44" s="298"/>
      <c r="M44" s="298"/>
      <c r="N44" s="299"/>
    </row>
    <row r="45" spans="1:14" hidden="1" x14ac:dyDescent="0.25">
      <c r="B45" s="315" t="str">
        <f>'Data files'!A17</f>
        <v xml:space="preserve">2. </v>
      </c>
      <c r="C45" s="315"/>
      <c r="D45" s="51" t="s">
        <v>815</v>
      </c>
      <c r="E45" s="52">
        <f ca="1">SUMIFS('Dependency (hide)'!$F$25:$F$103,'Dependency (hide)'!$B$25:$B$103,QUOTIENT(ROW(A6)-1,5)+1,'Dependency (hide)'!$E$25:$E$103,'Aggregate activity'!$D45)</f>
        <v>0</v>
      </c>
      <c r="F45" s="52">
        <f ca="1">SUMIFS('Dependency (hide)'!$G$25:$G$103,'Dependency (hide)'!$B$25:$B$103,QUOTIENT(ROW(A6)-1,5)+1,'Dependency (hide)'!$E$25:$E$103,'Aggregate activity'!$D45)</f>
        <v>0</v>
      </c>
      <c r="H45" s="52">
        <f ca="1">SUMIFS('Dependency (hide)'!$H$25:$H$103,'Dependency (hide)'!$B$25:$B$103,QUOTIENT(ROW(A6)-1,5)+1,'Dependency (hide)'!$E$25:$E$103,'Aggregate activity'!$D45)</f>
        <v>0</v>
      </c>
      <c r="I45" s="153"/>
      <c r="J45" s="52">
        <f ca="1">SUMIFS('Dependency (hide)'!$I$25:$I$103,'Dependency (hide)'!$B$25:$B$103,QUOTIENT(ROW(C6)-1,5)+1,'Dependency (hide)'!$E$25:$E$103,'Aggregate activity'!$D45)</f>
        <v>0</v>
      </c>
      <c r="K45" s="293">
        <f ca="1">SUMIFS('Dependency (hide)'!$J$25:$J$103,'Dependency (hide)'!$B$25:$B$103,QUOTIENT(ROW(D6)-1,5)+1,'Dependency (hide)'!$E$25:$E$103,'Aggregate activity'!$D45)</f>
        <v>0</v>
      </c>
      <c r="L45" s="294"/>
      <c r="M45" s="294"/>
      <c r="N45" s="295"/>
    </row>
    <row r="46" spans="1:14" hidden="1" x14ac:dyDescent="0.25">
      <c r="B46" s="315"/>
      <c r="C46" s="315"/>
      <c r="D46" s="51" t="s">
        <v>841</v>
      </c>
      <c r="E46" s="52">
        <f ca="1">SUMIFS('Dependency (hide)'!$F$25:$F$103,'Dependency (hide)'!$B$25:$B$103,QUOTIENT(ROW(A7)-1,5)+1,'Dependency (hide)'!$E$25:$E$103,'Aggregate activity'!$D46)</f>
        <v>0</v>
      </c>
      <c r="F46" s="52">
        <f ca="1">SUMIFS('Dependency (hide)'!$G$25:$G$103,'Dependency (hide)'!$B$25:$B$103,QUOTIENT(ROW(A7)-1,5)+1,'Dependency (hide)'!$E$25:$E$103,'Aggregate activity'!$D46)</f>
        <v>0</v>
      </c>
      <c r="H46" s="52">
        <f ca="1">SUMIFS('Dependency (hide)'!$H$25:$H$103,'Dependency (hide)'!$B$25:$B$103,QUOTIENT(ROW(A7)-1,5)+1,'Dependency (hide)'!$E$25:$E$103,'Aggregate activity'!$D46)</f>
        <v>0</v>
      </c>
      <c r="I46" s="153"/>
      <c r="J46" s="52">
        <f ca="1">SUMIFS('Dependency (hide)'!$I$25:$I$103,'Dependency (hide)'!$B$25:$B$103,QUOTIENT(ROW(C7)-1,5)+1,'Dependency (hide)'!$E$25:$E$103,'Aggregate activity'!$D46)</f>
        <v>0</v>
      </c>
      <c r="K46" s="293">
        <f ca="1">SUMIFS('Dependency (hide)'!$J$25:$J$103,'Dependency (hide)'!$B$25:$B$103,QUOTIENT(ROW(D7)-1,5)+1,'Dependency (hide)'!$E$25:$E$103,'Aggregate activity'!$D46)</f>
        <v>0</v>
      </c>
      <c r="L46" s="294"/>
      <c r="M46" s="294"/>
      <c r="N46" s="295"/>
    </row>
    <row r="47" spans="1:14" hidden="1" x14ac:dyDescent="0.25">
      <c r="B47" s="315"/>
      <c r="C47" s="315"/>
      <c r="D47" s="51" t="s">
        <v>818</v>
      </c>
      <c r="E47" s="52">
        <f ca="1">SUMIFS('Dependency (hide)'!$F$25:$F$103,'Dependency (hide)'!$B$25:$B$103,QUOTIENT(ROW(A8)-1,5)+1,'Dependency (hide)'!$E$25:$E$103,'Aggregate activity'!$D47)</f>
        <v>0</v>
      </c>
      <c r="F47" s="52">
        <f ca="1">SUMIFS('Dependency (hide)'!$G$25:$G$103,'Dependency (hide)'!$B$25:$B$103,QUOTIENT(ROW(A8)-1,5)+1,'Dependency (hide)'!$E$25:$E$103,'Aggregate activity'!$D47)</f>
        <v>0</v>
      </c>
      <c r="H47" s="52">
        <f ca="1">SUMIFS('Dependency (hide)'!$H$25:$H$103,'Dependency (hide)'!$B$25:$B$103,QUOTIENT(ROW(A8)-1,5)+1,'Dependency (hide)'!$E$25:$E$103,'Aggregate activity'!$D47)</f>
        <v>0</v>
      </c>
      <c r="I47" s="153"/>
      <c r="J47" s="52">
        <f ca="1">SUMIFS('Dependency (hide)'!$I$25:$I$103,'Dependency (hide)'!$B$25:$B$103,QUOTIENT(ROW(C8)-1,5)+1,'Dependency (hide)'!$E$25:$E$103,'Aggregate activity'!$D47)</f>
        <v>0</v>
      </c>
      <c r="K47" s="293">
        <f ca="1">SUMIFS('Dependency (hide)'!$J$25:$J$103,'Dependency (hide)'!$B$25:$B$103,QUOTIENT(ROW(D8)-1,5)+1,'Dependency (hide)'!$E$25:$E$103,'Aggregate activity'!$D47)</f>
        <v>0</v>
      </c>
      <c r="L47" s="294"/>
      <c r="M47" s="294"/>
      <c r="N47" s="295"/>
    </row>
    <row r="48" spans="1:14" hidden="1" x14ac:dyDescent="0.25">
      <c r="B48" s="315"/>
      <c r="C48" s="315"/>
      <c r="D48" s="51" t="s">
        <v>842</v>
      </c>
      <c r="E48" s="52">
        <f ca="1">SUMIFS('Dependency (hide)'!$F$25:$F$103,'Dependency (hide)'!$B$25:$B$103,QUOTIENT(ROW(A9)-1,5)+1,'Dependency (hide)'!$E$25:$E$103,'Aggregate activity'!$D48)</f>
        <v>0</v>
      </c>
      <c r="F48" s="52">
        <f ca="1">SUMIFS('Dependency (hide)'!$G$25:$G$103,'Dependency (hide)'!$B$25:$B$103,QUOTIENT(ROW(A9)-1,5)+1,'Dependency (hide)'!$E$25:$E$103,'Aggregate activity'!$D48)</f>
        <v>0</v>
      </c>
      <c r="H48" s="52">
        <f ca="1">SUMIFS('Dependency (hide)'!$H$25:$H$103,'Dependency (hide)'!$B$25:$B$103,QUOTIENT(ROW(A9)-1,5)+1,'Dependency (hide)'!$E$25:$E$103,'Aggregate activity'!$D48)</f>
        <v>0</v>
      </c>
      <c r="I48" s="153"/>
      <c r="J48" s="52">
        <f ca="1">SUMIFS('Dependency (hide)'!$I$25:$I$103,'Dependency (hide)'!$B$25:$B$103,QUOTIENT(ROW(C9)-1,5)+1,'Dependency (hide)'!$E$25:$E$103,'Aggregate activity'!$D48)</f>
        <v>0</v>
      </c>
      <c r="K48" s="293">
        <f ca="1">SUMIFS('Dependency (hide)'!$J$25:$J$103,'Dependency (hide)'!$B$25:$B$103,QUOTIENT(ROW(D9)-1,5)+1,'Dependency (hide)'!$E$25:$E$103,'Aggregate activity'!$D48)</f>
        <v>0</v>
      </c>
      <c r="L48" s="294"/>
      <c r="M48" s="294"/>
      <c r="N48" s="295"/>
    </row>
    <row r="49" spans="2:14" hidden="1" x14ac:dyDescent="0.25">
      <c r="B49" s="315"/>
      <c r="C49" s="315"/>
      <c r="D49" s="51" t="s">
        <v>839</v>
      </c>
      <c r="E49" s="52">
        <f ca="1">SUMIFS('Dependency (hide)'!$F$25:$F$103,'Dependency (hide)'!$B$25:$B$103,QUOTIENT(ROW(A10)-1,5)+1,'Dependency (hide)'!$E$25:$E$103,'Aggregate activity'!$D49)</f>
        <v>0</v>
      </c>
      <c r="F49" s="52">
        <f ca="1">SUMIFS('Dependency (hide)'!$G$25:$G$103,'Dependency (hide)'!$B$25:$B$103,QUOTIENT(ROW(A10)-1,5)+1,'Dependency (hide)'!$E$25:$E$103,'Aggregate activity'!$D49)</f>
        <v>0</v>
      </c>
      <c r="H49" s="52">
        <f ca="1">SUMIFS('Dependency (hide)'!$H$25:$H$103,'Dependency (hide)'!$B$25:$B$103,QUOTIENT(ROW(A10)-1,5)+1,'Dependency (hide)'!$E$25:$E$103,'Aggregate activity'!$D49)</f>
        <v>0</v>
      </c>
      <c r="I49" s="153"/>
      <c r="J49" s="52">
        <f ca="1">SUMIFS('Dependency (hide)'!$I$25:$I$103,'Dependency (hide)'!$B$25:$B$103,QUOTIENT(ROW(C10)-1,5)+1,'Dependency (hide)'!$E$25:$E$103,'Aggregate activity'!$D49)</f>
        <v>0</v>
      </c>
      <c r="K49" s="293">
        <f ca="1">SUMIFS('Dependency (hide)'!$J$25:$J$103,'Dependency (hide)'!$B$25:$B$103,QUOTIENT(ROW(D10)-1,5)+1,'Dependency (hide)'!$E$25:$E$103,'Aggregate activity'!$D49)</f>
        <v>0</v>
      </c>
      <c r="L49" s="294"/>
      <c r="M49" s="294"/>
      <c r="N49" s="295"/>
    </row>
    <row r="50" spans="2:14" hidden="1" x14ac:dyDescent="0.25">
      <c r="B50" s="316" t="str">
        <f>'Data files'!A18</f>
        <v xml:space="preserve">3. </v>
      </c>
      <c r="C50" s="316"/>
      <c r="D50" s="50" t="s">
        <v>815</v>
      </c>
      <c r="E50" s="32">
        <f ca="1">SUMIFS('Dependency (hide)'!$F$25:$F$103,'Dependency (hide)'!$B$25:$B$103,QUOTIENT(ROW(A11)-1,5)+1,'Dependency (hide)'!$E$25:$E$103,'Aggregate activity'!$D50)</f>
        <v>0</v>
      </c>
      <c r="F50" s="32">
        <f ca="1">SUMIFS('Dependency (hide)'!$G$25:$G$103,'Dependency (hide)'!$B$25:$B$103,QUOTIENT(ROW(A11)-1,5)+1,'Dependency (hide)'!$E$25:$E$103,'Aggregate activity'!$D50)</f>
        <v>0</v>
      </c>
      <c r="H50" s="32">
        <f ca="1">SUMIFS('Dependency (hide)'!$H$25:$H$103,'Dependency (hide)'!$B$25:$B$103,QUOTIENT(ROW(A11)-1,5)+1,'Dependency (hide)'!$E$25:$E$103,'Aggregate activity'!$D50)</f>
        <v>0</v>
      </c>
      <c r="I50" s="153"/>
      <c r="J50" s="32">
        <f ca="1">SUMIFS('Dependency (hide)'!$I$25:$I$103,'Dependency (hide)'!$B$25:$B$103,QUOTIENT(ROW(C11)-1,5)+1,'Dependency (hide)'!$E$25:$E$103,'Aggregate activity'!$D50)</f>
        <v>0</v>
      </c>
      <c r="K50" s="297">
        <f ca="1">SUMIFS('Dependency (hide)'!$J$25:$J$103,'Dependency (hide)'!$B$25:$B$103,QUOTIENT(ROW(D11)-1,5)+1,'Dependency (hide)'!$E$25:$E$103,'Aggregate activity'!$D50)</f>
        <v>0</v>
      </c>
      <c r="L50" s="298"/>
      <c r="M50" s="298"/>
      <c r="N50" s="299"/>
    </row>
    <row r="51" spans="2:14" hidden="1" x14ac:dyDescent="0.25">
      <c r="B51" s="316"/>
      <c r="C51" s="316"/>
      <c r="D51" s="50" t="s">
        <v>841</v>
      </c>
      <c r="E51" s="32">
        <f ca="1">SUMIFS('Dependency (hide)'!$F$25:$F$103,'Dependency (hide)'!$B$25:$B$103,QUOTIENT(ROW(A12)-1,5)+1,'Dependency (hide)'!$E$25:$E$103,'Aggregate activity'!$D51)</f>
        <v>0</v>
      </c>
      <c r="F51" s="32">
        <f ca="1">SUMIFS('Dependency (hide)'!$G$25:$G$103,'Dependency (hide)'!$B$25:$B$103,QUOTIENT(ROW(A12)-1,5)+1,'Dependency (hide)'!$E$25:$E$103,'Aggregate activity'!$D51)</f>
        <v>0</v>
      </c>
      <c r="H51" s="32">
        <f ca="1">SUMIFS('Dependency (hide)'!$H$25:$H$103,'Dependency (hide)'!$B$25:$B$103,QUOTIENT(ROW(A12)-1,5)+1,'Dependency (hide)'!$E$25:$E$103,'Aggregate activity'!$D51)</f>
        <v>0</v>
      </c>
      <c r="I51" s="153"/>
      <c r="J51" s="32">
        <f ca="1">SUMIFS('Dependency (hide)'!$I$25:$I$103,'Dependency (hide)'!$B$25:$B$103,QUOTIENT(ROW(C12)-1,5)+1,'Dependency (hide)'!$E$25:$E$103,'Aggregate activity'!$D51)</f>
        <v>0</v>
      </c>
      <c r="K51" s="297">
        <f ca="1">SUMIFS('Dependency (hide)'!$J$25:$J$103,'Dependency (hide)'!$B$25:$B$103,QUOTIENT(ROW(D12)-1,5)+1,'Dependency (hide)'!$E$25:$E$103,'Aggregate activity'!$D51)</f>
        <v>0</v>
      </c>
      <c r="L51" s="298"/>
      <c r="M51" s="298"/>
      <c r="N51" s="299"/>
    </row>
    <row r="52" spans="2:14" hidden="1" x14ac:dyDescent="0.25">
      <c r="B52" s="316"/>
      <c r="C52" s="316"/>
      <c r="D52" s="50" t="s">
        <v>818</v>
      </c>
      <c r="E52" s="32">
        <f ca="1">SUMIFS('Dependency (hide)'!$F$25:$F$103,'Dependency (hide)'!$B$25:$B$103,QUOTIENT(ROW(A13)-1,5)+1,'Dependency (hide)'!$E$25:$E$103,'Aggregate activity'!$D52)</f>
        <v>0</v>
      </c>
      <c r="F52" s="32">
        <f ca="1">SUMIFS('Dependency (hide)'!$G$25:$G$103,'Dependency (hide)'!$B$25:$B$103,QUOTIENT(ROW(A13)-1,5)+1,'Dependency (hide)'!$E$25:$E$103,'Aggregate activity'!$D52)</f>
        <v>0</v>
      </c>
      <c r="H52" s="32">
        <f ca="1">SUMIFS('Dependency (hide)'!$H$25:$H$103,'Dependency (hide)'!$B$25:$B$103,QUOTIENT(ROW(A13)-1,5)+1,'Dependency (hide)'!$E$25:$E$103,'Aggregate activity'!$D52)</f>
        <v>0</v>
      </c>
      <c r="I52" s="153"/>
      <c r="J52" s="32">
        <f ca="1">SUMIFS('Dependency (hide)'!$I$25:$I$103,'Dependency (hide)'!$B$25:$B$103,QUOTIENT(ROW(C13)-1,5)+1,'Dependency (hide)'!$E$25:$E$103,'Aggregate activity'!$D52)</f>
        <v>0</v>
      </c>
      <c r="K52" s="297">
        <f ca="1">SUMIFS('Dependency (hide)'!$J$25:$J$103,'Dependency (hide)'!$B$25:$B$103,QUOTIENT(ROW(D13)-1,5)+1,'Dependency (hide)'!$E$25:$E$103,'Aggregate activity'!$D52)</f>
        <v>0</v>
      </c>
      <c r="L52" s="298"/>
      <c r="M52" s="298"/>
      <c r="N52" s="299"/>
    </row>
    <row r="53" spans="2:14" hidden="1" x14ac:dyDescent="0.25">
      <c r="B53" s="316"/>
      <c r="C53" s="316"/>
      <c r="D53" s="50" t="s">
        <v>842</v>
      </c>
      <c r="E53" s="32">
        <f ca="1">SUMIFS('Dependency (hide)'!$F$25:$F$103,'Dependency (hide)'!$B$25:$B$103,QUOTIENT(ROW(A14)-1,5)+1,'Dependency (hide)'!$E$25:$E$103,'Aggregate activity'!$D53)</f>
        <v>0</v>
      </c>
      <c r="F53" s="32">
        <f ca="1">SUMIFS('Dependency (hide)'!$G$25:$G$103,'Dependency (hide)'!$B$25:$B$103,QUOTIENT(ROW(A14)-1,5)+1,'Dependency (hide)'!$E$25:$E$103,'Aggregate activity'!$D53)</f>
        <v>0</v>
      </c>
      <c r="H53" s="32">
        <f ca="1">SUMIFS('Dependency (hide)'!$H$25:$H$103,'Dependency (hide)'!$B$25:$B$103,QUOTIENT(ROW(A14)-1,5)+1,'Dependency (hide)'!$E$25:$E$103,'Aggregate activity'!$D53)</f>
        <v>0</v>
      </c>
      <c r="I53" s="153"/>
      <c r="J53" s="32">
        <f ca="1">SUMIFS('Dependency (hide)'!$I$25:$I$103,'Dependency (hide)'!$B$25:$B$103,QUOTIENT(ROW(C14)-1,5)+1,'Dependency (hide)'!$E$25:$E$103,'Aggregate activity'!$D53)</f>
        <v>0</v>
      </c>
      <c r="K53" s="297">
        <f ca="1">SUMIFS('Dependency (hide)'!$J$25:$J$103,'Dependency (hide)'!$B$25:$B$103,QUOTIENT(ROW(D14)-1,5)+1,'Dependency (hide)'!$E$25:$E$103,'Aggregate activity'!$D53)</f>
        <v>0</v>
      </c>
      <c r="L53" s="298"/>
      <c r="M53" s="298"/>
      <c r="N53" s="299"/>
    </row>
    <row r="54" spans="2:14" hidden="1" x14ac:dyDescent="0.25">
      <c r="B54" s="316"/>
      <c r="C54" s="316"/>
      <c r="D54" s="50" t="s">
        <v>839</v>
      </c>
      <c r="E54" s="32">
        <f ca="1">SUMIFS('Dependency (hide)'!$F$25:$F$103,'Dependency (hide)'!$B$25:$B$103,QUOTIENT(ROW(A15)-1,5)+1,'Dependency (hide)'!$E$25:$E$103,'Aggregate activity'!$D54)</f>
        <v>0</v>
      </c>
      <c r="F54" s="32">
        <f ca="1">SUMIFS('Dependency (hide)'!$G$25:$G$103,'Dependency (hide)'!$B$25:$B$103,QUOTIENT(ROW(A15)-1,5)+1,'Dependency (hide)'!$E$25:$E$103,'Aggregate activity'!$D54)</f>
        <v>0</v>
      </c>
      <c r="H54" s="32">
        <f ca="1">SUMIFS('Dependency (hide)'!$H$25:$H$103,'Dependency (hide)'!$B$25:$B$103,QUOTIENT(ROW(A15)-1,5)+1,'Dependency (hide)'!$E$25:$E$103,'Aggregate activity'!$D54)</f>
        <v>0</v>
      </c>
      <c r="I54" s="153"/>
      <c r="J54" s="32">
        <f ca="1">SUMIFS('Dependency (hide)'!$I$25:$I$103,'Dependency (hide)'!$B$25:$B$103,QUOTIENT(ROW(C15)-1,5)+1,'Dependency (hide)'!$E$25:$E$103,'Aggregate activity'!$D54)</f>
        <v>0</v>
      </c>
      <c r="K54" s="297">
        <f ca="1">SUMIFS('Dependency (hide)'!$J$25:$J$103,'Dependency (hide)'!$B$25:$B$103,QUOTIENT(ROW(D15)-1,5)+1,'Dependency (hide)'!$E$25:$E$103,'Aggregate activity'!$D54)</f>
        <v>0</v>
      </c>
      <c r="L54" s="298"/>
      <c r="M54" s="298"/>
      <c r="N54" s="299"/>
    </row>
    <row r="55" spans="2:14" hidden="1" x14ac:dyDescent="0.25">
      <c r="B55" s="315" t="str">
        <f>'Data files'!A19</f>
        <v xml:space="preserve">4. </v>
      </c>
      <c r="C55" s="315"/>
      <c r="D55" s="51" t="s">
        <v>815</v>
      </c>
      <c r="E55" s="52">
        <f ca="1">SUMIFS('Dependency (hide)'!$F$25:$F$103,'Dependency (hide)'!$B$25:$B$103,QUOTIENT(ROW(A16)-1,5)+1,'Dependency (hide)'!$E$25:$E$103,'Aggregate activity'!$D55)</f>
        <v>0</v>
      </c>
      <c r="F55" s="52">
        <f ca="1">SUMIFS('Dependency (hide)'!$G$25:$G$103,'Dependency (hide)'!$B$25:$B$103,QUOTIENT(ROW(A16)-1,5)+1,'Dependency (hide)'!$E$25:$E$103,'Aggregate activity'!$D55)</f>
        <v>0</v>
      </c>
      <c r="H55" s="52">
        <f ca="1">SUMIFS('Dependency (hide)'!$H$25:$H$103,'Dependency (hide)'!$B$25:$B$103,QUOTIENT(ROW(A16)-1,5)+1,'Dependency (hide)'!$E$25:$E$103,'Aggregate activity'!$D55)</f>
        <v>0</v>
      </c>
      <c r="I55" s="153"/>
      <c r="J55" s="52">
        <f ca="1">SUMIFS('Dependency (hide)'!$I$25:$I$103,'Dependency (hide)'!$B$25:$B$103,QUOTIENT(ROW(C16)-1,5)+1,'Dependency (hide)'!$E$25:$E$103,'Aggregate activity'!$D55)</f>
        <v>0</v>
      </c>
      <c r="K55" s="293">
        <f ca="1">SUMIFS('Dependency (hide)'!$J$25:$J$103,'Dependency (hide)'!$B$25:$B$103,QUOTIENT(ROW(D16)-1,5)+1,'Dependency (hide)'!$E$25:$E$103,'Aggregate activity'!$D55)</f>
        <v>0</v>
      </c>
      <c r="L55" s="294"/>
      <c r="M55" s="294"/>
      <c r="N55" s="295"/>
    </row>
    <row r="56" spans="2:14" hidden="1" x14ac:dyDescent="0.25">
      <c r="B56" s="315"/>
      <c r="C56" s="315"/>
      <c r="D56" s="51" t="s">
        <v>841</v>
      </c>
      <c r="E56" s="52">
        <f ca="1">SUMIFS('Dependency (hide)'!$F$25:$F$103,'Dependency (hide)'!$B$25:$B$103,QUOTIENT(ROW(A17)-1,5)+1,'Dependency (hide)'!$E$25:$E$103,'Aggregate activity'!$D56)</f>
        <v>0</v>
      </c>
      <c r="F56" s="52">
        <f ca="1">SUMIFS('Dependency (hide)'!$G$25:$G$103,'Dependency (hide)'!$B$25:$B$103,QUOTIENT(ROW(A17)-1,5)+1,'Dependency (hide)'!$E$25:$E$103,'Aggregate activity'!$D56)</f>
        <v>0</v>
      </c>
      <c r="H56" s="52">
        <f ca="1">SUMIFS('Dependency (hide)'!$H$25:$H$103,'Dependency (hide)'!$B$25:$B$103,QUOTIENT(ROW(A17)-1,5)+1,'Dependency (hide)'!$E$25:$E$103,'Aggregate activity'!$D56)</f>
        <v>0</v>
      </c>
      <c r="I56" s="153"/>
      <c r="J56" s="52">
        <f ca="1">SUMIFS('Dependency (hide)'!$I$25:$I$103,'Dependency (hide)'!$B$25:$B$103,QUOTIENT(ROW(C17)-1,5)+1,'Dependency (hide)'!$E$25:$E$103,'Aggregate activity'!$D56)</f>
        <v>0</v>
      </c>
      <c r="K56" s="293">
        <f ca="1">SUMIFS('Dependency (hide)'!$J$25:$J$103,'Dependency (hide)'!$B$25:$B$103,QUOTIENT(ROW(D17)-1,5)+1,'Dependency (hide)'!$E$25:$E$103,'Aggregate activity'!$D56)</f>
        <v>0</v>
      </c>
      <c r="L56" s="294"/>
      <c r="M56" s="294"/>
      <c r="N56" s="295"/>
    </row>
    <row r="57" spans="2:14" hidden="1" x14ac:dyDescent="0.25">
      <c r="B57" s="315"/>
      <c r="C57" s="315"/>
      <c r="D57" s="51" t="s">
        <v>818</v>
      </c>
      <c r="E57" s="52">
        <f ca="1">SUMIFS('Dependency (hide)'!$F$25:$F$103,'Dependency (hide)'!$B$25:$B$103,QUOTIENT(ROW(A18)-1,5)+1,'Dependency (hide)'!$E$25:$E$103,'Aggregate activity'!$D57)</f>
        <v>0</v>
      </c>
      <c r="F57" s="52">
        <f ca="1">SUMIFS('Dependency (hide)'!$G$25:$G$103,'Dependency (hide)'!$B$25:$B$103,QUOTIENT(ROW(A18)-1,5)+1,'Dependency (hide)'!$E$25:$E$103,'Aggregate activity'!$D57)</f>
        <v>0</v>
      </c>
      <c r="H57" s="52">
        <f ca="1">SUMIFS('Dependency (hide)'!$H$25:$H$103,'Dependency (hide)'!$B$25:$B$103,QUOTIENT(ROW(A18)-1,5)+1,'Dependency (hide)'!$E$25:$E$103,'Aggregate activity'!$D57)</f>
        <v>0</v>
      </c>
      <c r="I57" s="153"/>
      <c r="J57" s="52">
        <f ca="1">SUMIFS('Dependency (hide)'!$I$25:$I$103,'Dependency (hide)'!$B$25:$B$103,QUOTIENT(ROW(C18)-1,5)+1,'Dependency (hide)'!$E$25:$E$103,'Aggregate activity'!$D57)</f>
        <v>0</v>
      </c>
      <c r="K57" s="293">
        <f ca="1">SUMIFS('Dependency (hide)'!$J$25:$J$103,'Dependency (hide)'!$B$25:$B$103,QUOTIENT(ROW(D18)-1,5)+1,'Dependency (hide)'!$E$25:$E$103,'Aggregate activity'!$D57)</f>
        <v>0</v>
      </c>
      <c r="L57" s="294"/>
      <c r="M57" s="294"/>
      <c r="N57" s="295"/>
    </row>
    <row r="58" spans="2:14" hidden="1" x14ac:dyDescent="0.25">
      <c r="B58" s="315"/>
      <c r="C58" s="315"/>
      <c r="D58" s="51" t="s">
        <v>842</v>
      </c>
      <c r="E58" s="52">
        <f ca="1">SUMIFS('Dependency (hide)'!$F$25:$F$103,'Dependency (hide)'!$B$25:$B$103,QUOTIENT(ROW(A19)-1,5)+1,'Dependency (hide)'!$E$25:$E$103,'Aggregate activity'!$D58)</f>
        <v>0</v>
      </c>
      <c r="F58" s="52">
        <f ca="1">SUMIFS('Dependency (hide)'!$G$25:$G$103,'Dependency (hide)'!$B$25:$B$103,QUOTIENT(ROW(A19)-1,5)+1,'Dependency (hide)'!$E$25:$E$103,'Aggregate activity'!$D58)</f>
        <v>0</v>
      </c>
      <c r="H58" s="52">
        <f ca="1">SUMIFS('Dependency (hide)'!$H$25:$H$103,'Dependency (hide)'!$B$25:$B$103,QUOTIENT(ROW(A19)-1,5)+1,'Dependency (hide)'!$E$25:$E$103,'Aggregate activity'!$D58)</f>
        <v>0</v>
      </c>
      <c r="I58" s="153"/>
      <c r="J58" s="52">
        <f ca="1">SUMIFS('Dependency (hide)'!$I$25:$I$103,'Dependency (hide)'!$B$25:$B$103,QUOTIENT(ROW(C19)-1,5)+1,'Dependency (hide)'!$E$25:$E$103,'Aggregate activity'!$D58)</f>
        <v>0</v>
      </c>
      <c r="K58" s="293">
        <f ca="1">SUMIFS('Dependency (hide)'!$J$25:$J$103,'Dependency (hide)'!$B$25:$B$103,QUOTIENT(ROW(D19)-1,5)+1,'Dependency (hide)'!$E$25:$E$103,'Aggregate activity'!$D58)</f>
        <v>0</v>
      </c>
      <c r="L58" s="294"/>
      <c r="M58" s="294"/>
      <c r="N58" s="295"/>
    </row>
    <row r="59" spans="2:14" hidden="1" x14ac:dyDescent="0.25">
      <c r="B59" s="315"/>
      <c r="C59" s="315"/>
      <c r="D59" s="51" t="s">
        <v>839</v>
      </c>
      <c r="E59" s="52">
        <f ca="1">SUMIFS('Dependency (hide)'!$F$25:$F$103,'Dependency (hide)'!$B$25:$B$103,QUOTIENT(ROW(A20)-1,5)+1,'Dependency (hide)'!$E$25:$E$103,'Aggregate activity'!$D59)</f>
        <v>0</v>
      </c>
      <c r="F59" s="52">
        <f ca="1">SUMIFS('Dependency (hide)'!$G$25:$G$103,'Dependency (hide)'!$B$25:$B$103,QUOTIENT(ROW(A20)-1,5)+1,'Dependency (hide)'!$E$25:$E$103,'Aggregate activity'!$D59)</f>
        <v>0</v>
      </c>
      <c r="H59" s="52">
        <f ca="1">SUMIFS('Dependency (hide)'!$H$25:$H$103,'Dependency (hide)'!$B$25:$B$103,QUOTIENT(ROW(A20)-1,5)+1,'Dependency (hide)'!$E$25:$E$103,'Aggregate activity'!$D59)</f>
        <v>0</v>
      </c>
      <c r="I59" s="153"/>
      <c r="J59" s="52">
        <f ca="1">SUMIFS('Dependency (hide)'!$I$25:$I$103,'Dependency (hide)'!$B$25:$B$103,QUOTIENT(ROW(C20)-1,5)+1,'Dependency (hide)'!$E$25:$E$103,'Aggregate activity'!$D59)</f>
        <v>0</v>
      </c>
      <c r="K59" s="293">
        <f ca="1">SUMIFS('Dependency (hide)'!$J$25:$J$103,'Dependency (hide)'!$B$25:$B$103,QUOTIENT(ROW(D20)-1,5)+1,'Dependency (hide)'!$E$25:$E$103,'Aggregate activity'!$D59)</f>
        <v>0</v>
      </c>
      <c r="L59" s="294"/>
      <c r="M59" s="294"/>
      <c r="N59" s="295"/>
    </row>
    <row r="60" spans="2:14" hidden="1" x14ac:dyDescent="0.25">
      <c r="B60" s="316" t="str">
        <f>'Data files'!A20</f>
        <v xml:space="preserve">5. </v>
      </c>
      <c r="C60" s="316"/>
      <c r="D60" s="50" t="s">
        <v>815</v>
      </c>
      <c r="E60" s="32">
        <f ca="1">SUMIFS('Dependency (hide)'!$F$25:$F$103,'Dependency (hide)'!$B$25:$B$103,QUOTIENT(ROW(A21)-1,5)+1,'Dependency (hide)'!$E$25:$E$103,'Aggregate activity'!$D60)</f>
        <v>0</v>
      </c>
      <c r="F60" s="32">
        <f ca="1">SUMIFS('Dependency (hide)'!$G$25:$G$103,'Dependency (hide)'!$B$25:$B$103,QUOTIENT(ROW(A21)-1,5)+1,'Dependency (hide)'!$E$25:$E$103,'Aggregate activity'!$D60)</f>
        <v>0</v>
      </c>
      <c r="H60" s="32">
        <f ca="1">SUMIFS('Dependency (hide)'!$H$25:$H$103,'Dependency (hide)'!$B$25:$B$103,QUOTIENT(ROW(A21)-1,5)+1,'Dependency (hide)'!$E$25:$E$103,'Aggregate activity'!$D60)</f>
        <v>0</v>
      </c>
      <c r="I60" s="153"/>
      <c r="J60" s="32">
        <f ca="1">SUMIFS('Dependency (hide)'!$I$25:$I$103,'Dependency (hide)'!$B$25:$B$103,QUOTIENT(ROW(C21)-1,5)+1,'Dependency (hide)'!$E$25:$E$103,'Aggregate activity'!$D60)</f>
        <v>0</v>
      </c>
      <c r="K60" s="297">
        <f ca="1">SUMIFS('Dependency (hide)'!$J$25:$J$103,'Dependency (hide)'!$B$25:$B$103,QUOTIENT(ROW(D21)-1,5)+1,'Dependency (hide)'!$E$25:$E$103,'Aggregate activity'!$D60)</f>
        <v>0</v>
      </c>
      <c r="L60" s="298"/>
      <c r="M60" s="298"/>
      <c r="N60" s="299"/>
    </row>
    <row r="61" spans="2:14" hidden="1" x14ac:dyDescent="0.25">
      <c r="B61" s="316"/>
      <c r="C61" s="316"/>
      <c r="D61" s="50" t="s">
        <v>841</v>
      </c>
      <c r="E61" s="32">
        <f ca="1">SUMIFS('Dependency (hide)'!$F$25:$F$103,'Dependency (hide)'!$B$25:$B$103,QUOTIENT(ROW(A22)-1,5)+1,'Dependency (hide)'!$E$25:$E$103,'Aggregate activity'!$D61)</f>
        <v>0</v>
      </c>
      <c r="F61" s="32">
        <f ca="1">SUMIFS('Dependency (hide)'!$G$25:$G$103,'Dependency (hide)'!$B$25:$B$103,QUOTIENT(ROW(A22)-1,5)+1,'Dependency (hide)'!$E$25:$E$103,'Aggregate activity'!$D61)</f>
        <v>0</v>
      </c>
      <c r="H61" s="32">
        <f ca="1">SUMIFS('Dependency (hide)'!$H$25:$H$103,'Dependency (hide)'!$B$25:$B$103,QUOTIENT(ROW(A22)-1,5)+1,'Dependency (hide)'!$E$25:$E$103,'Aggregate activity'!$D61)</f>
        <v>0</v>
      </c>
      <c r="I61" s="153"/>
      <c r="J61" s="32">
        <f ca="1">SUMIFS('Dependency (hide)'!$I$25:$I$103,'Dependency (hide)'!$B$25:$B$103,QUOTIENT(ROW(C22)-1,5)+1,'Dependency (hide)'!$E$25:$E$103,'Aggregate activity'!$D61)</f>
        <v>0</v>
      </c>
      <c r="K61" s="297">
        <f ca="1">SUMIFS('Dependency (hide)'!$J$25:$J$103,'Dependency (hide)'!$B$25:$B$103,QUOTIENT(ROW(D22)-1,5)+1,'Dependency (hide)'!$E$25:$E$103,'Aggregate activity'!$D61)</f>
        <v>0</v>
      </c>
      <c r="L61" s="298"/>
      <c r="M61" s="298"/>
      <c r="N61" s="299"/>
    </row>
    <row r="62" spans="2:14" hidden="1" x14ac:dyDescent="0.25">
      <c r="B62" s="316"/>
      <c r="C62" s="316"/>
      <c r="D62" s="50" t="s">
        <v>818</v>
      </c>
      <c r="E62" s="32">
        <f ca="1">SUMIFS('Dependency (hide)'!$F$25:$F$103,'Dependency (hide)'!$B$25:$B$103,QUOTIENT(ROW(A23)-1,5)+1,'Dependency (hide)'!$E$25:$E$103,'Aggregate activity'!$D62)</f>
        <v>0</v>
      </c>
      <c r="F62" s="32">
        <f ca="1">SUMIFS('Dependency (hide)'!$G$25:$G$103,'Dependency (hide)'!$B$25:$B$103,QUOTIENT(ROW(A23)-1,5)+1,'Dependency (hide)'!$E$25:$E$103,'Aggregate activity'!$D62)</f>
        <v>0</v>
      </c>
      <c r="H62" s="32">
        <f ca="1">SUMIFS('Dependency (hide)'!$H$25:$H$103,'Dependency (hide)'!$B$25:$B$103,QUOTIENT(ROW(A23)-1,5)+1,'Dependency (hide)'!$E$25:$E$103,'Aggregate activity'!$D62)</f>
        <v>0</v>
      </c>
      <c r="I62" s="153"/>
      <c r="J62" s="32">
        <f ca="1">SUMIFS('Dependency (hide)'!$I$25:$I$103,'Dependency (hide)'!$B$25:$B$103,QUOTIENT(ROW(C23)-1,5)+1,'Dependency (hide)'!$E$25:$E$103,'Aggregate activity'!$D62)</f>
        <v>0</v>
      </c>
      <c r="K62" s="297">
        <f ca="1">SUMIFS('Dependency (hide)'!$J$25:$J$103,'Dependency (hide)'!$B$25:$B$103,QUOTIENT(ROW(D23)-1,5)+1,'Dependency (hide)'!$E$25:$E$103,'Aggregate activity'!$D62)</f>
        <v>0</v>
      </c>
      <c r="L62" s="298"/>
      <c r="M62" s="298"/>
      <c r="N62" s="299"/>
    </row>
    <row r="63" spans="2:14" hidden="1" x14ac:dyDescent="0.25">
      <c r="B63" s="316"/>
      <c r="C63" s="316"/>
      <c r="D63" s="50" t="s">
        <v>842</v>
      </c>
      <c r="E63" s="32">
        <f ca="1">SUMIFS('Dependency (hide)'!$F$25:$F$103,'Dependency (hide)'!$B$25:$B$103,QUOTIENT(ROW(A24)-1,5)+1,'Dependency (hide)'!$E$25:$E$103,'Aggregate activity'!$D63)</f>
        <v>0</v>
      </c>
      <c r="F63" s="32">
        <f ca="1">SUMIFS('Dependency (hide)'!$G$25:$G$103,'Dependency (hide)'!$B$25:$B$103,QUOTIENT(ROW(A24)-1,5)+1,'Dependency (hide)'!$E$25:$E$103,'Aggregate activity'!$D63)</f>
        <v>0</v>
      </c>
      <c r="H63" s="32">
        <f ca="1">SUMIFS('Dependency (hide)'!$H$25:$H$103,'Dependency (hide)'!$B$25:$B$103,QUOTIENT(ROW(A24)-1,5)+1,'Dependency (hide)'!$E$25:$E$103,'Aggregate activity'!$D63)</f>
        <v>0</v>
      </c>
      <c r="I63" s="153"/>
      <c r="J63" s="32">
        <f ca="1">SUMIFS('Dependency (hide)'!$I$25:$I$103,'Dependency (hide)'!$B$25:$B$103,QUOTIENT(ROW(C24)-1,5)+1,'Dependency (hide)'!$E$25:$E$103,'Aggregate activity'!$D63)</f>
        <v>0</v>
      </c>
      <c r="K63" s="297">
        <f ca="1">SUMIFS('Dependency (hide)'!$J$25:$J$103,'Dependency (hide)'!$B$25:$B$103,QUOTIENT(ROW(D24)-1,5)+1,'Dependency (hide)'!$E$25:$E$103,'Aggregate activity'!$D63)</f>
        <v>0</v>
      </c>
      <c r="L63" s="298"/>
      <c r="M63" s="298"/>
      <c r="N63" s="299"/>
    </row>
    <row r="64" spans="2:14" hidden="1" x14ac:dyDescent="0.25">
      <c r="B64" s="316"/>
      <c r="C64" s="316"/>
      <c r="D64" s="50" t="s">
        <v>839</v>
      </c>
      <c r="E64" s="32">
        <f ca="1">SUMIFS('Dependency (hide)'!$F$25:$F$103,'Dependency (hide)'!$B$25:$B$103,QUOTIENT(ROW(A25)-1,5)+1,'Dependency (hide)'!$E$25:$E$103,'Aggregate activity'!$D64)</f>
        <v>0</v>
      </c>
      <c r="F64" s="32">
        <f ca="1">SUMIFS('Dependency (hide)'!$G$25:$G$103,'Dependency (hide)'!$B$25:$B$103,QUOTIENT(ROW(A25)-1,5)+1,'Dependency (hide)'!$E$25:$E$103,'Aggregate activity'!$D64)</f>
        <v>0</v>
      </c>
      <c r="H64" s="32">
        <f ca="1">SUMIFS('Dependency (hide)'!$H$25:$H$103,'Dependency (hide)'!$B$25:$B$103,QUOTIENT(ROW(A25)-1,5)+1,'Dependency (hide)'!$E$25:$E$103,'Aggregate activity'!$D64)</f>
        <v>0</v>
      </c>
      <c r="I64" s="153"/>
      <c r="J64" s="32">
        <f ca="1">SUMIFS('Dependency (hide)'!$I$25:$I$103,'Dependency (hide)'!$B$25:$B$103,QUOTIENT(ROW(C25)-1,5)+1,'Dependency (hide)'!$E$25:$E$103,'Aggregate activity'!$D64)</f>
        <v>0</v>
      </c>
      <c r="K64" s="297">
        <f ca="1">SUMIFS('Dependency (hide)'!$J$25:$J$103,'Dependency (hide)'!$B$25:$B$103,QUOTIENT(ROW(D25)-1,5)+1,'Dependency (hide)'!$E$25:$E$103,'Aggregate activity'!$D64)</f>
        <v>0</v>
      </c>
      <c r="L64" s="298"/>
      <c r="M64" s="298"/>
      <c r="N64" s="299"/>
    </row>
    <row r="65" spans="2:14" hidden="1" x14ac:dyDescent="0.25">
      <c r="B65" s="315" t="str">
        <f>'Data files'!A21</f>
        <v xml:space="preserve">6. </v>
      </c>
      <c r="C65" s="315"/>
      <c r="D65" s="51" t="s">
        <v>815</v>
      </c>
      <c r="E65" s="52">
        <f ca="1">SUMIFS('Dependency (hide)'!$F$25:$F$103,'Dependency (hide)'!$B$25:$B$103,QUOTIENT(ROW(A26)-1,5)+1,'Dependency (hide)'!$E$25:$E$103,'Aggregate activity'!$D65)</f>
        <v>0</v>
      </c>
      <c r="F65" s="52">
        <f ca="1">SUMIFS('Dependency (hide)'!$G$25:$G$103,'Dependency (hide)'!$B$25:$B$103,QUOTIENT(ROW(A26)-1,5)+1,'Dependency (hide)'!$E$25:$E$103,'Aggregate activity'!$D65)</f>
        <v>0</v>
      </c>
      <c r="H65" s="52">
        <f ca="1">SUMIFS('Dependency (hide)'!$H$25:$H$103,'Dependency (hide)'!$B$25:$B$103,QUOTIENT(ROW(A26)-1,5)+1,'Dependency (hide)'!$E$25:$E$103,'Aggregate activity'!$D65)</f>
        <v>0</v>
      </c>
      <c r="I65" s="153"/>
      <c r="J65" s="52">
        <f ca="1">SUMIFS('Dependency (hide)'!$I$25:$I$103,'Dependency (hide)'!$B$25:$B$103,QUOTIENT(ROW(C26)-1,5)+1,'Dependency (hide)'!$E$25:$E$103,'Aggregate activity'!$D65)</f>
        <v>0</v>
      </c>
      <c r="K65" s="293">
        <f ca="1">SUMIFS('Dependency (hide)'!$J$25:$J$103,'Dependency (hide)'!$B$25:$B$103,QUOTIENT(ROW(D26)-1,5)+1,'Dependency (hide)'!$E$25:$E$103,'Aggregate activity'!$D65)</f>
        <v>0</v>
      </c>
      <c r="L65" s="294"/>
      <c r="M65" s="294"/>
      <c r="N65" s="295"/>
    </row>
    <row r="66" spans="2:14" hidden="1" x14ac:dyDescent="0.25">
      <c r="B66" s="315"/>
      <c r="C66" s="315"/>
      <c r="D66" s="51" t="s">
        <v>841</v>
      </c>
      <c r="E66" s="52">
        <f ca="1">SUMIFS('Dependency (hide)'!$F$25:$F$103,'Dependency (hide)'!$B$25:$B$103,QUOTIENT(ROW(A27)-1,5)+1,'Dependency (hide)'!$E$25:$E$103,'Aggregate activity'!$D66)</f>
        <v>0</v>
      </c>
      <c r="F66" s="52">
        <f ca="1">SUMIFS('Dependency (hide)'!$G$25:$G$103,'Dependency (hide)'!$B$25:$B$103,QUOTIENT(ROW(A27)-1,5)+1,'Dependency (hide)'!$E$25:$E$103,'Aggregate activity'!$D66)</f>
        <v>0</v>
      </c>
      <c r="H66" s="52">
        <f ca="1">SUMIFS('Dependency (hide)'!$H$25:$H$103,'Dependency (hide)'!$B$25:$B$103,QUOTIENT(ROW(A27)-1,5)+1,'Dependency (hide)'!$E$25:$E$103,'Aggregate activity'!$D66)</f>
        <v>0</v>
      </c>
      <c r="I66" s="153"/>
      <c r="J66" s="52">
        <f ca="1">SUMIFS('Dependency (hide)'!$I$25:$I$103,'Dependency (hide)'!$B$25:$B$103,QUOTIENT(ROW(C27)-1,5)+1,'Dependency (hide)'!$E$25:$E$103,'Aggregate activity'!$D66)</f>
        <v>0</v>
      </c>
      <c r="K66" s="293">
        <f ca="1">SUMIFS('Dependency (hide)'!$J$25:$J$103,'Dependency (hide)'!$B$25:$B$103,QUOTIENT(ROW(D27)-1,5)+1,'Dependency (hide)'!$E$25:$E$103,'Aggregate activity'!$D66)</f>
        <v>0</v>
      </c>
      <c r="L66" s="294"/>
      <c r="M66" s="294"/>
      <c r="N66" s="295"/>
    </row>
    <row r="67" spans="2:14" hidden="1" x14ac:dyDescent="0.25">
      <c r="B67" s="315"/>
      <c r="C67" s="315"/>
      <c r="D67" s="51" t="s">
        <v>818</v>
      </c>
      <c r="E67" s="52">
        <f ca="1">SUMIFS('Dependency (hide)'!$F$25:$F$103,'Dependency (hide)'!$B$25:$B$103,QUOTIENT(ROW(A28)-1,5)+1,'Dependency (hide)'!$E$25:$E$103,'Aggregate activity'!$D67)</f>
        <v>0</v>
      </c>
      <c r="F67" s="52">
        <f ca="1">SUMIFS('Dependency (hide)'!$G$25:$G$103,'Dependency (hide)'!$B$25:$B$103,QUOTIENT(ROW(A28)-1,5)+1,'Dependency (hide)'!$E$25:$E$103,'Aggregate activity'!$D67)</f>
        <v>0</v>
      </c>
      <c r="H67" s="52">
        <f ca="1">SUMIFS('Dependency (hide)'!$H$25:$H$103,'Dependency (hide)'!$B$25:$B$103,QUOTIENT(ROW(A28)-1,5)+1,'Dependency (hide)'!$E$25:$E$103,'Aggregate activity'!$D67)</f>
        <v>0</v>
      </c>
      <c r="I67" s="153"/>
      <c r="J67" s="52">
        <f ca="1">SUMIFS('Dependency (hide)'!$I$25:$I$103,'Dependency (hide)'!$B$25:$B$103,QUOTIENT(ROW(C28)-1,5)+1,'Dependency (hide)'!$E$25:$E$103,'Aggregate activity'!$D67)</f>
        <v>0</v>
      </c>
      <c r="K67" s="293">
        <f ca="1">SUMIFS('Dependency (hide)'!$J$25:$J$103,'Dependency (hide)'!$B$25:$B$103,QUOTIENT(ROW(D28)-1,5)+1,'Dependency (hide)'!$E$25:$E$103,'Aggregate activity'!$D67)</f>
        <v>0</v>
      </c>
      <c r="L67" s="294"/>
      <c r="M67" s="294"/>
      <c r="N67" s="295"/>
    </row>
    <row r="68" spans="2:14" hidden="1" x14ac:dyDescent="0.25">
      <c r="B68" s="315"/>
      <c r="C68" s="315"/>
      <c r="D68" s="51" t="s">
        <v>842</v>
      </c>
      <c r="E68" s="52">
        <f ca="1">SUMIFS('Dependency (hide)'!$F$25:$F$103,'Dependency (hide)'!$B$25:$B$103,QUOTIENT(ROW(A29)-1,5)+1,'Dependency (hide)'!$E$25:$E$103,'Aggregate activity'!$D68)</f>
        <v>0</v>
      </c>
      <c r="F68" s="52">
        <f ca="1">SUMIFS('Dependency (hide)'!$G$25:$G$103,'Dependency (hide)'!$B$25:$B$103,QUOTIENT(ROW(A29)-1,5)+1,'Dependency (hide)'!$E$25:$E$103,'Aggregate activity'!$D68)</f>
        <v>0</v>
      </c>
      <c r="H68" s="52">
        <f ca="1">SUMIFS('Dependency (hide)'!$H$25:$H$103,'Dependency (hide)'!$B$25:$B$103,QUOTIENT(ROW(A29)-1,5)+1,'Dependency (hide)'!$E$25:$E$103,'Aggregate activity'!$D68)</f>
        <v>0</v>
      </c>
      <c r="I68" s="153"/>
      <c r="J68" s="52">
        <f ca="1">SUMIFS('Dependency (hide)'!$I$25:$I$103,'Dependency (hide)'!$B$25:$B$103,QUOTIENT(ROW(C29)-1,5)+1,'Dependency (hide)'!$E$25:$E$103,'Aggregate activity'!$D68)</f>
        <v>0</v>
      </c>
      <c r="K68" s="293">
        <f ca="1">SUMIFS('Dependency (hide)'!$J$25:$J$103,'Dependency (hide)'!$B$25:$B$103,QUOTIENT(ROW(D29)-1,5)+1,'Dependency (hide)'!$E$25:$E$103,'Aggregate activity'!$D68)</f>
        <v>0</v>
      </c>
      <c r="L68" s="294"/>
      <c r="M68" s="294"/>
      <c r="N68" s="295"/>
    </row>
    <row r="69" spans="2:14" hidden="1" x14ac:dyDescent="0.25">
      <c r="B69" s="315"/>
      <c r="C69" s="315"/>
      <c r="D69" s="51" t="s">
        <v>839</v>
      </c>
      <c r="E69" s="52">
        <f ca="1">SUMIFS('Dependency (hide)'!$F$25:$F$103,'Dependency (hide)'!$B$25:$B$103,QUOTIENT(ROW(A30)-1,5)+1,'Dependency (hide)'!$E$25:$E$103,'Aggregate activity'!$D69)</f>
        <v>0</v>
      </c>
      <c r="F69" s="52">
        <f ca="1">SUMIFS('Dependency (hide)'!$G$25:$G$103,'Dependency (hide)'!$B$25:$B$103,QUOTIENT(ROW(A30)-1,5)+1,'Dependency (hide)'!$E$25:$E$103,'Aggregate activity'!$D69)</f>
        <v>0</v>
      </c>
      <c r="H69" s="52">
        <f ca="1">SUMIFS('Dependency (hide)'!$H$25:$H$103,'Dependency (hide)'!$B$25:$B$103,QUOTIENT(ROW(A30)-1,5)+1,'Dependency (hide)'!$E$25:$E$103,'Aggregate activity'!$D69)</f>
        <v>0</v>
      </c>
      <c r="I69" s="153"/>
      <c r="J69" s="52">
        <f ca="1">SUMIFS('Dependency (hide)'!$I$25:$I$103,'Dependency (hide)'!$B$25:$B$103,QUOTIENT(ROW(C30)-1,5)+1,'Dependency (hide)'!$E$25:$E$103,'Aggregate activity'!$D69)</f>
        <v>0</v>
      </c>
      <c r="K69" s="293">
        <f ca="1">SUMIFS('Dependency (hide)'!$J$25:$J$103,'Dependency (hide)'!$B$25:$B$103,QUOTIENT(ROW(D30)-1,5)+1,'Dependency (hide)'!$E$25:$E$103,'Aggregate activity'!$D69)</f>
        <v>0</v>
      </c>
      <c r="L69" s="294"/>
      <c r="M69" s="294"/>
      <c r="N69" s="295"/>
    </row>
    <row r="70" spans="2:14" hidden="1" x14ac:dyDescent="0.25">
      <c r="B70" s="316" t="str">
        <f>'Data files'!A22</f>
        <v xml:space="preserve">7. </v>
      </c>
      <c r="C70" s="316"/>
      <c r="D70" s="50" t="s">
        <v>815</v>
      </c>
      <c r="E70" s="32">
        <f ca="1">SUMIFS('Dependency (hide)'!$F$25:$F$103,'Dependency (hide)'!$B$25:$B$103,QUOTIENT(ROW(A31)-1,5)+1,'Dependency (hide)'!$E$25:$E$103,'Aggregate activity'!$D70)</f>
        <v>0</v>
      </c>
      <c r="F70" s="32">
        <f ca="1">SUMIFS('Dependency (hide)'!$G$25:$G$103,'Dependency (hide)'!$B$25:$B$103,QUOTIENT(ROW(A31)-1,5)+1,'Dependency (hide)'!$E$25:$E$103,'Aggregate activity'!$D70)</f>
        <v>0</v>
      </c>
      <c r="H70" s="32">
        <f ca="1">SUMIFS('Dependency (hide)'!$H$25:$H$103,'Dependency (hide)'!$B$25:$B$103,QUOTIENT(ROW(A31)-1,5)+1,'Dependency (hide)'!$E$25:$E$103,'Aggregate activity'!$D70)</f>
        <v>0</v>
      </c>
      <c r="I70" s="153"/>
      <c r="J70" s="32">
        <f ca="1">SUMIFS('Dependency (hide)'!$I$25:$I$103,'Dependency (hide)'!$B$25:$B$103,QUOTIENT(ROW(C31)-1,5)+1,'Dependency (hide)'!$E$25:$E$103,'Aggregate activity'!$D70)</f>
        <v>0</v>
      </c>
      <c r="K70" s="297">
        <f ca="1">SUMIFS('Dependency (hide)'!$J$25:$J$103,'Dependency (hide)'!$B$25:$B$103,QUOTIENT(ROW(D31)-1,5)+1,'Dependency (hide)'!$E$25:$E$103,'Aggregate activity'!$D70)</f>
        <v>0</v>
      </c>
      <c r="L70" s="298"/>
      <c r="M70" s="298"/>
      <c r="N70" s="299"/>
    </row>
    <row r="71" spans="2:14" hidden="1" x14ac:dyDescent="0.25">
      <c r="B71" s="316"/>
      <c r="C71" s="316"/>
      <c r="D71" s="50" t="s">
        <v>841</v>
      </c>
      <c r="E71" s="32">
        <f ca="1">SUMIFS('Dependency (hide)'!$F$25:$F$103,'Dependency (hide)'!$B$25:$B$103,QUOTIENT(ROW(A32)-1,5)+1,'Dependency (hide)'!$E$25:$E$103,'Aggregate activity'!$D71)</f>
        <v>0</v>
      </c>
      <c r="F71" s="32">
        <f ca="1">SUMIFS('Dependency (hide)'!$G$25:$G$103,'Dependency (hide)'!$B$25:$B$103,QUOTIENT(ROW(A32)-1,5)+1,'Dependency (hide)'!$E$25:$E$103,'Aggregate activity'!$D71)</f>
        <v>0</v>
      </c>
      <c r="H71" s="32">
        <f ca="1">SUMIFS('Dependency (hide)'!$H$25:$H$103,'Dependency (hide)'!$B$25:$B$103,QUOTIENT(ROW(A32)-1,5)+1,'Dependency (hide)'!$E$25:$E$103,'Aggregate activity'!$D71)</f>
        <v>0</v>
      </c>
      <c r="I71" s="153"/>
      <c r="J71" s="32">
        <f ca="1">SUMIFS('Dependency (hide)'!$I$25:$I$103,'Dependency (hide)'!$B$25:$B$103,QUOTIENT(ROW(C32)-1,5)+1,'Dependency (hide)'!$E$25:$E$103,'Aggregate activity'!$D71)</f>
        <v>0</v>
      </c>
      <c r="K71" s="297">
        <f ca="1">SUMIFS('Dependency (hide)'!$J$25:$J$103,'Dependency (hide)'!$B$25:$B$103,QUOTIENT(ROW(D32)-1,5)+1,'Dependency (hide)'!$E$25:$E$103,'Aggregate activity'!$D71)</f>
        <v>0</v>
      </c>
      <c r="L71" s="298"/>
      <c r="M71" s="298"/>
      <c r="N71" s="299"/>
    </row>
    <row r="72" spans="2:14" hidden="1" x14ac:dyDescent="0.25">
      <c r="B72" s="316"/>
      <c r="C72" s="316"/>
      <c r="D72" s="50" t="s">
        <v>818</v>
      </c>
      <c r="E72" s="32">
        <f ca="1">SUMIFS('Dependency (hide)'!$F$25:$F$103,'Dependency (hide)'!$B$25:$B$103,QUOTIENT(ROW(A33)-1,5)+1,'Dependency (hide)'!$E$25:$E$103,'Aggregate activity'!$D72)</f>
        <v>0</v>
      </c>
      <c r="F72" s="32">
        <f ca="1">SUMIFS('Dependency (hide)'!$G$25:$G$103,'Dependency (hide)'!$B$25:$B$103,QUOTIENT(ROW(A33)-1,5)+1,'Dependency (hide)'!$E$25:$E$103,'Aggregate activity'!$D72)</f>
        <v>0</v>
      </c>
      <c r="H72" s="32">
        <f ca="1">SUMIFS('Dependency (hide)'!$H$25:$H$103,'Dependency (hide)'!$B$25:$B$103,QUOTIENT(ROW(A33)-1,5)+1,'Dependency (hide)'!$E$25:$E$103,'Aggregate activity'!$D72)</f>
        <v>0</v>
      </c>
      <c r="I72" s="153"/>
      <c r="J72" s="32">
        <f ca="1">SUMIFS('Dependency (hide)'!$I$25:$I$103,'Dependency (hide)'!$B$25:$B$103,QUOTIENT(ROW(C33)-1,5)+1,'Dependency (hide)'!$E$25:$E$103,'Aggregate activity'!$D72)</f>
        <v>0</v>
      </c>
      <c r="K72" s="297">
        <f ca="1">SUMIFS('Dependency (hide)'!$J$25:$J$103,'Dependency (hide)'!$B$25:$B$103,QUOTIENT(ROW(D33)-1,5)+1,'Dependency (hide)'!$E$25:$E$103,'Aggregate activity'!$D72)</f>
        <v>0</v>
      </c>
      <c r="L72" s="298"/>
      <c r="M72" s="298"/>
      <c r="N72" s="299"/>
    </row>
    <row r="73" spans="2:14" hidden="1" x14ac:dyDescent="0.25">
      <c r="B73" s="316"/>
      <c r="C73" s="316"/>
      <c r="D73" s="50" t="s">
        <v>842</v>
      </c>
      <c r="E73" s="32">
        <f ca="1">SUMIFS('Dependency (hide)'!$F$25:$F$103,'Dependency (hide)'!$B$25:$B$103,QUOTIENT(ROW(A34)-1,5)+1,'Dependency (hide)'!$E$25:$E$103,'Aggregate activity'!$D73)</f>
        <v>0</v>
      </c>
      <c r="F73" s="32">
        <f ca="1">SUMIFS('Dependency (hide)'!$G$25:$G$103,'Dependency (hide)'!$B$25:$B$103,QUOTIENT(ROW(A34)-1,5)+1,'Dependency (hide)'!$E$25:$E$103,'Aggregate activity'!$D73)</f>
        <v>0</v>
      </c>
      <c r="H73" s="32">
        <f ca="1">SUMIFS('Dependency (hide)'!$H$25:$H$103,'Dependency (hide)'!$B$25:$B$103,QUOTIENT(ROW(A34)-1,5)+1,'Dependency (hide)'!$E$25:$E$103,'Aggregate activity'!$D73)</f>
        <v>0</v>
      </c>
      <c r="I73" s="153"/>
      <c r="J73" s="32">
        <f ca="1">SUMIFS('Dependency (hide)'!$I$25:$I$103,'Dependency (hide)'!$B$25:$B$103,QUOTIENT(ROW(C34)-1,5)+1,'Dependency (hide)'!$E$25:$E$103,'Aggregate activity'!$D73)</f>
        <v>0</v>
      </c>
      <c r="K73" s="297">
        <f ca="1">SUMIFS('Dependency (hide)'!$J$25:$J$103,'Dependency (hide)'!$B$25:$B$103,QUOTIENT(ROW(D34)-1,5)+1,'Dependency (hide)'!$E$25:$E$103,'Aggregate activity'!$D73)</f>
        <v>0</v>
      </c>
      <c r="L73" s="298"/>
      <c r="M73" s="298"/>
      <c r="N73" s="299"/>
    </row>
    <row r="74" spans="2:14" hidden="1" x14ac:dyDescent="0.25">
      <c r="B74" s="316"/>
      <c r="C74" s="316"/>
      <c r="D74" s="50" t="s">
        <v>839</v>
      </c>
      <c r="E74" s="32">
        <f ca="1">SUMIFS('Dependency (hide)'!$F$25:$F$103,'Dependency (hide)'!$B$25:$B$103,QUOTIENT(ROW(A35)-1,5)+1,'Dependency (hide)'!$E$25:$E$103,'Aggregate activity'!$D74)</f>
        <v>0</v>
      </c>
      <c r="F74" s="32">
        <f ca="1">SUMIFS('Dependency (hide)'!$G$25:$G$103,'Dependency (hide)'!$B$25:$B$103,QUOTIENT(ROW(A35)-1,5)+1,'Dependency (hide)'!$E$25:$E$103,'Aggregate activity'!$D74)</f>
        <v>0</v>
      </c>
      <c r="H74" s="32">
        <f ca="1">SUMIFS('Dependency (hide)'!$H$25:$H$103,'Dependency (hide)'!$B$25:$B$103,QUOTIENT(ROW(A35)-1,5)+1,'Dependency (hide)'!$E$25:$E$103,'Aggregate activity'!$D74)</f>
        <v>0</v>
      </c>
      <c r="I74" s="153"/>
      <c r="J74" s="32">
        <f ca="1">SUMIFS('Dependency (hide)'!$I$25:$I$103,'Dependency (hide)'!$B$25:$B$103,QUOTIENT(ROW(C35)-1,5)+1,'Dependency (hide)'!$E$25:$E$103,'Aggregate activity'!$D74)</f>
        <v>0</v>
      </c>
      <c r="K74" s="297">
        <f ca="1">SUMIFS('Dependency (hide)'!$J$25:$J$103,'Dependency (hide)'!$B$25:$B$103,QUOTIENT(ROW(D35)-1,5)+1,'Dependency (hide)'!$E$25:$E$103,'Aggregate activity'!$D74)</f>
        <v>0</v>
      </c>
      <c r="L74" s="298"/>
      <c r="M74" s="298"/>
      <c r="N74" s="299"/>
    </row>
    <row r="75" spans="2:14" hidden="1" x14ac:dyDescent="0.25">
      <c r="B75" s="315" t="str">
        <f>'Data files'!A23</f>
        <v xml:space="preserve">8. </v>
      </c>
      <c r="C75" s="315"/>
      <c r="D75" s="51" t="s">
        <v>815</v>
      </c>
      <c r="E75" s="52">
        <f ca="1">SUMIFS('Dependency (hide)'!$F$25:$F$103,'Dependency (hide)'!$B$25:$B$103,QUOTIENT(ROW(A36)-1,5)+1,'Dependency (hide)'!$E$25:$E$103,'Aggregate activity'!$D75)</f>
        <v>0</v>
      </c>
      <c r="F75" s="52">
        <f ca="1">SUMIFS('Dependency (hide)'!$G$25:$G$103,'Dependency (hide)'!$B$25:$B$103,QUOTIENT(ROW(A36)-1,5)+1,'Dependency (hide)'!$E$25:$E$103,'Aggregate activity'!$D75)</f>
        <v>0</v>
      </c>
      <c r="H75" s="52">
        <f ca="1">SUMIFS('Dependency (hide)'!$H$25:$H$103,'Dependency (hide)'!$B$25:$B$103,QUOTIENT(ROW(A36)-1,5)+1,'Dependency (hide)'!$E$25:$E$103,'Aggregate activity'!$D75)</f>
        <v>0</v>
      </c>
      <c r="I75" s="153"/>
      <c r="J75" s="52">
        <f ca="1">SUMIFS('Dependency (hide)'!$I$25:$I$103,'Dependency (hide)'!$B$25:$B$103,QUOTIENT(ROW(C36)-1,5)+1,'Dependency (hide)'!$E$25:$E$103,'Aggregate activity'!$D75)</f>
        <v>0</v>
      </c>
      <c r="K75" s="293">
        <f ca="1">SUMIFS('Dependency (hide)'!$J$25:$J$103,'Dependency (hide)'!$B$25:$B$103,QUOTIENT(ROW(D36)-1,5)+1,'Dependency (hide)'!$E$25:$E$103,'Aggregate activity'!$D75)</f>
        <v>0</v>
      </c>
      <c r="L75" s="294"/>
      <c r="M75" s="294"/>
      <c r="N75" s="295"/>
    </row>
    <row r="76" spans="2:14" hidden="1" x14ac:dyDescent="0.25">
      <c r="B76" s="315"/>
      <c r="C76" s="315"/>
      <c r="D76" s="51" t="s">
        <v>841</v>
      </c>
      <c r="E76" s="52">
        <f ca="1">SUMIFS('Dependency (hide)'!$F$25:$F$103,'Dependency (hide)'!$B$25:$B$103,QUOTIENT(ROW(A37)-1,5)+1,'Dependency (hide)'!$E$25:$E$103,'Aggregate activity'!$D76)</f>
        <v>0</v>
      </c>
      <c r="F76" s="52">
        <f ca="1">SUMIFS('Dependency (hide)'!$G$25:$G$103,'Dependency (hide)'!$B$25:$B$103,QUOTIENT(ROW(A37)-1,5)+1,'Dependency (hide)'!$E$25:$E$103,'Aggregate activity'!$D76)</f>
        <v>0</v>
      </c>
      <c r="H76" s="52">
        <f ca="1">SUMIFS('Dependency (hide)'!$H$25:$H$103,'Dependency (hide)'!$B$25:$B$103,QUOTIENT(ROW(A37)-1,5)+1,'Dependency (hide)'!$E$25:$E$103,'Aggregate activity'!$D76)</f>
        <v>0</v>
      </c>
      <c r="I76" s="153"/>
      <c r="J76" s="52">
        <f ca="1">SUMIFS('Dependency (hide)'!$I$25:$I$103,'Dependency (hide)'!$B$25:$B$103,QUOTIENT(ROW(C37)-1,5)+1,'Dependency (hide)'!$E$25:$E$103,'Aggregate activity'!$D76)</f>
        <v>0</v>
      </c>
      <c r="K76" s="293">
        <f ca="1">SUMIFS('Dependency (hide)'!$J$25:$J$103,'Dependency (hide)'!$B$25:$B$103,QUOTIENT(ROW(D37)-1,5)+1,'Dependency (hide)'!$E$25:$E$103,'Aggregate activity'!$D76)</f>
        <v>0</v>
      </c>
      <c r="L76" s="294"/>
      <c r="M76" s="294"/>
      <c r="N76" s="295"/>
    </row>
    <row r="77" spans="2:14" hidden="1" x14ac:dyDescent="0.25">
      <c r="B77" s="315"/>
      <c r="C77" s="315"/>
      <c r="D77" s="51" t="s">
        <v>818</v>
      </c>
      <c r="E77" s="52">
        <f ca="1">SUMIFS('Dependency (hide)'!$F$25:$F$103,'Dependency (hide)'!$B$25:$B$103,QUOTIENT(ROW(A38)-1,5)+1,'Dependency (hide)'!$E$25:$E$103,'Aggregate activity'!$D77)</f>
        <v>0</v>
      </c>
      <c r="F77" s="52">
        <f ca="1">SUMIFS('Dependency (hide)'!$G$25:$G$103,'Dependency (hide)'!$B$25:$B$103,QUOTIENT(ROW(A38)-1,5)+1,'Dependency (hide)'!$E$25:$E$103,'Aggregate activity'!$D77)</f>
        <v>0</v>
      </c>
      <c r="H77" s="52">
        <f ca="1">SUMIFS('Dependency (hide)'!$H$25:$H$103,'Dependency (hide)'!$B$25:$B$103,QUOTIENT(ROW(A38)-1,5)+1,'Dependency (hide)'!$E$25:$E$103,'Aggregate activity'!$D77)</f>
        <v>0</v>
      </c>
      <c r="I77" s="153"/>
      <c r="J77" s="52">
        <f ca="1">SUMIFS('Dependency (hide)'!$I$25:$I$103,'Dependency (hide)'!$B$25:$B$103,QUOTIENT(ROW(C38)-1,5)+1,'Dependency (hide)'!$E$25:$E$103,'Aggregate activity'!$D77)</f>
        <v>0</v>
      </c>
      <c r="K77" s="293">
        <f ca="1">SUMIFS('Dependency (hide)'!$J$25:$J$103,'Dependency (hide)'!$B$25:$B$103,QUOTIENT(ROW(D38)-1,5)+1,'Dependency (hide)'!$E$25:$E$103,'Aggregate activity'!$D77)</f>
        <v>0</v>
      </c>
      <c r="L77" s="294"/>
      <c r="M77" s="294"/>
      <c r="N77" s="295"/>
    </row>
    <row r="78" spans="2:14" hidden="1" x14ac:dyDescent="0.25">
      <c r="B78" s="315"/>
      <c r="C78" s="315"/>
      <c r="D78" s="51" t="s">
        <v>842</v>
      </c>
      <c r="E78" s="52">
        <f ca="1">SUMIFS('Dependency (hide)'!$F$25:$F$103,'Dependency (hide)'!$B$25:$B$103,QUOTIENT(ROW(A39)-1,5)+1,'Dependency (hide)'!$E$25:$E$103,'Aggregate activity'!$D78)</f>
        <v>0</v>
      </c>
      <c r="F78" s="52">
        <f ca="1">SUMIFS('Dependency (hide)'!$G$25:$G$103,'Dependency (hide)'!$B$25:$B$103,QUOTIENT(ROW(A39)-1,5)+1,'Dependency (hide)'!$E$25:$E$103,'Aggregate activity'!$D78)</f>
        <v>0</v>
      </c>
      <c r="H78" s="52">
        <f ca="1">SUMIFS('Dependency (hide)'!$H$25:$H$103,'Dependency (hide)'!$B$25:$B$103,QUOTIENT(ROW(A39)-1,5)+1,'Dependency (hide)'!$E$25:$E$103,'Aggregate activity'!$D78)</f>
        <v>0</v>
      </c>
      <c r="I78" s="153"/>
      <c r="J78" s="52">
        <f ca="1">SUMIFS('Dependency (hide)'!$I$25:$I$103,'Dependency (hide)'!$B$25:$B$103,QUOTIENT(ROW(C39)-1,5)+1,'Dependency (hide)'!$E$25:$E$103,'Aggregate activity'!$D78)</f>
        <v>0</v>
      </c>
      <c r="K78" s="293">
        <f ca="1">SUMIFS('Dependency (hide)'!$J$25:$J$103,'Dependency (hide)'!$B$25:$B$103,QUOTIENT(ROW(D39)-1,5)+1,'Dependency (hide)'!$E$25:$E$103,'Aggregate activity'!$D78)</f>
        <v>0</v>
      </c>
      <c r="L78" s="294"/>
      <c r="M78" s="294"/>
      <c r="N78" s="295"/>
    </row>
    <row r="79" spans="2:14" hidden="1" x14ac:dyDescent="0.25">
      <c r="B79" s="315"/>
      <c r="C79" s="315"/>
      <c r="D79" s="51" t="s">
        <v>839</v>
      </c>
      <c r="E79" s="52">
        <f ca="1">SUMIFS('Dependency (hide)'!$F$25:$F$103,'Dependency (hide)'!$B$25:$B$103,QUOTIENT(ROW(A40)-1,5)+1,'Dependency (hide)'!$E$25:$E$103,'Aggregate activity'!$D79)</f>
        <v>0</v>
      </c>
      <c r="F79" s="52">
        <f ca="1">SUMIFS('Dependency (hide)'!$G$25:$G$103,'Dependency (hide)'!$B$25:$B$103,QUOTIENT(ROW(A40)-1,5)+1,'Dependency (hide)'!$E$25:$E$103,'Aggregate activity'!$D79)</f>
        <v>0</v>
      </c>
      <c r="H79" s="52">
        <f ca="1">SUMIFS('Dependency (hide)'!$H$25:$H$103,'Dependency (hide)'!$B$25:$B$103,QUOTIENT(ROW(A40)-1,5)+1,'Dependency (hide)'!$E$25:$E$103,'Aggregate activity'!$D79)</f>
        <v>0</v>
      </c>
      <c r="I79" s="153"/>
      <c r="J79" s="52">
        <f ca="1">SUMIFS('Dependency (hide)'!$I$25:$I$103,'Dependency (hide)'!$B$25:$B$103,QUOTIENT(ROW(C40)-1,5)+1,'Dependency (hide)'!$E$25:$E$103,'Aggregate activity'!$D79)</f>
        <v>0</v>
      </c>
      <c r="K79" s="293">
        <f ca="1">SUMIFS('Dependency (hide)'!$J$25:$J$103,'Dependency (hide)'!$B$25:$B$103,QUOTIENT(ROW(D40)-1,5)+1,'Dependency (hide)'!$E$25:$E$103,'Aggregate activity'!$D79)</f>
        <v>0</v>
      </c>
      <c r="L79" s="294"/>
      <c r="M79" s="294"/>
      <c r="N79" s="295"/>
    </row>
    <row r="80" spans="2:14" hidden="1" x14ac:dyDescent="0.25">
      <c r="B80" s="316" t="str">
        <f>'Data files'!A24</f>
        <v xml:space="preserve">9. </v>
      </c>
      <c r="C80" s="316"/>
      <c r="D80" s="50" t="s">
        <v>815</v>
      </c>
      <c r="E80" s="32">
        <f ca="1">SUMIFS('Dependency (hide)'!$F$25:$F$103,'Dependency (hide)'!$B$25:$B$103,QUOTIENT(ROW(A41)-1,5)+1,'Dependency (hide)'!$E$25:$E$103,'Aggregate activity'!$D80)</f>
        <v>0</v>
      </c>
      <c r="F80" s="32">
        <f ca="1">SUMIFS('Dependency (hide)'!$G$25:$G$103,'Dependency (hide)'!$B$25:$B$103,QUOTIENT(ROW(A41)-1,5)+1,'Dependency (hide)'!$E$25:$E$103,'Aggregate activity'!$D80)</f>
        <v>0</v>
      </c>
      <c r="H80" s="32">
        <f ca="1">SUMIFS('Dependency (hide)'!$H$25:$H$103,'Dependency (hide)'!$B$25:$B$103,QUOTIENT(ROW(A41)-1,5)+1,'Dependency (hide)'!$E$25:$E$103,'Aggregate activity'!$D80)</f>
        <v>0</v>
      </c>
      <c r="I80" s="153"/>
      <c r="J80" s="32">
        <f ca="1">SUMIFS('Dependency (hide)'!$I$25:$I$103,'Dependency (hide)'!$B$25:$B$103,QUOTIENT(ROW(C41)-1,5)+1,'Dependency (hide)'!$E$25:$E$103,'Aggregate activity'!$D80)</f>
        <v>0</v>
      </c>
      <c r="K80" s="297">
        <f ca="1">SUMIFS('Dependency (hide)'!$J$25:$J$103,'Dependency (hide)'!$B$25:$B$103,QUOTIENT(ROW(D41)-1,5)+1,'Dependency (hide)'!$E$25:$E$103,'Aggregate activity'!$D80)</f>
        <v>0</v>
      </c>
      <c r="L80" s="298"/>
      <c r="M80" s="298"/>
      <c r="N80" s="299"/>
    </row>
    <row r="81" spans="2:14" hidden="1" x14ac:dyDescent="0.25">
      <c r="B81" s="316"/>
      <c r="C81" s="316"/>
      <c r="D81" s="50" t="s">
        <v>841</v>
      </c>
      <c r="E81" s="32">
        <f ca="1">SUMIFS('Dependency (hide)'!$F$25:$F$103,'Dependency (hide)'!$B$25:$B$103,QUOTIENT(ROW(A42)-1,5)+1,'Dependency (hide)'!$E$25:$E$103,'Aggregate activity'!$D81)</f>
        <v>0</v>
      </c>
      <c r="F81" s="32">
        <f ca="1">SUMIFS('Dependency (hide)'!$G$25:$G$103,'Dependency (hide)'!$B$25:$B$103,QUOTIENT(ROW(A42)-1,5)+1,'Dependency (hide)'!$E$25:$E$103,'Aggregate activity'!$D81)</f>
        <v>0</v>
      </c>
      <c r="H81" s="32">
        <f ca="1">SUMIFS('Dependency (hide)'!$H$25:$H$103,'Dependency (hide)'!$B$25:$B$103,QUOTIENT(ROW(A42)-1,5)+1,'Dependency (hide)'!$E$25:$E$103,'Aggregate activity'!$D81)</f>
        <v>0</v>
      </c>
      <c r="I81" s="153"/>
      <c r="J81" s="32">
        <f ca="1">SUMIFS('Dependency (hide)'!$I$25:$I$103,'Dependency (hide)'!$B$25:$B$103,QUOTIENT(ROW(C42)-1,5)+1,'Dependency (hide)'!$E$25:$E$103,'Aggregate activity'!$D81)</f>
        <v>0</v>
      </c>
      <c r="K81" s="297">
        <f ca="1">SUMIFS('Dependency (hide)'!$J$25:$J$103,'Dependency (hide)'!$B$25:$B$103,QUOTIENT(ROW(D42)-1,5)+1,'Dependency (hide)'!$E$25:$E$103,'Aggregate activity'!$D81)</f>
        <v>0</v>
      </c>
      <c r="L81" s="298"/>
      <c r="M81" s="298"/>
      <c r="N81" s="299"/>
    </row>
    <row r="82" spans="2:14" hidden="1" x14ac:dyDescent="0.25">
      <c r="B82" s="316"/>
      <c r="C82" s="316"/>
      <c r="D82" s="50" t="s">
        <v>818</v>
      </c>
      <c r="E82" s="32">
        <f ca="1">SUMIFS('Dependency (hide)'!$F$25:$F$103,'Dependency (hide)'!$B$25:$B$103,QUOTIENT(ROW(A43)-1,5)+1,'Dependency (hide)'!$E$25:$E$103,'Aggregate activity'!$D82)</f>
        <v>0</v>
      </c>
      <c r="F82" s="32">
        <f ca="1">SUMIFS('Dependency (hide)'!$G$25:$G$103,'Dependency (hide)'!$B$25:$B$103,QUOTIENT(ROW(A43)-1,5)+1,'Dependency (hide)'!$E$25:$E$103,'Aggregate activity'!$D82)</f>
        <v>0</v>
      </c>
      <c r="H82" s="32">
        <f ca="1">SUMIFS('Dependency (hide)'!$H$25:$H$103,'Dependency (hide)'!$B$25:$B$103,QUOTIENT(ROW(A43)-1,5)+1,'Dependency (hide)'!$E$25:$E$103,'Aggregate activity'!$D82)</f>
        <v>0</v>
      </c>
      <c r="I82" s="153"/>
      <c r="J82" s="32">
        <f ca="1">SUMIFS('Dependency (hide)'!$I$25:$I$103,'Dependency (hide)'!$B$25:$B$103,QUOTIENT(ROW(C43)-1,5)+1,'Dependency (hide)'!$E$25:$E$103,'Aggregate activity'!$D82)</f>
        <v>0</v>
      </c>
      <c r="K82" s="297">
        <f ca="1">SUMIFS('Dependency (hide)'!$J$25:$J$103,'Dependency (hide)'!$B$25:$B$103,QUOTIENT(ROW(D43)-1,5)+1,'Dependency (hide)'!$E$25:$E$103,'Aggregate activity'!$D82)</f>
        <v>0</v>
      </c>
      <c r="L82" s="298"/>
      <c r="M82" s="298"/>
      <c r="N82" s="299"/>
    </row>
    <row r="83" spans="2:14" hidden="1" x14ac:dyDescent="0.25">
      <c r="B83" s="316"/>
      <c r="C83" s="316"/>
      <c r="D83" s="50" t="s">
        <v>842</v>
      </c>
      <c r="E83" s="32">
        <f ca="1">SUMIFS('Dependency (hide)'!$F$25:$F$103,'Dependency (hide)'!$B$25:$B$103,QUOTIENT(ROW(A44)-1,5)+1,'Dependency (hide)'!$E$25:$E$103,'Aggregate activity'!$D83)</f>
        <v>0</v>
      </c>
      <c r="F83" s="32">
        <f ca="1">SUMIFS('Dependency (hide)'!$G$25:$G$103,'Dependency (hide)'!$B$25:$B$103,QUOTIENT(ROW(A44)-1,5)+1,'Dependency (hide)'!$E$25:$E$103,'Aggregate activity'!$D83)</f>
        <v>0</v>
      </c>
      <c r="H83" s="32">
        <f ca="1">SUMIFS('Dependency (hide)'!$H$25:$H$103,'Dependency (hide)'!$B$25:$B$103,QUOTIENT(ROW(A44)-1,5)+1,'Dependency (hide)'!$E$25:$E$103,'Aggregate activity'!$D83)</f>
        <v>0</v>
      </c>
      <c r="I83" s="153"/>
      <c r="J83" s="32">
        <f ca="1">SUMIFS('Dependency (hide)'!$I$25:$I$103,'Dependency (hide)'!$B$25:$B$103,QUOTIENT(ROW(C44)-1,5)+1,'Dependency (hide)'!$E$25:$E$103,'Aggregate activity'!$D83)</f>
        <v>0</v>
      </c>
      <c r="K83" s="297">
        <f ca="1">SUMIFS('Dependency (hide)'!$J$25:$J$103,'Dependency (hide)'!$B$25:$B$103,QUOTIENT(ROW(D44)-1,5)+1,'Dependency (hide)'!$E$25:$E$103,'Aggregate activity'!$D83)</f>
        <v>0</v>
      </c>
      <c r="L83" s="298"/>
      <c r="M83" s="298"/>
      <c r="N83" s="299"/>
    </row>
    <row r="84" spans="2:14" hidden="1" x14ac:dyDescent="0.25">
      <c r="B84" s="316"/>
      <c r="C84" s="316"/>
      <c r="D84" s="50" t="s">
        <v>839</v>
      </c>
      <c r="E84" s="32">
        <f ca="1">SUMIFS('Dependency (hide)'!$F$25:$F$103,'Dependency (hide)'!$B$25:$B$103,QUOTIENT(ROW(A45)-1,5)+1,'Dependency (hide)'!$E$25:$E$103,'Aggregate activity'!$D84)</f>
        <v>0</v>
      </c>
      <c r="F84" s="32">
        <f ca="1">SUMIFS('Dependency (hide)'!$G$25:$G$103,'Dependency (hide)'!$B$25:$B$103,QUOTIENT(ROW(A45)-1,5)+1,'Dependency (hide)'!$E$25:$E$103,'Aggregate activity'!$D84)</f>
        <v>0</v>
      </c>
      <c r="H84" s="32">
        <f ca="1">SUMIFS('Dependency (hide)'!$H$25:$H$103,'Dependency (hide)'!$B$25:$B$103,QUOTIENT(ROW(A45)-1,5)+1,'Dependency (hide)'!$E$25:$E$103,'Aggregate activity'!$D84)</f>
        <v>0</v>
      </c>
      <c r="I84" s="153"/>
      <c r="J84" s="32">
        <f ca="1">SUMIFS('Dependency (hide)'!$I$25:$I$103,'Dependency (hide)'!$B$25:$B$103,QUOTIENT(ROW(C45)-1,5)+1,'Dependency (hide)'!$E$25:$E$103,'Aggregate activity'!$D84)</f>
        <v>0</v>
      </c>
      <c r="K84" s="297">
        <f ca="1">SUMIFS('Dependency (hide)'!$J$25:$J$103,'Dependency (hide)'!$B$25:$B$103,QUOTIENT(ROW(D45)-1,5)+1,'Dependency (hide)'!$E$25:$E$103,'Aggregate activity'!$D84)</f>
        <v>0</v>
      </c>
      <c r="L84" s="298"/>
      <c r="M84" s="298"/>
      <c r="N84" s="299"/>
    </row>
    <row r="85" spans="2:14" hidden="1" x14ac:dyDescent="0.25">
      <c r="B85" s="315" t="str">
        <f>'Data files'!A25</f>
        <v xml:space="preserve">10. </v>
      </c>
      <c r="C85" s="315"/>
      <c r="D85" s="51" t="s">
        <v>815</v>
      </c>
      <c r="E85" s="52">
        <f ca="1">SUMIFS('Dependency (hide)'!$F$25:$F$103,'Dependency (hide)'!$B$25:$B$103,QUOTIENT(ROW(A46)-1,5)+1,'Dependency (hide)'!$E$25:$E$103,'Aggregate activity'!$D85)</f>
        <v>0</v>
      </c>
      <c r="F85" s="52">
        <f ca="1">SUMIFS('Dependency (hide)'!$G$25:$G$103,'Dependency (hide)'!$B$25:$B$103,QUOTIENT(ROW(A46)-1,5)+1,'Dependency (hide)'!$E$25:$E$103,'Aggregate activity'!$D85)</f>
        <v>0</v>
      </c>
      <c r="H85" s="52">
        <f ca="1">SUMIFS('Dependency (hide)'!$H$25:$H$103,'Dependency (hide)'!$B$25:$B$103,QUOTIENT(ROW(A46)-1,5)+1,'Dependency (hide)'!$E$25:$E$103,'Aggregate activity'!$D85)</f>
        <v>0</v>
      </c>
      <c r="I85" s="153"/>
      <c r="J85" s="52">
        <f ca="1">SUMIFS('Dependency (hide)'!$I$25:$I$103,'Dependency (hide)'!$B$25:$B$103,QUOTIENT(ROW(C46)-1,5)+1,'Dependency (hide)'!$E$25:$E$103,'Aggregate activity'!$D85)</f>
        <v>0</v>
      </c>
      <c r="K85" s="293">
        <f ca="1">SUMIFS('Dependency (hide)'!$J$25:$J$103,'Dependency (hide)'!$B$25:$B$103,QUOTIENT(ROW(D46)-1,5)+1,'Dependency (hide)'!$E$25:$E$103,'Aggregate activity'!$D85)</f>
        <v>0</v>
      </c>
      <c r="L85" s="294"/>
      <c r="M85" s="294"/>
      <c r="N85" s="295"/>
    </row>
    <row r="86" spans="2:14" hidden="1" x14ac:dyDescent="0.25">
      <c r="B86" s="315"/>
      <c r="C86" s="315"/>
      <c r="D86" s="51" t="s">
        <v>841</v>
      </c>
      <c r="E86" s="52">
        <f ca="1">SUMIFS('Dependency (hide)'!$F$25:$F$103,'Dependency (hide)'!$B$25:$B$103,QUOTIENT(ROW(A47)-1,5)+1,'Dependency (hide)'!$E$25:$E$103,'Aggregate activity'!$D86)</f>
        <v>0</v>
      </c>
      <c r="F86" s="52">
        <f ca="1">SUMIFS('Dependency (hide)'!$G$25:$G$103,'Dependency (hide)'!$B$25:$B$103,QUOTIENT(ROW(A47)-1,5)+1,'Dependency (hide)'!$E$25:$E$103,'Aggregate activity'!$D86)</f>
        <v>0</v>
      </c>
      <c r="H86" s="52">
        <f ca="1">SUMIFS('Dependency (hide)'!$H$25:$H$103,'Dependency (hide)'!$B$25:$B$103,QUOTIENT(ROW(A47)-1,5)+1,'Dependency (hide)'!$E$25:$E$103,'Aggregate activity'!$D86)</f>
        <v>0</v>
      </c>
      <c r="I86" s="153"/>
      <c r="J86" s="52">
        <f ca="1">SUMIFS('Dependency (hide)'!$I$25:$I$103,'Dependency (hide)'!$B$25:$B$103,QUOTIENT(ROW(C47)-1,5)+1,'Dependency (hide)'!$E$25:$E$103,'Aggregate activity'!$D86)</f>
        <v>0</v>
      </c>
      <c r="K86" s="293">
        <f ca="1">SUMIFS('Dependency (hide)'!$J$25:$J$103,'Dependency (hide)'!$B$25:$B$103,QUOTIENT(ROW(D47)-1,5)+1,'Dependency (hide)'!$E$25:$E$103,'Aggregate activity'!$D86)</f>
        <v>0</v>
      </c>
      <c r="L86" s="294"/>
      <c r="M86" s="294"/>
      <c r="N86" s="295"/>
    </row>
    <row r="87" spans="2:14" hidden="1" x14ac:dyDescent="0.25">
      <c r="B87" s="315"/>
      <c r="C87" s="315"/>
      <c r="D87" s="51" t="s">
        <v>818</v>
      </c>
      <c r="E87" s="52">
        <f ca="1">SUMIFS('Dependency (hide)'!$F$25:$F$103,'Dependency (hide)'!$B$25:$B$103,QUOTIENT(ROW(A48)-1,5)+1,'Dependency (hide)'!$E$25:$E$103,'Aggregate activity'!$D87)</f>
        <v>0</v>
      </c>
      <c r="F87" s="52">
        <f ca="1">SUMIFS('Dependency (hide)'!$G$25:$G$103,'Dependency (hide)'!$B$25:$B$103,QUOTIENT(ROW(A48)-1,5)+1,'Dependency (hide)'!$E$25:$E$103,'Aggregate activity'!$D87)</f>
        <v>0</v>
      </c>
      <c r="H87" s="52">
        <f ca="1">SUMIFS('Dependency (hide)'!$H$25:$H$103,'Dependency (hide)'!$B$25:$B$103,QUOTIENT(ROW(A48)-1,5)+1,'Dependency (hide)'!$E$25:$E$103,'Aggregate activity'!$D87)</f>
        <v>0</v>
      </c>
      <c r="I87" s="153"/>
      <c r="J87" s="52">
        <f ca="1">SUMIFS('Dependency (hide)'!$I$25:$I$103,'Dependency (hide)'!$B$25:$B$103,QUOTIENT(ROW(C48)-1,5)+1,'Dependency (hide)'!$E$25:$E$103,'Aggregate activity'!$D87)</f>
        <v>0</v>
      </c>
      <c r="K87" s="293">
        <f ca="1">SUMIFS('Dependency (hide)'!$J$25:$J$103,'Dependency (hide)'!$B$25:$B$103,QUOTIENT(ROW(D48)-1,5)+1,'Dependency (hide)'!$E$25:$E$103,'Aggregate activity'!$D87)</f>
        <v>0</v>
      </c>
      <c r="L87" s="294"/>
      <c r="M87" s="294"/>
      <c r="N87" s="295"/>
    </row>
    <row r="88" spans="2:14" hidden="1" x14ac:dyDescent="0.25">
      <c r="B88" s="315"/>
      <c r="C88" s="315"/>
      <c r="D88" s="51" t="s">
        <v>842</v>
      </c>
      <c r="E88" s="52">
        <f ca="1">SUMIFS('Dependency (hide)'!$F$25:$F$103,'Dependency (hide)'!$B$25:$B$103,QUOTIENT(ROW(A49)-1,5)+1,'Dependency (hide)'!$E$25:$E$103,'Aggregate activity'!$D88)</f>
        <v>0</v>
      </c>
      <c r="F88" s="52">
        <f ca="1">SUMIFS('Dependency (hide)'!$G$25:$G$103,'Dependency (hide)'!$B$25:$B$103,QUOTIENT(ROW(A49)-1,5)+1,'Dependency (hide)'!$E$25:$E$103,'Aggregate activity'!$D88)</f>
        <v>0</v>
      </c>
      <c r="H88" s="52">
        <f ca="1">SUMIFS('Dependency (hide)'!$H$25:$H$103,'Dependency (hide)'!$B$25:$B$103,QUOTIENT(ROW(A49)-1,5)+1,'Dependency (hide)'!$E$25:$E$103,'Aggregate activity'!$D88)</f>
        <v>0</v>
      </c>
      <c r="I88" s="153"/>
      <c r="J88" s="52">
        <f ca="1">SUMIFS('Dependency (hide)'!$I$25:$I$103,'Dependency (hide)'!$B$25:$B$103,QUOTIENT(ROW(C49)-1,5)+1,'Dependency (hide)'!$E$25:$E$103,'Aggregate activity'!$D88)</f>
        <v>0</v>
      </c>
      <c r="K88" s="293">
        <f ca="1">SUMIFS('Dependency (hide)'!$J$25:$J$103,'Dependency (hide)'!$B$25:$B$103,QUOTIENT(ROW(D49)-1,5)+1,'Dependency (hide)'!$E$25:$E$103,'Aggregate activity'!$D88)</f>
        <v>0</v>
      </c>
      <c r="L88" s="294"/>
      <c r="M88" s="294"/>
      <c r="N88" s="295"/>
    </row>
    <row r="89" spans="2:14" hidden="1" x14ac:dyDescent="0.25">
      <c r="B89" s="315"/>
      <c r="C89" s="315"/>
      <c r="D89" s="51" t="s">
        <v>839</v>
      </c>
      <c r="E89" s="52">
        <f ca="1">SUMIFS('Dependency (hide)'!$F$25:$F$103,'Dependency (hide)'!$B$25:$B$103,QUOTIENT(ROW(A50)-1,5)+1,'Dependency (hide)'!$E$25:$E$103,'Aggregate activity'!$D89)</f>
        <v>0</v>
      </c>
      <c r="F89" s="52">
        <f ca="1">SUMIFS('Dependency (hide)'!$G$25:$G$103,'Dependency (hide)'!$B$25:$B$103,QUOTIENT(ROW(A50)-1,5)+1,'Dependency (hide)'!$E$25:$E$103,'Aggregate activity'!$D89)</f>
        <v>0</v>
      </c>
      <c r="H89" s="52">
        <f ca="1">SUMIFS('Dependency (hide)'!$H$25:$H$103,'Dependency (hide)'!$B$25:$B$103,QUOTIENT(ROW(A50)-1,5)+1,'Dependency (hide)'!$E$25:$E$103,'Aggregate activity'!$D89)</f>
        <v>0</v>
      </c>
      <c r="I89" s="153"/>
      <c r="J89" s="52">
        <f ca="1">SUMIFS('Dependency (hide)'!$I$25:$I$103,'Dependency (hide)'!$B$25:$B$103,QUOTIENT(ROW(C50)-1,5)+1,'Dependency (hide)'!$E$25:$E$103,'Aggregate activity'!$D89)</f>
        <v>0</v>
      </c>
      <c r="K89" s="293">
        <f ca="1">SUMIFS('Dependency (hide)'!$J$25:$J$103,'Dependency (hide)'!$B$25:$B$103,QUOTIENT(ROW(D50)-1,5)+1,'Dependency (hide)'!$E$25:$E$103,'Aggregate activity'!$D89)</f>
        <v>0</v>
      </c>
      <c r="L89" s="294"/>
      <c r="M89" s="294"/>
      <c r="N89" s="295"/>
    </row>
    <row r="90" spans="2:14" hidden="1" x14ac:dyDescent="0.25">
      <c r="B90" s="316" t="str">
        <f>'Data files'!A26</f>
        <v xml:space="preserve">11. </v>
      </c>
      <c r="C90" s="316"/>
      <c r="D90" s="50" t="s">
        <v>815</v>
      </c>
      <c r="E90" s="32">
        <f ca="1">SUMIFS('Dependency (hide)'!$F$25:$F$103,'Dependency (hide)'!$B$25:$B$103,QUOTIENT(ROW(A51)-1,5)+1,'Dependency (hide)'!$E$25:$E$103,'Aggregate activity'!$D90)</f>
        <v>0</v>
      </c>
      <c r="F90" s="32">
        <f ca="1">SUMIFS('Dependency (hide)'!$G$25:$G$103,'Dependency (hide)'!$B$25:$B$103,QUOTIENT(ROW(A51)-1,5)+1,'Dependency (hide)'!$E$25:$E$103,'Aggregate activity'!$D90)</f>
        <v>0</v>
      </c>
      <c r="H90" s="32">
        <f ca="1">SUMIFS('Dependency (hide)'!$H$25:$H$103,'Dependency (hide)'!$B$25:$B$103,QUOTIENT(ROW(A51)-1,5)+1,'Dependency (hide)'!$E$25:$E$103,'Aggregate activity'!$D90)</f>
        <v>0</v>
      </c>
      <c r="I90" s="153"/>
      <c r="J90" s="32">
        <f ca="1">SUMIFS('Dependency (hide)'!$I$25:$I$103,'Dependency (hide)'!$B$25:$B$103,QUOTIENT(ROW(C51)-1,5)+1,'Dependency (hide)'!$E$25:$E$103,'Aggregate activity'!$D90)</f>
        <v>0</v>
      </c>
      <c r="K90" s="297">
        <f ca="1">SUMIFS('Dependency (hide)'!$J$25:$J$103,'Dependency (hide)'!$B$25:$B$103,QUOTIENT(ROW(D51)-1,5)+1,'Dependency (hide)'!$E$25:$E$103,'Aggregate activity'!$D90)</f>
        <v>0</v>
      </c>
      <c r="L90" s="298"/>
      <c r="M90" s="298"/>
      <c r="N90" s="299"/>
    </row>
    <row r="91" spans="2:14" hidden="1" x14ac:dyDescent="0.25">
      <c r="B91" s="316"/>
      <c r="C91" s="316"/>
      <c r="D91" s="50" t="s">
        <v>841</v>
      </c>
      <c r="E91" s="32">
        <f ca="1">SUMIFS('Dependency (hide)'!$F$25:$F$103,'Dependency (hide)'!$B$25:$B$103,QUOTIENT(ROW(A52)-1,5)+1,'Dependency (hide)'!$E$25:$E$103,'Aggregate activity'!$D91)</f>
        <v>0</v>
      </c>
      <c r="F91" s="32">
        <f ca="1">SUMIFS('Dependency (hide)'!$G$25:$G$103,'Dependency (hide)'!$B$25:$B$103,QUOTIENT(ROW(A52)-1,5)+1,'Dependency (hide)'!$E$25:$E$103,'Aggregate activity'!$D91)</f>
        <v>0</v>
      </c>
      <c r="H91" s="32">
        <f ca="1">SUMIFS('Dependency (hide)'!$H$25:$H$103,'Dependency (hide)'!$B$25:$B$103,QUOTIENT(ROW(A52)-1,5)+1,'Dependency (hide)'!$E$25:$E$103,'Aggregate activity'!$D91)</f>
        <v>0</v>
      </c>
      <c r="I91" s="153"/>
      <c r="J91" s="32">
        <f ca="1">SUMIFS('Dependency (hide)'!$I$25:$I$103,'Dependency (hide)'!$B$25:$B$103,QUOTIENT(ROW(C52)-1,5)+1,'Dependency (hide)'!$E$25:$E$103,'Aggregate activity'!$D91)</f>
        <v>0</v>
      </c>
      <c r="K91" s="297">
        <f ca="1">SUMIFS('Dependency (hide)'!$J$25:$J$103,'Dependency (hide)'!$B$25:$B$103,QUOTIENT(ROW(D52)-1,5)+1,'Dependency (hide)'!$E$25:$E$103,'Aggregate activity'!$D91)</f>
        <v>0</v>
      </c>
      <c r="L91" s="298"/>
      <c r="M91" s="298"/>
      <c r="N91" s="299"/>
    </row>
    <row r="92" spans="2:14" hidden="1" x14ac:dyDescent="0.25">
      <c r="B92" s="316"/>
      <c r="C92" s="316"/>
      <c r="D92" s="50" t="s">
        <v>818</v>
      </c>
      <c r="E92" s="32">
        <f ca="1">SUMIFS('Dependency (hide)'!$F$25:$F$103,'Dependency (hide)'!$B$25:$B$103,QUOTIENT(ROW(A53)-1,5)+1,'Dependency (hide)'!$E$25:$E$103,'Aggregate activity'!$D92)</f>
        <v>0</v>
      </c>
      <c r="F92" s="32">
        <f ca="1">SUMIFS('Dependency (hide)'!$G$25:$G$103,'Dependency (hide)'!$B$25:$B$103,QUOTIENT(ROW(A53)-1,5)+1,'Dependency (hide)'!$E$25:$E$103,'Aggregate activity'!$D92)</f>
        <v>0</v>
      </c>
      <c r="H92" s="32">
        <f ca="1">SUMIFS('Dependency (hide)'!$H$25:$H$103,'Dependency (hide)'!$B$25:$B$103,QUOTIENT(ROW(A53)-1,5)+1,'Dependency (hide)'!$E$25:$E$103,'Aggregate activity'!$D92)</f>
        <v>0</v>
      </c>
      <c r="I92" s="153"/>
      <c r="J92" s="32">
        <f ca="1">SUMIFS('Dependency (hide)'!$I$25:$I$103,'Dependency (hide)'!$B$25:$B$103,QUOTIENT(ROW(C53)-1,5)+1,'Dependency (hide)'!$E$25:$E$103,'Aggregate activity'!$D92)</f>
        <v>0</v>
      </c>
      <c r="K92" s="297">
        <f ca="1">SUMIFS('Dependency (hide)'!$J$25:$J$103,'Dependency (hide)'!$B$25:$B$103,QUOTIENT(ROW(D53)-1,5)+1,'Dependency (hide)'!$E$25:$E$103,'Aggregate activity'!$D92)</f>
        <v>0</v>
      </c>
      <c r="L92" s="298"/>
      <c r="M92" s="298"/>
      <c r="N92" s="299"/>
    </row>
    <row r="93" spans="2:14" hidden="1" x14ac:dyDescent="0.25">
      <c r="B93" s="316"/>
      <c r="C93" s="316"/>
      <c r="D93" s="50" t="s">
        <v>842</v>
      </c>
      <c r="E93" s="32">
        <f ca="1">SUMIFS('Dependency (hide)'!$F$25:$F$103,'Dependency (hide)'!$B$25:$B$103,QUOTIENT(ROW(A54)-1,5)+1,'Dependency (hide)'!$E$25:$E$103,'Aggregate activity'!$D93)</f>
        <v>0</v>
      </c>
      <c r="F93" s="32">
        <f ca="1">SUMIFS('Dependency (hide)'!$G$25:$G$103,'Dependency (hide)'!$B$25:$B$103,QUOTIENT(ROW(A54)-1,5)+1,'Dependency (hide)'!$E$25:$E$103,'Aggregate activity'!$D93)</f>
        <v>0</v>
      </c>
      <c r="H93" s="32">
        <f ca="1">SUMIFS('Dependency (hide)'!$H$25:$H$103,'Dependency (hide)'!$B$25:$B$103,QUOTIENT(ROW(A54)-1,5)+1,'Dependency (hide)'!$E$25:$E$103,'Aggregate activity'!$D93)</f>
        <v>0</v>
      </c>
      <c r="I93" s="153"/>
      <c r="J93" s="32">
        <f ca="1">SUMIFS('Dependency (hide)'!$I$25:$I$103,'Dependency (hide)'!$B$25:$B$103,QUOTIENT(ROW(C54)-1,5)+1,'Dependency (hide)'!$E$25:$E$103,'Aggregate activity'!$D93)</f>
        <v>0</v>
      </c>
      <c r="K93" s="297">
        <f ca="1">SUMIFS('Dependency (hide)'!$J$25:$J$103,'Dependency (hide)'!$B$25:$B$103,QUOTIENT(ROW(D54)-1,5)+1,'Dependency (hide)'!$E$25:$E$103,'Aggregate activity'!$D93)</f>
        <v>0</v>
      </c>
      <c r="L93" s="298"/>
      <c r="M93" s="298"/>
      <c r="N93" s="299"/>
    </row>
    <row r="94" spans="2:14" hidden="1" x14ac:dyDescent="0.25">
      <c r="B94" s="316"/>
      <c r="C94" s="316"/>
      <c r="D94" s="50" t="s">
        <v>839</v>
      </c>
      <c r="E94" s="32">
        <f ca="1">SUMIFS('Dependency (hide)'!$F$25:$F$103,'Dependency (hide)'!$B$25:$B$103,QUOTIENT(ROW(A55)-1,5)+1,'Dependency (hide)'!$E$25:$E$103,'Aggregate activity'!$D94)</f>
        <v>0</v>
      </c>
      <c r="F94" s="32">
        <f ca="1">SUMIFS('Dependency (hide)'!$G$25:$G$103,'Dependency (hide)'!$B$25:$B$103,QUOTIENT(ROW(A55)-1,5)+1,'Dependency (hide)'!$E$25:$E$103,'Aggregate activity'!$D94)</f>
        <v>0</v>
      </c>
      <c r="H94" s="32">
        <f ca="1">SUMIFS('Dependency (hide)'!$H$25:$H$103,'Dependency (hide)'!$B$25:$B$103,QUOTIENT(ROW(A55)-1,5)+1,'Dependency (hide)'!$E$25:$E$103,'Aggregate activity'!$D94)</f>
        <v>0</v>
      </c>
      <c r="I94" s="153"/>
      <c r="J94" s="32">
        <f ca="1">SUMIFS('Dependency (hide)'!$I$25:$I$103,'Dependency (hide)'!$B$25:$B$103,QUOTIENT(ROW(C55)-1,5)+1,'Dependency (hide)'!$E$25:$E$103,'Aggregate activity'!$D94)</f>
        <v>0</v>
      </c>
      <c r="K94" s="297">
        <f ca="1">SUMIFS('Dependency (hide)'!$J$25:$J$103,'Dependency (hide)'!$B$25:$B$103,QUOTIENT(ROW(D55)-1,5)+1,'Dependency (hide)'!$E$25:$E$103,'Aggregate activity'!$D94)</f>
        <v>0</v>
      </c>
      <c r="L94" s="298"/>
      <c r="M94" s="298"/>
      <c r="N94" s="299"/>
    </row>
    <row r="95" spans="2:14" hidden="1" x14ac:dyDescent="0.25">
      <c r="B95" s="315" t="str">
        <f>'Data files'!A27</f>
        <v xml:space="preserve">12. </v>
      </c>
      <c r="C95" s="315"/>
      <c r="D95" s="51" t="s">
        <v>815</v>
      </c>
      <c r="E95" s="52">
        <f ca="1">SUMIFS('Dependency (hide)'!$F$25:$F$103,'Dependency (hide)'!$B$25:$B$103,QUOTIENT(ROW(A56)-1,5)+1,'Dependency (hide)'!$E$25:$E$103,'Aggregate activity'!$D95)</f>
        <v>0</v>
      </c>
      <c r="F95" s="52">
        <f ca="1">SUMIFS('Dependency (hide)'!$G$25:$G$103,'Dependency (hide)'!$B$25:$B$103,QUOTIENT(ROW(A56)-1,5)+1,'Dependency (hide)'!$E$25:$E$103,'Aggregate activity'!$D95)</f>
        <v>0</v>
      </c>
      <c r="H95" s="52">
        <f ca="1">SUMIFS('Dependency (hide)'!$H$25:$H$103,'Dependency (hide)'!$B$25:$B$103,QUOTIENT(ROW(A56)-1,5)+1,'Dependency (hide)'!$E$25:$E$103,'Aggregate activity'!$D95)</f>
        <v>0</v>
      </c>
      <c r="I95" s="153"/>
      <c r="J95" s="52">
        <f ca="1">SUMIFS('Dependency (hide)'!$I$25:$I$103,'Dependency (hide)'!$B$25:$B$103,QUOTIENT(ROW(C56)-1,5)+1,'Dependency (hide)'!$E$25:$E$103,'Aggregate activity'!$D95)</f>
        <v>0</v>
      </c>
      <c r="K95" s="293">
        <f ca="1">SUMIFS('Dependency (hide)'!$J$25:$J$103,'Dependency (hide)'!$B$25:$B$103,QUOTIENT(ROW(D56)-1,5)+1,'Dependency (hide)'!$E$25:$E$103,'Aggregate activity'!$D95)</f>
        <v>0</v>
      </c>
      <c r="L95" s="294"/>
      <c r="M95" s="294"/>
      <c r="N95" s="295"/>
    </row>
    <row r="96" spans="2:14" hidden="1" x14ac:dyDescent="0.25">
      <c r="B96" s="315"/>
      <c r="C96" s="315"/>
      <c r="D96" s="51" t="s">
        <v>841</v>
      </c>
      <c r="E96" s="52">
        <f ca="1">SUMIFS('Dependency (hide)'!$F$25:$F$103,'Dependency (hide)'!$B$25:$B$103,QUOTIENT(ROW(A57)-1,5)+1,'Dependency (hide)'!$E$25:$E$103,'Aggregate activity'!$D96)</f>
        <v>0</v>
      </c>
      <c r="F96" s="52">
        <f ca="1">SUMIFS('Dependency (hide)'!$G$25:$G$103,'Dependency (hide)'!$B$25:$B$103,QUOTIENT(ROW(A57)-1,5)+1,'Dependency (hide)'!$E$25:$E$103,'Aggregate activity'!$D96)</f>
        <v>0</v>
      </c>
      <c r="H96" s="52">
        <f ca="1">SUMIFS('Dependency (hide)'!$H$25:$H$103,'Dependency (hide)'!$B$25:$B$103,QUOTIENT(ROW(A57)-1,5)+1,'Dependency (hide)'!$E$25:$E$103,'Aggregate activity'!$D96)</f>
        <v>0</v>
      </c>
      <c r="I96" s="153"/>
      <c r="J96" s="52">
        <f ca="1">SUMIFS('Dependency (hide)'!$I$25:$I$103,'Dependency (hide)'!$B$25:$B$103,QUOTIENT(ROW(C57)-1,5)+1,'Dependency (hide)'!$E$25:$E$103,'Aggregate activity'!$D96)</f>
        <v>0</v>
      </c>
      <c r="K96" s="293">
        <f ca="1">SUMIFS('Dependency (hide)'!$J$25:$J$103,'Dependency (hide)'!$B$25:$B$103,QUOTIENT(ROW(D57)-1,5)+1,'Dependency (hide)'!$E$25:$E$103,'Aggregate activity'!$D96)</f>
        <v>0</v>
      </c>
      <c r="L96" s="294"/>
      <c r="M96" s="294"/>
      <c r="N96" s="295"/>
    </row>
    <row r="97" spans="2:14" hidden="1" x14ac:dyDescent="0.25">
      <c r="B97" s="315"/>
      <c r="C97" s="315"/>
      <c r="D97" s="51" t="s">
        <v>818</v>
      </c>
      <c r="E97" s="52">
        <f ca="1">SUMIFS('Dependency (hide)'!$F$25:$F$103,'Dependency (hide)'!$B$25:$B$103,QUOTIENT(ROW(A58)-1,5)+1,'Dependency (hide)'!$E$25:$E$103,'Aggregate activity'!$D97)</f>
        <v>0</v>
      </c>
      <c r="F97" s="52">
        <f ca="1">SUMIFS('Dependency (hide)'!$G$25:$G$103,'Dependency (hide)'!$B$25:$B$103,QUOTIENT(ROW(A58)-1,5)+1,'Dependency (hide)'!$E$25:$E$103,'Aggregate activity'!$D97)</f>
        <v>0</v>
      </c>
      <c r="H97" s="52">
        <f ca="1">SUMIFS('Dependency (hide)'!$H$25:$H$103,'Dependency (hide)'!$B$25:$B$103,QUOTIENT(ROW(A58)-1,5)+1,'Dependency (hide)'!$E$25:$E$103,'Aggregate activity'!$D97)</f>
        <v>0</v>
      </c>
      <c r="I97" s="153"/>
      <c r="J97" s="52">
        <f ca="1">SUMIFS('Dependency (hide)'!$I$25:$I$103,'Dependency (hide)'!$B$25:$B$103,QUOTIENT(ROW(C58)-1,5)+1,'Dependency (hide)'!$E$25:$E$103,'Aggregate activity'!$D97)</f>
        <v>0</v>
      </c>
      <c r="K97" s="293">
        <f ca="1">SUMIFS('Dependency (hide)'!$J$25:$J$103,'Dependency (hide)'!$B$25:$B$103,QUOTIENT(ROW(D58)-1,5)+1,'Dependency (hide)'!$E$25:$E$103,'Aggregate activity'!$D97)</f>
        <v>0</v>
      </c>
      <c r="L97" s="294"/>
      <c r="M97" s="294"/>
      <c r="N97" s="295"/>
    </row>
    <row r="98" spans="2:14" hidden="1" x14ac:dyDescent="0.25">
      <c r="B98" s="315"/>
      <c r="C98" s="315"/>
      <c r="D98" s="51" t="s">
        <v>842</v>
      </c>
      <c r="E98" s="52">
        <f ca="1">SUMIFS('Dependency (hide)'!$F$25:$F$103,'Dependency (hide)'!$B$25:$B$103,QUOTIENT(ROW(A59)-1,5)+1,'Dependency (hide)'!$E$25:$E$103,'Aggregate activity'!$D98)</f>
        <v>0</v>
      </c>
      <c r="F98" s="52">
        <f ca="1">SUMIFS('Dependency (hide)'!$G$25:$G$103,'Dependency (hide)'!$B$25:$B$103,QUOTIENT(ROW(A59)-1,5)+1,'Dependency (hide)'!$E$25:$E$103,'Aggregate activity'!$D98)</f>
        <v>0</v>
      </c>
      <c r="H98" s="52">
        <f ca="1">SUMIFS('Dependency (hide)'!$H$25:$H$103,'Dependency (hide)'!$B$25:$B$103,QUOTIENT(ROW(A59)-1,5)+1,'Dependency (hide)'!$E$25:$E$103,'Aggregate activity'!$D98)</f>
        <v>0</v>
      </c>
      <c r="I98" s="153"/>
      <c r="J98" s="52">
        <f ca="1">SUMIFS('Dependency (hide)'!$I$25:$I$103,'Dependency (hide)'!$B$25:$B$103,QUOTIENT(ROW(C59)-1,5)+1,'Dependency (hide)'!$E$25:$E$103,'Aggregate activity'!$D98)</f>
        <v>0</v>
      </c>
      <c r="K98" s="293">
        <f ca="1">SUMIFS('Dependency (hide)'!$J$25:$J$103,'Dependency (hide)'!$B$25:$B$103,QUOTIENT(ROW(D59)-1,5)+1,'Dependency (hide)'!$E$25:$E$103,'Aggregate activity'!$D98)</f>
        <v>0</v>
      </c>
      <c r="L98" s="294"/>
      <c r="M98" s="294"/>
      <c r="N98" s="295"/>
    </row>
    <row r="99" spans="2:14" hidden="1" x14ac:dyDescent="0.25">
      <c r="B99" s="315"/>
      <c r="C99" s="315"/>
      <c r="D99" s="51" t="s">
        <v>839</v>
      </c>
      <c r="E99" s="52">
        <f ca="1">SUMIFS('Dependency (hide)'!$F$25:$F$103,'Dependency (hide)'!$B$25:$B$103,QUOTIENT(ROW(A60)-1,5)+1,'Dependency (hide)'!$E$25:$E$103,'Aggregate activity'!$D99)</f>
        <v>0</v>
      </c>
      <c r="F99" s="52">
        <f ca="1">SUMIFS('Dependency (hide)'!$G$25:$G$103,'Dependency (hide)'!$B$25:$B$103,QUOTIENT(ROW(A60)-1,5)+1,'Dependency (hide)'!$E$25:$E$103,'Aggregate activity'!$D99)</f>
        <v>0</v>
      </c>
      <c r="H99" s="52">
        <f ca="1">SUMIFS('Dependency (hide)'!$H$25:$H$103,'Dependency (hide)'!$B$25:$B$103,QUOTIENT(ROW(A60)-1,5)+1,'Dependency (hide)'!$E$25:$E$103,'Aggregate activity'!$D99)</f>
        <v>0</v>
      </c>
      <c r="I99" s="153"/>
      <c r="J99" s="52">
        <f ca="1">SUMIFS('Dependency (hide)'!$I$25:$I$103,'Dependency (hide)'!$B$25:$B$103,QUOTIENT(ROW(C60)-1,5)+1,'Dependency (hide)'!$E$25:$E$103,'Aggregate activity'!$D99)</f>
        <v>0</v>
      </c>
      <c r="K99" s="293">
        <f ca="1">SUMIFS('Dependency (hide)'!$J$25:$J$103,'Dependency (hide)'!$B$25:$B$103,QUOTIENT(ROW(D60)-1,5)+1,'Dependency (hide)'!$E$25:$E$103,'Aggregate activity'!$D99)</f>
        <v>0</v>
      </c>
      <c r="L99" s="294"/>
      <c r="M99" s="294"/>
      <c r="N99" s="295"/>
    </row>
    <row r="100" spans="2:14" hidden="1" x14ac:dyDescent="0.25">
      <c r="B100" s="316" t="str">
        <f>'Data files'!A28</f>
        <v xml:space="preserve">13. </v>
      </c>
      <c r="C100" s="316"/>
      <c r="D100" s="50" t="s">
        <v>815</v>
      </c>
      <c r="E100" s="32">
        <f ca="1">SUMIFS('Dependency (hide)'!$F$25:$F$103,'Dependency (hide)'!$B$25:$B$103,QUOTIENT(ROW(A61)-1,5)+1,'Dependency (hide)'!$E$25:$E$103,'Aggregate activity'!$D100)</f>
        <v>0</v>
      </c>
      <c r="F100" s="32">
        <f ca="1">SUMIFS('Dependency (hide)'!$G$25:$G$103,'Dependency (hide)'!$B$25:$B$103,QUOTIENT(ROW(A61)-1,5)+1,'Dependency (hide)'!$E$25:$E$103,'Aggregate activity'!$D100)</f>
        <v>0</v>
      </c>
      <c r="H100" s="32">
        <f ca="1">SUMIFS('Dependency (hide)'!$H$25:$H$103,'Dependency (hide)'!$B$25:$B$103,QUOTIENT(ROW(A61)-1,5)+1,'Dependency (hide)'!$E$25:$E$103,'Aggregate activity'!$D100)</f>
        <v>0</v>
      </c>
      <c r="I100" s="153"/>
      <c r="J100" s="32">
        <f ca="1">SUMIFS('Dependency (hide)'!$I$25:$I$103,'Dependency (hide)'!$B$25:$B$103,QUOTIENT(ROW(C61)-1,5)+1,'Dependency (hide)'!$E$25:$E$103,'Aggregate activity'!$D100)</f>
        <v>0</v>
      </c>
      <c r="K100" s="297">
        <f ca="1">SUMIFS('Dependency (hide)'!$J$25:$J$103,'Dependency (hide)'!$B$25:$B$103,QUOTIENT(ROW(D61)-1,5)+1,'Dependency (hide)'!$E$25:$E$103,'Aggregate activity'!$D100)</f>
        <v>0</v>
      </c>
      <c r="L100" s="298"/>
      <c r="M100" s="298"/>
      <c r="N100" s="299"/>
    </row>
    <row r="101" spans="2:14" hidden="1" x14ac:dyDescent="0.25">
      <c r="B101" s="316"/>
      <c r="C101" s="316"/>
      <c r="D101" s="50" t="s">
        <v>841</v>
      </c>
      <c r="E101" s="32">
        <f ca="1">SUMIFS('Dependency (hide)'!$F$25:$F$103,'Dependency (hide)'!$B$25:$B$103,QUOTIENT(ROW(A62)-1,5)+1,'Dependency (hide)'!$E$25:$E$103,'Aggregate activity'!$D101)</f>
        <v>0</v>
      </c>
      <c r="F101" s="32">
        <f ca="1">SUMIFS('Dependency (hide)'!$G$25:$G$103,'Dependency (hide)'!$B$25:$B$103,QUOTIENT(ROW(A62)-1,5)+1,'Dependency (hide)'!$E$25:$E$103,'Aggregate activity'!$D101)</f>
        <v>0</v>
      </c>
      <c r="H101" s="32">
        <f ca="1">SUMIFS('Dependency (hide)'!$H$25:$H$103,'Dependency (hide)'!$B$25:$B$103,QUOTIENT(ROW(A62)-1,5)+1,'Dependency (hide)'!$E$25:$E$103,'Aggregate activity'!$D101)</f>
        <v>0</v>
      </c>
      <c r="I101" s="153"/>
      <c r="J101" s="32">
        <f ca="1">SUMIFS('Dependency (hide)'!$I$25:$I$103,'Dependency (hide)'!$B$25:$B$103,QUOTIENT(ROW(C62)-1,5)+1,'Dependency (hide)'!$E$25:$E$103,'Aggregate activity'!$D101)</f>
        <v>0</v>
      </c>
      <c r="K101" s="297">
        <f ca="1">SUMIFS('Dependency (hide)'!$J$25:$J$103,'Dependency (hide)'!$B$25:$B$103,QUOTIENT(ROW(D62)-1,5)+1,'Dependency (hide)'!$E$25:$E$103,'Aggregate activity'!$D101)</f>
        <v>0</v>
      </c>
      <c r="L101" s="298"/>
      <c r="M101" s="298"/>
      <c r="N101" s="299"/>
    </row>
    <row r="102" spans="2:14" hidden="1" x14ac:dyDescent="0.25">
      <c r="B102" s="316"/>
      <c r="C102" s="316"/>
      <c r="D102" s="50" t="s">
        <v>818</v>
      </c>
      <c r="E102" s="32">
        <f ca="1">SUMIFS('Dependency (hide)'!$F$25:$F$103,'Dependency (hide)'!$B$25:$B$103,QUOTIENT(ROW(A63)-1,5)+1,'Dependency (hide)'!$E$25:$E$103,'Aggregate activity'!$D102)</f>
        <v>0</v>
      </c>
      <c r="F102" s="32">
        <f ca="1">SUMIFS('Dependency (hide)'!$G$25:$G$103,'Dependency (hide)'!$B$25:$B$103,QUOTIENT(ROW(A63)-1,5)+1,'Dependency (hide)'!$E$25:$E$103,'Aggregate activity'!$D102)</f>
        <v>0</v>
      </c>
      <c r="H102" s="32">
        <f ca="1">SUMIFS('Dependency (hide)'!$H$25:$H$103,'Dependency (hide)'!$B$25:$B$103,QUOTIENT(ROW(A63)-1,5)+1,'Dependency (hide)'!$E$25:$E$103,'Aggregate activity'!$D102)</f>
        <v>0</v>
      </c>
      <c r="I102" s="153"/>
      <c r="J102" s="32">
        <f ca="1">SUMIFS('Dependency (hide)'!$I$25:$I$103,'Dependency (hide)'!$B$25:$B$103,QUOTIENT(ROW(C63)-1,5)+1,'Dependency (hide)'!$E$25:$E$103,'Aggregate activity'!$D102)</f>
        <v>0</v>
      </c>
      <c r="K102" s="297">
        <f ca="1">SUMIFS('Dependency (hide)'!$J$25:$J$103,'Dependency (hide)'!$B$25:$B$103,QUOTIENT(ROW(D63)-1,5)+1,'Dependency (hide)'!$E$25:$E$103,'Aggregate activity'!$D102)</f>
        <v>0</v>
      </c>
      <c r="L102" s="298"/>
      <c r="M102" s="298"/>
      <c r="N102" s="299"/>
    </row>
    <row r="103" spans="2:14" hidden="1" x14ac:dyDescent="0.25">
      <c r="B103" s="316"/>
      <c r="C103" s="316"/>
      <c r="D103" s="50" t="s">
        <v>842</v>
      </c>
      <c r="E103" s="32">
        <f ca="1">SUMIFS('Dependency (hide)'!$F$25:$F$103,'Dependency (hide)'!$B$25:$B$103,QUOTIENT(ROW(A64)-1,5)+1,'Dependency (hide)'!$E$25:$E$103,'Aggregate activity'!$D103)</f>
        <v>0</v>
      </c>
      <c r="F103" s="32">
        <f ca="1">SUMIFS('Dependency (hide)'!$G$25:$G$103,'Dependency (hide)'!$B$25:$B$103,QUOTIENT(ROW(A64)-1,5)+1,'Dependency (hide)'!$E$25:$E$103,'Aggregate activity'!$D103)</f>
        <v>0</v>
      </c>
      <c r="H103" s="32">
        <f ca="1">SUMIFS('Dependency (hide)'!$H$25:$H$103,'Dependency (hide)'!$B$25:$B$103,QUOTIENT(ROW(A64)-1,5)+1,'Dependency (hide)'!$E$25:$E$103,'Aggregate activity'!$D103)</f>
        <v>0</v>
      </c>
      <c r="I103" s="153"/>
      <c r="J103" s="32">
        <f ca="1">SUMIFS('Dependency (hide)'!$I$25:$I$103,'Dependency (hide)'!$B$25:$B$103,QUOTIENT(ROW(C64)-1,5)+1,'Dependency (hide)'!$E$25:$E$103,'Aggregate activity'!$D103)</f>
        <v>0</v>
      </c>
      <c r="K103" s="297">
        <f ca="1">SUMIFS('Dependency (hide)'!$J$25:$J$103,'Dependency (hide)'!$B$25:$B$103,QUOTIENT(ROW(D64)-1,5)+1,'Dependency (hide)'!$E$25:$E$103,'Aggregate activity'!$D103)</f>
        <v>0</v>
      </c>
      <c r="L103" s="298"/>
      <c r="M103" s="298"/>
      <c r="N103" s="299"/>
    </row>
    <row r="104" spans="2:14" hidden="1" x14ac:dyDescent="0.25">
      <c r="B104" s="316"/>
      <c r="C104" s="316"/>
      <c r="D104" s="50" t="s">
        <v>839</v>
      </c>
      <c r="E104" s="32">
        <f ca="1">SUMIFS('Dependency (hide)'!$F$25:$F$103,'Dependency (hide)'!$B$25:$B$103,QUOTIENT(ROW(A65)-1,5)+1,'Dependency (hide)'!$E$25:$E$103,'Aggregate activity'!$D104)</f>
        <v>0</v>
      </c>
      <c r="F104" s="32">
        <f ca="1">SUMIFS('Dependency (hide)'!$G$25:$G$103,'Dependency (hide)'!$B$25:$B$103,QUOTIENT(ROW(A65)-1,5)+1,'Dependency (hide)'!$E$25:$E$103,'Aggregate activity'!$D104)</f>
        <v>0</v>
      </c>
      <c r="H104" s="32">
        <f ca="1">SUMIFS('Dependency (hide)'!$H$25:$H$103,'Dependency (hide)'!$B$25:$B$103,QUOTIENT(ROW(A65)-1,5)+1,'Dependency (hide)'!$E$25:$E$103,'Aggregate activity'!$D104)</f>
        <v>0</v>
      </c>
      <c r="I104" s="153"/>
      <c r="J104" s="32">
        <f ca="1">SUMIFS('Dependency (hide)'!$I$25:$I$103,'Dependency (hide)'!$B$25:$B$103,QUOTIENT(ROW(C65)-1,5)+1,'Dependency (hide)'!$E$25:$E$103,'Aggregate activity'!$D104)</f>
        <v>0</v>
      </c>
      <c r="K104" s="297">
        <f ca="1">SUMIFS('Dependency (hide)'!$J$25:$J$103,'Dependency (hide)'!$B$25:$B$103,QUOTIENT(ROW(D65)-1,5)+1,'Dependency (hide)'!$E$25:$E$103,'Aggregate activity'!$D104)</f>
        <v>0</v>
      </c>
      <c r="L104" s="298"/>
      <c r="M104" s="298"/>
      <c r="N104" s="299"/>
    </row>
    <row r="105" spans="2:14" hidden="1" x14ac:dyDescent="0.25">
      <c r="B105" s="315" t="str">
        <f>'Data files'!A29</f>
        <v xml:space="preserve">14. </v>
      </c>
      <c r="C105" s="315"/>
      <c r="D105" s="51" t="s">
        <v>815</v>
      </c>
      <c r="E105" s="52">
        <f ca="1">SUMIFS('Dependency (hide)'!$F$25:$F$103,'Dependency (hide)'!$B$25:$B$103,QUOTIENT(ROW(A66)-1,5)+1,'Dependency (hide)'!$E$25:$E$103,'Aggregate activity'!$D105)</f>
        <v>0</v>
      </c>
      <c r="F105" s="52">
        <f ca="1">SUMIFS('Dependency (hide)'!$G$25:$G$103,'Dependency (hide)'!$B$25:$B$103,QUOTIENT(ROW(A66)-1,5)+1,'Dependency (hide)'!$E$25:$E$103,'Aggregate activity'!$D105)</f>
        <v>0</v>
      </c>
      <c r="H105" s="52">
        <f ca="1">SUMIFS('Dependency (hide)'!$H$25:$H$103,'Dependency (hide)'!$B$25:$B$103,QUOTIENT(ROW(A66)-1,5)+1,'Dependency (hide)'!$E$25:$E$103,'Aggregate activity'!$D105)</f>
        <v>0</v>
      </c>
      <c r="I105" s="153"/>
      <c r="J105" s="52">
        <f ca="1">SUMIFS('Dependency (hide)'!$I$25:$I$103,'Dependency (hide)'!$B$25:$B$103,QUOTIENT(ROW(C66)-1,5)+1,'Dependency (hide)'!$E$25:$E$103,'Aggregate activity'!$D105)</f>
        <v>0</v>
      </c>
      <c r="K105" s="293">
        <f ca="1">SUMIFS('Dependency (hide)'!$J$25:$J$103,'Dependency (hide)'!$B$25:$B$103,QUOTIENT(ROW(D66)-1,5)+1,'Dependency (hide)'!$E$25:$E$103,'Aggregate activity'!$D105)</f>
        <v>0</v>
      </c>
      <c r="L105" s="294"/>
      <c r="M105" s="294"/>
      <c r="N105" s="295"/>
    </row>
    <row r="106" spans="2:14" hidden="1" x14ac:dyDescent="0.25">
      <c r="B106" s="315"/>
      <c r="C106" s="315"/>
      <c r="D106" s="51" t="s">
        <v>841</v>
      </c>
      <c r="E106" s="52">
        <f ca="1">SUMIFS('Dependency (hide)'!$F$25:$F$103,'Dependency (hide)'!$B$25:$B$103,QUOTIENT(ROW(A67)-1,5)+1,'Dependency (hide)'!$E$25:$E$103,'Aggregate activity'!$D106)</f>
        <v>0</v>
      </c>
      <c r="F106" s="52">
        <f ca="1">SUMIFS('Dependency (hide)'!$G$25:$G$103,'Dependency (hide)'!$B$25:$B$103,QUOTIENT(ROW(A67)-1,5)+1,'Dependency (hide)'!$E$25:$E$103,'Aggregate activity'!$D106)</f>
        <v>0</v>
      </c>
      <c r="H106" s="52">
        <f ca="1">SUMIFS('Dependency (hide)'!$H$25:$H$103,'Dependency (hide)'!$B$25:$B$103,QUOTIENT(ROW(A67)-1,5)+1,'Dependency (hide)'!$E$25:$E$103,'Aggregate activity'!$D106)</f>
        <v>0</v>
      </c>
      <c r="I106" s="153"/>
      <c r="J106" s="52">
        <f ca="1">SUMIFS('Dependency (hide)'!$I$25:$I$103,'Dependency (hide)'!$B$25:$B$103,QUOTIENT(ROW(C67)-1,5)+1,'Dependency (hide)'!$E$25:$E$103,'Aggregate activity'!$D106)</f>
        <v>0</v>
      </c>
      <c r="K106" s="293">
        <f ca="1">SUMIFS('Dependency (hide)'!$J$25:$J$103,'Dependency (hide)'!$B$25:$B$103,QUOTIENT(ROW(D67)-1,5)+1,'Dependency (hide)'!$E$25:$E$103,'Aggregate activity'!$D106)</f>
        <v>0</v>
      </c>
      <c r="L106" s="294"/>
      <c r="M106" s="294"/>
      <c r="N106" s="295"/>
    </row>
    <row r="107" spans="2:14" hidden="1" x14ac:dyDescent="0.25">
      <c r="B107" s="315"/>
      <c r="C107" s="315"/>
      <c r="D107" s="51" t="s">
        <v>818</v>
      </c>
      <c r="E107" s="52">
        <f ca="1">SUMIFS('Dependency (hide)'!$F$25:$F$103,'Dependency (hide)'!$B$25:$B$103,QUOTIENT(ROW(A68)-1,5)+1,'Dependency (hide)'!$E$25:$E$103,'Aggregate activity'!$D107)</f>
        <v>0</v>
      </c>
      <c r="F107" s="52">
        <f ca="1">SUMIFS('Dependency (hide)'!$G$25:$G$103,'Dependency (hide)'!$B$25:$B$103,QUOTIENT(ROW(A68)-1,5)+1,'Dependency (hide)'!$E$25:$E$103,'Aggregate activity'!$D107)</f>
        <v>0</v>
      </c>
      <c r="H107" s="52">
        <f ca="1">SUMIFS('Dependency (hide)'!$H$25:$H$103,'Dependency (hide)'!$B$25:$B$103,QUOTIENT(ROW(A68)-1,5)+1,'Dependency (hide)'!$E$25:$E$103,'Aggregate activity'!$D107)</f>
        <v>0</v>
      </c>
      <c r="I107" s="153"/>
      <c r="J107" s="52">
        <f ca="1">SUMIFS('Dependency (hide)'!$I$25:$I$103,'Dependency (hide)'!$B$25:$B$103,QUOTIENT(ROW(C68)-1,5)+1,'Dependency (hide)'!$E$25:$E$103,'Aggregate activity'!$D107)</f>
        <v>0</v>
      </c>
      <c r="K107" s="293">
        <f ca="1">SUMIFS('Dependency (hide)'!$J$25:$J$103,'Dependency (hide)'!$B$25:$B$103,QUOTIENT(ROW(D68)-1,5)+1,'Dependency (hide)'!$E$25:$E$103,'Aggregate activity'!$D107)</f>
        <v>0</v>
      </c>
      <c r="L107" s="294"/>
      <c r="M107" s="294"/>
      <c r="N107" s="295"/>
    </row>
    <row r="108" spans="2:14" hidden="1" x14ac:dyDescent="0.25">
      <c r="B108" s="315"/>
      <c r="C108" s="315"/>
      <c r="D108" s="51" t="s">
        <v>842</v>
      </c>
      <c r="E108" s="52">
        <f ca="1">SUMIFS('Dependency (hide)'!$F$25:$F$103,'Dependency (hide)'!$B$25:$B$103,QUOTIENT(ROW(A69)-1,5)+1,'Dependency (hide)'!$E$25:$E$103,'Aggregate activity'!$D108)</f>
        <v>0</v>
      </c>
      <c r="F108" s="52">
        <f ca="1">SUMIFS('Dependency (hide)'!$G$25:$G$103,'Dependency (hide)'!$B$25:$B$103,QUOTIENT(ROW(A69)-1,5)+1,'Dependency (hide)'!$E$25:$E$103,'Aggregate activity'!$D108)</f>
        <v>0</v>
      </c>
      <c r="H108" s="52">
        <f ca="1">SUMIFS('Dependency (hide)'!$H$25:$H$103,'Dependency (hide)'!$B$25:$B$103,QUOTIENT(ROW(A69)-1,5)+1,'Dependency (hide)'!$E$25:$E$103,'Aggregate activity'!$D108)</f>
        <v>0</v>
      </c>
      <c r="I108" s="153"/>
      <c r="J108" s="52">
        <f ca="1">SUMIFS('Dependency (hide)'!$I$25:$I$103,'Dependency (hide)'!$B$25:$B$103,QUOTIENT(ROW(C69)-1,5)+1,'Dependency (hide)'!$E$25:$E$103,'Aggregate activity'!$D108)</f>
        <v>0</v>
      </c>
      <c r="K108" s="293">
        <f ca="1">SUMIFS('Dependency (hide)'!$J$25:$J$103,'Dependency (hide)'!$B$25:$B$103,QUOTIENT(ROW(D69)-1,5)+1,'Dependency (hide)'!$E$25:$E$103,'Aggregate activity'!$D108)</f>
        <v>0</v>
      </c>
      <c r="L108" s="294"/>
      <c r="M108" s="294"/>
      <c r="N108" s="295"/>
    </row>
    <row r="109" spans="2:14" hidden="1" x14ac:dyDescent="0.25">
      <c r="B109" s="315"/>
      <c r="C109" s="315"/>
      <c r="D109" s="51" t="s">
        <v>839</v>
      </c>
      <c r="E109" s="52">
        <f ca="1">SUMIFS('Dependency (hide)'!$F$25:$F$103,'Dependency (hide)'!$B$25:$B$103,QUOTIENT(ROW(A70)-1,5)+1,'Dependency (hide)'!$E$25:$E$103,'Aggregate activity'!$D109)</f>
        <v>0</v>
      </c>
      <c r="F109" s="52">
        <f ca="1">SUMIFS('Dependency (hide)'!$G$25:$G$103,'Dependency (hide)'!$B$25:$B$103,QUOTIENT(ROW(A70)-1,5)+1,'Dependency (hide)'!$E$25:$E$103,'Aggregate activity'!$D109)</f>
        <v>0</v>
      </c>
      <c r="H109" s="52">
        <f ca="1">SUMIFS('Dependency (hide)'!$H$25:$H$103,'Dependency (hide)'!$B$25:$B$103,QUOTIENT(ROW(A70)-1,5)+1,'Dependency (hide)'!$E$25:$E$103,'Aggregate activity'!$D109)</f>
        <v>0</v>
      </c>
      <c r="I109" s="153"/>
      <c r="J109" s="52">
        <f ca="1">SUMIFS('Dependency (hide)'!$I$25:$I$103,'Dependency (hide)'!$B$25:$B$103,QUOTIENT(ROW(C70)-1,5)+1,'Dependency (hide)'!$E$25:$E$103,'Aggregate activity'!$D109)</f>
        <v>0</v>
      </c>
      <c r="K109" s="293">
        <f ca="1">SUMIFS('Dependency (hide)'!$J$25:$J$103,'Dependency (hide)'!$B$25:$B$103,QUOTIENT(ROW(D70)-1,5)+1,'Dependency (hide)'!$E$25:$E$103,'Aggregate activity'!$D109)</f>
        <v>0</v>
      </c>
      <c r="L109" s="294"/>
      <c r="M109" s="294"/>
      <c r="N109" s="295"/>
    </row>
    <row r="110" spans="2:14" hidden="1" x14ac:dyDescent="0.25">
      <c r="B110" s="316" t="str">
        <f>'Data files'!A30</f>
        <v xml:space="preserve">15. </v>
      </c>
      <c r="C110" s="316"/>
      <c r="D110" s="50" t="s">
        <v>815</v>
      </c>
      <c r="E110" s="32">
        <f ca="1">SUMIFS('Dependency (hide)'!$F$25:$F$103,'Dependency (hide)'!$B$25:$B$103,QUOTIENT(ROW(A71)-1,5)+1,'Dependency (hide)'!$E$25:$E$103,'Aggregate activity'!$D110)</f>
        <v>0</v>
      </c>
      <c r="F110" s="32">
        <f ca="1">SUMIFS('Dependency (hide)'!$G$25:$G$103,'Dependency (hide)'!$B$25:$B$103,QUOTIENT(ROW(A71)-1,5)+1,'Dependency (hide)'!$E$25:$E$103,'Aggregate activity'!$D110)</f>
        <v>0</v>
      </c>
      <c r="H110" s="32">
        <f ca="1">SUMIFS('Dependency (hide)'!$H$25:$H$103,'Dependency (hide)'!$B$25:$B$103,QUOTIENT(ROW(A71)-1,5)+1,'Dependency (hide)'!$E$25:$E$103,'Aggregate activity'!$D110)</f>
        <v>0</v>
      </c>
      <c r="I110" s="153"/>
      <c r="J110" s="32">
        <f ca="1">SUMIFS('Dependency (hide)'!$I$25:$I$103,'Dependency (hide)'!$B$25:$B$103,QUOTIENT(ROW(C71)-1,5)+1,'Dependency (hide)'!$E$25:$E$103,'Aggregate activity'!$D110)</f>
        <v>0</v>
      </c>
      <c r="K110" s="297">
        <f ca="1">SUMIFS('Dependency (hide)'!$J$25:$J$103,'Dependency (hide)'!$B$25:$B$103,QUOTIENT(ROW(D71)-1,5)+1,'Dependency (hide)'!$E$25:$E$103,'Aggregate activity'!$D110)</f>
        <v>0</v>
      </c>
      <c r="L110" s="298"/>
      <c r="M110" s="298"/>
      <c r="N110" s="299"/>
    </row>
    <row r="111" spans="2:14" hidden="1" x14ac:dyDescent="0.25">
      <c r="B111" s="316"/>
      <c r="C111" s="316"/>
      <c r="D111" s="50" t="s">
        <v>841</v>
      </c>
      <c r="E111" s="32">
        <f ca="1">SUMIFS('Dependency (hide)'!$F$25:$F$103,'Dependency (hide)'!$B$25:$B$103,QUOTIENT(ROW(A72)-1,5)+1,'Dependency (hide)'!$E$25:$E$103,'Aggregate activity'!$D111)</f>
        <v>0</v>
      </c>
      <c r="F111" s="32">
        <f ca="1">SUMIFS('Dependency (hide)'!$G$25:$G$103,'Dependency (hide)'!$B$25:$B$103,QUOTIENT(ROW(A72)-1,5)+1,'Dependency (hide)'!$E$25:$E$103,'Aggregate activity'!$D111)</f>
        <v>0</v>
      </c>
      <c r="H111" s="32">
        <f ca="1">SUMIFS('Dependency (hide)'!$H$25:$H$103,'Dependency (hide)'!$B$25:$B$103,QUOTIENT(ROW(A72)-1,5)+1,'Dependency (hide)'!$E$25:$E$103,'Aggregate activity'!$D111)</f>
        <v>0</v>
      </c>
      <c r="I111" s="153"/>
      <c r="J111" s="32">
        <f ca="1">SUMIFS('Dependency (hide)'!$I$25:$I$103,'Dependency (hide)'!$B$25:$B$103,QUOTIENT(ROW(C72)-1,5)+1,'Dependency (hide)'!$E$25:$E$103,'Aggregate activity'!$D111)</f>
        <v>0</v>
      </c>
      <c r="K111" s="297">
        <f ca="1">SUMIFS('Dependency (hide)'!$J$25:$J$103,'Dependency (hide)'!$B$25:$B$103,QUOTIENT(ROW(D72)-1,5)+1,'Dependency (hide)'!$E$25:$E$103,'Aggregate activity'!$D111)</f>
        <v>0</v>
      </c>
      <c r="L111" s="298"/>
      <c r="M111" s="298"/>
      <c r="N111" s="299"/>
    </row>
    <row r="112" spans="2:14" hidden="1" x14ac:dyDescent="0.25">
      <c r="B112" s="316"/>
      <c r="C112" s="316"/>
      <c r="D112" s="50" t="s">
        <v>818</v>
      </c>
      <c r="E112" s="32">
        <f ca="1">SUMIFS('Dependency (hide)'!$F$25:$F$103,'Dependency (hide)'!$B$25:$B$103,QUOTIENT(ROW(A73)-1,5)+1,'Dependency (hide)'!$E$25:$E$103,'Aggregate activity'!$D112)</f>
        <v>0</v>
      </c>
      <c r="F112" s="32">
        <f ca="1">SUMIFS('Dependency (hide)'!$G$25:$G$103,'Dependency (hide)'!$B$25:$B$103,QUOTIENT(ROW(A73)-1,5)+1,'Dependency (hide)'!$E$25:$E$103,'Aggregate activity'!$D112)</f>
        <v>0</v>
      </c>
      <c r="H112" s="32">
        <f ca="1">SUMIFS('Dependency (hide)'!$H$25:$H$103,'Dependency (hide)'!$B$25:$B$103,QUOTIENT(ROW(A73)-1,5)+1,'Dependency (hide)'!$E$25:$E$103,'Aggregate activity'!$D112)</f>
        <v>0</v>
      </c>
      <c r="I112" s="153"/>
      <c r="J112" s="32">
        <f ca="1">SUMIFS('Dependency (hide)'!$I$25:$I$103,'Dependency (hide)'!$B$25:$B$103,QUOTIENT(ROW(C73)-1,5)+1,'Dependency (hide)'!$E$25:$E$103,'Aggregate activity'!$D112)</f>
        <v>0</v>
      </c>
      <c r="K112" s="297">
        <f ca="1">SUMIFS('Dependency (hide)'!$J$25:$J$103,'Dependency (hide)'!$B$25:$B$103,QUOTIENT(ROW(D73)-1,5)+1,'Dependency (hide)'!$E$25:$E$103,'Aggregate activity'!$D112)</f>
        <v>0</v>
      </c>
      <c r="L112" s="298"/>
      <c r="M112" s="298"/>
      <c r="N112" s="299"/>
    </row>
    <row r="113" spans="2:14" hidden="1" x14ac:dyDescent="0.25">
      <c r="B113" s="316"/>
      <c r="C113" s="316"/>
      <c r="D113" s="50" t="s">
        <v>842</v>
      </c>
      <c r="E113" s="32">
        <f ca="1">SUMIFS('Dependency (hide)'!$F$25:$F$103,'Dependency (hide)'!$B$25:$B$103,QUOTIENT(ROW(A74)-1,5)+1,'Dependency (hide)'!$E$25:$E$103,'Aggregate activity'!$D113)</f>
        <v>0</v>
      </c>
      <c r="F113" s="32">
        <f ca="1">SUMIFS('Dependency (hide)'!$G$25:$G$103,'Dependency (hide)'!$B$25:$B$103,QUOTIENT(ROW(A74)-1,5)+1,'Dependency (hide)'!$E$25:$E$103,'Aggregate activity'!$D113)</f>
        <v>0</v>
      </c>
      <c r="H113" s="32">
        <f ca="1">SUMIFS('Dependency (hide)'!$H$25:$H$103,'Dependency (hide)'!$B$25:$B$103,QUOTIENT(ROW(A74)-1,5)+1,'Dependency (hide)'!$E$25:$E$103,'Aggregate activity'!$D113)</f>
        <v>0</v>
      </c>
      <c r="I113" s="153"/>
      <c r="J113" s="32">
        <f ca="1">SUMIFS('Dependency (hide)'!$I$25:$I$103,'Dependency (hide)'!$B$25:$B$103,QUOTIENT(ROW(C74)-1,5)+1,'Dependency (hide)'!$E$25:$E$103,'Aggregate activity'!$D113)</f>
        <v>0</v>
      </c>
      <c r="K113" s="297">
        <f ca="1">SUMIFS('Dependency (hide)'!$J$25:$J$103,'Dependency (hide)'!$B$25:$B$103,QUOTIENT(ROW(D74)-1,5)+1,'Dependency (hide)'!$E$25:$E$103,'Aggregate activity'!$D113)</f>
        <v>0</v>
      </c>
      <c r="L113" s="298"/>
      <c r="M113" s="298"/>
      <c r="N113" s="299"/>
    </row>
    <row r="114" spans="2:14" hidden="1" x14ac:dyDescent="0.25">
      <c r="B114" s="316"/>
      <c r="C114" s="316"/>
      <c r="D114" s="50" t="s">
        <v>839</v>
      </c>
      <c r="E114" s="32">
        <f ca="1">SUMIFS('Dependency (hide)'!$F$25:$F$103,'Dependency (hide)'!$B$25:$B$103,QUOTIENT(ROW(A75)-1,5)+1,'Dependency (hide)'!$E$25:$E$103,'Aggregate activity'!$D114)</f>
        <v>0</v>
      </c>
      <c r="F114" s="32">
        <f ca="1">SUMIFS('Dependency (hide)'!$G$25:$G$103,'Dependency (hide)'!$B$25:$B$103,QUOTIENT(ROW(A75)-1,5)+1,'Dependency (hide)'!$E$25:$E$103,'Aggregate activity'!$D114)</f>
        <v>0</v>
      </c>
      <c r="H114" s="32">
        <f ca="1">SUMIFS('Dependency (hide)'!$H$25:$H$103,'Dependency (hide)'!$B$25:$B$103,QUOTIENT(ROW(A75)-1,5)+1,'Dependency (hide)'!$E$25:$E$103,'Aggregate activity'!$D114)</f>
        <v>0</v>
      </c>
      <c r="I114" s="153"/>
      <c r="J114" s="32">
        <f ca="1">SUMIFS('Dependency (hide)'!$I$25:$I$103,'Dependency (hide)'!$B$25:$B$103,QUOTIENT(ROW(C75)-1,5)+1,'Dependency (hide)'!$E$25:$E$103,'Aggregate activity'!$D114)</f>
        <v>0</v>
      </c>
      <c r="K114" s="297">
        <f ca="1">SUMIFS('Dependency (hide)'!$J$25:$J$103,'Dependency (hide)'!$B$25:$B$103,QUOTIENT(ROW(D75)-1,5)+1,'Dependency (hide)'!$E$25:$E$103,'Aggregate activity'!$D114)</f>
        <v>0</v>
      </c>
      <c r="L114" s="298"/>
      <c r="M114" s="298"/>
      <c r="N114" s="299"/>
    </row>
    <row r="115" spans="2:14" hidden="1" x14ac:dyDescent="0.25">
      <c r="B115" s="315" t="str">
        <f>'Data files'!A31</f>
        <v xml:space="preserve">16. </v>
      </c>
      <c r="C115" s="315"/>
      <c r="D115" s="51" t="s">
        <v>815</v>
      </c>
      <c r="E115" s="52">
        <f ca="1">SUMIFS('Dependency (hide)'!$F$25:$F$103,'Dependency (hide)'!$B$25:$B$103,QUOTIENT(ROW(A76)-1,5)+1,'Dependency (hide)'!$E$25:$E$103,'Aggregate activity'!$D115)</f>
        <v>0</v>
      </c>
      <c r="F115" s="52">
        <f ca="1">SUMIFS('Dependency (hide)'!$G$25:$G$103,'Dependency (hide)'!$B$25:$B$103,QUOTIENT(ROW(A76)-1,5)+1,'Dependency (hide)'!$E$25:$E$103,'Aggregate activity'!$D115)</f>
        <v>0</v>
      </c>
      <c r="H115" s="52">
        <f ca="1">SUMIFS('Dependency (hide)'!$H$25:$H$103,'Dependency (hide)'!$B$25:$B$103,QUOTIENT(ROW(A76)-1,5)+1,'Dependency (hide)'!$E$25:$E$103,'Aggregate activity'!$D115)</f>
        <v>0</v>
      </c>
      <c r="I115" s="153"/>
      <c r="J115" s="52">
        <f ca="1">SUMIFS('Dependency (hide)'!$I$25:$I$103,'Dependency (hide)'!$B$25:$B$103,QUOTIENT(ROW(C76)-1,5)+1,'Dependency (hide)'!$E$25:$E$103,'Aggregate activity'!$D115)</f>
        <v>0</v>
      </c>
      <c r="K115" s="293">
        <f ca="1">SUMIFS('Dependency (hide)'!$J$25:$J$103,'Dependency (hide)'!$B$25:$B$103,QUOTIENT(ROW(D76)-1,5)+1,'Dependency (hide)'!$E$25:$E$103,'Aggregate activity'!$D115)</f>
        <v>0</v>
      </c>
      <c r="L115" s="294"/>
      <c r="M115" s="294"/>
      <c r="N115" s="295"/>
    </row>
    <row r="116" spans="2:14" hidden="1" x14ac:dyDescent="0.25">
      <c r="B116" s="315"/>
      <c r="C116" s="315"/>
      <c r="D116" s="51" t="s">
        <v>841</v>
      </c>
      <c r="E116" s="52">
        <f ca="1">SUMIFS('Dependency (hide)'!$F$25:$F$103,'Dependency (hide)'!$B$25:$B$103,QUOTIENT(ROW(A77)-1,5)+1,'Dependency (hide)'!$E$25:$E$103,'Aggregate activity'!$D116)</f>
        <v>0</v>
      </c>
      <c r="F116" s="52">
        <f ca="1">SUMIFS('Dependency (hide)'!$G$25:$G$103,'Dependency (hide)'!$B$25:$B$103,QUOTIENT(ROW(A77)-1,5)+1,'Dependency (hide)'!$E$25:$E$103,'Aggregate activity'!$D116)</f>
        <v>0</v>
      </c>
      <c r="H116" s="52">
        <f ca="1">SUMIFS('Dependency (hide)'!$H$25:$H$103,'Dependency (hide)'!$B$25:$B$103,QUOTIENT(ROW(A77)-1,5)+1,'Dependency (hide)'!$E$25:$E$103,'Aggregate activity'!$D116)</f>
        <v>0</v>
      </c>
      <c r="I116" s="153"/>
      <c r="J116" s="52">
        <f ca="1">SUMIFS('Dependency (hide)'!$I$25:$I$103,'Dependency (hide)'!$B$25:$B$103,QUOTIENT(ROW(C77)-1,5)+1,'Dependency (hide)'!$E$25:$E$103,'Aggregate activity'!$D116)</f>
        <v>0</v>
      </c>
      <c r="K116" s="293">
        <f ca="1">SUMIFS('Dependency (hide)'!$J$25:$J$103,'Dependency (hide)'!$B$25:$B$103,QUOTIENT(ROW(D77)-1,5)+1,'Dependency (hide)'!$E$25:$E$103,'Aggregate activity'!$D116)</f>
        <v>0</v>
      </c>
      <c r="L116" s="294"/>
      <c r="M116" s="294"/>
      <c r="N116" s="295"/>
    </row>
    <row r="117" spans="2:14" hidden="1" x14ac:dyDescent="0.25">
      <c r="B117" s="315"/>
      <c r="C117" s="315"/>
      <c r="D117" s="51" t="s">
        <v>818</v>
      </c>
      <c r="E117" s="52">
        <f ca="1">SUMIFS('Dependency (hide)'!$F$25:$F$103,'Dependency (hide)'!$B$25:$B$103,QUOTIENT(ROW(A78)-1,5)+1,'Dependency (hide)'!$E$25:$E$103,'Aggregate activity'!$D117)</f>
        <v>0</v>
      </c>
      <c r="F117" s="52">
        <f ca="1">SUMIFS('Dependency (hide)'!$G$25:$G$103,'Dependency (hide)'!$B$25:$B$103,QUOTIENT(ROW(A78)-1,5)+1,'Dependency (hide)'!$E$25:$E$103,'Aggregate activity'!$D117)</f>
        <v>0</v>
      </c>
      <c r="H117" s="52">
        <f ca="1">SUMIFS('Dependency (hide)'!$H$25:$H$103,'Dependency (hide)'!$B$25:$B$103,QUOTIENT(ROW(A78)-1,5)+1,'Dependency (hide)'!$E$25:$E$103,'Aggregate activity'!$D117)</f>
        <v>0</v>
      </c>
      <c r="I117" s="153"/>
      <c r="J117" s="52">
        <f ca="1">SUMIFS('Dependency (hide)'!$I$25:$I$103,'Dependency (hide)'!$B$25:$B$103,QUOTIENT(ROW(C78)-1,5)+1,'Dependency (hide)'!$E$25:$E$103,'Aggregate activity'!$D117)</f>
        <v>0</v>
      </c>
      <c r="K117" s="293">
        <f ca="1">SUMIFS('Dependency (hide)'!$J$25:$J$103,'Dependency (hide)'!$B$25:$B$103,QUOTIENT(ROW(D78)-1,5)+1,'Dependency (hide)'!$E$25:$E$103,'Aggregate activity'!$D117)</f>
        <v>0</v>
      </c>
      <c r="L117" s="294"/>
      <c r="M117" s="294"/>
      <c r="N117" s="295"/>
    </row>
    <row r="118" spans="2:14" hidden="1" x14ac:dyDescent="0.25">
      <c r="B118" s="315"/>
      <c r="C118" s="315"/>
      <c r="D118" s="51" t="s">
        <v>842</v>
      </c>
      <c r="E118" s="52">
        <f ca="1">SUMIFS('Dependency (hide)'!$F$25:$F$103,'Dependency (hide)'!$B$25:$B$103,QUOTIENT(ROW(A79)-1,5)+1,'Dependency (hide)'!$E$25:$E$103,'Aggregate activity'!$D118)</f>
        <v>0</v>
      </c>
      <c r="F118" s="52">
        <f ca="1">SUMIFS('Dependency (hide)'!$G$25:$G$103,'Dependency (hide)'!$B$25:$B$103,QUOTIENT(ROW(A79)-1,5)+1,'Dependency (hide)'!$E$25:$E$103,'Aggregate activity'!$D118)</f>
        <v>0</v>
      </c>
      <c r="H118" s="52">
        <f ca="1">SUMIFS('Dependency (hide)'!$H$25:$H$103,'Dependency (hide)'!$B$25:$B$103,QUOTIENT(ROW(A79)-1,5)+1,'Dependency (hide)'!$E$25:$E$103,'Aggregate activity'!$D118)</f>
        <v>0</v>
      </c>
      <c r="I118" s="153"/>
      <c r="J118" s="52">
        <f ca="1">SUMIFS('Dependency (hide)'!$I$25:$I$103,'Dependency (hide)'!$B$25:$B$103,QUOTIENT(ROW(C79)-1,5)+1,'Dependency (hide)'!$E$25:$E$103,'Aggregate activity'!$D118)</f>
        <v>0</v>
      </c>
      <c r="K118" s="293">
        <f ca="1">SUMIFS('Dependency (hide)'!$J$25:$J$103,'Dependency (hide)'!$B$25:$B$103,QUOTIENT(ROW(D79)-1,5)+1,'Dependency (hide)'!$E$25:$E$103,'Aggregate activity'!$D118)</f>
        <v>0</v>
      </c>
      <c r="L118" s="294"/>
      <c r="M118" s="294"/>
      <c r="N118" s="295"/>
    </row>
    <row r="119" spans="2:14" hidden="1" x14ac:dyDescent="0.25">
      <c r="B119" s="315"/>
      <c r="C119" s="315"/>
      <c r="D119" s="51" t="s">
        <v>839</v>
      </c>
      <c r="E119" s="52">
        <f ca="1">SUMIFS('Dependency (hide)'!$F$25:$F$103,'Dependency (hide)'!$B$25:$B$103,QUOTIENT(ROW(A80)-1,5)+1,'Dependency (hide)'!$E$25:$E$103,'Aggregate activity'!$D119)</f>
        <v>0</v>
      </c>
      <c r="F119" s="52">
        <f ca="1">SUMIFS('Dependency (hide)'!$G$25:$G$103,'Dependency (hide)'!$B$25:$B$103,QUOTIENT(ROW(A80)-1,5)+1,'Dependency (hide)'!$E$25:$E$103,'Aggregate activity'!$D119)</f>
        <v>0</v>
      </c>
      <c r="H119" s="52">
        <f ca="1">SUMIFS('Dependency (hide)'!$H$25:$H$103,'Dependency (hide)'!$B$25:$B$103,QUOTIENT(ROW(A80)-1,5)+1,'Dependency (hide)'!$E$25:$E$103,'Aggregate activity'!$D119)</f>
        <v>0</v>
      </c>
      <c r="I119" s="153"/>
      <c r="J119" s="52">
        <f ca="1">SUMIFS('Dependency (hide)'!$I$25:$I$103,'Dependency (hide)'!$B$25:$B$103,QUOTIENT(ROW(C80)-1,5)+1,'Dependency (hide)'!$E$25:$E$103,'Aggregate activity'!$D119)</f>
        <v>0</v>
      </c>
      <c r="K119" s="293">
        <f ca="1">SUMIFS('Dependency (hide)'!$J$25:$J$103,'Dependency (hide)'!$B$25:$B$103,QUOTIENT(ROW(D80)-1,5)+1,'Dependency (hide)'!$E$25:$E$103,'Aggregate activity'!$D119)</f>
        <v>0</v>
      </c>
      <c r="L119" s="294"/>
      <c r="M119" s="294"/>
      <c r="N119" s="295"/>
    </row>
    <row r="120" spans="2:14" hidden="1" x14ac:dyDescent="0.25">
      <c r="B120" s="316" t="str">
        <f>'Data files'!A32</f>
        <v xml:space="preserve">17. </v>
      </c>
      <c r="C120" s="316"/>
      <c r="D120" s="50" t="s">
        <v>815</v>
      </c>
      <c r="E120" s="32">
        <f ca="1">SUMIFS('Dependency (hide)'!$F$25:$F$103,'Dependency (hide)'!$B$25:$B$103,QUOTIENT(ROW(A81)-1,5)+1,'Dependency (hide)'!$E$25:$E$103,'Aggregate activity'!$D120)</f>
        <v>0</v>
      </c>
      <c r="F120" s="32">
        <f ca="1">SUMIFS('Dependency (hide)'!$G$25:$G$103,'Dependency (hide)'!$B$25:$B$103,QUOTIENT(ROW(A81)-1,5)+1,'Dependency (hide)'!$E$25:$E$103,'Aggregate activity'!$D120)</f>
        <v>0</v>
      </c>
      <c r="H120" s="32">
        <f ca="1">SUMIFS('Dependency (hide)'!$H$25:$H$103,'Dependency (hide)'!$B$25:$B$103,QUOTIENT(ROW(A81)-1,5)+1,'Dependency (hide)'!$E$25:$E$103,'Aggregate activity'!$D120)</f>
        <v>0</v>
      </c>
      <c r="I120" s="153"/>
      <c r="J120" s="32">
        <f ca="1">SUMIFS('Dependency (hide)'!$I$25:$I$103,'Dependency (hide)'!$B$25:$B$103,QUOTIENT(ROW(C81)-1,5)+1,'Dependency (hide)'!$E$25:$E$103,'Aggregate activity'!$D120)</f>
        <v>0</v>
      </c>
      <c r="K120" s="297">
        <f ca="1">SUMIFS('Dependency (hide)'!$J$25:$J$103,'Dependency (hide)'!$B$25:$B$103,QUOTIENT(ROW(D81)-1,5)+1,'Dependency (hide)'!$E$25:$E$103,'Aggregate activity'!$D120)</f>
        <v>0</v>
      </c>
      <c r="L120" s="298"/>
      <c r="M120" s="298"/>
      <c r="N120" s="299"/>
    </row>
    <row r="121" spans="2:14" hidden="1" x14ac:dyDescent="0.25">
      <c r="B121" s="316"/>
      <c r="C121" s="316"/>
      <c r="D121" s="50" t="s">
        <v>841</v>
      </c>
      <c r="E121" s="32">
        <f ca="1">SUMIFS('Dependency (hide)'!$F$25:$F$103,'Dependency (hide)'!$B$25:$B$103,QUOTIENT(ROW(A82)-1,5)+1,'Dependency (hide)'!$E$25:$E$103,'Aggregate activity'!$D121)</f>
        <v>0</v>
      </c>
      <c r="F121" s="32">
        <f ca="1">SUMIFS('Dependency (hide)'!$G$25:$G$103,'Dependency (hide)'!$B$25:$B$103,QUOTIENT(ROW(A82)-1,5)+1,'Dependency (hide)'!$E$25:$E$103,'Aggregate activity'!$D121)</f>
        <v>0</v>
      </c>
      <c r="H121" s="32">
        <f ca="1">SUMIFS('Dependency (hide)'!$H$25:$H$103,'Dependency (hide)'!$B$25:$B$103,QUOTIENT(ROW(A82)-1,5)+1,'Dependency (hide)'!$E$25:$E$103,'Aggregate activity'!$D121)</f>
        <v>0</v>
      </c>
      <c r="I121" s="153"/>
      <c r="J121" s="32">
        <f ca="1">SUMIFS('Dependency (hide)'!$I$25:$I$103,'Dependency (hide)'!$B$25:$B$103,QUOTIENT(ROW(C82)-1,5)+1,'Dependency (hide)'!$E$25:$E$103,'Aggregate activity'!$D121)</f>
        <v>0</v>
      </c>
      <c r="K121" s="297">
        <f ca="1">SUMIFS('Dependency (hide)'!$J$25:$J$103,'Dependency (hide)'!$B$25:$B$103,QUOTIENT(ROW(D82)-1,5)+1,'Dependency (hide)'!$E$25:$E$103,'Aggregate activity'!$D121)</f>
        <v>0</v>
      </c>
      <c r="L121" s="298"/>
      <c r="M121" s="298"/>
      <c r="N121" s="299"/>
    </row>
    <row r="122" spans="2:14" hidden="1" x14ac:dyDescent="0.25">
      <c r="B122" s="316"/>
      <c r="C122" s="316"/>
      <c r="D122" s="50" t="s">
        <v>818</v>
      </c>
      <c r="E122" s="32">
        <f ca="1">SUMIFS('Dependency (hide)'!$F$25:$F$103,'Dependency (hide)'!$B$25:$B$103,QUOTIENT(ROW(A83)-1,5)+1,'Dependency (hide)'!$E$25:$E$103,'Aggregate activity'!$D122)</f>
        <v>0</v>
      </c>
      <c r="F122" s="32">
        <f ca="1">SUMIFS('Dependency (hide)'!$G$25:$G$103,'Dependency (hide)'!$B$25:$B$103,QUOTIENT(ROW(A83)-1,5)+1,'Dependency (hide)'!$E$25:$E$103,'Aggregate activity'!$D122)</f>
        <v>0</v>
      </c>
      <c r="H122" s="32">
        <f ca="1">SUMIFS('Dependency (hide)'!$H$25:$H$103,'Dependency (hide)'!$B$25:$B$103,QUOTIENT(ROW(A83)-1,5)+1,'Dependency (hide)'!$E$25:$E$103,'Aggregate activity'!$D122)</f>
        <v>0</v>
      </c>
      <c r="I122" s="153"/>
      <c r="J122" s="32">
        <f ca="1">SUMIFS('Dependency (hide)'!$I$25:$I$103,'Dependency (hide)'!$B$25:$B$103,QUOTIENT(ROW(C83)-1,5)+1,'Dependency (hide)'!$E$25:$E$103,'Aggregate activity'!$D122)</f>
        <v>0</v>
      </c>
      <c r="K122" s="297">
        <f ca="1">SUMIFS('Dependency (hide)'!$J$25:$J$103,'Dependency (hide)'!$B$25:$B$103,QUOTIENT(ROW(D83)-1,5)+1,'Dependency (hide)'!$E$25:$E$103,'Aggregate activity'!$D122)</f>
        <v>0</v>
      </c>
      <c r="L122" s="298"/>
      <c r="M122" s="298"/>
      <c r="N122" s="299"/>
    </row>
    <row r="123" spans="2:14" hidden="1" x14ac:dyDescent="0.25">
      <c r="B123" s="316"/>
      <c r="C123" s="316"/>
      <c r="D123" s="50" t="s">
        <v>842</v>
      </c>
      <c r="E123" s="32">
        <f ca="1">SUMIFS('Dependency (hide)'!$F$25:$F$103,'Dependency (hide)'!$B$25:$B$103,QUOTIENT(ROW(A84)-1,5)+1,'Dependency (hide)'!$E$25:$E$103,'Aggregate activity'!$D123)</f>
        <v>0</v>
      </c>
      <c r="F123" s="32">
        <f ca="1">SUMIFS('Dependency (hide)'!$G$25:$G$103,'Dependency (hide)'!$B$25:$B$103,QUOTIENT(ROW(A84)-1,5)+1,'Dependency (hide)'!$E$25:$E$103,'Aggregate activity'!$D123)</f>
        <v>0</v>
      </c>
      <c r="H123" s="32">
        <f ca="1">SUMIFS('Dependency (hide)'!$H$25:$H$103,'Dependency (hide)'!$B$25:$B$103,QUOTIENT(ROW(A84)-1,5)+1,'Dependency (hide)'!$E$25:$E$103,'Aggregate activity'!$D123)</f>
        <v>0</v>
      </c>
      <c r="I123" s="153"/>
      <c r="J123" s="32">
        <f ca="1">SUMIFS('Dependency (hide)'!$I$25:$I$103,'Dependency (hide)'!$B$25:$B$103,QUOTIENT(ROW(C84)-1,5)+1,'Dependency (hide)'!$E$25:$E$103,'Aggregate activity'!$D123)</f>
        <v>0</v>
      </c>
      <c r="K123" s="297">
        <f ca="1">SUMIFS('Dependency (hide)'!$J$25:$J$103,'Dependency (hide)'!$B$25:$B$103,QUOTIENT(ROW(D84)-1,5)+1,'Dependency (hide)'!$E$25:$E$103,'Aggregate activity'!$D123)</f>
        <v>0</v>
      </c>
      <c r="L123" s="298"/>
      <c r="M123" s="298"/>
      <c r="N123" s="299"/>
    </row>
    <row r="124" spans="2:14" hidden="1" x14ac:dyDescent="0.25">
      <c r="B124" s="316"/>
      <c r="C124" s="316"/>
      <c r="D124" s="50" t="s">
        <v>839</v>
      </c>
      <c r="E124" s="32">
        <f ca="1">SUMIFS('Dependency (hide)'!$F$25:$F$103,'Dependency (hide)'!$B$25:$B$103,QUOTIENT(ROW(A85)-1,5)+1,'Dependency (hide)'!$E$25:$E$103,'Aggregate activity'!$D124)</f>
        <v>0</v>
      </c>
      <c r="F124" s="32">
        <f ca="1">SUMIFS('Dependency (hide)'!$G$25:$G$103,'Dependency (hide)'!$B$25:$B$103,QUOTIENT(ROW(A85)-1,5)+1,'Dependency (hide)'!$E$25:$E$103,'Aggregate activity'!$D124)</f>
        <v>0</v>
      </c>
      <c r="H124" s="32">
        <f ca="1">SUMIFS('Dependency (hide)'!$H$25:$H$103,'Dependency (hide)'!$B$25:$B$103,QUOTIENT(ROW(A85)-1,5)+1,'Dependency (hide)'!$E$25:$E$103,'Aggregate activity'!$D124)</f>
        <v>0</v>
      </c>
      <c r="I124" s="153"/>
      <c r="J124" s="32">
        <f ca="1">SUMIFS('Dependency (hide)'!$I$25:$I$103,'Dependency (hide)'!$B$25:$B$103,QUOTIENT(ROW(C85)-1,5)+1,'Dependency (hide)'!$E$25:$E$103,'Aggregate activity'!$D124)</f>
        <v>0</v>
      </c>
      <c r="K124" s="297">
        <f ca="1">SUMIFS('Dependency (hide)'!$J$25:$J$103,'Dependency (hide)'!$B$25:$B$103,QUOTIENT(ROW(D85)-1,5)+1,'Dependency (hide)'!$E$25:$E$103,'Aggregate activity'!$D124)</f>
        <v>0</v>
      </c>
      <c r="L124" s="298"/>
      <c r="M124" s="298"/>
      <c r="N124" s="299"/>
    </row>
    <row r="125" spans="2:14" hidden="1" x14ac:dyDescent="0.25">
      <c r="B125" s="315" t="str">
        <f>'Data files'!A33</f>
        <v xml:space="preserve">18. </v>
      </c>
      <c r="C125" s="315"/>
      <c r="D125" s="51" t="s">
        <v>815</v>
      </c>
      <c r="E125" s="52">
        <f ca="1">SUMIFS('Dependency (hide)'!$F$25:$F$103,'Dependency (hide)'!$B$25:$B$103,QUOTIENT(ROW(A86)-1,5)+1,'Dependency (hide)'!$E$25:$E$103,'Aggregate activity'!$D125)</f>
        <v>0</v>
      </c>
      <c r="F125" s="52">
        <f ca="1">SUMIFS('Dependency (hide)'!$G$25:$G$103,'Dependency (hide)'!$B$25:$B$103,QUOTIENT(ROW(A86)-1,5)+1,'Dependency (hide)'!$E$25:$E$103,'Aggregate activity'!$D125)</f>
        <v>0</v>
      </c>
      <c r="H125" s="52">
        <f ca="1">SUMIFS('Dependency (hide)'!$H$25:$H$103,'Dependency (hide)'!$B$25:$B$103,QUOTIENT(ROW(A86)-1,5)+1,'Dependency (hide)'!$E$25:$E$103,'Aggregate activity'!$D125)</f>
        <v>0</v>
      </c>
      <c r="I125" s="153"/>
      <c r="J125" s="52">
        <f ca="1">SUMIFS('Dependency (hide)'!$I$25:$I$103,'Dependency (hide)'!$B$25:$B$103,QUOTIENT(ROW(C86)-1,5)+1,'Dependency (hide)'!$E$25:$E$103,'Aggregate activity'!$D125)</f>
        <v>0</v>
      </c>
      <c r="K125" s="293">
        <f ca="1">SUMIFS('Dependency (hide)'!$J$25:$J$103,'Dependency (hide)'!$B$25:$B$103,QUOTIENT(ROW(D86)-1,5)+1,'Dependency (hide)'!$E$25:$E$103,'Aggregate activity'!$D125)</f>
        <v>0</v>
      </c>
      <c r="L125" s="294"/>
      <c r="M125" s="294"/>
      <c r="N125" s="295"/>
    </row>
    <row r="126" spans="2:14" hidden="1" x14ac:dyDescent="0.25">
      <c r="B126" s="315"/>
      <c r="C126" s="315"/>
      <c r="D126" s="51" t="s">
        <v>841</v>
      </c>
      <c r="E126" s="52">
        <f ca="1">SUMIFS('Dependency (hide)'!$F$25:$F$103,'Dependency (hide)'!$B$25:$B$103,QUOTIENT(ROW(A87)-1,5)+1,'Dependency (hide)'!$E$25:$E$103,'Aggregate activity'!$D126)</f>
        <v>0</v>
      </c>
      <c r="F126" s="52">
        <f ca="1">SUMIFS('Dependency (hide)'!$G$25:$G$103,'Dependency (hide)'!$B$25:$B$103,QUOTIENT(ROW(A87)-1,5)+1,'Dependency (hide)'!$E$25:$E$103,'Aggregate activity'!$D126)</f>
        <v>0</v>
      </c>
      <c r="H126" s="52">
        <f ca="1">SUMIFS('Dependency (hide)'!$H$25:$H$103,'Dependency (hide)'!$B$25:$B$103,QUOTIENT(ROW(A87)-1,5)+1,'Dependency (hide)'!$E$25:$E$103,'Aggregate activity'!$D126)</f>
        <v>0</v>
      </c>
      <c r="I126" s="153"/>
      <c r="J126" s="52">
        <f ca="1">SUMIFS('Dependency (hide)'!$I$25:$I$103,'Dependency (hide)'!$B$25:$B$103,QUOTIENT(ROW(C87)-1,5)+1,'Dependency (hide)'!$E$25:$E$103,'Aggregate activity'!$D126)</f>
        <v>0</v>
      </c>
      <c r="K126" s="293">
        <f ca="1">SUMIFS('Dependency (hide)'!$J$25:$J$103,'Dependency (hide)'!$B$25:$B$103,QUOTIENT(ROW(D87)-1,5)+1,'Dependency (hide)'!$E$25:$E$103,'Aggregate activity'!$D126)</f>
        <v>0</v>
      </c>
      <c r="L126" s="294"/>
      <c r="M126" s="294"/>
      <c r="N126" s="295"/>
    </row>
    <row r="127" spans="2:14" hidden="1" x14ac:dyDescent="0.25">
      <c r="B127" s="315"/>
      <c r="C127" s="315"/>
      <c r="D127" s="51" t="s">
        <v>818</v>
      </c>
      <c r="E127" s="52">
        <f ca="1">SUMIFS('Dependency (hide)'!$F$25:$F$103,'Dependency (hide)'!$B$25:$B$103,QUOTIENT(ROW(A88)-1,5)+1,'Dependency (hide)'!$E$25:$E$103,'Aggregate activity'!$D127)</f>
        <v>0</v>
      </c>
      <c r="F127" s="52">
        <f ca="1">SUMIFS('Dependency (hide)'!$G$25:$G$103,'Dependency (hide)'!$B$25:$B$103,QUOTIENT(ROW(A88)-1,5)+1,'Dependency (hide)'!$E$25:$E$103,'Aggregate activity'!$D127)</f>
        <v>0</v>
      </c>
      <c r="H127" s="52">
        <f ca="1">SUMIFS('Dependency (hide)'!$H$25:$H$103,'Dependency (hide)'!$B$25:$B$103,QUOTIENT(ROW(A88)-1,5)+1,'Dependency (hide)'!$E$25:$E$103,'Aggregate activity'!$D127)</f>
        <v>0</v>
      </c>
      <c r="I127" s="153"/>
      <c r="J127" s="52">
        <f ca="1">SUMIFS('Dependency (hide)'!$I$25:$I$103,'Dependency (hide)'!$B$25:$B$103,QUOTIENT(ROW(C88)-1,5)+1,'Dependency (hide)'!$E$25:$E$103,'Aggregate activity'!$D127)</f>
        <v>0</v>
      </c>
      <c r="K127" s="293">
        <f ca="1">SUMIFS('Dependency (hide)'!$J$25:$J$103,'Dependency (hide)'!$B$25:$B$103,QUOTIENT(ROW(D88)-1,5)+1,'Dependency (hide)'!$E$25:$E$103,'Aggregate activity'!$D127)</f>
        <v>0</v>
      </c>
      <c r="L127" s="294"/>
      <c r="M127" s="294"/>
      <c r="N127" s="295"/>
    </row>
    <row r="128" spans="2:14" hidden="1" x14ac:dyDescent="0.25">
      <c r="B128" s="315"/>
      <c r="C128" s="315"/>
      <c r="D128" s="51" t="s">
        <v>842</v>
      </c>
      <c r="E128" s="52">
        <f ca="1">SUMIFS('Dependency (hide)'!$F$25:$F$103,'Dependency (hide)'!$B$25:$B$103,QUOTIENT(ROW(A89)-1,5)+1,'Dependency (hide)'!$E$25:$E$103,'Aggregate activity'!$D128)</f>
        <v>0</v>
      </c>
      <c r="F128" s="52">
        <f ca="1">SUMIFS('Dependency (hide)'!$G$25:$G$103,'Dependency (hide)'!$B$25:$B$103,QUOTIENT(ROW(A89)-1,5)+1,'Dependency (hide)'!$E$25:$E$103,'Aggregate activity'!$D128)</f>
        <v>0</v>
      </c>
      <c r="H128" s="52">
        <f ca="1">SUMIFS('Dependency (hide)'!$H$25:$H$103,'Dependency (hide)'!$B$25:$B$103,QUOTIENT(ROW(A89)-1,5)+1,'Dependency (hide)'!$E$25:$E$103,'Aggregate activity'!$D128)</f>
        <v>0</v>
      </c>
      <c r="I128" s="153"/>
      <c r="J128" s="52">
        <f ca="1">SUMIFS('Dependency (hide)'!$I$25:$I$103,'Dependency (hide)'!$B$25:$B$103,QUOTIENT(ROW(C89)-1,5)+1,'Dependency (hide)'!$E$25:$E$103,'Aggregate activity'!$D128)</f>
        <v>0</v>
      </c>
      <c r="K128" s="293">
        <f ca="1">SUMIFS('Dependency (hide)'!$J$25:$J$103,'Dependency (hide)'!$B$25:$B$103,QUOTIENT(ROW(D89)-1,5)+1,'Dependency (hide)'!$E$25:$E$103,'Aggregate activity'!$D128)</f>
        <v>0</v>
      </c>
      <c r="L128" s="294"/>
      <c r="M128" s="294"/>
      <c r="N128" s="295"/>
    </row>
    <row r="129" spans="1:14" hidden="1" x14ac:dyDescent="0.25">
      <c r="B129" s="315"/>
      <c r="C129" s="315"/>
      <c r="D129" s="51" t="s">
        <v>839</v>
      </c>
      <c r="E129" s="52">
        <f ca="1">SUMIFS('Dependency (hide)'!$F$25:$F$103,'Dependency (hide)'!$B$25:$B$103,QUOTIENT(ROW(A90)-1,5)+1,'Dependency (hide)'!$E$25:$E$103,'Aggregate activity'!$D129)</f>
        <v>0</v>
      </c>
      <c r="F129" s="52">
        <f ca="1">SUMIFS('Dependency (hide)'!$G$25:$G$103,'Dependency (hide)'!$B$25:$B$103,QUOTIENT(ROW(A90)-1,5)+1,'Dependency (hide)'!$E$25:$E$103,'Aggregate activity'!$D129)</f>
        <v>0</v>
      </c>
      <c r="H129" s="52">
        <f ca="1">SUMIFS('Dependency (hide)'!$H$25:$H$103,'Dependency (hide)'!$B$25:$B$103,QUOTIENT(ROW(A90)-1,5)+1,'Dependency (hide)'!$E$25:$E$103,'Aggregate activity'!$D129)</f>
        <v>0</v>
      </c>
      <c r="I129" s="153"/>
      <c r="J129" s="52">
        <f ca="1">SUMIFS('Dependency (hide)'!$I$25:$I$103,'Dependency (hide)'!$B$25:$B$103,QUOTIENT(ROW(C90)-1,5)+1,'Dependency (hide)'!$E$25:$E$103,'Aggregate activity'!$D129)</f>
        <v>0</v>
      </c>
      <c r="K129" s="293">
        <f ca="1">SUMIFS('Dependency (hide)'!$J$25:$J$103,'Dependency (hide)'!$B$25:$B$103,QUOTIENT(ROW(D90)-1,5)+1,'Dependency (hide)'!$E$25:$E$103,'Aggregate activity'!$D129)</f>
        <v>0</v>
      </c>
      <c r="L129" s="294"/>
      <c r="M129" s="294"/>
      <c r="N129" s="295"/>
    </row>
    <row r="130" spans="1:14" hidden="1" x14ac:dyDescent="0.25">
      <c r="B130" s="316" t="str">
        <f>'Data files'!A34</f>
        <v xml:space="preserve">19. </v>
      </c>
      <c r="C130" s="316"/>
      <c r="D130" s="50" t="s">
        <v>815</v>
      </c>
      <c r="E130" s="32">
        <f ca="1">SUMIFS('Dependency (hide)'!$F$25:$F$103,'Dependency (hide)'!$B$25:$B$103,QUOTIENT(ROW(A91)-1,5)+1,'Dependency (hide)'!$E$25:$E$103,'Aggregate activity'!$D130)</f>
        <v>0</v>
      </c>
      <c r="F130" s="32">
        <f ca="1">SUMIFS('Dependency (hide)'!$G$25:$G$103,'Dependency (hide)'!$B$25:$B$103,QUOTIENT(ROW(A91)-1,5)+1,'Dependency (hide)'!$E$25:$E$103,'Aggregate activity'!$D130)</f>
        <v>0</v>
      </c>
      <c r="H130" s="32">
        <f ca="1">SUMIFS('Dependency (hide)'!$H$25:$H$103,'Dependency (hide)'!$B$25:$B$103,QUOTIENT(ROW(A91)-1,5)+1,'Dependency (hide)'!$E$25:$E$103,'Aggregate activity'!$D130)</f>
        <v>0</v>
      </c>
      <c r="I130" s="153"/>
      <c r="J130" s="32">
        <f ca="1">SUMIFS('Dependency (hide)'!$I$25:$I$103,'Dependency (hide)'!$B$25:$B$103,QUOTIENT(ROW(C91)-1,5)+1,'Dependency (hide)'!$E$25:$E$103,'Aggregate activity'!$D130)</f>
        <v>0</v>
      </c>
      <c r="K130" s="297">
        <f ca="1">SUMIFS('Dependency (hide)'!$J$25:$J$103,'Dependency (hide)'!$B$25:$B$103,QUOTIENT(ROW(D91)-1,5)+1,'Dependency (hide)'!$E$25:$E$103,'Aggregate activity'!$D130)</f>
        <v>0</v>
      </c>
      <c r="L130" s="298"/>
      <c r="M130" s="298"/>
      <c r="N130" s="299"/>
    </row>
    <row r="131" spans="1:14" hidden="1" x14ac:dyDescent="0.25">
      <c r="B131" s="316"/>
      <c r="C131" s="316"/>
      <c r="D131" s="50" t="s">
        <v>841</v>
      </c>
      <c r="E131" s="32">
        <f ca="1">SUMIFS('Dependency (hide)'!$F$25:$F$103,'Dependency (hide)'!$B$25:$B$103,QUOTIENT(ROW(A92)-1,5)+1,'Dependency (hide)'!$E$25:$E$103,'Aggregate activity'!$D131)</f>
        <v>0</v>
      </c>
      <c r="F131" s="32">
        <f ca="1">SUMIFS('Dependency (hide)'!$G$25:$G$103,'Dependency (hide)'!$B$25:$B$103,QUOTIENT(ROW(A92)-1,5)+1,'Dependency (hide)'!$E$25:$E$103,'Aggregate activity'!$D131)</f>
        <v>0</v>
      </c>
      <c r="H131" s="32">
        <f ca="1">SUMIFS('Dependency (hide)'!$H$25:$H$103,'Dependency (hide)'!$B$25:$B$103,QUOTIENT(ROW(A92)-1,5)+1,'Dependency (hide)'!$E$25:$E$103,'Aggregate activity'!$D131)</f>
        <v>0</v>
      </c>
      <c r="I131" s="153"/>
      <c r="J131" s="32">
        <f ca="1">SUMIFS('Dependency (hide)'!$I$25:$I$103,'Dependency (hide)'!$B$25:$B$103,QUOTIENT(ROW(C92)-1,5)+1,'Dependency (hide)'!$E$25:$E$103,'Aggregate activity'!$D131)</f>
        <v>0</v>
      </c>
      <c r="K131" s="297">
        <f ca="1">SUMIFS('Dependency (hide)'!$J$25:$J$103,'Dependency (hide)'!$B$25:$B$103,QUOTIENT(ROW(D92)-1,5)+1,'Dependency (hide)'!$E$25:$E$103,'Aggregate activity'!$D131)</f>
        <v>0</v>
      </c>
      <c r="L131" s="298"/>
      <c r="M131" s="298"/>
      <c r="N131" s="299"/>
    </row>
    <row r="132" spans="1:14" hidden="1" x14ac:dyDescent="0.25">
      <c r="B132" s="316"/>
      <c r="C132" s="316"/>
      <c r="D132" s="50" t="s">
        <v>818</v>
      </c>
      <c r="E132" s="32">
        <f ca="1">SUMIFS('Dependency (hide)'!$F$25:$F$103,'Dependency (hide)'!$B$25:$B$103,QUOTIENT(ROW(A93)-1,5)+1,'Dependency (hide)'!$E$25:$E$103,'Aggregate activity'!$D132)</f>
        <v>0</v>
      </c>
      <c r="F132" s="32">
        <f ca="1">SUMIFS('Dependency (hide)'!$G$25:$G$103,'Dependency (hide)'!$B$25:$B$103,QUOTIENT(ROW(A93)-1,5)+1,'Dependency (hide)'!$E$25:$E$103,'Aggregate activity'!$D132)</f>
        <v>0</v>
      </c>
      <c r="H132" s="32">
        <f ca="1">SUMIFS('Dependency (hide)'!$H$25:$H$103,'Dependency (hide)'!$B$25:$B$103,QUOTIENT(ROW(A93)-1,5)+1,'Dependency (hide)'!$E$25:$E$103,'Aggregate activity'!$D132)</f>
        <v>0</v>
      </c>
      <c r="I132" s="153"/>
      <c r="J132" s="32">
        <f ca="1">SUMIFS('Dependency (hide)'!$I$25:$I$103,'Dependency (hide)'!$B$25:$B$103,QUOTIENT(ROW(C93)-1,5)+1,'Dependency (hide)'!$E$25:$E$103,'Aggregate activity'!$D132)</f>
        <v>0</v>
      </c>
      <c r="K132" s="297">
        <f ca="1">SUMIFS('Dependency (hide)'!$J$25:$J$103,'Dependency (hide)'!$B$25:$B$103,QUOTIENT(ROW(D93)-1,5)+1,'Dependency (hide)'!$E$25:$E$103,'Aggregate activity'!$D132)</f>
        <v>0</v>
      </c>
      <c r="L132" s="298"/>
      <c r="M132" s="298"/>
      <c r="N132" s="299"/>
    </row>
    <row r="133" spans="1:14" hidden="1" x14ac:dyDescent="0.25">
      <c r="B133" s="316"/>
      <c r="C133" s="316"/>
      <c r="D133" s="50" t="s">
        <v>842</v>
      </c>
      <c r="E133" s="32">
        <f ca="1">SUMIFS('Dependency (hide)'!$F$25:$F$103,'Dependency (hide)'!$B$25:$B$103,QUOTIENT(ROW(A94)-1,5)+1,'Dependency (hide)'!$E$25:$E$103,'Aggregate activity'!$D133)</f>
        <v>0</v>
      </c>
      <c r="F133" s="32">
        <f ca="1">SUMIFS('Dependency (hide)'!$G$25:$G$103,'Dependency (hide)'!$B$25:$B$103,QUOTIENT(ROW(A94)-1,5)+1,'Dependency (hide)'!$E$25:$E$103,'Aggregate activity'!$D133)</f>
        <v>0</v>
      </c>
      <c r="H133" s="32">
        <f ca="1">SUMIFS('Dependency (hide)'!$H$25:$H$103,'Dependency (hide)'!$B$25:$B$103,QUOTIENT(ROW(A94)-1,5)+1,'Dependency (hide)'!$E$25:$E$103,'Aggregate activity'!$D133)</f>
        <v>0</v>
      </c>
      <c r="I133" s="153"/>
      <c r="J133" s="32">
        <f ca="1">SUMIFS('Dependency (hide)'!$I$25:$I$103,'Dependency (hide)'!$B$25:$B$103,QUOTIENT(ROW(C94)-1,5)+1,'Dependency (hide)'!$E$25:$E$103,'Aggregate activity'!$D133)</f>
        <v>0</v>
      </c>
      <c r="K133" s="297">
        <f ca="1">SUMIFS('Dependency (hide)'!$J$25:$J$103,'Dependency (hide)'!$B$25:$B$103,QUOTIENT(ROW(D94)-1,5)+1,'Dependency (hide)'!$E$25:$E$103,'Aggregate activity'!$D133)</f>
        <v>0</v>
      </c>
      <c r="L133" s="298"/>
      <c r="M133" s="298"/>
      <c r="N133" s="299"/>
    </row>
    <row r="134" spans="1:14" hidden="1" x14ac:dyDescent="0.25">
      <c r="B134" s="316"/>
      <c r="C134" s="316"/>
      <c r="D134" s="50" t="s">
        <v>839</v>
      </c>
      <c r="E134" s="32">
        <f ca="1">SUMIFS('Dependency (hide)'!$F$25:$F$103,'Dependency (hide)'!$B$25:$B$103,QUOTIENT(ROW(A95)-1,5)+1,'Dependency (hide)'!$E$25:$E$103,'Aggregate activity'!$D134)</f>
        <v>0</v>
      </c>
      <c r="F134" s="32">
        <f ca="1">SUMIFS('Dependency (hide)'!$G$25:$G$103,'Dependency (hide)'!$B$25:$B$103,QUOTIENT(ROW(A95)-1,5)+1,'Dependency (hide)'!$E$25:$E$103,'Aggregate activity'!$D134)</f>
        <v>0</v>
      </c>
      <c r="H134" s="32">
        <f ca="1">SUMIFS('Dependency (hide)'!$H$25:$H$103,'Dependency (hide)'!$B$25:$B$103,QUOTIENT(ROW(A95)-1,5)+1,'Dependency (hide)'!$E$25:$E$103,'Aggregate activity'!$D134)</f>
        <v>0</v>
      </c>
      <c r="I134" s="153"/>
      <c r="J134" s="32">
        <f ca="1">SUMIFS('Dependency (hide)'!$I$25:$I$103,'Dependency (hide)'!$B$25:$B$103,QUOTIENT(ROW(C95)-1,5)+1,'Dependency (hide)'!$E$25:$E$103,'Aggregate activity'!$D134)</f>
        <v>0</v>
      </c>
      <c r="K134" s="297">
        <f ca="1">SUMIFS('Dependency (hide)'!$J$25:$J$103,'Dependency (hide)'!$B$25:$B$103,QUOTIENT(ROW(D95)-1,5)+1,'Dependency (hide)'!$E$25:$E$103,'Aggregate activity'!$D134)</f>
        <v>0</v>
      </c>
      <c r="L134" s="298"/>
      <c r="M134" s="298"/>
      <c r="N134" s="299"/>
    </row>
    <row r="135" spans="1:14" hidden="1" x14ac:dyDescent="0.25">
      <c r="B135" s="315" t="str">
        <f>'Data files'!A35</f>
        <v xml:space="preserve">20. </v>
      </c>
      <c r="C135" s="315"/>
      <c r="D135" s="51" t="s">
        <v>815</v>
      </c>
      <c r="E135" s="52">
        <f ca="1">SUMIFS('Dependency (hide)'!$F$25:$F$103,'Dependency (hide)'!$B$25:$B$103,QUOTIENT(ROW(A96)-1,5)+1,'Dependency (hide)'!$E$25:$E$103,'Aggregate activity'!$D135)</f>
        <v>0</v>
      </c>
      <c r="F135" s="52">
        <f ca="1">SUMIFS('Dependency (hide)'!$G$25:$G$103,'Dependency (hide)'!$B$25:$B$103,QUOTIENT(ROW(A96)-1,5)+1,'Dependency (hide)'!$E$25:$E$103,'Aggregate activity'!$D135)</f>
        <v>0</v>
      </c>
      <c r="H135" s="52">
        <f ca="1">SUMIFS('Dependency (hide)'!$H$25:$H$103,'Dependency (hide)'!$B$25:$B$103,QUOTIENT(ROW(A96)-1,5)+1,'Dependency (hide)'!$E$25:$E$103,'Aggregate activity'!$D135)</f>
        <v>0</v>
      </c>
      <c r="I135" s="153"/>
      <c r="J135" s="52">
        <f ca="1">SUMIFS('Dependency (hide)'!$I$25:$I$103,'Dependency (hide)'!$B$25:$B$103,QUOTIENT(ROW(C96)-1,5)+1,'Dependency (hide)'!$E$25:$E$103,'Aggregate activity'!$D135)</f>
        <v>0</v>
      </c>
      <c r="K135" s="293">
        <f ca="1">SUMIFS('Dependency (hide)'!$J$25:$J$103,'Dependency (hide)'!$B$25:$B$103,QUOTIENT(ROW(D96)-1,5)+1,'Dependency (hide)'!$E$25:$E$103,'Aggregate activity'!$D135)</f>
        <v>0</v>
      </c>
      <c r="L135" s="294"/>
      <c r="M135" s="294"/>
      <c r="N135" s="295"/>
    </row>
    <row r="136" spans="1:14" hidden="1" x14ac:dyDescent="0.25">
      <c r="B136" s="315"/>
      <c r="C136" s="315"/>
      <c r="D136" s="51" t="s">
        <v>841</v>
      </c>
      <c r="E136" s="52">
        <f ca="1">SUMIFS('Dependency (hide)'!$F$25:$F$103,'Dependency (hide)'!$B$25:$B$103,QUOTIENT(ROW(A97)-1,5)+1,'Dependency (hide)'!$E$25:$E$103,'Aggregate activity'!$D136)</f>
        <v>0</v>
      </c>
      <c r="F136" s="52">
        <f ca="1">SUMIFS('Dependency (hide)'!$G$25:$G$103,'Dependency (hide)'!$B$25:$B$103,QUOTIENT(ROW(A97)-1,5)+1,'Dependency (hide)'!$E$25:$E$103,'Aggregate activity'!$D136)</f>
        <v>0</v>
      </c>
      <c r="H136" s="52">
        <f ca="1">SUMIFS('Dependency (hide)'!$H$25:$H$103,'Dependency (hide)'!$B$25:$B$103,QUOTIENT(ROW(A97)-1,5)+1,'Dependency (hide)'!$E$25:$E$103,'Aggregate activity'!$D136)</f>
        <v>0</v>
      </c>
      <c r="I136" s="153"/>
      <c r="J136" s="52">
        <f ca="1">SUMIFS('Dependency (hide)'!$I$25:$I$103,'Dependency (hide)'!$B$25:$B$103,QUOTIENT(ROW(C97)-1,5)+1,'Dependency (hide)'!$E$25:$E$103,'Aggregate activity'!$D136)</f>
        <v>0</v>
      </c>
      <c r="K136" s="293">
        <f ca="1">SUMIFS('Dependency (hide)'!$J$25:$J$103,'Dependency (hide)'!$B$25:$B$103,QUOTIENT(ROW(D97)-1,5)+1,'Dependency (hide)'!$E$25:$E$103,'Aggregate activity'!$D136)</f>
        <v>0</v>
      </c>
      <c r="L136" s="294"/>
      <c r="M136" s="294"/>
      <c r="N136" s="295"/>
    </row>
    <row r="137" spans="1:14" hidden="1" x14ac:dyDescent="0.25">
      <c r="B137" s="315"/>
      <c r="C137" s="315"/>
      <c r="D137" s="51" t="s">
        <v>818</v>
      </c>
      <c r="E137" s="52">
        <f ca="1">SUMIFS('Dependency (hide)'!$F$25:$F$103,'Dependency (hide)'!$B$25:$B$103,QUOTIENT(ROW(A98)-1,5)+1,'Dependency (hide)'!$E$25:$E$103,'Aggregate activity'!$D137)</f>
        <v>0</v>
      </c>
      <c r="F137" s="52">
        <f ca="1">SUMIFS('Dependency (hide)'!$G$25:$G$103,'Dependency (hide)'!$B$25:$B$103,QUOTIENT(ROW(A98)-1,5)+1,'Dependency (hide)'!$E$25:$E$103,'Aggregate activity'!$D137)</f>
        <v>0</v>
      </c>
      <c r="H137" s="52">
        <f ca="1">SUMIFS('Dependency (hide)'!$H$25:$H$103,'Dependency (hide)'!$B$25:$B$103,QUOTIENT(ROW(A98)-1,5)+1,'Dependency (hide)'!$E$25:$E$103,'Aggregate activity'!$D137)</f>
        <v>0</v>
      </c>
      <c r="I137" s="153"/>
      <c r="J137" s="52">
        <f ca="1">SUMIFS('Dependency (hide)'!$I$25:$I$103,'Dependency (hide)'!$B$25:$B$103,QUOTIENT(ROW(C98)-1,5)+1,'Dependency (hide)'!$E$25:$E$103,'Aggregate activity'!$D137)</f>
        <v>0</v>
      </c>
      <c r="K137" s="293">
        <f ca="1">SUMIFS('Dependency (hide)'!$J$25:$J$103,'Dependency (hide)'!$B$25:$B$103,QUOTIENT(ROW(D98)-1,5)+1,'Dependency (hide)'!$E$25:$E$103,'Aggregate activity'!$D137)</f>
        <v>0</v>
      </c>
      <c r="L137" s="294"/>
      <c r="M137" s="294"/>
      <c r="N137" s="295"/>
    </row>
    <row r="138" spans="1:14" hidden="1" x14ac:dyDescent="0.25">
      <c r="B138" s="315"/>
      <c r="C138" s="315"/>
      <c r="D138" s="51" t="s">
        <v>842</v>
      </c>
      <c r="E138" s="52">
        <f ca="1">SUMIFS('Dependency (hide)'!$F$25:$F$103,'Dependency (hide)'!$B$25:$B$103,QUOTIENT(ROW(A99)-1,5)+1,'Dependency (hide)'!$E$25:$E$103,'Aggregate activity'!$D138)</f>
        <v>0</v>
      </c>
      <c r="F138" s="52">
        <f ca="1">SUMIFS('Dependency (hide)'!$G$25:$G$103,'Dependency (hide)'!$B$25:$B$103,QUOTIENT(ROW(A99)-1,5)+1,'Dependency (hide)'!$E$25:$E$103,'Aggregate activity'!$D138)</f>
        <v>0</v>
      </c>
      <c r="H138" s="52">
        <f ca="1">SUMIFS('Dependency (hide)'!$H$25:$H$103,'Dependency (hide)'!$B$25:$B$103,QUOTIENT(ROW(A99)-1,5)+1,'Dependency (hide)'!$E$25:$E$103,'Aggregate activity'!$D138)</f>
        <v>0</v>
      </c>
      <c r="I138" s="153"/>
      <c r="J138" s="52">
        <f ca="1">SUMIFS('Dependency (hide)'!$I$25:$I$103,'Dependency (hide)'!$B$25:$B$103,QUOTIENT(ROW(C99)-1,5)+1,'Dependency (hide)'!$E$25:$E$103,'Aggregate activity'!$D138)</f>
        <v>0</v>
      </c>
      <c r="K138" s="293">
        <f ca="1">SUMIFS('Dependency (hide)'!$J$25:$J$103,'Dependency (hide)'!$B$25:$B$103,QUOTIENT(ROW(D99)-1,5)+1,'Dependency (hide)'!$E$25:$E$103,'Aggregate activity'!$D138)</f>
        <v>0</v>
      </c>
      <c r="L138" s="294"/>
      <c r="M138" s="294"/>
      <c r="N138" s="295"/>
    </row>
    <row r="139" spans="1:14" hidden="1" x14ac:dyDescent="0.25">
      <c r="B139" s="315"/>
      <c r="C139" s="315"/>
      <c r="D139" s="51" t="s">
        <v>839</v>
      </c>
      <c r="E139" s="52">
        <f ca="1">SUMIFS('Dependency (hide)'!$F$25:$F$103,'Dependency (hide)'!$B$25:$B$103,QUOTIENT(ROW(A100)-1,5)+1,'Dependency (hide)'!$E$25:$E$103,'Aggregate activity'!$D139)</f>
        <v>0</v>
      </c>
      <c r="F139" s="52">
        <f ca="1">SUMIFS('Dependency (hide)'!$G$25:$G$103,'Dependency (hide)'!$B$25:$B$103,QUOTIENT(ROW(A100)-1,5)+1,'Dependency (hide)'!$E$25:$E$103,'Aggregate activity'!$D139)</f>
        <v>0</v>
      </c>
      <c r="H139" s="52">
        <f ca="1">SUMIFS('Dependency (hide)'!$H$25:$H$103,'Dependency (hide)'!$B$25:$B$103,QUOTIENT(ROW(A100)-1,5)+1,'Dependency (hide)'!$E$25:$E$103,'Aggregate activity'!$D139)</f>
        <v>0</v>
      </c>
      <c r="I139" s="153"/>
      <c r="J139" s="52">
        <f ca="1">SUMIFS('Dependency (hide)'!$I$25:$I$103,'Dependency (hide)'!$B$25:$B$103,QUOTIENT(ROW(C100)-1,5)+1,'Dependency (hide)'!$E$25:$E$103,'Aggregate activity'!$D139)</f>
        <v>0</v>
      </c>
      <c r="K139" s="293">
        <f ca="1">SUMIFS('Dependency (hide)'!$J$25:$J$103,'Dependency (hide)'!$B$25:$B$103,QUOTIENT(ROW(D100)-1,5)+1,'Dependency (hide)'!$E$25:$E$103,'Aggregate activity'!$D139)</f>
        <v>0</v>
      </c>
      <c r="L139" s="294"/>
      <c r="M139" s="294"/>
      <c r="N139" s="295"/>
    </row>
    <row r="140" spans="1:14" hidden="1" x14ac:dyDescent="0.25">
      <c r="B140"/>
      <c r="C140"/>
      <c r="D140"/>
      <c r="E140"/>
      <c r="I140" s="151"/>
      <c r="K140" s="296"/>
      <c r="L140" s="296"/>
      <c r="M140" s="296"/>
      <c r="N140" s="296"/>
    </row>
    <row r="141" spans="1:14" hidden="1" x14ac:dyDescent="0.25">
      <c r="B141"/>
      <c r="C141"/>
      <c r="D141"/>
      <c r="E141"/>
      <c r="I141" s="151"/>
      <c r="K141" s="296"/>
      <c r="L141" s="296"/>
      <c r="M141" s="296"/>
      <c r="N141" s="296"/>
    </row>
    <row r="142" spans="1:14" ht="39.6" customHeight="1" x14ac:dyDescent="0.25">
      <c r="B142" s="313" t="s">
        <v>994</v>
      </c>
      <c r="C142" s="314"/>
      <c r="D142" s="81" t="s">
        <v>986</v>
      </c>
      <c r="E142" s="220" t="s">
        <v>947</v>
      </c>
      <c r="F142" s="81" t="s">
        <v>941</v>
      </c>
      <c r="G142" s="167"/>
      <c r="H142" s="81" t="s">
        <v>1312</v>
      </c>
      <c r="I142" s="152"/>
      <c r="J142" s="225" t="s">
        <v>1470</v>
      </c>
      <c r="K142" s="300" t="s">
        <v>1471</v>
      </c>
      <c r="L142" s="300"/>
      <c r="M142" s="300"/>
      <c r="N142" s="300"/>
    </row>
    <row r="143" spans="1:14" ht="14.25" customHeight="1" x14ac:dyDescent="0.25">
      <c r="A143" s="79">
        <f>QUOTIENT(ROW(A1)-1,3)+1</f>
        <v>1</v>
      </c>
      <c r="B143" s="307" t="str">
        <f>'Data files'!A16</f>
        <v>1. test service</v>
      </c>
      <c r="C143" s="308"/>
      <c r="D143" s="82" t="str">
        <f ca="1">IF(OFFSET('Control Sheet'!$I$45,$A143,MOD(ROW(A3),3),1,1)=0,"",OFFSET('Control Sheet'!$I$45,$A143,MOD(ROW(A3),3),1,1))</f>
        <v>New</v>
      </c>
      <c r="E143" s="84">
        <f>CHOOSE('Dependency (hide)'!$G$19,INDEX('Reference dates (hide)'!$AB$43:$CI$98,'Dependency (hide)'!$G$20,ROW(A1)),INDEX('Reference dates (hide)'!$O$123:$AB$182,ROW(A1),'Dependency (hide)'!$G$20),INDEX('Reference dates (hide)'!$AB$96:$CI$96,ROW(A1)))</f>
        <v>20573.086296004363</v>
      </c>
      <c r="F143" s="32">
        <f ca="1">CHOOSE('Dependency (hide)'!$G$19,INDEX('Reference dates (hide)'!$CP$43:$EW$98,'Dependency (hide)'!$G$20,ROW(A1)),INDEX('Reference dates (hide)'!$O$184:$AB$243,ROW(A1),'Dependency (hide)'!$G$20),INDEX('Reference dates (hide)'!$CP$96:$EW$96,ROW(A1)))</f>
        <v>1271.8674450322537</v>
      </c>
      <c r="G143" s="30"/>
      <c r="H143" s="32">
        <f ca="1">CHOOSE('Dependency (hide)'!$G$19,INDEX('Reference dates (hide)'!$HR$43:$JY$98,'Dependency (hide)'!$G$20,ROW(C1)),INDEX('Reference dates (hide)'!$O$245:$AB$304,ROW(C1),'Dependency (hide)'!$G$20),INDEX('Reference dates (hide)'!$HR$96:$JY$96,ROW(C1)))</f>
        <v>1093.6439813971608</v>
      </c>
      <c r="I143" s="152"/>
      <c r="J143" s="32">
        <f>CHOOSE('Dependency (hide)'!$G$19,INDEX('Reference dates (hide)'!$FD$43:$HK$98,'Dependency (hide)'!$G$20,ROW(E1)),INDEX('Reference dates (hide)'!$O$321:$AB$380,ROW(E1),'Dependency (hide)'!$G$20),INDEX('Reference dates (hide)'!$FD$96:$HK$96,ROW(E1)))</f>
        <v>0</v>
      </c>
      <c r="K143" s="297">
        <f>CHOOSE('Dependency (hide)'!$G$19,INDEX('Reference dates (hide)'!$KF$43:$MM$98,'Dependency (hide)'!$G$20,ROW(F1)),INDEX('Reference dates (hide)'!$O$382:$AB$441,ROW(F1),'Dependency (hide)'!$G$20),INDEX('Reference dates (hide)'!$KF$96:$MM$96,ROW(F1)))</f>
        <v>0</v>
      </c>
      <c r="L143" s="298"/>
      <c r="M143" s="298"/>
      <c r="N143" s="299"/>
    </row>
    <row r="144" spans="1:14" hidden="1" x14ac:dyDescent="0.25">
      <c r="A144" s="79">
        <f t="shared" ref="A144:A202" si="0">QUOTIENT(ROW(A2)-1,3)+1</f>
        <v>1</v>
      </c>
      <c r="B144" s="309"/>
      <c r="C144" s="310"/>
      <c r="D144" s="82" t="str">
        <f ca="1">IF(OFFSET('Control Sheet'!$I$45,$A144,MOD(ROW(A4),3),1,1)=0,"",OFFSET('Control Sheet'!$I$45,$A144,MOD(ROW(A4),3),1,1))</f>
        <v/>
      </c>
      <c r="E144" s="84">
        <f>CHOOSE('Dependency (hide)'!$G$19,INDEX('Reference dates (hide)'!$AB$43:$CI$98,'Dependency (hide)'!$G$20,ROW(A2)),INDEX('Reference dates (hide)'!$O$123:$AB$182,ROW(A2),'Dependency (hide)'!$G$20),INDEX('Reference dates (hide)'!$AB$96:$CI$96,ROW(A2)))</f>
        <v>0</v>
      </c>
      <c r="F144" s="32">
        <f>CHOOSE('Dependency (hide)'!$G$19,INDEX('Reference dates (hide)'!$CP$43:$EW$98,'Dependency (hide)'!$G$20,ROW(A2)),INDEX('Reference dates (hide)'!$O$184:$AB$243,ROW(A2),'Dependency (hide)'!$G$20),INDEX('Reference dates (hide)'!$CP$96:$EW$96,ROW(A2)))</f>
        <v>0</v>
      </c>
      <c r="G144" s="30"/>
      <c r="H144" s="32">
        <f>CHOOSE('Dependency (hide)'!$G$19,INDEX('Reference dates (hide)'!$HR$43:$JY$98,'Dependency (hide)'!$G$20,ROW(C2)),INDEX('Reference dates (hide)'!$O$245:$AB$304,ROW(C2),'Dependency (hide)'!$G$20),INDEX('Reference dates (hide)'!$HR$96:$JY$96,ROW(C2)))</f>
        <v>0</v>
      </c>
      <c r="I144" s="152"/>
      <c r="J144" s="32">
        <f>CHOOSE('Dependency (hide)'!$G$19,INDEX('Reference dates (hide)'!$FD$43:$HK$98,'Dependency (hide)'!$G$20,ROW(E2)),INDEX('Reference dates (hide)'!$O$321:$AB$380,ROW(E2),'Dependency (hide)'!$G$20),INDEX('Reference dates (hide)'!$FD$96:$HK$96,ROW(E2)))</f>
        <v>0</v>
      </c>
      <c r="K144" s="297">
        <f>CHOOSE('Dependency (hide)'!$G$19,INDEX('Reference dates (hide)'!$KF$43:$MM$98,'Dependency (hide)'!$G$20,ROW(F2)),INDEX('Reference dates (hide)'!$O$382:$AB$441,ROW(F2),'Dependency (hide)'!$G$20),INDEX('Reference dates (hide)'!$KF$96:$MM$96,ROW(F2)))</f>
        <v>0</v>
      </c>
      <c r="L144" s="298"/>
      <c r="M144" s="298"/>
      <c r="N144" s="299"/>
    </row>
    <row r="145" spans="1:14" hidden="1" x14ac:dyDescent="0.25">
      <c r="A145" s="79">
        <f t="shared" si="0"/>
        <v>1</v>
      </c>
      <c r="B145" s="311"/>
      <c r="C145" s="312"/>
      <c r="D145" s="38" t="str">
        <f ca="1">IF(OFFSET('Control Sheet'!$I$45,$A145,MOD(ROW(A5),3),1,1)=0,"",OFFSET('Control Sheet'!$I$45,$A145,MOD(ROW(A5),3),1,1))</f>
        <v/>
      </c>
      <c r="E145" s="32">
        <f>CHOOSE('Dependency (hide)'!$G$19,INDEX('Reference dates (hide)'!$AB$43:$CI$98,'Dependency (hide)'!$G$20,ROW(A3)),INDEX('Reference dates (hide)'!$O$123:$AB$182,ROW(A3),'Dependency (hide)'!$G$20),INDEX('Reference dates (hide)'!$AB$96:$CI$96,ROW(A3)))</f>
        <v>0</v>
      </c>
      <c r="F145" s="32">
        <f>CHOOSE('Dependency (hide)'!$G$19,INDEX('Reference dates (hide)'!$CP$43:$EW$98,'Dependency (hide)'!$G$20,ROW(A3)),INDEX('Reference dates (hide)'!$O$184:$AB$243,ROW(A3),'Dependency (hide)'!$G$20),INDEX('Reference dates (hide)'!$CP$96:$EW$96,ROW(A3)))</f>
        <v>0</v>
      </c>
      <c r="G145" s="30"/>
      <c r="H145" s="32">
        <f>CHOOSE('Dependency (hide)'!$G$19,INDEX('Reference dates (hide)'!$HR$43:$JY$98,'Dependency (hide)'!$G$20,ROW(C3)),INDEX('Reference dates (hide)'!$O$245:$AB$304,ROW(C3),'Dependency (hide)'!$G$20),INDEX('Reference dates (hide)'!$HR$96:$JY$96,ROW(C3)))</f>
        <v>0</v>
      </c>
      <c r="I145" s="152"/>
      <c r="J145" s="32">
        <f>CHOOSE('Dependency (hide)'!$G$19,INDEX('Reference dates (hide)'!$FD$43:$HK$98,'Dependency (hide)'!$G$20,ROW(E3)),INDEX('Reference dates (hide)'!$O$321:$AB$380,ROW(E3),'Dependency (hide)'!$G$20),INDEX('Reference dates (hide)'!$FD$96:$HK$96,ROW(E3)))</f>
        <v>0</v>
      </c>
      <c r="K145" s="297">
        <f>CHOOSE('Dependency (hide)'!$G$19,INDEX('Reference dates (hide)'!$KF$43:$MM$98,'Dependency (hide)'!$G$20,ROW(F3)),INDEX('Reference dates (hide)'!$O$382:$AB$441,ROW(F3),'Dependency (hide)'!$G$20),INDEX('Reference dates (hide)'!$KF$96:$MM$96,ROW(F3)))</f>
        <v>0</v>
      </c>
      <c r="L145" s="298"/>
      <c r="M145" s="298"/>
      <c r="N145" s="299"/>
    </row>
    <row r="146" spans="1:14" hidden="1" x14ac:dyDescent="0.25">
      <c r="A146" s="79">
        <f t="shared" si="0"/>
        <v>2</v>
      </c>
      <c r="B146" s="301" t="str">
        <f>'Data files'!A17</f>
        <v xml:space="preserve">2. </v>
      </c>
      <c r="C146" s="302"/>
      <c r="D146" s="83" t="str">
        <f ca="1">IF(OFFSET('Control Sheet'!$I$45,$A146,MOD(ROW(A6),3),1,1)=0,"",OFFSET('Control Sheet'!$I$45,$A146,MOD(ROW(A6),3),1,1))</f>
        <v>0</v>
      </c>
      <c r="E146" s="52">
        <f>CHOOSE('Dependency (hide)'!$G$19,INDEX('Reference dates (hide)'!$AB$43:$CI$98,'Dependency (hide)'!$G$20,ROW(A4)),INDEX('Reference dates (hide)'!$O$123:$AB$182,ROW(A4),'Dependency (hide)'!$G$20),INDEX('Reference dates (hide)'!$AB$96:$CI$96,ROW(A4)))</f>
        <v>0</v>
      </c>
      <c r="F146" s="52">
        <f>CHOOSE('Dependency (hide)'!$G$19,INDEX('Reference dates (hide)'!$CP$43:$EW$98,'Dependency (hide)'!$G$20,ROW(A4)),INDEX('Reference dates (hide)'!$O$184:$AB$243,ROW(A4),'Dependency (hide)'!$G$20),INDEX('Reference dates (hide)'!$CP$96:$EW$96,ROW(A4)))</f>
        <v>0</v>
      </c>
      <c r="G146" s="30"/>
      <c r="H146" s="52">
        <f>CHOOSE('Dependency (hide)'!$G$19,INDEX('Reference dates (hide)'!$HR$43:$JY$98,'Dependency (hide)'!$G$20,ROW(C4)),INDEX('Reference dates (hide)'!$O$245:$AB$304,ROW(C4),'Dependency (hide)'!$G$20),INDEX('Reference dates (hide)'!$HR$96:$JY$96,ROW(C4)))</f>
        <v>0</v>
      </c>
      <c r="I146" s="152"/>
      <c r="J146" s="52">
        <f>CHOOSE('Dependency (hide)'!$G$19,INDEX('Reference dates (hide)'!$FD$43:$HK$98,'Dependency (hide)'!$G$20,ROW(E4)),INDEX('Reference dates (hide)'!$O$321:$AB$380,ROW(E4),'Dependency (hide)'!$G$20),INDEX('Reference dates (hide)'!$FD$96:$HK$96,ROW(E4)))</f>
        <v>0</v>
      </c>
      <c r="K146" s="293">
        <f>CHOOSE('Dependency (hide)'!$G$19,INDEX('Reference dates (hide)'!$KF$43:$MM$98,'Dependency (hide)'!$G$20,ROW(F4)),INDEX('Reference dates (hide)'!$O$382:$AB$441,ROW(F4),'Dependency (hide)'!$G$20),INDEX('Reference dates (hide)'!$KF$96:$MM$96,ROW(F4)))</f>
        <v>0</v>
      </c>
      <c r="L146" s="294"/>
      <c r="M146" s="294"/>
      <c r="N146" s="295"/>
    </row>
    <row r="147" spans="1:14" hidden="1" x14ac:dyDescent="0.25">
      <c r="A147" s="79">
        <f t="shared" si="0"/>
        <v>2</v>
      </c>
      <c r="B147" s="303"/>
      <c r="C147" s="304"/>
      <c r="D147" s="83" t="str">
        <f ca="1">IF(OFFSET('Control Sheet'!$I$45,$A147,MOD(ROW(A7),3),1,1)=0,"",OFFSET('Control Sheet'!$I$45,$A147,MOD(ROW(A7),3),1,1))</f>
        <v/>
      </c>
      <c r="E147" s="52">
        <f>CHOOSE('Dependency (hide)'!$G$19,INDEX('Reference dates (hide)'!$AB$43:$CI$98,'Dependency (hide)'!$G$20,ROW(A5)),INDEX('Reference dates (hide)'!$O$123:$AB$182,ROW(A5),'Dependency (hide)'!$G$20),INDEX('Reference dates (hide)'!$AB$96:$CI$96,ROW(A5)))</f>
        <v>0</v>
      </c>
      <c r="F147" s="52">
        <f>CHOOSE('Dependency (hide)'!$G$19,INDEX('Reference dates (hide)'!$CP$43:$EW$98,'Dependency (hide)'!$G$20,ROW(A5)),INDEX('Reference dates (hide)'!$O$184:$AB$243,ROW(A5),'Dependency (hide)'!$G$20),INDEX('Reference dates (hide)'!$CP$96:$EW$96,ROW(A5)))</f>
        <v>0</v>
      </c>
      <c r="G147" s="30"/>
      <c r="H147" s="52">
        <f>CHOOSE('Dependency (hide)'!$G$19,INDEX('Reference dates (hide)'!$HR$43:$JY$98,'Dependency (hide)'!$G$20,ROW(C5)),INDEX('Reference dates (hide)'!$O$245:$AB$304,ROW(C5),'Dependency (hide)'!$G$20),INDEX('Reference dates (hide)'!$HR$96:$JY$96,ROW(C5)))</f>
        <v>0</v>
      </c>
      <c r="I147" s="152"/>
      <c r="J147" s="52">
        <f>CHOOSE('Dependency (hide)'!$G$19,INDEX('Reference dates (hide)'!$FD$43:$HK$98,'Dependency (hide)'!$G$20,ROW(E5)),INDEX('Reference dates (hide)'!$O$321:$AB$380,ROW(E5),'Dependency (hide)'!$G$20),INDEX('Reference dates (hide)'!$FD$96:$HK$96,ROW(E5)))</f>
        <v>0</v>
      </c>
      <c r="K147" s="293">
        <f>CHOOSE('Dependency (hide)'!$G$19,INDEX('Reference dates (hide)'!$KF$43:$MM$98,'Dependency (hide)'!$G$20,ROW(F5)),INDEX('Reference dates (hide)'!$O$382:$AB$441,ROW(F5),'Dependency (hide)'!$G$20),INDEX('Reference dates (hide)'!$KF$96:$MM$96,ROW(F5)))</f>
        <v>0</v>
      </c>
      <c r="L147" s="294"/>
      <c r="M147" s="294"/>
      <c r="N147" s="295"/>
    </row>
    <row r="148" spans="1:14" hidden="1" x14ac:dyDescent="0.25">
      <c r="A148" s="79">
        <f t="shared" si="0"/>
        <v>2</v>
      </c>
      <c r="B148" s="305"/>
      <c r="C148" s="306"/>
      <c r="D148" s="83" t="str">
        <f ca="1">IF(OFFSET('Control Sheet'!$I$45,$A148,MOD(ROW(A8),3),1,1)=0,"",OFFSET('Control Sheet'!$I$45,$A148,MOD(ROW(A8),3),1,1))</f>
        <v/>
      </c>
      <c r="E148" s="52">
        <f>CHOOSE('Dependency (hide)'!$G$19,INDEX('Reference dates (hide)'!$AB$43:$CI$98,'Dependency (hide)'!$G$20,ROW(A6)),INDEX('Reference dates (hide)'!$O$123:$AB$182,ROW(A6),'Dependency (hide)'!$G$20),INDEX('Reference dates (hide)'!$AB$96:$CI$96,ROW(A6)))</f>
        <v>0</v>
      </c>
      <c r="F148" s="52">
        <f>CHOOSE('Dependency (hide)'!$G$19,INDEX('Reference dates (hide)'!$CP$43:$EW$98,'Dependency (hide)'!$G$20,ROW(A6)),INDEX('Reference dates (hide)'!$O$184:$AB$243,ROW(A6),'Dependency (hide)'!$G$20),INDEX('Reference dates (hide)'!$CP$96:$EW$96,ROW(A6)))</f>
        <v>0</v>
      </c>
      <c r="G148" s="30"/>
      <c r="H148" s="52">
        <f>CHOOSE('Dependency (hide)'!$G$19,INDEX('Reference dates (hide)'!$HR$43:$JY$98,'Dependency (hide)'!$G$20,ROW(C6)),INDEX('Reference dates (hide)'!$O$245:$AB$304,ROW(C6),'Dependency (hide)'!$G$20),INDEX('Reference dates (hide)'!$HR$96:$JY$96,ROW(C6)))</f>
        <v>0</v>
      </c>
      <c r="I148" s="152"/>
      <c r="J148" s="52">
        <f>CHOOSE('Dependency (hide)'!$G$19,INDEX('Reference dates (hide)'!$FD$43:$HK$98,'Dependency (hide)'!$G$20,ROW(E6)),INDEX('Reference dates (hide)'!$O$321:$AB$380,ROW(E6),'Dependency (hide)'!$G$20),INDEX('Reference dates (hide)'!$FD$96:$HK$96,ROW(E6)))</f>
        <v>0</v>
      </c>
      <c r="K148" s="293">
        <f>CHOOSE('Dependency (hide)'!$G$19,INDEX('Reference dates (hide)'!$KF$43:$MM$98,'Dependency (hide)'!$G$20,ROW(F6)),INDEX('Reference dates (hide)'!$O$382:$AB$441,ROW(F6),'Dependency (hide)'!$G$20),INDEX('Reference dates (hide)'!$KF$96:$MM$96,ROW(F6)))</f>
        <v>0</v>
      </c>
      <c r="L148" s="294"/>
      <c r="M148" s="294"/>
      <c r="N148" s="295"/>
    </row>
    <row r="149" spans="1:14" ht="14.25" hidden="1" customHeight="1" x14ac:dyDescent="0.25">
      <c r="A149" s="79">
        <f t="shared" si="0"/>
        <v>3</v>
      </c>
      <c r="B149" s="307" t="str">
        <f>'Data files'!A18</f>
        <v xml:space="preserve">3. </v>
      </c>
      <c r="C149" s="308"/>
      <c r="D149" s="82" t="str">
        <f ca="1">IF(OFFSET('Control Sheet'!$I$45,$A149,MOD(ROW(A9),3),1,1)=0,"",OFFSET('Control Sheet'!$I$45,$A149,MOD(ROW(A9),3),1,1))</f>
        <v>0</v>
      </c>
      <c r="E149" s="84">
        <f>CHOOSE('Dependency (hide)'!$G$19,INDEX('Reference dates (hide)'!$AB$43:$CI$98,'Dependency (hide)'!$G$20,ROW(A7)),INDEX('Reference dates (hide)'!$O$123:$AB$182,ROW(A7),'Dependency (hide)'!$G$20),INDEX('Reference dates (hide)'!$AB$96:$CI$96,ROW(A7)))</f>
        <v>0</v>
      </c>
      <c r="F149" s="32">
        <f>CHOOSE('Dependency (hide)'!$G$19,INDEX('Reference dates (hide)'!$CP$43:$EW$98,'Dependency (hide)'!$G$20,ROW(A7)),INDEX('Reference dates (hide)'!$O$184:$AB$243,ROW(A7),'Dependency (hide)'!$G$20),INDEX('Reference dates (hide)'!$CP$96:$EW$96,ROW(A7)))</f>
        <v>0</v>
      </c>
      <c r="G149" s="30"/>
      <c r="H149" s="32">
        <f>CHOOSE('Dependency (hide)'!$G$19,INDEX('Reference dates (hide)'!$HR$43:$JY$98,'Dependency (hide)'!$G$20,ROW(C7)),INDEX('Reference dates (hide)'!$O$245:$AB$304,ROW(C7),'Dependency (hide)'!$G$20),INDEX('Reference dates (hide)'!$HR$96:$JY$96,ROW(C7)))</f>
        <v>0</v>
      </c>
      <c r="I149" s="152"/>
      <c r="J149" s="32">
        <f>CHOOSE('Dependency (hide)'!$G$19,INDEX('Reference dates (hide)'!$FD$43:$HK$98,'Dependency (hide)'!$G$20,ROW(E7)),INDEX('Reference dates (hide)'!$O$321:$AB$380,ROW(E7),'Dependency (hide)'!$G$20),INDEX('Reference dates (hide)'!$FD$96:$HK$96,ROW(E7)))</f>
        <v>0</v>
      </c>
      <c r="K149" s="297">
        <f>CHOOSE('Dependency (hide)'!$G$19,INDEX('Reference dates (hide)'!$KF$43:$MM$98,'Dependency (hide)'!$G$20,ROW(F7)),INDEX('Reference dates (hide)'!$O$382:$AB$441,ROW(F7),'Dependency (hide)'!$G$20),INDEX('Reference dates (hide)'!$KF$96:$MM$96,ROW(F7)))</f>
        <v>0</v>
      </c>
      <c r="L149" s="298"/>
      <c r="M149" s="298"/>
      <c r="N149" s="299"/>
    </row>
    <row r="150" spans="1:14" hidden="1" x14ac:dyDescent="0.25">
      <c r="A150" s="79">
        <f t="shared" si="0"/>
        <v>3</v>
      </c>
      <c r="B150" s="309"/>
      <c r="C150" s="310"/>
      <c r="D150" s="82" t="str">
        <f ca="1">IF(OFFSET('Control Sheet'!$I$45,$A150,MOD(ROW(A10),3),1,1)=0,"",OFFSET('Control Sheet'!$I$45,$A150,MOD(ROW(A10),3),1,1))</f>
        <v/>
      </c>
      <c r="E150" s="84">
        <f>CHOOSE('Dependency (hide)'!$G$19,INDEX('Reference dates (hide)'!$AB$43:$CI$98,'Dependency (hide)'!$G$20,ROW(A8)),INDEX('Reference dates (hide)'!$O$123:$AB$182,ROW(A8),'Dependency (hide)'!$G$20),INDEX('Reference dates (hide)'!$AB$96:$CI$96,ROW(A8)))</f>
        <v>0</v>
      </c>
      <c r="F150" s="32">
        <f>CHOOSE('Dependency (hide)'!$G$19,INDEX('Reference dates (hide)'!$CP$43:$EW$98,'Dependency (hide)'!$G$20,ROW(A8)),INDEX('Reference dates (hide)'!$O$184:$AB$243,ROW(A8),'Dependency (hide)'!$G$20),INDEX('Reference dates (hide)'!$CP$96:$EW$96,ROW(A8)))</f>
        <v>0</v>
      </c>
      <c r="G150" s="30"/>
      <c r="H150" s="32">
        <f>CHOOSE('Dependency (hide)'!$G$19,INDEX('Reference dates (hide)'!$HR$43:$JY$98,'Dependency (hide)'!$G$20,ROW(C8)),INDEX('Reference dates (hide)'!$O$245:$AB$304,ROW(C8),'Dependency (hide)'!$G$20),INDEX('Reference dates (hide)'!$HR$96:$JY$96,ROW(C8)))</f>
        <v>0</v>
      </c>
      <c r="I150" s="152"/>
      <c r="J150" s="32">
        <f>CHOOSE('Dependency (hide)'!$G$19,INDEX('Reference dates (hide)'!$FD$43:$HK$98,'Dependency (hide)'!$G$20,ROW(E8)),INDEX('Reference dates (hide)'!$O$321:$AB$380,ROW(E8),'Dependency (hide)'!$G$20),INDEX('Reference dates (hide)'!$FD$96:$HK$96,ROW(E8)))</f>
        <v>0</v>
      </c>
      <c r="K150" s="297">
        <f>CHOOSE('Dependency (hide)'!$G$19,INDEX('Reference dates (hide)'!$KF$43:$MM$98,'Dependency (hide)'!$G$20,ROW(F8)),INDEX('Reference dates (hide)'!$O$382:$AB$441,ROW(F8),'Dependency (hide)'!$G$20),INDEX('Reference dates (hide)'!$KF$96:$MM$96,ROW(F8)))</f>
        <v>0</v>
      </c>
      <c r="L150" s="298"/>
      <c r="M150" s="298"/>
      <c r="N150" s="299"/>
    </row>
    <row r="151" spans="1:14" hidden="1" x14ac:dyDescent="0.25">
      <c r="A151" s="79">
        <f t="shared" si="0"/>
        <v>3</v>
      </c>
      <c r="B151" s="311"/>
      <c r="C151" s="312"/>
      <c r="D151" s="38" t="str">
        <f ca="1">IF(OFFSET('Control Sheet'!$I$45,$A151,MOD(ROW(A11),3),1,1)=0,"",OFFSET('Control Sheet'!$I$45,$A151,MOD(ROW(A11),3),1,1))</f>
        <v/>
      </c>
      <c r="E151" s="32">
        <f>CHOOSE('Dependency (hide)'!$G$19,INDEX('Reference dates (hide)'!$AB$43:$CI$98,'Dependency (hide)'!$G$20,ROW(A9)),INDEX('Reference dates (hide)'!$O$123:$AB$182,ROW(A9),'Dependency (hide)'!$G$20),INDEX('Reference dates (hide)'!$AB$96:$CI$96,ROW(A9)))</f>
        <v>0</v>
      </c>
      <c r="F151" s="32">
        <f>CHOOSE('Dependency (hide)'!$G$19,INDEX('Reference dates (hide)'!$CP$43:$EW$98,'Dependency (hide)'!$G$20,ROW(A9)),INDEX('Reference dates (hide)'!$O$184:$AB$243,ROW(A9),'Dependency (hide)'!$G$20),INDEX('Reference dates (hide)'!$CP$96:$EW$96,ROW(A9)))</f>
        <v>0</v>
      </c>
      <c r="G151" s="30"/>
      <c r="H151" s="32">
        <f>CHOOSE('Dependency (hide)'!$G$19,INDEX('Reference dates (hide)'!$HR$43:$JY$98,'Dependency (hide)'!$G$20,ROW(C9)),INDEX('Reference dates (hide)'!$O$245:$AB$304,ROW(C9),'Dependency (hide)'!$G$20),INDEX('Reference dates (hide)'!$HR$96:$JY$96,ROW(C9)))</f>
        <v>0</v>
      </c>
      <c r="I151" s="152"/>
      <c r="J151" s="32">
        <f>CHOOSE('Dependency (hide)'!$G$19,INDEX('Reference dates (hide)'!$FD$43:$HK$98,'Dependency (hide)'!$G$20,ROW(E9)),INDEX('Reference dates (hide)'!$O$321:$AB$380,ROW(E9),'Dependency (hide)'!$G$20),INDEX('Reference dates (hide)'!$FD$96:$HK$96,ROW(E9)))</f>
        <v>0</v>
      </c>
      <c r="K151" s="297">
        <f>CHOOSE('Dependency (hide)'!$G$19,INDEX('Reference dates (hide)'!$KF$43:$MM$98,'Dependency (hide)'!$G$20,ROW(F9)),INDEX('Reference dates (hide)'!$O$382:$AB$441,ROW(F9),'Dependency (hide)'!$G$20),INDEX('Reference dates (hide)'!$KF$96:$MM$96,ROW(F9)))</f>
        <v>0</v>
      </c>
      <c r="L151" s="298"/>
      <c r="M151" s="298"/>
      <c r="N151" s="299"/>
    </row>
    <row r="152" spans="1:14" ht="14.25" hidden="1" customHeight="1" x14ac:dyDescent="0.25">
      <c r="A152" s="79">
        <f t="shared" si="0"/>
        <v>4</v>
      </c>
      <c r="B152" s="301" t="str">
        <f>'Data files'!A19</f>
        <v xml:space="preserve">4. </v>
      </c>
      <c r="C152" s="302"/>
      <c r="D152" s="83" t="str">
        <f ca="1">IF(OFFSET('Control Sheet'!$I$45,$A152,MOD(ROW(A12),3),1,1)=0,"",OFFSET('Control Sheet'!$I$45,$A152,MOD(ROW(A12),3),1,1))</f>
        <v>0</v>
      </c>
      <c r="E152" s="52">
        <f>CHOOSE('Dependency (hide)'!$G$19,INDEX('Reference dates (hide)'!$AB$43:$CI$98,'Dependency (hide)'!$G$20,ROW(A10)),INDEX('Reference dates (hide)'!$O$123:$AB$182,ROW(A10),'Dependency (hide)'!$G$20),INDEX('Reference dates (hide)'!$AB$96:$CI$96,ROW(A10)))</f>
        <v>0</v>
      </c>
      <c r="F152" s="52">
        <f>CHOOSE('Dependency (hide)'!$G$19,INDEX('Reference dates (hide)'!$CP$43:$EW$98,'Dependency (hide)'!$G$20,ROW(A10)),INDEX('Reference dates (hide)'!$O$184:$AB$243,ROW(A10),'Dependency (hide)'!$G$20),INDEX('Reference dates (hide)'!$CP$96:$EW$96,ROW(A10)))</f>
        <v>0</v>
      </c>
      <c r="G152" s="30"/>
      <c r="H152" s="52">
        <f>CHOOSE('Dependency (hide)'!$G$19,INDEX('Reference dates (hide)'!$HR$43:$JY$98,'Dependency (hide)'!$G$20,ROW(C10)),INDEX('Reference dates (hide)'!$O$245:$AB$304,ROW(C10),'Dependency (hide)'!$G$20),INDEX('Reference dates (hide)'!$HR$96:$JY$96,ROW(C10)))</f>
        <v>0</v>
      </c>
      <c r="I152" s="152"/>
      <c r="J152" s="52">
        <f>CHOOSE('Dependency (hide)'!$G$19,INDEX('Reference dates (hide)'!$FD$43:$HK$98,'Dependency (hide)'!$G$20,ROW(E10)),INDEX('Reference dates (hide)'!$O$321:$AB$380,ROW(E10),'Dependency (hide)'!$G$20),INDEX('Reference dates (hide)'!$FD$96:$HK$96,ROW(E10)))</f>
        <v>0</v>
      </c>
      <c r="K152" s="293">
        <f>CHOOSE('Dependency (hide)'!$G$19,INDEX('Reference dates (hide)'!$KF$43:$MM$98,'Dependency (hide)'!$G$20,ROW(F10)),INDEX('Reference dates (hide)'!$O$382:$AB$441,ROW(F10),'Dependency (hide)'!$G$20),INDEX('Reference dates (hide)'!$KF$96:$MM$96,ROW(F10)))</f>
        <v>0</v>
      </c>
      <c r="L152" s="294"/>
      <c r="M152" s="294"/>
      <c r="N152" s="295"/>
    </row>
    <row r="153" spans="1:14" hidden="1" x14ac:dyDescent="0.25">
      <c r="A153" s="79">
        <f t="shared" si="0"/>
        <v>4</v>
      </c>
      <c r="B153" s="303"/>
      <c r="C153" s="304"/>
      <c r="D153" s="83" t="str">
        <f ca="1">IF(OFFSET('Control Sheet'!$I$45,$A153,MOD(ROW(A13),3),1,1)=0,"",OFFSET('Control Sheet'!$I$45,$A153,MOD(ROW(A13),3),1,1))</f>
        <v/>
      </c>
      <c r="E153" s="52">
        <f>CHOOSE('Dependency (hide)'!$G$19,INDEX('Reference dates (hide)'!$AB$43:$CI$98,'Dependency (hide)'!$G$20,ROW(A11)),INDEX('Reference dates (hide)'!$O$123:$AB$182,ROW(A11),'Dependency (hide)'!$G$20),INDEX('Reference dates (hide)'!$AB$96:$CI$96,ROW(A11)))</f>
        <v>0</v>
      </c>
      <c r="F153" s="52">
        <f>CHOOSE('Dependency (hide)'!$G$19,INDEX('Reference dates (hide)'!$CP$43:$EW$98,'Dependency (hide)'!$G$20,ROW(A11)),INDEX('Reference dates (hide)'!$O$184:$AB$243,ROW(A11),'Dependency (hide)'!$G$20),INDEX('Reference dates (hide)'!$CP$96:$EW$96,ROW(A11)))</f>
        <v>0</v>
      </c>
      <c r="G153" s="30"/>
      <c r="H153" s="52">
        <f>CHOOSE('Dependency (hide)'!$G$19,INDEX('Reference dates (hide)'!$HR$43:$JY$98,'Dependency (hide)'!$G$20,ROW(C11)),INDEX('Reference dates (hide)'!$O$245:$AB$304,ROW(C11),'Dependency (hide)'!$G$20),INDEX('Reference dates (hide)'!$HR$96:$JY$96,ROW(C11)))</f>
        <v>0</v>
      </c>
      <c r="I153" s="152"/>
      <c r="J153" s="52">
        <f>CHOOSE('Dependency (hide)'!$G$19,INDEX('Reference dates (hide)'!$FD$43:$HK$98,'Dependency (hide)'!$G$20,ROW(E11)),INDEX('Reference dates (hide)'!$O$321:$AB$380,ROW(E11),'Dependency (hide)'!$G$20),INDEX('Reference dates (hide)'!$FD$96:$HK$96,ROW(E11)))</f>
        <v>0</v>
      </c>
      <c r="K153" s="293">
        <f>CHOOSE('Dependency (hide)'!$G$19,INDEX('Reference dates (hide)'!$KF$43:$MM$98,'Dependency (hide)'!$G$20,ROW(F11)),INDEX('Reference dates (hide)'!$O$382:$AB$441,ROW(F11),'Dependency (hide)'!$G$20),INDEX('Reference dates (hide)'!$KF$96:$MM$96,ROW(F11)))</f>
        <v>0</v>
      </c>
      <c r="L153" s="294"/>
      <c r="M153" s="294"/>
      <c r="N153" s="295"/>
    </row>
    <row r="154" spans="1:14" hidden="1" x14ac:dyDescent="0.25">
      <c r="A154" s="79">
        <f t="shared" si="0"/>
        <v>4</v>
      </c>
      <c r="B154" s="305"/>
      <c r="C154" s="306"/>
      <c r="D154" s="83" t="str">
        <f ca="1">IF(OFFSET('Control Sheet'!$I$45,$A154,MOD(ROW(A14),3),1,1)=0,"",OFFSET('Control Sheet'!$I$45,$A154,MOD(ROW(A14),3),1,1))</f>
        <v/>
      </c>
      <c r="E154" s="52">
        <f>CHOOSE('Dependency (hide)'!$G$19,INDEX('Reference dates (hide)'!$AB$43:$CI$98,'Dependency (hide)'!$G$20,ROW(A12)),INDEX('Reference dates (hide)'!$O$123:$AB$182,ROW(A12),'Dependency (hide)'!$G$20),INDEX('Reference dates (hide)'!$AB$96:$CI$96,ROW(A12)))</f>
        <v>0</v>
      </c>
      <c r="F154" s="52">
        <f>CHOOSE('Dependency (hide)'!$G$19,INDEX('Reference dates (hide)'!$CP$43:$EW$98,'Dependency (hide)'!$G$20,ROW(A12)),INDEX('Reference dates (hide)'!$O$184:$AB$243,ROW(A12),'Dependency (hide)'!$G$20),INDEX('Reference dates (hide)'!$CP$96:$EW$96,ROW(A12)))</f>
        <v>0</v>
      </c>
      <c r="G154" s="30"/>
      <c r="H154" s="52">
        <f>CHOOSE('Dependency (hide)'!$G$19,INDEX('Reference dates (hide)'!$HR$43:$JY$98,'Dependency (hide)'!$G$20,ROW(C12)),INDEX('Reference dates (hide)'!$O$245:$AB$304,ROW(C12),'Dependency (hide)'!$G$20),INDEX('Reference dates (hide)'!$HR$96:$JY$96,ROW(C12)))</f>
        <v>0</v>
      </c>
      <c r="I154" s="152"/>
      <c r="J154" s="52">
        <f>CHOOSE('Dependency (hide)'!$G$19,INDEX('Reference dates (hide)'!$FD$43:$HK$98,'Dependency (hide)'!$G$20,ROW(E12)),INDEX('Reference dates (hide)'!$O$321:$AB$380,ROW(E12),'Dependency (hide)'!$G$20),INDEX('Reference dates (hide)'!$FD$96:$HK$96,ROW(E12)))</f>
        <v>0</v>
      </c>
      <c r="K154" s="293">
        <f>CHOOSE('Dependency (hide)'!$G$19,INDEX('Reference dates (hide)'!$KF$43:$MM$98,'Dependency (hide)'!$G$20,ROW(F12)),INDEX('Reference dates (hide)'!$O$382:$AB$441,ROW(F12),'Dependency (hide)'!$G$20),INDEX('Reference dates (hide)'!$KF$96:$MM$96,ROW(F12)))</f>
        <v>0</v>
      </c>
      <c r="L154" s="294"/>
      <c r="M154" s="294"/>
      <c r="N154" s="295"/>
    </row>
    <row r="155" spans="1:14" ht="14.25" hidden="1" customHeight="1" x14ac:dyDescent="0.25">
      <c r="A155" s="79">
        <f t="shared" si="0"/>
        <v>5</v>
      </c>
      <c r="B155" s="307" t="str">
        <f>'Data files'!A20</f>
        <v xml:space="preserve">5. </v>
      </c>
      <c r="C155" s="308"/>
      <c r="D155" s="82" t="str">
        <f ca="1">IF(OFFSET('Control Sheet'!$I$45,$A155,MOD(ROW(A15),3),1,1)=0,"",OFFSET('Control Sheet'!$I$45,$A155,MOD(ROW(A15),3),1,1))</f>
        <v>0</v>
      </c>
      <c r="E155" s="84">
        <f>CHOOSE('Dependency (hide)'!$G$19,INDEX('Reference dates (hide)'!$AB$43:$CI$98,'Dependency (hide)'!$G$20,ROW(A13)),INDEX('Reference dates (hide)'!$O$123:$AB$182,ROW(A13),'Dependency (hide)'!$G$20),INDEX('Reference dates (hide)'!$AB$96:$CI$96,ROW(A13)))</f>
        <v>0</v>
      </c>
      <c r="F155" s="32">
        <f>CHOOSE('Dependency (hide)'!$G$19,INDEX('Reference dates (hide)'!$CP$43:$EW$98,'Dependency (hide)'!$G$20,ROW(A13)),INDEX('Reference dates (hide)'!$O$184:$AB$243,ROW(A13),'Dependency (hide)'!$G$20),INDEX('Reference dates (hide)'!$CP$96:$EW$96,ROW(A13)))</f>
        <v>0</v>
      </c>
      <c r="G155" s="30"/>
      <c r="H155" s="32">
        <f>CHOOSE('Dependency (hide)'!$G$19,INDEX('Reference dates (hide)'!$HR$43:$JY$98,'Dependency (hide)'!$G$20,ROW(C13)),INDEX('Reference dates (hide)'!$O$245:$AB$304,ROW(C13),'Dependency (hide)'!$G$20),INDEX('Reference dates (hide)'!$HR$96:$JY$96,ROW(C13)))</f>
        <v>0</v>
      </c>
      <c r="I155" s="152"/>
      <c r="J155" s="32">
        <f>CHOOSE('Dependency (hide)'!$G$19,INDEX('Reference dates (hide)'!$FD$43:$HK$98,'Dependency (hide)'!$G$20,ROW(E13)),INDEX('Reference dates (hide)'!$O$321:$AB$380,ROW(E13),'Dependency (hide)'!$G$20),INDEX('Reference dates (hide)'!$FD$96:$HK$96,ROW(E13)))</f>
        <v>0</v>
      </c>
      <c r="K155" s="297">
        <f>CHOOSE('Dependency (hide)'!$G$19,INDEX('Reference dates (hide)'!$KF$43:$MM$98,'Dependency (hide)'!$G$20,ROW(F13)),INDEX('Reference dates (hide)'!$O$382:$AB$441,ROW(F13),'Dependency (hide)'!$G$20),INDEX('Reference dates (hide)'!$KF$96:$MM$96,ROW(F13)))</f>
        <v>0</v>
      </c>
      <c r="L155" s="298"/>
      <c r="M155" s="298"/>
      <c r="N155" s="299"/>
    </row>
    <row r="156" spans="1:14" hidden="1" x14ac:dyDescent="0.25">
      <c r="A156" s="79">
        <f t="shared" si="0"/>
        <v>5</v>
      </c>
      <c r="B156" s="309"/>
      <c r="C156" s="310"/>
      <c r="D156" s="82" t="str">
        <f ca="1">IF(OFFSET('Control Sheet'!$I$45,$A156,MOD(ROW(A16),3),1,1)=0,"",OFFSET('Control Sheet'!$I$45,$A156,MOD(ROW(A16),3),1,1))</f>
        <v/>
      </c>
      <c r="E156" s="84">
        <f>CHOOSE('Dependency (hide)'!$G$19,INDEX('Reference dates (hide)'!$AB$43:$CI$98,'Dependency (hide)'!$G$20,ROW(A14)),INDEX('Reference dates (hide)'!$O$123:$AB$182,ROW(A14),'Dependency (hide)'!$G$20),INDEX('Reference dates (hide)'!$AB$96:$CI$96,ROW(A14)))</f>
        <v>0</v>
      </c>
      <c r="F156" s="32">
        <f>CHOOSE('Dependency (hide)'!$G$19,INDEX('Reference dates (hide)'!$CP$43:$EW$98,'Dependency (hide)'!$G$20,ROW(A14)),INDEX('Reference dates (hide)'!$O$184:$AB$243,ROW(A14),'Dependency (hide)'!$G$20),INDEX('Reference dates (hide)'!$CP$96:$EW$96,ROW(A14)))</f>
        <v>0</v>
      </c>
      <c r="G156" s="30"/>
      <c r="H156" s="32">
        <f>CHOOSE('Dependency (hide)'!$G$19,INDEX('Reference dates (hide)'!$HR$43:$JY$98,'Dependency (hide)'!$G$20,ROW(C14)),INDEX('Reference dates (hide)'!$O$245:$AB$304,ROW(C14),'Dependency (hide)'!$G$20),INDEX('Reference dates (hide)'!$HR$96:$JY$96,ROW(C14)))</f>
        <v>0</v>
      </c>
      <c r="I156" s="152"/>
      <c r="J156" s="32">
        <f>CHOOSE('Dependency (hide)'!$G$19,INDEX('Reference dates (hide)'!$FD$43:$HK$98,'Dependency (hide)'!$G$20,ROW(E14)),INDEX('Reference dates (hide)'!$O$321:$AB$380,ROW(E14),'Dependency (hide)'!$G$20),INDEX('Reference dates (hide)'!$FD$96:$HK$96,ROW(E14)))</f>
        <v>0</v>
      </c>
      <c r="K156" s="297">
        <f>CHOOSE('Dependency (hide)'!$G$19,INDEX('Reference dates (hide)'!$KF$43:$MM$98,'Dependency (hide)'!$G$20,ROW(F14)),INDEX('Reference dates (hide)'!$O$382:$AB$441,ROW(F14),'Dependency (hide)'!$G$20),INDEX('Reference dates (hide)'!$KF$96:$MM$96,ROW(F14)))</f>
        <v>0</v>
      </c>
      <c r="L156" s="298"/>
      <c r="M156" s="298"/>
      <c r="N156" s="299"/>
    </row>
    <row r="157" spans="1:14" hidden="1" x14ac:dyDescent="0.25">
      <c r="A157" s="79">
        <f t="shared" si="0"/>
        <v>5</v>
      </c>
      <c r="B157" s="311"/>
      <c r="C157" s="312"/>
      <c r="D157" s="38" t="str">
        <f ca="1">IF(OFFSET('Control Sheet'!$I$45,$A157,MOD(ROW(A17),3),1,1)=0,"",OFFSET('Control Sheet'!$I$45,$A157,MOD(ROW(A17),3),1,1))</f>
        <v/>
      </c>
      <c r="E157" s="32">
        <f>CHOOSE('Dependency (hide)'!$G$19,INDEX('Reference dates (hide)'!$AB$43:$CI$98,'Dependency (hide)'!$G$20,ROW(A15)),INDEX('Reference dates (hide)'!$O$123:$AB$182,ROW(A15),'Dependency (hide)'!$G$20),INDEX('Reference dates (hide)'!$AB$96:$CI$96,ROW(A15)))</f>
        <v>0</v>
      </c>
      <c r="F157" s="32">
        <f>CHOOSE('Dependency (hide)'!$G$19,INDEX('Reference dates (hide)'!$CP$43:$EW$98,'Dependency (hide)'!$G$20,ROW(A15)),INDEX('Reference dates (hide)'!$O$184:$AB$243,ROW(A15),'Dependency (hide)'!$G$20),INDEX('Reference dates (hide)'!$CP$96:$EW$96,ROW(A15)))</f>
        <v>0</v>
      </c>
      <c r="G157" s="30"/>
      <c r="H157" s="32">
        <f>CHOOSE('Dependency (hide)'!$G$19,INDEX('Reference dates (hide)'!$HR$43:$JY$98,'Dependency (hide)'!$G$20,ROW(C15)),INDEX('Reference dates (hide)'!$O$245:$AB$304,ROW(C15),'Dependency (hide)'!$G$20),INDEX('Reference dates (hide)'!$HR$96:$JY$96,ROW(C15)))</f>
        <v>0</v>
      </c>
      <c r="I157" s="152"/>
      <c r="J157" s="32">
        <f>CHOOSE('Dependency (hide)'!$G$19,INDEX('Reference dates (hide)'!$FD$43:$HK$98,'Dependency (hide)'!$G$20,ROW(E15)),INDEX('Reference dates (hide)'!$O$321:$AB$380,ROW(E15),'Dependency (hide)'!$G$20),INDEX('Reference dates (hide)'!$FD$96:$HK$96,ROW(E15)))</f>
        <v>0</v>
      </c>
      <c r="K157" s="297">
        <f>CHOOSE('Dependency (hide)'!$G$19,INDEX('Reference dates (hide)'!$KF$43:$MM$98,'Dependency (hide)'!$G$20,ROW(F15)),INDEX('Reference dates (hide)'!$O$382:$AB$441,ROW(F15),'Dependency (hide)'!$G$20),INDEX('Reference dates (hide)'!$KF$96:$MM$96,ROW(F15)))</f>
        <v>0</v>
      </c>
      <c r="L157" s="298"/>
      <c r="M157" s="298"/>
      <c r="N157" s="299"/>
    </row>
    <row r="158" spans="1:14" ht="14.25" hidden="1" customHeight="1" x14ac:dyDescent="0.25">
      <c r="A158" s="79">
        <f t="shared" si="0"/>
        <v>6</v>
      </c>
      <c r="B158" s="301" t="str">
        <f>'Data files'!A21</f>
        <v xml:space="preserve">6. </v>
      </c>
      <c r="C158" s="302"/>
      <c r="D158" s="83" t="str">
        <f ca="1">IF(OFFSET('Control Sheet'!$I$45,$A158,MOD(ROW(A18),3),1,1)=0,"",OFFSET('Control Sheet'!$I$45,$A158,MOD(ROW(A18),3),1,1))</f>
        <v>0</v>
      </c>
      <c r="E158" s="52">
        <f>CHOOSE('Dependency (hide)'!$G$19,INDEX('Reference dates (hide)'!$AB$43:$CI$98,'Dependency (hide)'!$G$20,ROW(A16)),INDEX('Reference dates (hide)'!$O$123:$AB$182,ROW(A16),'Dependency (hide)'!$G$20),INDEX('Reference dates (hide)'!$AB$96:$CI$96,ROW(A16)))</f>
        <v>0</v>
      </c>
      <c r="F158" s="52">
        <f>CHOOSE('Dependency (hide)'!$G$19,INDEX('Reference dates (hide)'!$CP$43:$EW$98,'Dependency (hide)'!$G$20,ROW(A16)),INDEX('Reference dates (hide)'!$O$184:$AB$243,ROW(A16),'Dependency (hide)'!$G$20),INDEX('Reference dates (hide)'!$CP$96:$EW$96,ROW(A16)))</f>
        <v>0</v>
      </c>
      <c r="G158" s="30"/>
      <c r="H158" s="52">
        <f>CHOOSE('Dependency (hide)'!$G$19,INDEX('Reference dates (hide)'!$HR$43:$JY$98,'Dependency (hide)'!$G$20,ROW(C16)),INDEX('Reference dates (hide)'!$O$245:$AB$304,ROW(C16),'Dependency (hide)'!$G$20),INDEX('Reference dates (hide)'!$HR$96:$JY$96,ROW(C16)))</f>
        <v>0</v>
      </c>
      <c r="I158" s="152"/>
      <c r="J158" s="52">
        <f>CHOOSE('Dependency (hide)'!$G$19,INDEX('Reference dates (hide)'!$FD$43:$HK$98,'Dependency (hide)'!$G$20,ROW(E16)),INDEX('Reference dates (hide)'!$O$321:$AB$380,ROW(E16),'Dependency (hide)'!$G$20),INDEX('Reference dates (hide)'!$FD$96:$HK$96,ROW(E16)))</f>
        <v>0</v>
      </c>
      <c r="K158" s="293">
        <f>CHOOSE('Dependency (hide)'!$G$19,INDEX('Reference dates (hide)'!$KF$43:$MM$98,'Dependency (hide)'!$G$20,ROW(F16)),INDEX('Reference dates (hide)'!$O$382:$AB$441,ROW(F16),'Dependency (hide)'!$G$20),INDEX('Reference dates (hide)'!$KF$96:$MM$96,ROW(F16)))</f>
        <v>0</v>
      </c>
      <c r="L158" s="294"/>
      <c r="M158" s="294"/>
      <c r="N158" s="295"/>
    </row>
    <row r="159" spans="1:14" hidden="1" x14ac:dyDescent="0.25">
      <c r="A159" s="79">
        <f t="shared" si="0"/>
        <v>6</v>
      </c>
      <c r="B159" s="303"/>
      <c r="C159" s="304"/>
      <c r="D159" s="83" t="str">
        <f ca="1">IF(OFFSET('Control Sheet'!$I$45,$A159,MOD(ROW(A19),3),1,1)=0,"",OFFSET('Control Sheet'!$I$45,$A159,MOD(ROW(A19),3),1,1))</f>
        <v/>
      </c>
      <c r="E159" s="52">
        <f>CHOOSE('Dependency (hide)'!$G$19,INDEX('Reference dates (hide)'!$AB$43:$CI$98,'Dependency (hide)'!$G$20,ROW(A17)),INDEX('Reference dates (hide)'!$O$123:$AB$182,ROW(A17),'Dependency (hide)'!$G$20),INDEX('Reference dates (hide)'!$AB$96:$CI$96,ROW(A17)))</f>
        <v>0</v>
      </c>
      <c r="F159" s="52">
        <f>CHOOSE('Dependency (hide)'!$G$19,INDEX('Reference dates (hide)'!$CP$43:$EW$98,'Dependency (hide)'!$G$20,ROW(A17)),INDEX('Reference dates (hide)'!$O$184:$AB$243,ROW(A17),'Dependency (hide)'!$G$20),INDEX('Reference dates (hide)'!$CP$96:$EW$96,ROW(A17)))</f>
        <v>0</v>
      </c>
      <c r="G159" s="30"/>
      <c r="H159" s="52">
        <f>CHOOSE('Dependency (hide)'!$G$19,INDEX('Reference dates (hide)'!$HR$43:$JY$98,'Dependency (hide)'!$G$20,ROW(C17)),INDEX('Reference dates (hide)'!$O$245:$AB$304,ROW(C17),'Dependency (hide)'!$G$20),INDEX('Reference dates (hide)'!$HR$96:$JY$96,ROW(C17)))</f>
        <v>0</v>
      </c>
      <c r="I159" s="152"/>
      <c r="J159" s="52">
        <f>CHOOSE('Dependency (hide)'!$G$19,INDEX('Reference dates (hide)'!$FD$43:$HK$98,'Dependency (hide)'!$G$20,ROW(E17)),INDEX('Reference dates (hide)'!$O$321:$AB$380,ROW(E17),'Dependency (hide)'!$G$20),INDEX('Reference dates (hide)'!$FD$96:$HK$96,ROW(E17)))</f>
        <v>0</v>
      </c>
      <c r="K159" s="293">
        <f>CHOOSE('Dependency (hide)'!$G$19,INDEX('Reference dates (hide)'!$KF$43:$MM$98,'Dependency (hide)'!$G$20,ROW(F17)),INDEX('Reference dates (hide)'!$O$382:$AB$441,ROW(F17),'Dependency (hide)'!$G$20),INDEX('Reference dates (hide)'!$KF$96:$MM$96,ROW(F17)))</f>
        <v>0</v>
      </c>
      <c r="L159" s="294"/>
      <c r="M159" s="294"/>
      <c r="N159" s="295"/>
    </row>
    <row r="160" spans="1:14" hidden="1" x14ac:dyDescent="0.25">
      <c r="A160" s="79">
        <f t="shared" si="0"/>
        <v>6</v>
      </c>
      <c r="B160" s="305"/>
      <c r="C160" s="306"/>
      <c r="D160" s="83" t="str">
        <f ca="1">IF(OFFSET('Control Sheet'!$I$45,$A160,MOD(ROW(A20),3),1,1)=0,"",OFFSET('Control Sheet'!$I$45,$A160,MOD(ROW(A20),3),1,1))</f>
        <v/>
      </c>
      <c r="E160" s="52">
        <f>CHOOSE('Dependency (hide)'!$G$19,INDEX('Reference dates (hide)'!$AB$43:$CI$98,'Dependency (hide)'!$G$20,ROW(A18)),INDEX('Reference dates (hide)'!$O$123:$AB$182,ROW(A18),'Dependency (hide)'!$G$20),INDEX('Reference dates (hide)'!$AB$96:$CI$96,ROW(A18)))</f>
        <v>0</v>
      </c>
      <c r="F160" s="52">
        <f>CHOOSE('Dependency (hide)'!$G$19,INDEX('Reference dates (hide)'!$CP$43:$EW$98,'Dependency (hide)'!$G$20,ROW(A18)),INDEX('Reference dates (hide)'!$O$184:$AB$243,ROW(A18),'Dependency (hide)'!$G$20),INDEX('Reference dates (hide)'!$CP$96:$EW$96,ROW(A18)))</f>
        <v>0</v>
      </c>
      <c r="G160" s="30"/>
      <c r="H160" s="52">
        <f>CHOOSE('Dependency (hide)'!$G$19,INDEX('Reference dates (hide)'!$HR$43:$JY$98,'Dependency (hide)'!$G$20,ROW(C18)),INDEX('Reference dates (hide)'!$O$245:$AB$304,ROW(C18),'Dependency (hide)'!$G$20),INDEX('Reference dates (hide)'!$HR$96:$JY$96,ROW(C18)))</f>
        <v>0</v>
      </c>
      <c r="I160" s="152"/>
      <c r="J160" s="52">
        <f>CHOOSE('Dependency (hide)'!$G$19,INDEX('Reference dates (hide)'!$FD$43:$HK$98,'Dependency (hide)'!$G$20,ROW(E18)),INDEX('Reference dates (hide)'!$O$321:$AB$380,ROW(E18),'Dependency (hide)'!$G$20),INDEX('Reference dates (hide)'!$FD$96:$HK$96,ROW(E18)))</f>
        <v>0</v>
      </c>
      <c r="K160" s="293">
        <f>CHOOSE('Dependency (hide)'!$G$19,INDEX('Reference dates (hide)'!$KF$43:$MM$98,'Dependency (hide)'!$G$20,ROW(F18)),INDEX('Reference dates (hide)'!$O$382:$AB$441,ROW(F18),'Dependency (hide)'!$G$20),INDEX('Reference dates (hide)'!$KF$96:$MM$96,ROW(F18)))</f>
        <v>0</v>
      </c>
      <c r="L160" s="294"/>
      <c r="M160" s="294"/>
      <c r="N160" s="295"/>
    </row>
    <row r="161" spans="1:14" hidden="1" x14ac:dyDescent="0.25">
      <c r="A161" s="79">
        <f t="shared" si="0"/>
        <v>7</v>
      </c>
      <c r="B161" s="307" t="str">
        <f>'Data files'!A22</f>
        <v xml:space="preserve">7. </v>
      </c>
      <c r="C161" s="308"/>
      <c r="D161" s="82" t="str">
        <f ca="1">IF(OFFSET('Control Sheet'!$I$45,$A161,MOD(ROW(A21),3),1,1)=0,"",OFFSET('Control Sheet'!$I$45,$A161,MOD(ROW(A21),3),1,1))</f>
        <v>0</v>
      </c>
      <c r="E161" s="84">
        <f>CHOOSE('Dependency (hide)'!$G$19,INDEX('Reference dates (hide)'!$AB$43:$CI$98,'Dependency (hide)'!$G$20,ROW(A19)),INDEX('Reference dates (hide)'!$O$123:$AB$182,ROW(A19),'Dependency (hide)'!$G$20),INDEX('Reference dates (hide)'!$AB$96:$CI$96,ROW(A19)))</f>
        <v>0</v>
      </c>
      <c r="F161" s="32">
        <f>CHOOSE('Dependency (hide)'!$G$19,INDEX('Reference dates (hide)'!$CP$43:$EW$98,'Dependency (hide)'!$G$20,ROW(A19)),INDEX('Reference dates (hide)'!$O$184:$AB$243,ROW(A19),'Dependency (hide)'!$G$20),INDEX('Reference dates (hide)'!$CP$96:$EW$96,ROW(A19)))</f>
        <v>0</v>
      </c>
      <c r="G161" s="30"/>
      <c r="H161" s="32">
        <f>CHOOSE('Dependency (hide)'!$G$19,INDEX('Reference dates (hide)'!$HR$43:$JY$98,'Dependency (hide)'!$G$20,ROW(C19)),INDEX('Reference dates (hide)'!$O$245:$AB$304,ROW(C19),'Dependency (hide)'!$G$20),INDEX('Reference dates (hide)'!$HR$96:$JY$96,ROW(C19)))</f>
        <v>0</v>
      </c>
      <c r="I161" s="152"/>
      <c r="J161" s="32">
        <f>CHOOSE('Dependency (hide)'!$G$19,INDEX('Reference dates (hide)'!$FD$43:$HK$98,'Dependency (hide)'!$G$20,ROW(E19)),INDEX('Reference dates (hide)'!$O$321:$AB$380,ROW(E19),'Dependency (hide)'!$G$20),INDEX('Reference dates (hide)'!$FD$96:$HK$96,ROW(E19)))</f>
        <v>0</v>
      </c>
      <c r="K161" s="297">
        <f>CHOOSE('Dependency (hide)'!$G$19,INDEX('Reference dates (hide)'!$KF$43:$MM$98,'Dependency (hide)'!$G$20,ROW(F19)),INDEX('Reference dates (hide)'!$O$382:$AB$441,ROW(F19),'Dependency (hide)'!$G$20),INDEX('Reference dates (hide)'!$KF$96:$MM$96,ROW(F19)))</f>
        <v>0</v>
      </c>
      <c r="L161" s="298"/>
      <c r="M161" s="298"/>
      <c r="N161" s="299"/>
    </row>
    <row r="162" spans="1:14" hidden="1" x14ac:dyDescent="0.25">
      <c r="A162" s="79">
        <f t="shared" si="0"/>
        <v>7</v>
      </c>
      <c r="B162" s="309"/>
      <c r="C162" s="310"/>
      <c r="D162" s="82" t="str">
        <f ca="1">IF(OFFSET('Control Sheet'!$I$45,$A162,MOD(ROW(A22),3),1,1)=0,"",OFFSET('Control Sheet'!$I$45,$A162,MOD(ROW(A22),3),1,1))</f>
        <v/>
      </c>
      <c r="E162" s="84">
        <f>CHOOSE('Dependency (hide)'!$G$19,INDEX('Reference dates (hide)'!$AB$43:$CI$98,'Dependency (hide)'!$G$20,ROW(A20)),INDEX('Reference dates (hide)'!$O$123:$AB$182,ROW(A20),'Dependency (hide)'!$G$20),INDEX('Reference dates (hide)'!$AB$96:$CI$96,ROW(A20)))</f>
        <v>0</v>
      </c>
      <c r="F162" s="32">
        <f>CHOOSE('Dependency (hide)'!$G$19,INDEX('Reference dates (hide)'!$CP$43:$EW$98,'Dependency (hide)'!$G$20,ROW(A20)),INDEX('Reference dates (hide)'!$O$184:$AB$243,ROW(A20),'Dependency (hide)'!$G$20),INDEX('Reference dates (hide)'!$CP$96:$EW$96,ROW(A20)))</f>
        <v>0</v>
      </c>
      <c r="G162" s="30"/>
      <c r="H162" s="32">
        <f>CHOOSE('Dependency (hide)'!$G$19,INDEX('Reference dates (hide)'!$HR$43:$JY$98,'Dependency (hide)'!$G$20,ROW(C20)),INDEX('Reference dates (hide)'!$O$245:$AB$304,ROW(C20),'Dependency (hide)'!$G$20),INDEX('Reference dates (hide)'!$HR$96:$JY$96,ROW(C20)))</f>
        <v>0</v>
      </c>
      <c r="I162" s="152"/>
      <c r="J162" s="32">
        <f>CHOOSE('Dependency (hide)'!$G$19,INDEX('Reference dates (hide)'!$FD$43:$HK$98,'Dependency (hide)'!$G$20,ROW(E20)),INDEX('Reference dates (hide)'!$O$321:$AB$380,ROW(E20),'Dependency (hide)'!$G$20),INDEX('Reference dates (hide)'!$FD$96:$HK$96,ROW(E20)))</f>
        <v>0</v>
      </c>
      <c r="K162" s="297">
        <f>CHOOSE('Dependency (hide)'!$G$19,INDEX('Reference dates (hide)'!$KF$43:$MM$98,'Dependency (hide)'!$G$20,ROW(F20)),INDEX('Reference dates (hide)'!$O$382:$AB$441,ROW(F20),'Dependency (hide)'!$G$20),INDEX('Reference dates (hide)'!$KF$96:$MM$96,ROW(F20)))</f>
        <v>0</v>
      </c>
      <c r="L162" s="298"/>
      <c r="M162" s="298"/>
      <c r="N162" s="299"/>
    </row>
    <row r="163" spans="1:14" hidden="1" x14ac:dyDescent="0.25">
      <c r="A163" s="79">
        <f t="shared" si="0"/>
        <v>7</v>
      </c>
      <c r="B163" s="311"/>
      <c r="C163" s="312"/>
      <c r="D163" s="38" t="str">
        <f ca="1">IF(OFFSET('Control Sheet'!$I$45,$A163,MOD(ROW(A23),3),1,1)=0,"",OFFSET('Control Sheet'!$I$45,$A163,MOD(ROW(A23),3),1,1))</f>
        <v/>
      </c>
      <c r="E163" s="32">
        <f>CHOOSE('Dependency (hide)'!$G$19,INDEX('Reference dates (hide)'!$AB$43:$CI$98,'Dependency (hide)'!$G$20,ROW(A21)),INDEX('Reference dates (hide)'!$O$123:$AB$182,ROW(A21),'Dependency (hide)'!$G$20),INDEX('Reference dates (hide)'!$AB$96:$CI$96,ROW(A21)))</f>
        <v>0</v>
      </c>
      <c r="F163" s="32">
        <f>CHOOSE('Dependency (hide)'!$G$19,INDEX('Reference dates (hide)'!$CP$43:$EW$98,'Dependency (hide)'!$G$20,ROW(A21)),INDEX('Reference dates (hide)'!$O$184:$AB$243,ROW(A21),'Dependency (hide)'!$G$20),INDEX('Reference dates (hide)'!$CP$96:$EW$96,ROW(A21)))</f>
        <v>0</v>
      </c>
      <c r="G163" s="30"/>
      <c r="H163" s="32">
        <f>CHOOSE('Dependency (hide)'!$G$19,INDEX('Reference dates (hide)'!$HR$43:$JY$98,'Dependency (hide)'!$G$20,ROW(C21)),INDEX('Reference dates (hide)'!$O$245:$AB$304,ROW(C21),'Dependency (hide)'!$G$20),INDEX('Reference dates (hide)'!$HR$96:$JY$96,ROW(C21)))</f>
        <v>0</v>
      </c>
      <c r="I163" s="152"/>
      <c r="J163" s="32">
        <f>CHOOSE('Dependency (hide)'!$G$19,INDEX('Reference dates (hide)'!$FD$43:$HK$98,'Dependency (hide)'!$G$20,ROW(E21)),INDEX('Reference dates (hide)'!$O$321:$AB$380,ROW(E21),'Dependency (hide)'!$G$20),INDEX('Reference dates (hide)'!$FD$96:$HK$96,ROW(E21)))</f>
        <v>0</v>
      </c>
      <c r="K163" s="297">
        <f>CHOOSE('Dependency (hide)'!$G$19,INDEX('Reference dates (hide)'!$KF$43:$MM$98,'Dependency (hide)'!$G$20,ROW(F21)),INDEX('Reference dates (hide)'!$O$382:$AB$441,ROW(F21),'Dependency (hide)'!$G$20),INDEX('Reference dates (hide)'!$KF$96:$MM$96,ROW(F21)))</f>
        <v>0</v>
      </c>
      <c r="L163" s="298"/>
      <c r="M163" s="298"/>
      <c r="N163" s="299"/>
    </row>
    <row r="164" spans="1:14" hidden="1" x14ac:dyDescent="0.25">
      <c r="A164" s="79">
        <f t="shared" si="0"/>
        <v>8</v>
      </c>
      <c r="B164" s="301" t="str">
        <f>'Data files'!A23</f>
        <v xml:space="preserve">8. </v>
      </c>
      <c r="C164" s="302"/>
      <c r="D164" s="83" t="str">
        <f ca="1">IF(OFFSET('Control Sheet'!$I$45,$A164,MOD(ROW(A24),3),1,1)=0,"",OFFSET('Control Sheet'!$I$45,$A164,MOD(ROW(A24),3),1,1))</f>
        <v>0</v>
      </c>
      <c r="E164" s="52">
        <f>CHOOSE('Dependency (hide)'!$G$19,INDEX('Reference dates (hide)'!$AB$43:$CI$98,'Dependency (hide)'!$G$20,ROW(A22)),INDEX('Reference dates (hide)'!$O$123:$AB$182,ROW(A22),'Dependency (hide)'!$G$20),INDEX('Reference dates (hide)'!$AB$96:$CI$96,ROW(A22)))</f>
        <v>0</v>
      </c>
      <c r="F164" s="52">
        <f>CHOOSE('Dependency (hide)'!$G$19,INDEX('Reference dates (hide)'!$CP$43:$EW$98,'Dependency (hide)'!$G$20,ROW(A22)),INDEX('Reference dates (hide)'!$O$184:$AB$243,ROW(A22),'Dependency (hide)'!$G$20),INDEX('Reference dates (hide)'!$CP$96:$EW$96,ROW(A22)))</f>
        <v>0</v>
      </c>
      <c r="G164" s="30"/>
      <c r="H164" s="52">
        <f>CHOOSE('Dependency (hide)'!$G$19,INDEX('Reference dates (hide)'!$HR$43:$JY$98,'Dependency (hide)'!$G$20,ROW(C22)),INDEX('Reference dates (hide)'!$O$245:$AB$304,ROW(C22),'Dependency (hide)'!$G$20),INDEX('Reference dates (hide)'!$HR$96:$JY$96,ROW(C22)))</f>
        <v>0</v>
      </c>
      <c r="I164" s="152"/>
      <c r="J164" s="52">
        <f>CHOOSE('Dependency (hide)'!$G$19,INDEX('Reference dates (hide)'!$FD$43:$HK$98,'Dependency (hide)'!$G$20,ROW(E22)),INDEX('Reference dates (hide)'!$O$321:$AB$380,ROW(E22),'Dependency (hide)'!$G$20),INDEX('Reference dates (hide)'!$FD$96:$HK$96,ROW(E22)))</f>
        <v>0</v>
      </c>
      <c r="K164" s="293">
        <f>CHOOSE('Dependency (hide)'!$G$19,INDEX('Reference dates (hide)'!$KF$43:$MM$98,'Dependency (hide)'!$G$20,ROW(F22)),INDEX('Reference dates (hide)'!$O$382:$AB$441,ROW(F22),'Dependency (hide)'!$G$20),INDEX('Reference dates (hide)'!$KF$96:$MM$96,ROW(F22)))</f>
        <v>0</v>
      </c>
      <c r="L164" s="294"/>
      <c r="M164" s="294"/>
      <c r="N164" s="295"/>
    </row>
    <row r="165" spans="1:14" hidden="1" x14ac:dyDescent="0.25">
      <c r="A165" s="79">
        <f t="shared" si="0"/>
        <v>8</v>
      </c>
      <c r="B165" s="303"/>
      <c r="C165" s="304"/>
      <c r="D165" s="83" t="str">
        <f ca="1">IF(OFFSET('Control Sheet'!$I$45,$A165,MOD(ROW(A25),3),1,1)=0,"",OFFSET('Control Sheet'!$I$45,$A165,MOD(ROW(A25),3),1,1))</f>
        <v/>
      </c>
      <c r="E165" s="52">
        <f>CHOOSE('Dependency (hide)'!$G$19,INDEX('Reference dates (hide)'!$AB$43:$CI$98,'Dependency (hide)'!$G$20,ROW(A23)),INDEX('Reference dates (hide)'!$O$123:$AB$182,ROW(A23),'Dependency (hide)'!$G$20),INDEX('Reference dates (hide)'!$AB$96:$CI$96,ROW(A23)))</f>
        <v>0</v>
      </c>
      <c r="F165" s="52">
        <f>CHOOSE('Dependency (hide)'!$G$19,INDEX('Reference dates (hide)'!$CP$43:$EW$98,'Dependency (hide)'!$G$20,ROW(A23)),INDEX('Reference dates (hide)'!$O$184:$AB$243,ROW(A23),'Dependency (hide)'!$G$20),INDEX('Reference dates (hide)'!$CP$96:$EW$96,ROW(A23)))</f>
        <v>0</v>
      </c>
      <c r="G165" s="30"/>
      <c r="H165" s="52">
        <f>CHOOSE('Dependency (hide)'!$G$19,INDEX('Reference dates (hide)'!$HR$43:$JY$98,'Dependency (hide)'!$G$20,ROW(C23)),INDEX('Reference dates (hide)'!$O$245:$AB$304,ROW(C23),'Dependency (hide)'!$G$20),INDEX('Reference dates (hide)'!$HR$96:$JY$96,ROW(C23)))</f>
        <v>0</v>
      </c>
      <c r="I165" s="152"/>
      <c r="J165" s="52">
        <f>CHOOSE('Dependency (hide)'!$G$19,INDEX('Reference dates (hide)'!$FD$43:$HK$98,'Dependency (hide)'!$G$20,ROW(E23)),INDEX('Reference dates (hide)'!$O$321:$AB$380,ROW(E23),'Dependency (hide)'!$G$20),INDEX('Reference dates (hide)'!$FD$96:$HK$96,ROW(E23)))</f>
        <v>0</v>
      </c>
      <c r="K165" s="293">
        <f>CHOOSE('Dependency (hide)'!$G$19,INDEX('Reference dates (hide)'!$KF$43:$MM$98,'Dependency (hide)'!$G$20,ROW(F23)),INDEX('Reference dates (hide)'!$O$382:$AB$441,ROW(F23),'Dependency (hide)'!$G$20),INDEX('Reference dates (hide)'!$KF$96:$MM$96,ROW(F23)))</f>
        <v>0</v>
      </c>
      <c r="L165" s="294"/>
      <c r="M165" s="294"/>
      <c r="N165" s="295"/>
    </row>
    <row r="166" spans="1:14" hidden="1" x14ac:dyDescent="0.25">
      <c r="A166" s="79">
        <f t="shared" si="0"/>
        <v>8</v>
      </c>
      <c r="B166" s="305"/>
      <c r="C166" s="306"/>
      <c r="D166" s="83" t="str">
        <f ca="1">IF(OFFSET('Control Sheet'!$I$45,$A166,MOD(ROW(A26),3),1,1)=0,"",OFFSET('Control Sheet'!$I$45,$A166,MOD(ROW(A26),3),1,1))</f>
        <v/>
      </c>
      <c r="E166" s="52">
        <f>CHOOSE('Dependency (hide)'!$G$19,INDEX('Reference dates (hide)'!$AB$43:$CI$98,'Dependency (hide)'!$G$20,ROW(A24)),INDEX('Reference dates (hide)'!$O$123:$AB$182,ROW(A24),'Dependency (hide)'!$G$20),INDEX('Reference dates (hide)'!$AB$96:$CI$96,ROW(A24)))</f>
        <v>0</v>
      </c>
      <c r="F166" s="52">
        <f>CHOOSE('Dependency (hide)'!$G$19,INDEX('Reference dates (hide)'!$CP$43:$EW$98,'Dependency (hide)'!$G$20,ROW(A24)),INDEX('Reference dates (hide)'!$O$184:$AB$243,ROW(A24),'Dependency (hide)'!$G$20),INDEX('Reference dates (hide)'!$CP$96:$EW$96,ROW(A24)))</f>
        <v>0</v>
      </c>
      <c r="G166" s="30"/>
      <c r="H166" s="52">
        <f>CHOOSE('Dependency (hide)'!$G$19,INDEX('Reference dates (hide)'!$HR$43:$JY$98,'Dependency (hide)'!$G$20,ROW(C24)),INDEX('Reference dates (hide)'!$O$245:$AB$304,ROW(C24),'Dependency (hide)'!$G$20),INDEX('Reference dates (hide)'!$HR$96:$JY$96,ROW(C24)))</f>
        <v>0</v>
      </c>
      <c r="I166" s="152"/>
      <c r="J166" s="52">
        <f>CHOOSE('Dependency (hide)'!$G$19,INDEX('Reference dates (hide)'!$FD$43:$HK$98,'Dependency (hide)'!$G$20,ROW(E24)),INDEX('Reference dates (hide)'!$O$321:$AB$380,ROW(E24),'Dependency (hide)'!$G$20),INDEX('Reference dates (hide)'!$FD$96:$HK$96,ROW(E24)))</f>
        <v>0</v>
      </c>
      <c r="K166" s="293">
        <f>CHOOSE('Dependency (hide)'!$G$19,INDEX('Reference dates (hide)'!$KF$43:$MM$98,'Dependency (hide)'!$G$20,ROW(F24)),INDEX('Reference dates (hide)'!$O$382:$AB$441,ROW(F24),'Dependency (hide)'!$G$20),INDEX('Reference dates (hide)'!$KF$96:$MM$96,ROW(F24)))</f>
        <v>0</v>
      </c>
      <c r="L166" s="294"/>
      <c r="M166" s="294"/>
      <c r="N166" s="295"/>
    </row>
    <row r="167" spans="1:14" hidden="1" x14ac:dyDescent="0.25">
      <c r="A167" s="79">
        <f t="shared" si="0"/>
        <v>9</v>
      </c>
      <c r="B167" s="307" t="str">
        <f>'Data files'!A24</f>
        <v xml:space="preserve">9. </v>
      </c>
      <c r="C167" s="308"/>
      <c r="D167" s="82" t="str">
        <f ca="1">IF(OFFSET('Control Sheet'!$I$45,$A167,MOD(ROW(A27),3),1,1)=0,"",OFFSET('Control Sheet'!$I$45,$A167,MOD(ROW(A27),3),1,1))</f>
        <v>0</v>
      </c>
      <c r="E167" s="84">
        <f>CHOOSE('Dependency (hide)'!$G$19,INDEX('Reference dates (hide)'!$AB$43:$CI$98,'Dependency (hide)'!$G$20,ROW(A25)),INDEX('Reference dates (hide)'!$O$123:$AB$182,ROW(A25),'Dependency (hide)'!$G$20),INDEX('Reference dates (hide)'!$AB$96:$CI$96,ROW(A25)))</f>
        <v>0</v>
      </c>
      <c r="F167" s="32">
        <f>CHOOSE('Dependency (hide)'!$G$19,INDEX('Reference dates (hide)'!$CP$43:$EW$98,'Dependency (hide)'!$G$20,ROW(A25)),INDEX('Reference dates (hide)'!$O$184:$AB$243,ROW(A25),'Dependency (hide)'!$G$20),INDEX('Reference dates (hide)'!$CP$96:$EW$96,ROW(A25)))</f>
        <v>0</v>
      </c>
      <c r="G167" s="30"/>
      <c r="H167" s="32">
        <f>CHOOSE('Dependency (hide)'!$G$19,INDEX('Reference dates (hide)'!$HR$43:$JY$98,'Dependency (hide)'!$G$20,ROW(C25)),INDEX('Reference dates (hide)'!$O$245:$AB$304,ROW(C25),'Dependency (hide)'!$G$20),INDEX('Reference dates (hide)'!$HR$96:$JY$96,ROW(C25)))</f>
        <v>0</v>
      </c>
      <c r="I167" s="152"/>
      <c r="J167" s="32">
        <f>CHOOSE('Dependency (hide)'!$G$19,INDEX('Reference dates (hide)'!$FD$43:$HK$98,'Dependency (hide)'!$G$20,ROW(E25)),INDEX('Reference dates (hide)'!$O$321:$AB$380,ROW(E25),'Dependency (hide)'!$G$20),INDEX('Reference dates (hide)'!$FD$96:$HK$96,ROW(E25)))</f>
        <v>0</v>
      </c>
      <c r="K167" s="297">
        <f>CHOOSE('Dependency (hide)'!$G$19,INDEX('Reference dates (hide)'!$KF$43:$MM$98,'Dependency (hide)'!$G$20,ROW(F25)),INDEX('Reference dates (hide)'!$O$382:$AB$441,ROW(F25),'Dependency (hide)'!$G$20),INDEX('Reference dates (hide)'!$KF$96:$MM$96,ROW(F25)))</f>
        <v>0</v>
      </c>
      <c r="L167" s="298"/>
      <c r="M167" s="298"/>
      <c r="N167" s="299"/>
    </row>
    <row r="168" spans="1:14" hidden="1" x14ac:dyDescent="0.25">
      <c r="A168" s="79">
        <f t="shared" si="0"/>
        <v>9</v>
      </c>
      <c r="B168" s="309"/>
      <c r="C168" s="310"/>
      <c r="D168" s="82" t="str">
        <f ca="1">IF(OFFSET('Control Sheet'!$I$45,$A168,MOD(ROW(A28),3),1,1)=0,"",OFFSET('Control Sheet'!$I$45,$A168,MOD(ROW(A28),3),1,1))</f>
        <v/>
      </c>
      <c r="E168" s="84">
        <f>CHOOSE('Dependency (hide)'!$G$19,INDEX('Reference dates (hide)'!$AB$43:$CI$98,'Dependency (hide)'!$G$20,ROW(A26)),INDEX('Reference dates (hide)'!$O$123:$AB$182,ROW(A26),'Dependency (hide)'!$G$20),INDEX('Reference dates (hide)'!$AB$96:$CI$96,ROW(A26)))</f>
        <v>0</v>
      </c>
      <c r="F168" s="32">
        <f>CHOOSE('Dependency (hide)'!$G$19,INDEX('Reference dates (hide)'!$CP$43:$EW$98,'Dependency (hide)'!$G$20,ROW(A26)),INDEX('Reference dates (hide)'!$O$184:$AB$243,ROW(A26),'Dependency (hide)'!$G$20),INDEX('Reference dates (hide)'!$CP$96:$EW$96,ROW(A26)))</f>
        <v>0</v>
      </c>
      <c r="G168" s="30"/>
      <c r="H168" s="32">
        <f>CHOOSE('Dependency (hide)'!$G$19,INDEX('Reference dates (hide)'!$HR$43:$JY$98,'Dependency (hide)'!$G$20,ROW(C26)),INDEX('Reference dates (hide)'!$O$245:$AB$304,ROW(C26),'Dependency (hide)'!$G$20),INDEX('Reference dates (hide)'!$HR$96:$JY$96,ROW(C26)))</f>
        <v>0</v>
      </c>
      <c r="I168" s="152"/>
      <c r="J168" s="32">
        <f>CHOOSE('Dependency (hide)'!$G$19,INDEX('Reference dates (hide)'!$FD$43:$HK$98,'Dependency (hide)'!$G$20,ROW(E26)),INDEX('Reference dates (hide)'!$O$321:$AB$380,ROW(E26),'Dependency (hide)'!$G$20),INDEX('Reference dates (hide)'!$FD$96:$HK$96,ROW(E26)))</f>
        <v>0</v>
      </c>
      <c r="K168" s="297">
        <f>CHOOSE('Dependency (hide)'!$G$19,INDEX('Reference dates (hide)'!$KF$43:$MM$98,'Dependency (hide)'!$G$20,ROW(F26)),INDEX('Reference dates (hide)'!$O$382:$AB$441,ROW(F26),'Dependency (hide)'!$G$20),INDEX('Reference dates (hide)'!$KF$96:$MM$96,ROW(F26)))</f>
        <v>0</v>
      </c>
      <c r="L168" s="298"/>
      <c r="M168" s="298"/>
      <c r="N168" s="299"/>
    </row>
    <row r="169" spans="1:14" hidden="1" x14ac:dyDescent="0.25">
      <c r="A169" s="79">
        <f t="shared" si="0"/>
        <v>9</v>
      </c>
      <c r="B169" s="311"/>
      <c r="C169" s="312"/>
      <c r="D169" s="38" t="str">
        <f ca="1">IF(OFFSET('Control Sheet'!$I$45,$A169,MOD(ROW(A29),3),1,1)=0,"",OFFSET('Control Sheet'!$I$45,$A169,MOD(ROW(A29),3),1,1))</f>
        <v/>
      </c>
      <c r="E169" s="32">
        <f>CHOOSE('Dependency (hide)'!$G$19,INDEX('Reference dates (hide)'!$AB$43:$CI$98,'Dependency (hide)'!$G$20,ROW(A27)),INDEX('Reference dates (hide)'!$O$123:$AB$182,ROW(A27),'Dependency (hide)'!$G$20),INDEX('Reference dates (hide)'!$AB$96:$CI$96,ROW(A27)))</f>
        <v>0</v>
      </c>
      <c r="F169" s="32">
        <f>CHOOSE('Dependency (hide)'!$G$19,INDEX('Reference dates (hide)'!$CP$43:$EW$98,'Dependency (hide)'!$G$20,ROW(A27)),INDEX('Reference dates (hide)'!$O$184:$AB$243,ROW(A27),'Dependency (hide)'!$G$20),INDEX('Reference dates (hide)'!$CP$96:$EW$96,ROW(A27)))</f>
        <v>0</v>
      </c>
      <c r="G169" s="30"/>
      <c r="H169" s="32">
        <f>CHOOSE('Dependency (hide)'!$G$19,INDEX('Reference dates (hide)'!$HR$43:$JY$98,'Dependency (hide)'!$G$20,ROW(C27)),INDEX('Reference dates (hide)'!$O$245:$AB$304,ROW(C27),'Dependency (hide)'!$G$20),INDEX('Reference dates (hide)'!$HR$96:$JY$96,ROW(C27)))</f>
        <v>0</v>
      </c>
      <c r="I169" s="152"/>
      <c r="J169" s="32">
        <f>CHOOSE('Dependency (hide)'!$G$19,INDEX('Reference dates (hide)'!$FD$43:$HK$98,'Dependency (hide)'!$G$20,ROW(E27)),INDEX('Reference dates (hide)'!$O$321:$AB$380,ROW(E27),'Dependency (hide)'!$G$20),INDEX('Reference dates (hide)'!$FD$96:$HK$96,ROW(E27)))</f>
        <v>0</v>
      </c>
      <c r="K169" s="297">
        <f>CHOOSE('Dependency (hide)'!$G$19,INDEX('Reference dates (hide)'!$KF$43:$MM$98,'Dependency (hide)'!$G$20,ROW(F27)),INDEX('Reference dates (hide)'!$O$382:$AB$441,ROW(F27),'Dependency (hide)'!$G$20),INDEX('Reference dates (hide)'!$KF$96:$MM$96,ROW(F27)))</f>
        <v>0</v>
      </c>
      <c r="L169" s="298"/>
      <c r="M169" s="298"/>
      <c r="N169" s="299"/>
    </row>
    <row r="170" spans="1:14" hidden="1" x14ac:dyDescent="0.25">
      <c r="A170" s="79">
        <f t="shared" si="0"/>
        <v>10</v>
      </c>
      <c r="B170" s="301" t="str">
        <f>'Data files'!A25</f>
        <v xml:space="preserve">10. </v>
      </c>
      <c r="C170" s="302"/>
      <c r="D170" s="83" t="str">
        <f ca="1">IF(OFFSET('Control Sheet'!$I$45,$A170,MOD(ROW(A30),3),1,1)=0,"",OFFSET('Control Sheet'!$I$45,$A170,MOD(ROW(A30),3),1,1))</f>
        <v>0</v>
      </c>
      <c r="E170" s="52">
        <f>CHOOSE('Dependency (hide)'!$G$19,INDEX('Reference dates (hide)'!$AB$43:$CI$98,'Dependency (hide)'!$G$20,ROW(A28)),INDEX('Reference dates (hide)'!$O$123:$AB$182,ROW(A28),'Dependency (hide)'!$G$20),INDEX('Reference dates (hide)'!$AB$96:$CI$96,ROW(A28)))</f>
        <v>0</v>
      </c>
      <c r="F170" s="52">
        <f>CHOOSE('Dependency (hide)'!$G$19,INDEX('Reference dates (hide)'!$CP$43:$EW$98,'Dependency (hide)'!$G$20,ROW(A28)),INDEX('Reference dates (hide)'!$O$184:$AB$243,ROW(A28),'Dependency (hide)'!$G$20),INDEX('Reference dates (hide)'!$CP$96:$EW$96,ROW(A28)))</f>
        <v>0</v>
      </c>
      <c r="G170" s="30"/>
      <c r="H170" s="52">
        <f>CHOOSE('Dependency (hide)'!$G$19,INDEX('Reference dates (hide)'!$HR$43:$JY$98,'Dependency (hide)'!$G$20,ROW(C28)),INDEX('Reference dates (hide)'!$O$245:$AB$304,ROW(C28),'Dependency (hide)'!$G$20),INDEX('Reference dates (hide)'!$HR$96:$JY$96,ROW(C28)))</f>
        <v>0</v>
      </c>
      <c r="I170" s="152"/>
      <c r="J170" s="52">
        <f>CHOOSE('Dependency (hide)'!$G$19,INDEX('Reference dates (hide)'!$FD$43:$HK$98,'Dependency (hide)'!$G$20,ROW(E28)),INDEX('Reference dates (hide)'!$O$321:$AB$380,ROW(E28),'Dependency (hide)'!$G$20),INDEX('Reference dates (hide)'!$FD$96:$HK$96,ROW(E28)))</f>
        <v>0</v>
      </c>
      <c r="K170" s="293">
        <f>CHOOSE('Dependency (hide)'!$G$19,INDEX('Reference dates (hide)'!$KF$43:$MM$98,'Dependency (hide)'!$G$20,ROW(F28)),INDEX('Reference dates (hide)'!$O$382:$AB$441,ROW(F28),'Dependency (hide)'!$G$20),INDEX('Reference dates (hide)'!$KF$96:$MM$96,ROW(F28)))</f>
        <v>0</v>
      </c>
      <c r="L170" s="294"/>
      <c r="M170" s="294"/>
      <c r="N170" s="295"/>
    </row>
    <row r="171" spans="1:14" hidden="1" x14ac:dyDescent="0.25">
      <c r="A171" s="79">
        <f t="shared" si="0"/>
        <v>10</v>
      </c>
      <c r="B171" s="303"/>
      <c r="C171" s="304"/>
      <c r="D171" s="83" t="str">
        <f ca="1">IF(OFFSET('Control Sheet'!$I$45,$A171,MOD(ROW(A31),3),1,1)=0,"",OFFSET('Control Sheet'!$I$45,$A171,MOD(ROW(A31),3),1,1))</f>
        <v/>
      </c>
      <c r="E171" s="52">
        <f>CHOOSE('Dependency (hide)'!$G$19,INDEX('Reference dates (hide)'!$AB$43:$CI$98,'Dependency (hide)'!$G$20,ROW(A29)),INDEX('Reference dates (hide)'!$O$123:$AB$182,ROW(A29),'Dependency (hide)'!$G$20),INDEX('Reference dates (hide)'!$AB$96:$CI$96,ROW(A29)))</f>
        <v>0</v>
      </c>
      <c r="F171" s="52">
        <f>CHOOSE('Dependency (hide)'!$G$19,INDEX('Reference dates (hide)'!$CP$43:$EW$98,'Dependency (hide)'!$G$20,ROW(A29)),INDEX('Reference dates (hide)'!$O$184:$AB$243,ROW(A29),'Dependency (hide)'!$G$20),INDEX('Reference dates (hide)'!$CP$96:$EW$96,ROW(A29)))</f>
        <v>0</v>
      </c>
      <c r="G171" s="30"/>
      <c r="H171" s="52">
        <f>CHOOSE('Dependency (hide)'!$G$19,INDEX('Reference dates (hide)'!$HR$43:$JY$98,'Dependency (hide)'!$G$20,ROW(C29)),INDEX('Reference dates (hide)'!$O$245:$AB$304,ROW(C29),'Dependency (hide)'!$G$20),INDEX('Reference dates (hide)'!$HR$96:$JY$96,ROW(C29)))</f>
        <v>0</v>
      </c>
      <c r="I171" s="152"/>
      <c r="J171" s="52">
        <f>CHOOSE('Dependency (hide)'!$G$19,INDEX('Reference dates (hide)'!$FD$43:$HK$98,'Dependency (hide)'!$G$20,ROW(E29)),INDEX('Reference dates (hide)'!$O$321:$AB$380,ROW(E29),'Dependency (hide)'!$G$20),INDEX('Reference dates (hide)'!$FD$96:$HK$96,ROW(E29)))</f>
        <v>0</v>
      </c>
      <c r="K171" s="293">
        <f>CHOOSE('Dependency (hide)'!$G$19,INDEX('Reference dates (hide)'!$KF$43:$MM$98,'Dependency (hide)'!$G$20,ROW(F29)),INDEX('Reference dates (hide)'!$O$382:$AB$441,ROW(F29),'Dependency (hide)'!$G$20),INDEX('Reference dates (hide)'!$KF$96:$MM$96,ROW(F29)))</f>
        <v>0</v>
      </c>
      <c r="L171" s="294"/>
      <c r="M171" s="294"/>
      <c r="N171" s="295"/>
    </row>
    <row r="172" spans="1:14" hidden="1" x14ac:dyDescent="0.25">
      <c r="A172" s="79">
        <f t="shared" si="0"/>
        <v>10</v>
      </c>
      <c r="B172" s="305"/>
      <c r="C172" s="306"/>
      <c r="D172" s="83" t="str">
        <f ca="1">IF(OFFSET('Control Sheet'!$I$45,$A172,MOD(ROW(A32),3),1,1)=0,"",OFFSET('Control Sheet'!$I$45,$A172,MOD(ROW(A32),3),1,1))</f>
        <v/>
      </c>
      <c r="E172" s="52">
        <f>CHOOSE('Dependency (hide)'!$G$19,INDEX('Reference dates (hide)'!$AB$43:$CI$98,'Dependency (hide)'!$G$20,ROW(A30)),INDEX('Reference dates (hide)'!$O$123:$AB$182,ROW(A30),'Dependency (hide)'!$G$20),INDEX('Reference dates (hide)'!$AB$96:$CI$96,ROW(A30)))</f>
        <v>0</v>
      </c>
      <c r="F172" s="52">
        <f>CHOOSE('Dependency (hide)'!$G$19,INDEX('Reference dates (hide)'!$CP$43:$EW$98,'Dependency (hide)'!$G$20,ROW(A30)),INDEX('Reference dates (hide)'!$O$184:$AB$243,ROW(A30),'Dependency (hide)'!$G$20),INDEX('Reference dates (hide)'!$CP$96:$EW$96,ROW(A30)))</f>
        <v>0</v>
      </c>
      <c r="G172" s="30"/>
      <c r="H172" s="52">
        <f>CHOOSE('Dependency (hide)'!$G$19,INDEX('Reference dates (hide)'!$HR$43:$JY$98,'Dependency (hide)'!$G$20,ROW(C30)),INDEX('Reference dates (hide)'!$O$245:$AB$304,ROW(C30),'Dependency (hide)'!$G$20),INDEX('Reference dates (hide)'!$HR$96:$JY$96,ROW(C30)))</f>
        <v>0</v>
      </c>
      <c r="I172" s="152"/>
      <c r="J172" s="52">
        <f>CHOOSE('Dependency (hide)'!$G$19,INDEX('Reference dates (hide)'!$FD$43:$HK$98,'Dependency (hide)'!$G$20,ROW(E30)),INDEX('Reference dates (hide)'!$O$321:$AB$380,ROW(E30),'Dependency (hide)'!$G$20),INDEX('Reference dates (hide)'!$FD$96:$HK$96,ROW(E30)))</f>
        <v>0</v>
      </c>
      <c r="K172" s="293">
        <f>CHOOSE('Dependency (hide)'!$G$19,INDEX('Reference dates (hide)'!$KF$43:$MM$98,'Dependency (hide)'!$G$20,ROW(F30)),INDEX('Reference dates (hide)'!$O$382:$AB$441,ROW(F30),'Dependency (hide)'!$G$20),INDEX('Reference dates (hide)'!$KF$96:$MM$96,ROW(F30)))</f>
        <v>0</v>
      </c>
      <c r="L172" s="294"/>
      <c r="M172" s="294"/>
      <c r="N172" s="295"/>
    </row>
    <row r="173" spans="1:14" hidden="1" x14ac:dyDescent="0.25">
      <c r="A173" s="79">
        <f t="shared" si="0"/>
        <v>11</v>
      </c>
      <c r="B173" s="307" t="str">
        <f>'Data files'!A26</f>
        <v xml:space="preserve">11. </v>
      </c>
      <c r="C173" s="308"/>
      <c r="D173" s="82" t="str">
        <f ca="1">IF(OFFSET('Control Sheet'!$I$45,$A173,MOD(ROW(A33),3),1,1)=0,"",OFFSET('Control Sheet'!$I$45,$A173,MOD(ROW(A33),3),1,1))</f>
        <v>0</v>
      </c>
      <c r="E173" s="84">
        <f>CHOOSE('Dependency (hide)'!$G$19,INDEX('Reference dates (hide)'!$AB$43:$CI$98,'Dependency (hide)'!$G$20,ROW(A31)),INDEX('Reference dates (hide)'!$O$123:$AB$182,ROW(A31),'Dependency (hide)'!$G$20),INDEX('Reference dates (hide)'!$AB$96:$CI$96,ROW(A31)))</f>
        <v>0</v>
      </c>
      <c r="F173" s="32">
        <f>CHOOSE('Dependency (hide)'!$G$19,INDEX('Reference dates (hide)'!$CP$43:$EW$98,'Dependency (hide)'!$G$20,ROW(A31)),INDEX('Reference dates (hide)'!$O$184:$AB$243,ROW(A31),'Dependency (hide)'!$G$20),INDEX('Reference dates (hide)'!$CP$96:$EW$96,ROW(A31)))</f>
        <v>0</v>
      </c>
      <c r="G173" s="30"/>
      <c r="H173" s="32">
        <f>CHOOSE('Dependency (hide)'!$G$19,INDEX('Reference dates (hide)'!$HR$43:$JY$98,'Dependency (hide)'!$G$20,ROW(C31)),INDEX('Reference dates (hide)'!$O$245:$AB$304,ROW(C31),'Dependency (hide)'!$G$20),INDEX('Reference dates (hide)'!$HR$96:$JY$96,ROW(C31)))</f>
        <v>0</v>
      </c>
      <c r="I173" s="152"/>
      <c r="J173" s="32">
        <f>CHOOSE('Dependency (hide)'!$G$19,INDEX('Reference dates (hide)'!$FD$43:$HK$98,'Dependency (hide)'!$G$20,ROW(E31)),INDEX('Reference dates (hide)'!$O$321:$AB$380,ROW(E31),'Dependency (hide)'!$G$20),INDEX('Reference dates (hide)'!$FD$96:$HK$96,ROW(E31)))</f>
        <v>0</v>
      </c>
      <c r="K173" s="297">
        <f>CHOOSE('Dependency (hide)'!$G$19,INDEX('Reference dates (hide)'!$KF$43:$MM$98,'Dependency (hide)'!$G$20,ROW(F31)),INDEX('Reference dates (hide)'!$O$382:$AB$441,ROW(F31),'Dependency (hide)'!$G$20),INDEX('Reference dates (hide)'!$KF$96:$MM$96,ROW(F31)))</f>
        <v>0</v>
      </c>
      <c r="L173" s="298"/>
      <c r="M173" s="298"/>
      <c r="N173" s="299"/>
    </row>
    <row r="174" spans="1:14" hidden="1" x14ac:dyDescent="0.25">
      <c r="A174" s="79">
        <f t="shared" si="0"/>
        <v>11</v>
      </c>
      <c r="B174" s="309"/>
      <c r="C174" s="310"/>
      <c r="D174" s="82" t="str">
        <f ca="1">IF(OFFSET('Control Sheet'!$I$45,$A174,MOD(ROW(A34),3),1,1)=0,"",OFFSET('Control Sheet'!$I$45,$A174,MOD(ROW(A34),3),1,1))</f>
        <v/>
      </c>
      <c r="E174" s="84">
        <f>CHOOSE('Dependency (hide)'!$G$19,INDEX('Reference dates (hide)'!$AB$43:$CI$98,'Dependency (hide)'!$G$20,ROW(A32)),INDEX('Reference dates (hide)'!$O$123:$AB$182,ROW(A32),'Dependency (hide)'!$G$20),INDEX('Reference dates (hide)'!$AB$96:$CI$96,ROW(A32)))</f>
        <v>0</v>
      </c>
      <c r="F174" s="32">
        <f>CHOOSE('Dependency (hide)'!$G$19,INDEX('Reference dates (hide)'!$CP$43:$EW$98,'Dependency (hide)'!$G$20,ROW(A32)),INDEX('Reference dates (hide)'!$O$184:$AB$243,ROW(A32),'Dependency (hide)'!$G$20),INDEX('Reference dates (hide)'!$CP$96:$EW$96,ROW(A32)))</f>
        <v>0</v>
      </c>
      <c r="G174" s="30"/>
      <c r="H174" s="32">
        <f>CHOOSE('Dependency (hide)'!$G$19,INDEX('Reference dates (hide)'!$HR$43:$JY$98,'Dependency (hide)'!$G$20,ROW(C32)),INDEX('Reference dates (hide)'!$O$245:$AB$304,ROW(C32),'Dependency (hide)'!$G$20),INDEX('Reference dates (hide)'!$HR$96:$JY$96,ROW(C32)))</f>
        <v>0</v>
      </c>
      <c r="I174" s="152"/>
      <c r="J174" s="32">
        <f>CHOOSE('Dependency (hide)'!$G$19,INDEX('Reference dates (hide)'!$FD$43:$HK$98,'Dependency (hide)'!$G$20,ROW(E32)),INDEX('Reference dates (hide)'!$O$321:$AB$380,ROW(E32),'Dependency (hide)'!$G$20),INDEX('Reference dates (hide)'!$FD$96:$HK$96,ROW(E32)))</f>
        <v>0</v>
      </c>
      <c r="K174" s="297">
        <f>CHOOSE('Dependency (hide)'!$G$19,INDEX('Reference dates (hide)'!$KF$43:$MM$98,'Dependency (hide)'!$G$20,ROW(F32)),INDEX('Reference dates (hide)'!$O$382:$AB$441,ROW(F32),'Dependency (hide)'!$G$20),INDEX('Reference dates (hide)'!$KF$96:$MM$96,ROW(F32)))</f>
        <v>0</v>
      </c>
      <c r="L174" s="298"/>
      <c r="M174" s="298"/>
      <c r="N174" s="299"/>
    </row>
    <row r="175" spans="1:14" hidden="1" x14ac:dyDescent="0.25">
      <c r="A175" s="79">
        <f t="shared" si="0"/>
        <v>11</v>
      </c>
      <c r="B175" s="311"/>
      <c r="C175" s="312"/>
      <c r="D175" s="38" t="str">
        <f ca="1">IF(OFFSET('Control Sheet'!$I$45,$A175,MOD(ROW(A35),3),1,1)=0,"",OFFSET('Control Sheet'!$I$45,$A175,MOD(ROW(A35),3),1,1))</f>
        <v/>
      </c>
      <c r="E175" s="32">
        <f>CHOOSE('Dependency (hide)'!$G$19,INDEX('Reference dates (hide)'!$AB$43:$CI$98,'Dependency (hide)'!$G$20,ROW(A33)),INDEX('Reference dates (hide)'!$O$123:$AB$182,ROW(A33),'Dependency (hide)'!$G$20),INDEX('Reference dates (hide)'!$AB$96:$CI$96,ROW(A33)))</f>
        <v>0</v>
      </c>
      <c r="F175" s="32">
        <f>CHOOSE('Dependency (hide)'!$G$19,INDEX('Reference dates (hide)'!$CP$43:$EW$98,'Dependency (hide)'!$G$20,ROW(A33)),INDEX('Reference dates (hide)'!$O$184:$AB$243,ROW(A33),'Dependency (hide)'!$G$20),INDEX('Reference dates (hide)'!$CP$96:$EW$96,ROW(A33)))</f>
        <v>0</v>
      </c>
      <c r="G175" s="30"/>
      <c r="H175" s="32">
        <f>CHOOSE('Dependency (hide)'!$G$19,INDEX('Reference dates (hide)'!$HR$43:$JY$98,'Dependency (hide)'!$G$20,ROW(C33)),INDEX('Reference dates (hide)'!$O$245:$AB$304,ROW(C33),'Dependency (hide)'!$G$20),INDEX('Reference dates (hide)'!$HR$96:$JY$96,ROW(C33)))</f>
        <v>0</v>
      </c>
      <c r="I175" s="152"/>
      <c r="J175" s="32">
        <f>CHOOSE('Dependency (hide)'!$G$19,INDEX('Reference dates (hide)'!$FD$43:$HK$98,'Dependency (hide)'!$G$20,ROW(E33)),INDEX('Reference dates (hide)'!$O$321:$AB$380,ROW(E33),'Dependency (hide)'!$G$20),INDEX('Reference dates (hide)'!$FD$96:$HK$96,ROW(E33)))</f>
        <v>0</v>
      </c>
      <c r="K175" s="297">
        <f>CHOOSE('Dependency (hide)'!$G$19,INDEX('Reference dates (hide)'!$KF$43:$MM$98,'Dependency (hide)'!$G$20,ROW(F33)),INDEX('Reference dates (hide)'!$O$382:$AB$441,ROW(F33),'Dependency (hide)'!$G$20),INDEX('Reference dates (hide)'!$KF$96:$MM$96,ROW(F33)))</f>
        <v>0</v>
      </c>
      <c r="L175" s="298"/>
      <c r="M175" s="298"/>
      <c r="N175" s="299"/>
    </row>
    <row r="176" spans="1:14" hidden="1" x14ac:dyDescent="0.25">
      <c r="A176" s="79">
        <f t="shared" si="0"/>
        <v>12</v>
      </c>
      <c r="B176" s="301" t="str">
        <f>'Data files'!A27</f>
        <v xml:space="preserve">12. </v>
      </c>
      <c r="C176" s="302"/>
      <c r="D176" s="83" t="str">
        <f ca="1">IF(OFFSET('Control Sheet'!$I$45,$A176,MOD(ROW(A36),3),1,1)=0,"",OFFSET('Control Sheet'!$I$45,$A176,MOD(ROW(A36),3),1,1))</f>
        <v>0</v>
      </c>
      <c r="E176" s="52">
        <f>CHOOSE('Dependency (hide)'!$G$19,INDEX('Reference dates (hide)'!$AB$43:$CI$98,'Dependency (hide)'!$G$20,ROW(A34)),INDEX('Reference dates (hide)'!$O$123:$AB$182,ROW(A34),'Dependency (hide)'!$G$20),INDEX('Reference dates (hide)'!$AB$96:$CI$96,ROW(A34)))</f>
        <v>0</v>
      </c>
      <c r="F176" s="52">
        <f>CHOOSE('Dependency (hide)'!$G$19,INDEX('Reference dates (hide)'!$CP$43:$EW$98,'Dependency (hide)'!$G$20,ROW(A34)),INDEX('Reference dates (hide)'!$O$184:$AB$243,ROW(A34),'Dependency (hide)'!$G$20),INDEX('Reference dates (hide)'!$CP$96:$EW$96,ROW(A34)))</f>
        <v>0</v>
      </c>
      <c r="G176" s="30"/>
      <c r="H176" s="52">
        <f>CHOOSE('Dependency (hide)'!$G$19,INDEX('Reference dates (hide)'!$HR$43:$JY$98,'Dependency (hide)'!$G$20,ROW(C34)),INDEX('Reference dates (hide)'!$O$245:$AB$304,ROW(C34),'Dependency (hide)'!$G$20),INDEX('Reference dates (hide)'!$HR$96:$JY$96,ROW(C34)))</f>
        <v>0</v>
      </c>
      <c r="I176" s="152"/>
      <c r="J176" s="52">
        <f>CHOOSE('Dependency (hide)'!$G$19,INDEX('Reference dates (hide)'!$FD$43:$HK$98,'Dependency (hide)'!$G$20,ROW(E34)),INDEX('Reference dates (hide)'!$O$321:$AB$380,ROW(E34),'Dependency (hide)'!$G$20),INDEX('Reference dates (hide)'!$FD$96:$HK$96,ROW(E34)))</f>
        <v>0</v>
      </c>
      <c r="K176" s="293">
        <f>CHOOSE('Dependency (hide)'!$G$19,INDEX('Reference dates (hide)'!$KF$43:$MM$98,'Dependency (hide)'!$G$20,ROW(F34)),INDEX('Reference dates (hide)'!$O$382:$AB$441,ROW(F34),'Dependency (hide)'!$G$20),INDEX('Reference dates (hide)'!$KF$96:$MM$96,ROW(F34)))</f>
        <v>0</v>
      </c>
      <c r="L176" s="294"/>
      <c r="M176" s="294"/>
      <c r="N176" s="295"/>
    </row>
    <row r="177" spans="1:14" hidden="1" x14ac:dyDescent="0.25">
      <c r="A177" s="79">
        <f t="shared" si="0"/>
        <v>12</v>
      </c>
      <c r="B177" s="303"/>
      <c r="C177" s="304"/>
      <c r="D177" s="83" t="str">
        <f ca="1">IF(OFFSET('Control Sheet'!$I$45,$A177,MOD(ROW(A37),3),1,1)=0,"",OFFSET('Control Sheet'!$I$45,$A177,MOD(ROW(A37),3),1,1))</f>
        <v/>
      </c>
      <c r="E177" s="52">
        <f>CHOOSE('Dependency (hide)'!$G$19,INDEX('Reference dates (hide)'!$AB$43:$CI$98,'Dependency (hide)'!$G$20,ROW(A35)),INDEX('Reference dates (hide)'!$O$123:$AB$182,ROW(A35),'Dependency (hide)'!$G$20),INDEX('Reference dates (hide)'!$AB$96:$CI$96,ROW(A35)))</f>
        <v>0</v>
      </c>
      <c r="F177" s="52">
        <f>CHOOSE('Dependency (hide)'!$G$19,INDEX('Reference dates (hide)'!$CP$43:$EW$98,'Dependency (hide)'!$G$20,ROW(A35)),INDEX('Reference dates (hide)'!$O$184:$AB$243,ROW(A35),'Dependency (hide)'!$G$20),INDEX('Reference dates (hide)'!$CP$96:$EW$96,ROW(A35)))</f>
        <v>0</v>
      </c>
      <c r="G177" s="30"/>
      <c r="H177" s="52">
        <f>CHOOSE('Dependency (hide)'!$G$19,INDEX('Reference dates (hide)'!$HR$43:$JY$98,'Dependency (hide)'!$G$20,ROW(C35)),INDEX('Reference dates (hide)'!$O$245:$AB$304,ROW(C35),'Dependency (hide)'!$G$20),INDEX('Reference dates (hide)'!$HR$96:$JY$96,ROW(C35)))</f>
        <v>0</v>
      </c>
      <c r="I177" s="152"/>
      <c r="J177" s="52">
        <f>CHOOSE('Dependency (hide)'!$G$19,INDEX('Reference dates (hide)'!$FD$43:$HK$98,'Dependency (hide)'!$G$20,ROW(E35)),INDEX('Reference dates (hide)'!$O$321:$AB$380,ROW(E35),'Dependency (hide)'!$G$20),INDEX('Reference dates (hide)'!$FD$96:$HK$96,ROW(E35)))</f>
        <v>0</v>
      </c>
      <c r="K177" s="293">
        <f>CHOOSE('Dependency (hide)'!$G$19,INDEX('Reference dates (hide)'!$KF$43:$MM$98,'Dependency (hide)'!$G$20,ROW(F35)),INDEX('Reference dates (hide)'!$O$382:$AB$441,ROW(F35),'Dependency (hide)'!$G$20),INDEX('Reference dates (hide)'!$KF$96:$MM$96,ROW(F35)))</f>
        <v>0</v>
      </c>
      <c r="L177" s="294"/>
      <c r="M177" s="294"/>
      <c r="N177" s="295"/>
    </row>
    <row r="178" spans="1:14" hidden="1" x14ac:dyDescent="0.25">
      <c r="A178" s="79">
        <f t="shared" si="0"/>
        <v>12</v>
      </c>
      <c r="B178" s="305"/>
      <c r="C178" s="306"/>
      <c r="D178" s="83" t="str">
        <f ca="1">IF(OFFSET('Control Sheet'!$I$45,$A178,MOD(ROW(A38),3),1,1)=0,"",OFFSET('Control Sheet'!$I$45,$A178,MOD(ROW(A38),3),1,1))</f>
        <v/>
      </c>
      <c r="E178" s="52">
        <f>CHOOSE('Dependency (hide)'!$G$19,INDEX('Reference dates (hide)'!$AB$43:$CI$98,'Dependency (hide)'!$G$20,ROW(A36)),INDEX('Reference dates (hide)'!$O$123:$AB$182,ROW(A36),'Dependency (hide)'!$G$20),INDEX('Reference dates (hide)'!$AB$96:$CI$96,ROW(A36)))</f>
        <v>0</v>
      </c>
      <c r="F178" s="52">
        <f>CHOOSE('Dependency (hide)'!$G$19,INDEX('Reference dates (hide)'!$CP$43:$EW$98,'Dependency (hide)'!$G$20,ROW(A36)),INDEX('Reference dates (hide)'!$O$184:$AB$243,ROW(A36),'Dependency (hide)'!$G$20),INDEX('Reference dates (hide)'!$CP$96:$EW$96,ROW(A36)))</f>
        <v>0</v>
      </c>
      <c r="G178" s="30"/>
      <c r="H178" s="52">
        <f>CHOOSE('Dependency (hide)'!$G$19,INDEX('Reference dates (hide)'!$HR$43:$JY$98,'Dependency (hide)'!$G$20,ROW(C36)),INDEX('Reference dates (hide)'!$O$245:$AB$304,ROW(C36),'Dependency (hide)'!$G$20),INDEX('Reference dates (hide)'!$HR$96:$JY$96,ROW(C36)))</f>
        <v>0</v>
      </c>
      <c r="I178" s="152"/>
      <c r="J178" s="52">
        <f>CHOOSE('Dependency (hide)'!$G$19,INDEX('Reference dates (hide)'!$FD$43:$HK$98,'Dependency (hide)'!$G$20,ROW(E36)),INDEX('Reference dates (hide)'!$O$321:$AB$380,ROW(E36),'Dependency (hide)'!$G$20),INDEX('Reference dates (hide)'!$FD$96:$HK$96,ROW(E36)))</f>
        <v>0</v>
      </c>
      <c r="K178" s="293">
        <f>CHOOSE('Dependency (hide)'!$G$19,INDEX('Reference dates (hide)'!$KF$43:$MM$98,'Dependency (hide)'!$G$20,ROW(F36)),INDEX('Reference dates (hide)'!$O$382:$AB$441,ROW(F36),'Dependency (hide)'!$G$20),INDEX('Reference dates (hide)'!$KF$96:$MM$96,ROW(F36)))</f>
        <v>0</v>
      </c>
      <c r="L178" s="294"/>
      <c r="M178" s="294"/>
      <c r="N178" s="295"/>
    </row>
    <row r="179" spans="1:14" hidden="1" x14ac:dyDescent="0.25">
      <c r="A179" s="79">
        <f t="shared" si="0"/>
        <v>13</v>
      </c>
      <c r="B179" s="307" t="str">
        <f>'Data files'!A28</f>
        <v xml:space="preserve">13. </v>
      </c>
      <c r="C179" s="308"/>
      <c r="D179" s="82" t="str">
        <f ca="1">IF(OFFSET('Control Sheet'!$I$45,$A179,MOD(ROW(A39),3),1,1)=0,"",OFFSET('Control Sheet'!$I$45,$A179,MOD(ROW(A39),3),1,1))</f>
        <v>0</v>
      </c>
      <c r="E179" s="84">
        <f>CHOOSE('Dependency (hide)'!$G$19,INDEX('Reference dates (hide)'!$AB$43:$CI$98,'Dependency (hide)'!$G$20,ROW(A37)),INDEX('Reference dates (hide)'!$O$123:$AB$182,ROW(A37),'Dependency (hide)'!$G$20),INDEX('Reference dates (hide)'!$AB$96:$CI$96,ROW(A37)))</f>
        <v>0</v>
      </c>
      <c r="F179" s="32">
        <f>CHOOSE('Dependency (hide)'!$G$19,INDEX('Reference dates (hide)'!$CP$43:$EW$98,'Dependency (hide)'!$G$20,ROW(A37)),INDEX('Reference dates (hide)'!$O$184:$AB$243,ROW(A37),'Dependency (hide)'!$G$20),INDEX('Reference dates (hide)'!$CP$96:$EW$96,ROW(A37)))</f>
        <v>0</v>
      </c>
      <c r="G179" s="30"/>
      <c r="H179" s="32">
        <f>CHOOSE('Dependency (hide)'!$G$19,INDEX('Reference dates (hide)'!$HR$43:$JY$98,'Dependency (hide)'!$G$20,ROW(C37)),INDEX('Reference dates (hide)'!$O$245:$AB$304,ROW(C37),'Dependency (hide)'!$G$20),INDEX('Reference dates (hide)'!$HR$96:$JY$96,ROW(C37)))</f>
        <v>0</v>
      </c>
      <c r="I179" s="152"/>
      <c r="J179" s="32">
        <f>CHOOSE('Dependency (hide)'!$G$19,INDEX('Reference dates (hide)'!$FD$43:$HK$98,'Dependency (hide)'!$G$20,ROW(E37)),INDEX('Reference dates (hide)'!$O$321:$AB$380,ROW(E37),'Dependency (hide)'!$G$20),INDEX('Reference dates (hide)'!$FD$96:$HK$96,ROW(E37)))</f>
        <v>0</v>
      </c>
      <c r="K179" s="297">
        <f>CHOOSE('Dependency (hide)'!$G$19,INDEX('Reference dates (hide)'!$KF$43:$MM$98,'Dependency (hide)'!$G$20,ROW(F37)),INDEX('Reference dates (hide)'!$O$382:$AB$441,ROW(F37),'Dependency (hide)'!$G$20),INDEX('Reference dates (hide)'!$KF$96:$MM$96,ROW(F37)))</f>
        <v>0</v>
      </c>
      <c r="L179" s="298"/>
      <c r="M179" s="298"/>
      <c r="N179" s="299"/>
    </row>
    <row r="180" spans="1:14" hidden="1" x14ac:dyDescent="0.25">
      <c r="A180" s="79">
        <f t="shared" si="0"/>
        <v>13</v>
      </c>
      <c r="B180" s="309"/>
      <c r="C180" s="310"/>
      <c r="D180" s="82" t="str">
        <f ca="1">IF(OFFSET('Control Sheet'!$I$45,$A180,MOD(ROW(A40),3),1,1)=0,"",OFFSET('Control Sheet'!$I$45,$A180,MOD(ROW(A40),3),1,1))</f>
        <v/>
      </c>
      <c r="E180" s="84">
        <f>CHOOSE('Dependency (hide)'!$G$19,INDEX('Reference dates (hide)'!$AB$43:$CI$98,'Dependency (hide)'!$G$20,ROW(A38)),INDEX('Reference dates (hide)'!$O$123:$AB$182,ROW(A38),'Dependency (hide)'!$G$20),INDEX('Reference dates (hide)'!$AB$96:$CI$96,ROW(A38)))</f>
        <v>0</v>
      </c>
      <c r="F180" s="32">
        <f>CHOOSE('Dependency (hide)'!$G$19,INDEX('Reference dates (hide)'!$CP$43:$EW$98,'Dependency (hide)'!$G$20,ROW(A38)),INDEX('Reference dates (hide)'!$O$184:$AB$243,ROW(A38),'Dependency (hide)'!$G$20),INDEX('Reference dates (hide)'!$CP$96:$EW$96,ROW(A38)))</f>
        <v>0</v>
      </c>
      <c r="G180" s="30"/>
      <c r="H180" s="32">
        <f>CHOOSE('Dependency (hide)'!$G$19,INDEX('Reference dates (hide)'!$HR$43:$JY$98,'Dependency (hide)'!$G$20,ROW(C38)),INDEX('Reference dates (hide)'!$O$245:$AB$304,ROW(C38),'Dependency (hide)'!$G$20),INDEX('Reference dates (hide)'!$HR$96:$JY$96,ROW(C38)))</f>
        <v>0</v>
      </c>
      <c r="I180" s="152"/>
      <c r="J180" s="32">
        <f>CHOOSE('Dependency (hide)'!$G$19,INDEX('Reference dates (hide)'!$FD$43:$HK$98,'Dependency (hide)'!$G$20,ROW(E38)),INDEX('Reference dates (hide)'!$O$321:$AB$380,ROW(E38),'Dependency (hide)'!$G$20),INDEX('Reference dates (hide)'!$FD$96:$HK$96,ROW(E38)))</f>
        <v>0</v>
      </c>
      <c r="K180" s="297">
        <f>CHOOSE('Dependency (hide)'!$G$19,INDEX('Reference dates (hide)'!$KF$43:$MM$98,'Dependency (hide)'!$G$20,ROW(F38)),INDEX('Reference dates (hide)'!$O$382:$AB$441,ROW(F38),'Dependency (hide)'!$G$20),INDEX('Reference dates (hide)'!$KF$96:$MM$96,ROW(F38)))</f>
        <v>0</v>
      </c>
      <c r="L180" s="298"/>
      <c r="M180" s="298"/>
      <c r="N180" s="299"/>
    </row>
    <row r="181" spans="1:14" hidden="1" x14ac:dyDescent="0.25">
      <c r="A181" s="79">
        <f t="shared" si="0"/>
        <v>13</v>
      </c>
      <c r="B181" s="311"/>
      <c r="C181" s="312"/>
      <c r="D181" s="38" t="str">
        <f ca="1">IF(OFFSET('Control Sheet'!$I$45,$A181,MOD(ROW(A41),3),1,1)=0,"",OFFSET('Control Sheet'!$I$45,$A181,MOD(ROW(A41),3),1,1))</f>
        <v/>
      </c>
      <c r="E181" s="32">
        <f>CHOOSE('Dependency (hide)'!$G$19,INDEX('Reference dates (hide)'!$AB$43:$CI$98,'Dependency (hide)'!$G$20,ROW(A39)),INDEX('Reference dates (hide)'!$O$123:$AB$182,ROW(A39),'Dependency (hide)'!$G$20),INDEX('Reference dates (hide)'!$AB$96:$CI$96,ROW(A39)))</f>
        <v>0</v>
      </c>
      <c r="F181" s="32">
        <f>CHOOSE('Dependency (hide)'!$G$19,INDEX('Reference dates (hide)'!$CP$43:$EW$98,'Dependency (hide)'!$G$20,ROW(A39)),INDEX('Reference dates (hide)'!$O$184:$AB$243,ROW(A39),'Dependency (hide)'!$G$20),INDEX('Reference dates (hide)'!$CP$96:$EW$96,ROW(A39)))</f>
        <v>0</v>
      </c>
      <c r="G181" s="30"/>
      <c r="H181" s="32">
        <f>CHOOSE('Dependency (hide)'!$G$19,INDEX('Reference dates (hide)'!$HR$43:$JY$98,'Dependency (hide)'!$G$20,ROW(C39)),INDEX('Reference dates (hide)'!$O$245:$AB$304,ROW(C39),'Dependency (hide)'!$G$20),INDEX('Reference dates (hide)'!$HR$96:$JY$96,ROW(C39)))</f>
        <v>0</v>
      </c>
      <c r="I181" s="152"/>
      <c r="J181" s="32">
        <f>CHOOSE('Dependency (hide)'!$G$19,INDEX('Reference dates (hide)'!$FD$43:$HK$98,'Dependency (hide)'!$G$20,ROW(E39)),INDEX('Reference dates (hide)'!$O$321:$AB$380,ROW(E39),'Dependency (hide)'!$G$20),INDEX('Reference dates (hide)'!$FD$96:$HK$96,ROW(E39)))</f>
        <v>0</v>
      </c>
      <c r="K181" s="297">
        <f>CHOOSE('Dependency (hide)'!$G$19,INDEX('Reference dates (hide)'!$KF$43:$MM$98,'Dependency (hide)'!$G$20,ROW(F39)),INDEX('Reference dates (hide)'!$O$382:$AB$441,ROW(F39),'Dependency (hide)'!$G$20),INDEX('Reference dates (hide)'!$KF$96:$MM$96,ROW(F39)))</f>
        <v>0</v>
      </c>
      <c r="L181" s="298"/>
      <c r="M181" s="298"/>
      <c r="N181" s="299"/>
    </row>
    <row r="182" spans="1:14" hidden="1" x14ac:dyDescent="0.25">
      <c r="A182" s="79">
        <f t="shared" si="0"/>
        <v>14</v>
      </c>
      <c r="B182" s="301" t="str">
        <f>'Data files'!A29</f>
        <v xml:space="preserve">14. </v>
      </c>
      <c r="C182" s="302"/>
      <c r="D182" s="83" t="str">
        <f ca="1">IF(OFFSET('Control Sheet'!$I$45,$A182,MOD(ROW(A42),3),1,1)=0,"",OFFSET('Control Sheet'!$I$45,$A182,MOD(ROW(A42),3),1,1))</f>
        <v>0</v>
      </c>
      <c r="E182" s="52">
        <f>CHOOSE('Dependency (hide)'!$G$19,INDEX('Reference dates (hide)'!$AB$43:$CI$98,'Dependency (hide)'!$G$20,ROW(A40)),INDEX('Reference dates (hide)'!$O$123:$AB$182,ROW(A40),'Dependency (hide)'!$G$20),INDEX('Reference dates (hide)'!$AB$96:$CI$96,ROW(A40)))</f>
        <v>0</v>
      </c>
      <c r="F182" s="52">
        <f>CHOOSE('Dependency (hide)'!$G$19,INDEX('Reference dates (hide)'!$CP$43:$EW$98,'Dependency (hide)'!$G$20,ROW(A40)),INDEX('Reference dates (hide)'!$O$184:$AB$243,ROW(A40),'Dependency (hide)'!$G$20),INDEX('Reference dates (hide)'!$CP$96:$EW$96,ROW(A40)))</f>
        <v>0</v>
      </c>
      <c r="G182" s="30"/>
      <c r="H182" s="52">
        <f>CHOOSE('Dependency (hide)'!$G$19,INDEX('Reference dates (hide)'!$HR$43:$JY$98,'Dependency (hide)'!$G$20,ROW(C40)),INDEX('Reference dates (hide)'!$O$245:$AB$304,ROW(C40),'Dependency (hide)'!$G$20),INDEX('Reference dates (hide)'!$HR$96:$JY$96,ROW(C40)))</f>
        <v>0</v>
      </c>
      <c r="I182" s="152"/>
      <c r="J182" s="52">
        <f>CHOOSE('Dependency (hide)'!$G$19,INDEX('Reference dates (hide)'!$FD$43:$HK$98,'Dependency (hide)'!$G$20,ROW(E40)),INDEX('Reference dates (hide)'!$O$321:$AB$380,ROW(E40),'Dependency (hide)'!$G$20),INDEX('Reference dates (hide)'!$FD$96:$HK$96,ROW(E40)))</f>
        <v>0</v>
      </c>
      <c r="K182" s="293">
        <f>CHOOSE('Dependency (hide)'!$G$19,INDEX('Reference dates (hide)'!$KF$43:$MM$98,'Dependency (hide)'!$G$20,ROW(F40)),INDEX('Reference dates (hide)'!$O$382:$AB$441,ROW(F40),'Dependency (hide)'!$G$20),INDEX('Reference dates (hide)'!$KF$96:$MM$96,ROW(F40)))</f>
        <v>0</v>
      </c>
      <c r="L182" s="294"/>
      <c r="M182" s="294"/>
      <c r="N182" s="295"/>
    </row>
    <row r="183" spans="1:14" hidden="1" x14ac:dyDescent="0.25">
      <c r="A183" s="79">
        <f t="shared" si="0"/>
        <v>14</v>
      </c>
      <c r="B183" s="303"/>
      <c r="C183" s="304"/>
      <c r="D183" s="83" t="str">
        <f ca="1">IF(OFFSET('Control Sheet'!$I$45,$A183,MOD(ROW(A43),3),1,1)=0,"",OFFSET('Control Sheet'!$I$45,$A183,MOD(ROW(A43),3),1,1))</f>
        <v/>
      </c>
      <c r="E183" s="52">
        <f>CHOOSE('Dependency (hide)'!$G$19,INDEX('Reference dates (hide)'!$AB$43:$CI$98,'Dependency (hide)'!$G$20,ROW(A41)),INDEX('Reference dates (hide)'!$O$123:$AB$182,ROW(A41),'Dependency (hide)'!$G$20),INDEX('Reference dates (hide)'!$AB$96:$CI$96,ROW(A41)))</f>
        <v>0</v>
      </c>
      <c r="F183" s="52">
        <f>CHOOSE('Dependency (hide)'!$G$19,INDEX('Reference dates (hide)'!$CP$43:$EW$98,'Dependency (hide)'!$G$20,ROW(A41)),INDEX('Reference dates (hide)'!$O$184:$AB$243,ROW(A41),'Dependency (hide)'!$G$20),INDEX('Reference dates (hide)'!$CP$96:$EW$96,ROW(A41)))</f>
        <v>0</v>
      </c>
      <c r="G183" s="30"/>
      <c r="H183" s="52">
        <f>CHOOSE('Dependency (hide)'!$G$19,INDEX('Reference dates (hide)'!$HR$43:$JY$98,'Dependency (hide)'!$G$20,ROW(C41)),INDEX('Reference dates (hide)'!$O$245:$AB$304,ROW(C41),'Dependency (hide)'!$G$20),INDEX('Reference dates (hide)'!$HR$96:$JY$96,ROW(C41)))</f>
        <v>0</v>
      </c>
      <c r="I183" s="152"/>
      <c r="J183" s="52">
        <f>CHOOSE('Dependency (hide)'!$G$19,INDEX('Reference dates (hide)'!$FD$43:$HK$98,'Dependency (hide)'!$G$20,ROW(E41)),INDEX('Reference dates (hide)'!$O$321:$AB$380,ROW(E41),'Dependency (hide)'!$G$20),INDEX('Reference dates (hide)'!$FD$96:$HK$96,ROW(E41)))</f>
        <v>0</v>
      </c>
      <c r="K183" s="293">
        <f>CHOOSE('Dependency (hide)'!$G$19,INDEX('Reference dates (hide)'!$KF$43:$MM$98,'Dependency (hide)'!$G$20,ROW(F41)),INDEX('Reference dates (hide)'!$O$382:$AB$441,ROW(F41),'Dependency (hide)'!$G$20),INDEX('Reference dates (hide)'!$KF$96:$MM$96,ROW(F41)))</f>
        <v>0</v>
      </c>
      <c r="L183" s="294"/>
      <c r="M183" s="294"/>
      <c r="N183" s="295"/>
    </row>
    <row r="184" spans="1:14" hidden="1" x14ac:dyDescent="0.25">
      <c r="A184" s="79">
        <f t="shared" si="0"/>
        <v>14</v>
      </c>
      <c r="B184" s="305"/>
      <c r="C184" s="306"/>
      <c r="D184" s="83" t="str">
        <f ca="1">IF(OFFSET('Control Sheet'!$I$45,$A184,MOD(ROW(A44),3),1,1)=0,"",OFFSET('Control Sheet'!$I$45,$A184,MOD(ROW(A44),3),1,1))</f>
        <v/>
      </c>
      <c r="E184" s="52">
        <f>CHOOSE('Dependency (hide)'!$G$19,INDEX('Reference dates (hide)'!$AB$43:$CI$98,'Dependency (hide)'!$G$20,ROW(A42)),INDEX('Reference dates (hide)'!$O$123:$AB$182,ROW(A42),'Dependency (hide)'!$G$20),INDEX('Reference dates (hide)'!$AB$96:$CI$96,ROW(A42)))</f>
        <v>0</v>
      </c>
      <c r="F184" s="52">
        <f>CHOOSE('Dependency (hide)'!$G$19,INDEX('Reference dates (hide)'!$CP$43:$EW$98,'Dependency (hide)'!$G$20,ROW(A42)),INDEX('Reference dates (hide)'!$O$184:$AB$243,ROW(A42),'Dependency (hide)'!$G$20),INDEX('Reference dates (hide)'!$CP$96:$EW$96,ROW(A42)))</f>
        <v>0</v>
      </c>
      <c r="G184" s="30"/>
      <c r="H184" s="52">
        <f>CHOOSE('Dependency (hide)'!$G$19,INDEX('Reference dates (hide)'!$HR$43:$JY$98,'Dependency (hide)'!$G$20,ROW(C42)),INDEX('Reference dates (hide)'!$O$245:$AB$304,ROW(C42),'Dependency (hide)'!$G$20),INDEX('Reference dates (hide)'!$HR$96:$JY$96,ROW(C42)))</f>
        <v>0</v>
      </c>
      <c r="I184" s="152"/>
      <c r="J184" s="52">
        <f>CHOOSE('Dependency (hide)'!$G$19,INDEX('Reference dates (hide)'!$FD$43:$HK$98,'Dependency (hide)'!$G$20,ROW(E42)),INDEX('Reference dates (hide)'!$O$321:$AB$380,ROW(E42),'Dependency (hide)'!$G$20),INDEX('Reference dates (hide)'!$FD$96:$HK$96,ROW(E42)))</f>
        <v>0</v>
      </c>
      <c r="K184" s="293">
        <f>CHOOSE('Dependency (hide)'!$G$19,INDEX('Reference dates (hide)'!$KF$43:$MM$98,'Dependency (hide)'!$G$20,ROW(F42)),INDEX('Reference dates (hide)'!$O$382:$AB$441,ROW(F42),'Dependency (hide)'!$G$20),INDEX('Reference dates (hide)'!$KF$96:$MM$96,ROW(F42)))</f>
        <v>0</v>
      </c>
      <c r="L184" s="294"/>
      <c r="M184" s="294"/>
      <c r="N184" s="295"/>
    </row>
    <row r="185" spans="1:14" ht="14.25" hidden="1" customHeight="1" x14ac:dyDescent="0.25">
      <c r="A185" s="79">
        <f t="shared" si="0"/>
        <v>15</v>
      </c>
      <c r="B185" s="307" t="str">
        <f>'Data files'!A30</f>
        <v xml:space="preserve">15. </v>
      </c>
      <c r="C185" s="308"/>
      <c r="D185" s="82" t="str">
        <f ca="1">IF(OFFSET('Control Sheet'!$I$45,$A185,MOD(ROW(A45),3),1,1)=0,"",OFFSET('Control Sheet'!$I$45,$A185,MOD(ROW(A45),3),1,1))</f>
        <v>0</v>
      </c>
      <c r="E185" s="84">
        <f>CHOOSE('Dependency (hide)'!$G$19,INDEX('Reference dates (hide)'!$AB$43:$CI$98,'Dependency (hide)'!$G$20,ROW(A43)),INDEX('Reference dates (hide)'!$O$123:$AB$182,ROW(A43),'Dependency (hide)'!$G$20),INDEX('Reference dates (hide)'!$AB$96:$CI$96,ROW(A43)))</f>
        <v>0</v>
      </c>
      <c r="F185" s="32">
        <f>CHOOSE('Dependency (hide)'!$G$19,INDEX('Reference dates (hide)'!$CP$43:$EW$98,'Dependency (hide)'!$G$20,ROW(A43)),INDEX('Reference dates (hide)'!$O$184:$AB$243,ROW(A43),'Dependency (hide)'!$G$20),INDEX('Reference dates (hide)'!$CP$96:$EW$96,ROW(A43)))</f>
        <v>0</v>
      </c>
      <c r="G185" s="30"/>
      <c r="H185" s="32">
        <f>CHOOSE('Dependency (hide)'!$G$19,INDEX('Reference dates (hide)'!$HR$43:$JY$98,'Dependency (hide)'!$G$20,ROW(C43)),INDEX('Reference dates (hide)'!$O$245:$AB$304,ROW(C43),'Dependency (hide)'!$G$20),INDEX('Reference dates (hide)'!$HR$96:$JY$96,ROW(C43)))</f>
        <v>0</v>
      </c>
      <c r="I185" s="152"/>
      <c r="J185" s="32">
        <f>CHOOSE('Dependency (hide)'!$G$19,INDEX('Reference dates (hide)'!$FD$43:$HK$98,'Dependency (hide)'!$G$20,ROW(E43)),INDEX('Reference dates (hide)'!$O$321:$AB$380,ROW(E43),'Dependency (hide)'!$G$20),INDEX('Reference dates (hide)'!$FD$96:$HK$96,ROW(E43)))</f>
        <v>0</v>
      </c>
      <c r="K185" s="297">
        <f>CHOOSE('Dependency (hide)'!$G$19,INDEX('Reference dates (hide)'!$KF$43:$MM$98,'Dependency (hide)'!$G$20,ROW(F43)),INDEX('Reference dates (hide)'!$O$382:$AB$441,ROW(F43),'Dependency (hide)'!$G$20),INDEX('Reference dates (hide)'!$KF$96:$MM$96,ROW(F43)))</f>
        <v>0</v>
      </c>
      <c r="L185" s="298"/>
      <c r="M185" s="298"/>
      <c r="N185" s="299"/>
    </row>
    <row r="186" spans="1:14" hidden="1" x14ac:dyDescent="0.25">
      <c r="A186" s="79">
        <f t="shared" si="0"/>
        <v>15</v>
      </c>
      <c r="B186" s="309"/>
      <c r="C186" s="310"/>
      <c r="D186" s="82" t="str">
        <f ca="1">IF(OFFSET('Control Sheet'!$I$45,$A186,MOD(ROW(A46),3),1,1)=0,"",OFFSET('Control Sheet'!$I$45,$A186,MOD(ROW(A46),3),1,1))</f>
        <v/>
      </c>
      <c r="E186" s="84">
        <f>CHOOSE('Dependency (hide)'!$G$19,INDEX('Reference dates (hide)'!$AB$43:$CI$98,'Dependency (hide)'!$G$20,ROW(A44)),INDEX('Reference dates (hide)'!$O$123:$AB$182,ROW(A44),'Dependency (hide)'!$G$20),INDEX('Reference dates (hide)'!$AB$96:$CI$96,ROW(A44)))</f>
        <v>0</v>
      </c>
      <c r="F186" s="32">
        <f>CHOOSE('Dependency (hide)'!$G$19,INDEX('Reference dates (hide)'!$CP$43:$EW$98,'Dependency (hide)'!$G$20,ROW(A44)),INDEX('Reference dates (hide)'!$O$184:$AB$243,ROW(A44),'Dependency (hide)'!$G$20),INDEX('Reference dates (hide)'!$CP$96:$EW$96,ROW(A44)))</f>
        <v>0</v>
      </c>
      <c r="G186" s="30"/>
      <c r="H186" s="32">
        <f>CHOOSE('Dependency (hide)'!$G$19,INDEX('Reference dates (hide)'!$HR$43:$JY$98,'Dependency (hide)'!$G$20,ROW(C44)),INDEX('Reference dates (hide)'!$O$245:$AB$304,ROW(C44),'Dependency (hide)'!$G$20),INDEX('Reference dates (hide)'!$HR$96:$JY$96,ROW(C44)))</f>
        <v>0</v>
      </c>
      <c r="I186" s="152"/>
      <c r="J186" s="32">
        <f>CHOOSE('Dependency (hide)'!$G$19,INDEX('Reference dates (hide)'!$FD$43:$HK$98,'Dependency (hide)'!$G$20,ROW(E44)),INDEX('Reference dates (hide)'!$O$321:$AB$380,ROW(E44),'Dependency (hide)'!$G$20),INDEX('Reference dates (hide)'!$FD$96:$HK$96,ROW(E44)))</f>
        <v>0</v>
      </c>
      <c r="K186" s="297">
        <f>CHOOSE('Dependency (hide)'!$G$19,INDEX('Reference dates (hide)'!$KF$43:$MM$98,'Dependency (hide)'!$G$20,ROW(F44)),INDEX('Reference dates (hide)'!$O$382:$AB$441,ROW(F44),'Dependency (hide)'!$G$20),INDEX('Reference dates (hide)'!$KF$96:$MM$96,ROW(F44)))</f>
        <v>0</v>
      </c>
      <c r="L186" s="298"/>
      <c r="M186" s="298"/>
      <c r="N186" s="299"/>
    </row>
    <row r="187" spans="1:14" hidden="1" x14ac:dyDescent="0.25">
      <c r="A187" s="79">
        <f t="shared" si="0"/>
        <v>15</v>
      </c>
      <c r="B187" s="311"/>
      <c r="C187" s="312"/>
      <c r="D187" s="38" t="str">
        <f ca="1">IF(OFFSET('Control Sheet'!$I$45,$A187,MOD(ROW(A47),3),1,1)=0,"",OFFSET('Control Sheet'!$I$45,$A187,MOD(ROW(A47),3),1,1))</f>
        <v/>
      </c>
      <c r="E187" s="32">
        <f>CHOOSE('Dependency (hide)'!$G$19,INDEX('Reference dates (hide)'!$AB$43:$CI$98,'Dependency (hide)'!$G$20,ROW(A45)),INDEX('Reference dates (hide)'!$O$123:$AB$182,ROW(A45),'Dependency (hide)'!$G$20),INDEX('Reference dates (hide)'!$AB$96:$CI$96,ROW(A45)))</f>
        <v>0</v>
      </c>
      <c r="F187" s="32">
        <f>CHOOSE('Dependency (hide)'!$G$19,INDEX('Reference dates (hide)'!$CP$43:$EW$98,'Dependency (hide)'!$G$20,ROW(A45)),INDEX('Reference dates (hide)'!$O$184:$AB$243,ROW(A45),'Dependency (hide)'!$G$20),INDEX('Reference dates (hide)'!$CP$96:$EW$96,ROW(A45)))</f>
        <v>0</v>
      </c>
      <c r="G187" s="30"/>
      <c r="H187" s="32">
        <f>CHOOSE('Dependency (hide)'!$G$19,INDEX('Reference dates (hide)'!$HR$43:$JY$98,'Dependency (hide)'!$G$20,ROW(C45)),INDEX('Reference dates (hide)'!$O$245:$AB$304,ROW(C45),'Dependency (hide)'!$G$20),INDEX('Reference dates (hide)'!$HR$96:$JY$96,ROW(C45)))</f>
        <v>0</v>
      </c>
      <c r="I187" s="152"/>
      <c r="J187" s="32">
        <f>CHOOSE('Dependency (hide)'!$G$19,INDEX('Reference dates (hide)'!$FD$43:$HK$98,'Dependency (hide)'!$G$20,ROW(E45)),INDEX('Reference dates (hide)'!$O$321:$AB$380,ROW(E45),'Dependency (hide)'!$G$20),INDEX('Reference dates (hide)'!$FD$96:$HK$96,ROW(E45)))</f>
        <v>0</v>
      </c>
      <c r="K187" s="297">
        <f>CHOOSE('Dependency (hide)'!$G$19,INDEX('Reference dates (hide)'!$KF$43:$MM$98,'Dependency (hide)'!$G$20,ROW(F45)),INDEX('Reference dates (hide)'!$O$382:$AB$441,ROW(F45),'Dependency (hide)'!$G$20),INDEX('Reference dates (hide)'!$KF$96:$MM$96,ROW(F45)))</f>
        <v>0</v>
      </c>
      <c r="L187" s="298"/>
      <c r="M187" s="298"/>
      <c r="N187" s="299"/>
    </row>
    <row r="188" spans="1:14" ht="14.25" hidden="1" customHeight="1" x14ac:dyDescent="0.25">
      <c r="A188" s="79">
        <f t="shared" si="0"/>
        <v>16</v>
      </c>
      <c r="B188" s="301" t="str">
        <f>'Data files'!A31</f>
        <v xml:space="preserve">16. </v>
      </c>
      <c r="C188" s="302"/>
      <c r="D188" s="83" t="str">
        <f ca="1">IF(OFFSET('Control Sheet'!$I$45,$A188,MOD(ROW(A48),3),1,1)=0,"",OFFSET('Control Sheet'!$I$45,$A188,MOD(ROW(A48),3),1,1))</f>
        <v>0</v>
      </c>
      <c r="E188" s="52">
        <f>CHOOSE('Dependency (hide)'!$G$19,INDEX('Reference dates (hide)'!$AB$43:$CI$98,'Dependency (hide)'!$G$20,ROW(A46)),INDEX('Reference dates (hide)'!$O$123:$AB$182,ROW(A46),'Dependency (hide)'!$G$20),INDEX('Reference dates (hide)'!$AB$96:$CI$96,ROW(A46)))</f>
        <v>0</v>
      </c>
      <c r="F188" s="52">
        <f>CHOOSE('Dependency (hide)'!$G$19,INDEX('Reference dates (hide)'!$CP$43:$EW$98,'Dependency (hide)'!$G$20,ROW(A46)),INDEX('Reference dates (hide)'!$O$184:$AB$243,ROW(A46),'Dependency (hide)'!$G$20),INDEX('Reference dates (hide)'!$CP$96:$EW$96,ROW(A46)))</f>
        <v>0</v>
      </c>
      <c r="G188" s="30"/>
      <c r="H188" s="52">
        <f>CHOOSE('Dependency (hide)'!$G$19,INDEX('Reference dates (hide)'!$HR$43:$JY$98,'Dependency (hide)'!$G$20,ROW(C46)),INDEX('Reference dates (hide)'!$O$245:$AB$304,ROW(C46),'Dependency (hide)'!$G$20),INDEX('Reference dates (hide)'!$HR$96:$JY$96,ROW(C46)))</f>
        <v>0</v>
      </c>
      <c r="I188" s="152"/>
      <c r="J188" s="52">
        <f>CHOOSE('Dependency (hide)'!$G$19,INDEX('Reference dates (hide)'!$FD$43:$HK$98,'Dependency (hide)'!$G$20,ROW(E46)),INDEX('Reference dates (hide)'!$O$321:$AB$380,ROW(E46),'Dependency (hide)'!$G$20),INDEX('Reference dates (hide)'!$FD$96:$HK$96,ROW(E46)))</f>
        <v>0</v>
      </c>
      <c r="K188" s="293">
        <f>CHOOSE('Dependency (hide)'!$G$19,INDEX('Reference dates (hide)'!$KF$43:$MM$98,'Dependency (hide)'!$G$20,ROW(F46)),INDEX('Reference dates (hide)'!$O$382:$AB$441,ROW(F46),'Dependency (hide)'!$G$20),INDEX('Reference dates (hide)'!$KF$96:$MM$96,ROW(F46)))</f>
        <v>0</v>
      </c>
      <c r="L188" s="294"/>
      <c r="M188" s="294"/>
      <c r="N188" s="295"/>
    </row>
    <row r="189" spans="1:14" hidden="1" x14ac:dyDescent="0.25">
      <c r="A189" s="79">
        <f t="shared" si="0"/>
        <v>16</v>
      </c>
      <c r="B189" s="303"/>
      <c r="C189" s="304"/>
      <c r="D189" s="83" t="str">
        <f ca="1">IF(OFFSET('Control Sheet'!$I$45,$A189,MOD(ROW(A49),3),1,1)=0,"",OFFSET('Control Sheet'!$I$45,$A189,MOD(ROW(A49),3),1,1))</f>
        <v/>
      </c>
      <c r="E189" s="52">
        <f>CHOOSE('Dependency (hide)'!$G$19,INDEX('Reference dates (hide)'!$AB$43:$CI$98,'Dependency (hide)'!$G$20,ROW(A47)),INDEX('Reference dates (hide)'!$O$123:$AB$182,ROW(A47),'Dependency (hide)'!$G$20),INDEX('Reference dates (hide)'!$AB$96:$CI$96,ROW(A47)))</f>
        <v>0</v>
      </c>
      <c r="F189" s="52">
        <f>CHOOSE('Dependency (hide)'!$G$19,INDEX('Reference dates (hide)'!$CP$43:$EW$98,'Dependency (hide)'!$G$20,ROW(A47)),INDEX('Reference dates (hide)'!$O$184:$AB$243,ROW(A47),'Dependency (hide)'!$G$20),INDEX('Reference dates (hide)'!$CP$96:$EW$96,ROW(A47)))</f>
        <v>0</v>
      </c>
      <c r="G189" s="30"/>
      <c r="H189" s="52">
        <f>CHOOSE('Dependency (hide)'!$G$19,INDEX('Reference dates (hide)'!$HR$43:$JY$98,'Dependency (hide)'!$G$20,ROW(C47)),INDEX('Reference dates (hide)'!$O$245:$AB$304,ROW(C47),'Dependency (hide)'!$G$20),INDEX('Reference dates (hide)'!$HR$96:$JY$96,ROW(C47)))</f>
        <v>0</v>
      </c>
      <c r="I189" s="152"/>
      <c r="J189" s="52">
        <f>CHOOSE('Dependency (hide)'!$G$19,INDEX('Reference dates (hide)'!$FD$43:$HK$98,'Dependency (hide)'!$G$20,ROW(E47)),INDEX('Reference dates (hide)'!$O$321:$AB$380,ROW(E47),'Dependency (hide)'!$G$20),INDEX('Reference dates (hide)'!$FD$96:$HK$96,ROW(E47)))</f>
        <v>0</v>
      </c>
      <c r="K189" s="293">
        <f>CHOOSE('Dependency (hide)'!$G$19,INDEX('Reference dates (hide)'!$KF$43:$MM$98,'Dependency (hide)'!$G$20,ROW(F47)),INDEX('Reference dates (hide)'!$O$382:$AB$441,ROW(F47),'Dependency (hide)'!$G$20),INDEX('Reference dates (hide)'!$KF$96:$MM$96,ROW(F47)))</f>
        <v>0</v>
      </c>
      <c r="L189" s="294"/>
      <c r="M189" s="294"/>
      <c r="N189" s="295"/>
    </row>
    <row r="190" spans="1:14" hidden="1" x14ac:dyDescent="0.25">
      <c r="A190" s="79">
        <f t="shared" si="0"/>
        <v>16</v>
      </c>
      <c r="B190" s="305"/>
      <c r="C190" s="306"/>
      <c r="D190" s="83" t="str">
        <f ca="1">IF(OFFSET('Control Sheet'!$I$45,$A190,MOD(ROW(A50),3),1,1)=0,"",OFFSET('Control Sheet'!$I$45,$A190,MOD(ROW(A50),3),1,1))</f>
        <v/>
      </c>
      <c r="E190" s="52">
        <f>CHOOSE('Dependency (hide)'!$G$19,INDEX('Reference dates (hide)'!$AB$43:$CI$98,'Dependency (hide)'!$G$20,ROW(A48)),INDEX('Reference dates (hide)'!$O$123:$AB$182,ROW(A48),'Dependency (hide)'!$G$20),INDEX('Reference dates (hide)'!$AB$96:$CI$96,ROW(A48)))</f>
        <v>0</v>
      </c>
      <c r="F190" s="52">
        <f>CHOOSE('Dependency (hide)'!$G$19,INDEX('Reference dates (hide)'!$CP$43:$EW$98,'Dependency (hide)'!$G$20,ROW(A48)),INDEX('Reference dates (hide)'!$O$184:$AB$243,ROW(A48),'Dependency (hide)'!$G$20),INDEX('Reference dates (hide)'!$CP$96:$EW$96,ROW(A48)))</f>
        <v>0</v>
      </c>
      <c r="G190" s="30"/>
      <c r="H190" s="52">
        <f>CHOOSE('Dependency (hide)'!$G$19,INDEX('Reference dates (hide)'!$HR$43:$JY$98,'Dependency (hide)'!$G$20,ROW(C48)),INDEX('Reference dates (hide)'!$O$245:$AB$304,ROW(C48),'Dependency (hide)'!$G$20),INDEX('Reference dates (hide)'!$HR$96:$JY$96,ROW(C48)))</f>
        <v>0</v>
      </c>
      <c r="I190" s="152"/>
      <c r="J190" s="52">
        <f>CHOOSE('Dependency (hide)'!$G$19,INDEX('Reference dates (hide)'!$FD$43:$HK$98,'Dependency (hide)'!$G$20,ROW(E48)),INDEX('Reference dates (hide)'!$O$321:$AB$380,ROW(E48),'Dependency (hide)'!$G$20),INDEX('Reference dates (hide)'!$FD$96:$HK$96,ROW(E48)))</f>
        <v>0</v>
      </c>
      <c r="K190" s="293">
        <f>CHOOSE('Dependency (hide)'!$G$19,INDEX('Reference dates (hide)'!$KF$43:$MM$98,'Dependency (hide)'!$G$20,ROW(F48)),INDEX('Reference dates (hide)'!$O$382:$AB$441,ROW(F48),'Dependency (hide)'!$G$20),INDEX('Reference dates (hide)'!$KF$96:$MM$96,ROW(F48)))</f>
        <v>0</v>
      </c>
      <c r="L190" s="294"/>
      <c r="M190" s="294"/>
      <c r="N190" s="295"/>
    </row>
    <row r="191" spans="1:14" ht="14.25" hidden="1" customHeight="1" x14ac:dyDescent="0.25">
      <c r="A191" s="79">
        <f t="shared" si="0"/>
        <v>17</v>
      </c>
      <c r="B191" s="307" t="str">
        <f>'Data files'!A32</f>
        <v xml:space="preserve">17. </v>
      </c>
      <c r="C191" s="308"/>
      <c r="D191" s="82" t="str">
        <f ca="1">IF(OFFSET('Control Sheet'!$I$45,$A191,MOD(ROW(A51),3),1,1)=0,"",OFFSET('Control Sheet'!$I$45,$A191,MOD(ROW(A51),3),1,1))</f>
        <v>0</v>
      </c>
      <c r="E191" s="84">
        <f>CHOOSE('Dependency (hide)'!$G$19,INDEX('Reference dates (hide)'!$AB$43:$CI$98,'Dependency (hide)'!$G$20,ROW(A49)),INDEX('Reference dates (hide)'!$O$123:$AB$182,ROW(A49),'Dependency (hide)'!$G$20),INDEX('Reference dates (hide)'!$AB$96:$CI$96,ROW(A49)))</f>
        <v>0</v>
      </c>
      <c r="F191" s="32">
        <f>CHOOSE('Dependency (hide)'!$G$19,INDEX('Reference dates (hide)'!$CP$43:$EW$98,'Dependency (hide)'!$G$20,ROW(A49)),INDEX('Reference dates (hide)'!$O$184:$AB$243,ROW(A49),'Dependency (hide)'!$G$20),INDEX('Reference dates (hide)'!$CP$96:$EW$96,ROW(A49)))</f>
        <v>0</v>
      </c>
      <c r="G191" s="30"/>
      <c r="H191" s="32">
        <f>CHOOSE('Dependency (hide)'!$G$19,INDEX('Reference dates (hide)'!$HR$43:$JY$98,'Dependency (hide)'!$G$20,ROW(C49)),INDEX('Reference dates (hide)'!$O$245:$AB$304,ROW(C49),'Dependency (hide)'!$G$20),INDEX('Reference dates (hide)'!$HR$96:$JY$96,ROW(C49)))</f>
        <v>0</v>
      </c>
      <c r="I191" s="152"/>
      <c r="J191" s="32">
        <f>CHOOSE('Dependency (hide)'!$G$19,INDEX('Reference dates (hide)'!$FD$43:$HK$98,'Dependency (hide)'!$G$20,ROW(E49)),INDEX('Reference dates (hide)'!$O$321:$AB$380,ROW(E49),'Dependency (hide)'!$G$20),INDEX('Reference dates (hide)'!$FD$96:$HK$96,ROW(E49)))</f>
        <v>0</v>
      </c>
      <c r="K191" s="297">
        <f>CHOOSE('Dependency (hide)'!$G$19,INDEX('Reference dates (hide)'!$KF$43:$MM$98,'Dependency (hide)'!$G$20,ROW(F49)),INDEX('Reference dates (hide)'!$O$382:$AB$441,ROW(F49),'Dependency (hide)'!$G$20),INDEX('Reference dates (hide)'!$KF$96:$MM$96,ROW(F49)))</f>
        <v>0</v>
      </c>
      <c r="L191" s="298"/>
      <c r="M191" s="298"/>
      <c r="N191" s="299"/>
    </row>
    <row r="192" spans="1:14" hidden="1" x14ac:dyDescent="0.25">
      <c r="A192" s="79">
        <f t="shared" si="0"/>
        <v>17</v>
      </c>
      <c r="B192" s="309"/>
      <c r="C192" s="310"/>
      <c r="D192" s="82" t="str">
        <f ca="1">IF(OFFSET('Control Sheet'!$I$45,$A192,MOD(ROW(A52),3),1,1)=0,"",OFFSET('Control Sheet'!$I$45,$A192,MOD(ROW(A52),3),1,1))</f>
        <v/>
      </c>
      <c r="E192" s="84">
        <f>CHOOSE('Dependency (hide)'!$G$19,INDEX('Reference dates (hide)'!$AB$43:$CI$98,'Dependency (hide)'!$G$20,ROW(A50)),INDEX('Reference dates (hide)'!$O$123:$AB$182,ROW(A50),'Dependency (hide)'!$G$20),INDEX('Reference dates (hide)'!$AB$96:$CI$96,ROW(A50)))</f>
        <v>0</v>
      </c>
      <c r="F192" s="32">
        <f>CHOOSE('Dependency (hide)'!$G$19,INDEX('Reference dates (hide)'!$CP$43:$EW$98,'Dependency (hide)'!$G$20,ROW(A50)),INDEX('Reference dates (hide)'!$O$184:$AB$243,ROW(A50),'Dependency (hide)'!$G$20),INDEX('Reference dates (hide)'!$CP$96:$EW$96,ROW(A50)))</f>
        <v>0</v>
      </c>
      <c r="G192" s="30"/>
      <c r="H192" s="32">
        <f>CHOOSE('Dependency (hide)'!$G$19,INDEX('Reference dates (hide)'!$HR$43:$JY$98,'Dependency (hide)'!$G$20,ROW(C50)),INDEX('Reference dates (hide)'!$O$245:$AB$304,ROW(C50),'Dependency (hide)'!$G$20),INDEX('Reference dates (hide)'!$HR$96:$JY$96,ROW(C50)))</f>
        <v>0</v>
      </c>
      <c r="I192" s="152"/>
      <c r="J192" s="32">
        <f>CHOOSE('Dependency (hide)'!$G$19,INDEX('Reference dates (hide)'!$FD$43:$HK$98,'Dependency (hide)'!$G$20,ROW(E50)),INDEX('Reference dates (hide)'!$O$321:$AB$380,ROW(E50),'Dependency (hide)'!$G$20),INDEX('Reference dates (hide)'!$FD$96:$HK$96,ROW(E50)))</f>
        <v>0</v>
      </c>
      <c r="K192" s="297">
        <f>CHOOSE('Dependency (hide)'!$G$19,INDEX('Reference dates (hide)'!$KF$43:$MM$98,'Dependency (hide)'!$G$20,ROW(F50)),INDEX('Reference dates (hide)'!$O$382:$AB$441,ROW(F50),'Dependency (hide)'!$G$20),INDEX('Reference dates (hide)'!$KF$96:$MM$96,ROW(F50)))</f>
        <v>0</v>
      </c>
      <c r="L192" s="298"/>
      <c r="M192" s="298"/>
      <c r="N192" s="299"/>
    </row>
    <row r="193" spans="1:14" hidden="1" x14ac:dyDescent="0.25">
      <c r="A193" s="79">
        <f t="shared" si="0"/>
        <v>17</v>
      </c>
      <c r="B193" s="311"/>
      <c r="C193" s="312"/>
      <c r="D193" s="38" t="str">
        <f ca="1">IF(OFFSET('Control Sheet'!$I$45,$A193,MOD(ROW(A53),3),1,1)=0,"",OFFSET('Control Sheet'!$I$45,$A193,MOD(ROW(A53),3),1,1))</f>
        <v/>
      </c>
      <c r="E193" s="32">
        <f>CHOOSE('Dependency (hide)'!$G$19,INDEX('Reference dates (hide)'!$AB$43:$CI$98,'Dependency (hide)'!$G$20,ROW(A51)),INDEX('Reference dates (hide)'!$O$123:$AB$182,ROW(A51),'Dependency (hide)'!$G$20),INDEX('Reference dates (hide)'!$AB$96:$CI$96,ROW(A51)))</f>
        <v>0</v>
      </c>
      <c r="F193" s="32">
        <f>CHOOSE('Dependency (hide)'!$G$19,INDEX('Reference dates (hide)'!$CP$43:$EW$98,'Dependency (hide)'!$G$20,ROW(A51)),INDEX('Reference dates (hide)'!$O$184:$AB$243,ROW(A51),'Dependency (hide)'!$G$20),INDEX('Reference dates (hide)'!$CP$96:$EW$96,ROW(A51)))</f>
        <v>0</v>
      </c>
      <c r="G193" s="30"/>
      <c r="H193" s="32">
        <f>CHOOSE('Dependency (hide)'!$G$19,INDEX('Reference dates (hide)'!$HR$43:$JY$98,'Dependency (hide)'!$G$20,ROW(C51)),INDEX('Reference dates (hide)'!$O$245:$AB$304,ROW(C51),'Dependency (hide)'!$G$20),INDEX('Reference dates (hide)'!$HR$96:$JY$96,ROW(C51)))</f>
        <v>0</v>
      </c>
      <c r="I193" s="152"/>
      <c r="J193" s="32">
        <f>CHOOSE('Dependency (hide)'!$G$19,INDEX('Reference dates (hide)'!$FD$43:$HK$98,'Dependency (hide)'!$G$20,ROW(E51)),INDEX('Reference dates (hide)'!$O$321:$AB$380,ROW(E51),'Dependency (hide)'!$G$20),INDEX('Reference dates (hide)'!$FD$96:$HK$96,ROW(E51)))</f>
        <v>0</v>
      </c>
      <c r="K193" s="297">
        <f>CHOOSE('Dependency (hide)'!$G$19,INDEX('Reference dates (hide)'!$KF$43:$MM$98,'Dependency (hide)'!$G$20,ROW(F51)),INDEX('Reference dates (hide)'!$O$382:$AB$441,ROW(F51),'Dependency (hide)'!$G$20),INDEX('Reference dates (hide)'!$KF$96:$MM$96,ROW(F51)))</f>
        <v>0</v>
      </c>
      <c r="L193" s="298"/>
      <c r="M193" s="298"/>
      <c r="N193" s="299"/>
    </row>
    <row r="194" spans="1:14" ht="14.25" hidden="1" customHeight="1" x14ac:dyDescent="0.25">
      <c r="A194" s="79">
        <f t="shared" si="0"/>
        <v>18</v>
      </c>
      <c r="B194" s="301" t="str">
        <f>'Data files'!A33</f>
        <v xml:space="preserve">18. </v>
      </c>
      <c r="C194" s="302"/>
      <c r="D194" s="83" t="str">
        <f ca="1">IF(OFFSET('Control Sheet'!$I$45,$A194,MOD(ROW(A54),3),1,1)=0,"",OFFSET('Control Sheet'!$I$45,$A194,MOD(ROW(A54),3),1,1))</f>
        <v>0</v>
      </c>
      <c r="E194" s="52">
        <f>CHOOSE('Dependency (hide)'!$G$19,INDEX('Reference dates (hide)'!$AB$43:$CI$98,'Dependency (hide)'!$G$20,ROW(A52)),INDEX('Reference dates (hide)'!$O$123:$AB$182,ROW(A52),'Dependency (hide)'!$G$20),INDEX('Reference dates (hide)'!$AB$96:$CI$96,ROW(A52)))</f>
        <v>0</v>
      </c>
      <c r="F194" s="52">
        <f>CHOOSE('Dependency (hide)'!$G$19,INDEX('Reference dates (hide)'!$CP$43:$EW$98,'Dependency (hide)'!$G$20,ROW(A52)),INDEX('Reference dates (hide)'!$O$184:$AB$243,ROW(A52),'Dependency (hide)'!$G$20),INDEX('Reference dates (hide)'!$CP$96:$EW$96,ROW(A52)))</f>
        <v>0</v>
      </c>
      <c r="G194" s="30"/>
      <c r="H194" s="52">
        <f>CHOOSE('Dependency (hide)'!$G$19,INDEX('Reference dates (hide)'!$HR$43:$JY$98,'Dependency (hide)'!$G$20,ROW(C52)),INDEX('Reference dates (hide)'!$O$245:$AB$304,ROW(C52),'Dependency (hide)'!$G$20),INDEX('Reference dates (hide)'!$HR$96:$JY$96,ROW(C52)))</f>
        <v>0</v>
      </c>
      <c r="I194" s="152"/>
      <c r="J194" s="52">
        <f>CHOOSE('Dependency (hide)'!$G$19,INDEX('Reference dates (hide)'!$FD$43:$HK$98,'Dependency (hide)'!$G$20,ROW(E52)),INDEX('Reference dates (hide)'!$O$321:$AB$380,ROW(E52),'Dependency (hide)'!$G$20),INDEX('Reference dates (hide)'!$FD$96:$HK$96,ROW(E52)))</f>
        <v>0</v>
      </c>
      <c r="K194" s="293">
        <f>CHOOSE('Dependency (hide)'!$G$19,INDEX('Reference dates (hide)'!$KF$43:$MM$98,'Dependency (hide)'!$G$20,ROW(F52)),INDEX('Reference dates (hide)'!$O$382:$AB$441,ROW(F52),'Dependency (hide)'!$G$20),INDEX('Reference dates (hide)'!$KF$96:$MM$96,ROW(F52)))</f>
        <v>0</v>
      </c>
      <c r="L194" s="294"/>
      <c r="M194" s="294"/>
      <c r="N194" s="295"/>
    </row>
    <row r="195" spans="1:14" hidden="1" x14ac:dyDescent="0.25">
      <c r="A195" s="79">
        <f t="shared" si="0"/>
        <v>18</v>
      </c>
      <c r="B195" s="303"/>
      <c r="C195" s="304"/>
      <c r="D195" s="83" t="str">
        <f ca="1">IF(OFFSET('Control Sheet'!$I$45,$A195,MOD(ROW(A55),3),1,1)=0,"",OFFSET('Control Sheet'!$I$45,$A195,MOD(ROW(A55),3),1,1))</f>
        <v/>
      </c>
      <c r="E195" s="52">
        <f>CHOOSE('Dependency (hide)'!$G$19,INDEX('Reference dates (hide)'!$AB$43:$CI$98,'Dependency (hide)'!$G$20,ROW(A53)),INDEX('Reference dates (hide)'!$O$123:$AB$182,ROW(A53),'Dependency (hide)'!$G$20),INDEX('Reference dates (hide)'!$AB$96:$CI$96,ROW(A53)))</f>
        <v>0</v>
      </c>
      <c r="F195" s="52">
        <f>CHOOSE('Dependency (hide)'!$G$19,INDEX('Reference dates (hide)'!$CP$43:$EW$98,'Dependency (hide)'!$G$20,ROW(A53)),INDEX('Reference dates (hide)'!$O$184:$AB$243,ROW(A53),'Dependency (hide)'!$G$20),INDEX('Reference dates (hide)'!$CP$96:$EW$96,ROW(A53)))</f>
        <v>0</v>
      </c>
      <c r="G195" s="30"/>
      <c r="H195" s="52">
        <f>CHOOSE('Dependency (hide)'!$G$19,INDEX('Reference dates (hide)'!$HR$43:$JY$98,'Dependency (hide)'!$G$20,ROW(C53)),INDEX('Reference dates (hide)'!$O$245:$AB$304,ROW(C53),'Dependency (hide)'!$G$20),INDEX('Reference dates (hide)'!$HR$96:$JY$96,ROW(C53)))</f>
        <v>0</v>
      </c>
      <c r="I195" s="152"/>
      <c r="J195" s="52">
        <f>CHOOSE('Dependency (hide)'!$G$19,INDEX('Reference dates (hide)'!$FD$43:$HK$98,'Dependency (hide)'!$G$20,ROW(E53)),INDEX('Reference dates (hide)'!$O$321:$AB$380,ROW(E53),'Dependency (hide)'!$G$20),INDEX('Reference dates (hide)'!$FD$96:$HK$96,ROW(E53)))</f>
        <v>0</v>
      </c>
      <c r="K195" s="293">
        <f>CHOOSE('Dependency (hide)'!$G$19,INDEX('Reference dates (hide)'!$KF$43:$MM$98,'Dependency (hide)'!$G$20,ROW(F53)),INDEX('Reference dates (hide)'!$O$382:$AB$441,ROW(F53),'Dependency (hide)'!$G$20),INDEX('Reference dates (hide)'!$KF$96:$MM$96,ROW(F53)))</f>
        <v>0</v>
      </c>
      <c r="L195" s="294"/>
      <c r="M195" s="294"/>
      <c r="N195" s="295"/>
    </row>
    <row r="196" spans="1:14" hidden="1" x14ac:dyDescent="0.25">
      <c r="A196" s="79">
        <f t="shared" si="0"/>
        <v>18</v>
      </c>
      <c r="B196" s="305"/>
      <c r="C196" s="306"/>
      <c r="D196" s="83" t="str">
        <f ca="1">IF(OFFSET('Control Sheet'!$I$45,$A196,MOD(ROW(A56),3),1,1)=0,"",OFFSET('Control Sheet'!$I$45,$A196,MOD(ROW(A56),3),1,1))</f>
        <v/>
      </c>
      <c r="E196" s="52">
        <f>CHOOSE('Dependency (hide)'!$G$19,INDEX('Reference dates (hide)'!$AB$43:$CI$98,'Dependency (hide)'!$G$20,ROW(A54)),INDEX('Reference dates (hide)'!$O$123:$AB$182,ROW(A54),'Dependency (hide)'!$G$20),INDEX('Reference dates (hide)'!$AB$96:$CI$96,ROW(A54)))</f>
        <v>0</v>
      </c>
      <c r="F196" s="52">
        <f>CHOOSE('Dependency (hide)'!$G$19,INDEX('Reference dates (hide)'!$CP$43:$EW$98,'Dependency (hide)'!$G$20,ROW(A54)),INDEX('Reference dates (hide)'!$O$184:$AB$243,ROW(A54),'Dependency (hide)'!$G$20),INDEX('Reference dates (hide)'!$CP$96:$EW$96,ROW(A54)))</f>
        <v>0</v>
      </c>
      <c r="G196" s="30"/>
      <c r="H196" s="52">
        <f>CHOOSE('Dependency (hide)'!$G$19,INDEX('Reference dates (hide)'!$HR$43:$JY$98,'Dependency (hide)'!$G$20,ROW(C54)),INDEX('Reference dates (hide)'!$O$245:$AB$304,ROW(C54),'Dependency (hide)'!$G$20),INDEX('Reference dates (hide)'!$HR$96:$JY$96,ROW(C54)))</f>
        <v>0</v>
      </c>
      <c r="I196" s="152"/>
      <c r="J196" s="52">
        <f>CHOOSE('Dependency (hide)'!$G$19,INDEX('Reference dates (hide)'!$FD$43:$HK$98,'Dependency (hide)'!$G$20,ROW(E54)),INDEX('Reference dates (hide)'!$O$321:$AB$380,ROW(E54),'Dependency (hide)'!$G$20),INDEX('Reference dates (hide)'!$FD$96:$HK$96,ROW(E54)))</f>
        <v>0</v>
      </c>
      <c r="K196" s="293">
        <f>CHOOSE('Dependency (hide)'!$G$19,INDEX('Reference dates (hide)'!$KF$43:$MM$98,'Dependency (hide)'!$G$20,ROW(F54)),INDEX('Reference dates (hide)'!$O$382:$AB$441,ROW(F54),'Dependency (hide)'!$G$20),INDEX('Reference dates (hide)'!$KF$96:$MM$96,ROW(F54)))</f>
        <v>0</v>
      </c>
      <c r="L196" s="294"/>
      <c r="M196" s="294"/>
      <c r="N196" s="295"/>
    </row>
    <row r="197" spans="1:14" ht="14.25" hidden="1" customHeight="1" x14ac:dyDescent="0.25">
      <c r="A197" s="79">
        <f t="shared" si="0"/>
        <v>19</v>
      </c>
      <c r="B197" s="307" t="str">
        <f>'Data files'!A34</f>
        <v xml:space="preserve">19. </v>
      </c>
      <c r="C197" s="308"/>
      <c r="D197" s="82" t="str">
        <f ca="1">IF(OFFSET('Control Sheet'!$I$45,$A197,MOD(ROW(A57),3),1,1)=0,"",OFFSET('Control Sheet'!$I$45,$A197,MOD(ROW(A57),3),1,1))</f>
        <v>0</v>
      </c>
      <c r="E197" s="84">
        <f>CHOOSE('Dependency (hide)'!$G$19,INDEX('Reference dates (hide)'!$AB$43:$CI$98,'Dependency (hide)'!$G$20,ROW(A55)),INDEX('Reference dates (hide)'!$O$123:$AB$182,ROW(A55),'Dependency (hide)'!$G$20),INDEX('Reference dates (hide)'!$AB$96:$CI$96,ROW(A55)))</f>
        <v>0</v>
      </c>
      <c r="F197" s="32">
        <f>CHOOSE('Dependency (hide)'!$G$19,INDEX('Reference dates (hide)'!$CP$43:$EW$98,'Dependency (hide)'!$G$20,ROW(A55)),INDEX('Reference dates (hide)'!$O$184:$AB$243,ROW(A55),'Dependency (hide)'!$G$20),INDEX('Reference dates (hide)'!$CP$96:$EW$96,ROW(A55)))</f>
        <v>0</v>
      </c>
      <c r="G197" s="30"/>
      <c r="H197" s="32">
        <f>CHOOSE('Dependency (hide)'!$G$19,INDEX('Reference dates (hide)'!$HR$43:$JY$98,'Dependency (hide)'!$G$20,ROW(C55)),INDEX('Reference dates (hide)'!$O$245:$AB$304,ROW(C55),'Dependency (hide)'!$G$20),INDEX('Reference dates (hide)'!$HR$96:$JY$96,ROW(C55)))</f>
        <v>0</v>
      </c>
      <c r="I197" s="152"/>
      <c r="J197" s="32">
        <f>CHOOSE('Dependency (hide)'!$G$19,INDEX('Reference dates (hide)'!$FD$43:$HK$98,'Dependency (hide)'!$G$20,ROW(E55)),INDEX('Reference dates (hide)'!$O$321:$AB$380,ROW(E55),'Dependency (hide)'!$G$20),INDEX('Reference dates (hide)'!$FD$96:$HK$96,ROW(E55)))</f>
        <v>0</v>
      </c>
      <c r="K197" s="297">
        <f>CHOOSE('Dependency (hide)'!$G$19,INDEX('Reference dates (hide)'!$KF$43:$MM$98,'Dependency (hide)'!$G$20,ROW(F55)),INDEX('Reference dates (hide)'!$O$382:$AB$441,ROW(F55),'Dependency (hide)'!$G$20),INDEX('Reference dates (hide)'!$KF$96:$MM$96,ROW(F55)))</f>
        <v>0</v>
      </c>
      <c r="L197" s="298"/>
      <c r="M197" s="298"/>
      <c r="N197" s="299"/>
    </row>
    <row r="198" spans="1:14" hidden="1" x14ac:dyDescent="0.25">
      <c r="A198" s="79">
        <f t="shared" si="0"/>
        <v>19</v>
      </c>
      <c r="B198" s="309"/>
      <c r="C198" s="310"/>
      <c r="D198" s="82" t="str">
        <f ca="1">IF(OFFSET('Control Sheet'!$I$45,$A198,MOD(ROW(A58),3),1,1)=0,"",OFFSET('Control Sheet'!$I$45,$A198,MOD(ROW(A58),3),1,1))</f>
        <v/>
      </c>
      <c r="E198" s="84">
        <f>CHOOSE('Dependency (hide)'!$G$19,INDEX('Reference dates (hide)'!$AB$43:$CI$98,'Dependency (hide)'!$G$20,ROW(A56)),INDEX('Reference dates (hide)'!$O$123:$AB$182,ROW(A56),'Dependency (hide)'!$G$20),INDEX('Reference dates (hide)'!$AB$96:$CI$96,ROW(A56)))</f>
        <v>0</v>
      </c>
      <c r="F198" s="32">
        <f>CHOOSE('Dependency (hide)'!$G$19,INDEX('Reference dates (hide)'!$CP$43:$EW$98,'Dependency (hide)'!$G$20,ROW(A56)),INDEX('Reference dates (hide)'!$O$184:$AB$243,ROW(A56),'Dependency (hide)'!$G$20),INDEX('Reference dates (hide)'!$CP$96:$EW$96,ROW(A56)))</f>
        <v>0</v>
      </c>
      <c r="G198" s="30"/>
      <c r="H198" s="32">
        <f>CHOOSE('Dependency (hide)'!$G$19,INDEX('Reference dates (hide)'!$HR$43:$JY$98,'Dependency (hide)'!$G$20,ROW(C56)),INDEX('Reference dates (hide)'!$O$245:$AB$304,ROW(C56),'Dependency (hide)'!$G$20),INDEX('Reference dates (hide)'!$HR$96:$JY$96,ROW(C56)))</f>
        <v>0</v>
      </c>
      <c r="I198" s="152"/>
      <c r="J198" s="32">
        <f>CHOOSE('Dependency (hide)'!$G$19,INDEX('Reference dates (hide)'!$FD$43:$HK$98,'Dependency (hide)'!$G$20,ROW(E56)),INDEX('Reference dates (hide)'!$O$321:$AB$380,ROW(E56),'Dependency (hide)'!$G$20),INDEX('Reference dates (hide)'!$FD$96:$HK$96,ROW(E56)))</f>
        <v>0</v>
      </c>
      <c r="K198" s="297">
        <f>CHOOSE('Dependency (hide)'!$G$19,INDEX('Reference dates (hide)'!$KF$43:$MM$98,'Dependency (hide)'!$G$20,ROW(F56)),INDEX('Reference dates (hide)'!$O$382:$AB$441,ROW(F56),'Dependency (hide)'!$G$20),INDEX('Reference dates (hide)'!$KF$96:$MM$96,ROW(F56)))</f>
        <v>0</v>
      </c>
      <c r="L198" s="298"/>
      <c r="M198" s="298"/>
      <c r="N198" s="299"/>
    </row>
    <row r="199" spans="1:14" hidden="1" x14ac:dyDescent="0.25">
      <c r="A199" s="79">
        <f t="shared" si="0"/>
        <v>19</v>
      </c>
      <c r="B199" s="311"/>
      <c r="C199" s="312"/>
      <c r="D199" s="38" t="str">
        <f ca="1">IF(OFFSET('Control Sheet'!$I$45,$A199,MOD(ROW(A59),3),1,1)=0,"",OFFSET('Control Sheet'!$I$45,$A199,MOD(ROW(A59),3),1,1))</f>
        <v/>
      </c>
      <c r="E199" s="32">
        <f>CHOOSE('Dependency (hide)'!$G$19,INDEX('Reference dates (hide)'!$AB$43:$CI$98,'Dependency (hide)'!$G$20,ROW(A57)),INDEX('Reference dates (hide)'!$O$123:$AB$182,ROW(A57),'Dependency (hide)'!$G$20),INDEX('Reference dates (hide)'!$AB$96:$CI$96,ROW(A57)))</f>
        <v>0</v>
      </c>
      <c r="F199" s="32">
        <f>CHOOSE('Dependency (hide)'!$G$19,INDEX('Reference dates (hide)'!$CP$43:$EW$98,'Dependency (hide)'!$G$20,ROW(A57)),INDEX('Reference dates (hide)'!$O$184:$AB$243,ROW(A57),'Dependency (hide)'!$G$20),INDEX('Reference dates (hide)'!$CP$96:$EW$96,ROW(A57)))</f>
        <v>0</v>
      </c>
      <c r="G199" s="30"/>
      <c r="H199" s="32">
        <f>CHOOSE('Dependency (hide)'!$G$19,INDEX('Reference dates (hide)'!$HR$43:$JY$98,'Dependency (hide)'!$G$20,ROW(C57)),INDEX('Reference dates (hide)'!$O$245:$AB$304,ROW(C57),'Dependency (hide)'!$G$20),INDEX('Reference dates (hide)'!$HR$96:$JY$96,ROW(C57)))</f>
        <v>0</v>
      </c>
      <c r="I199" s="152"/>
      <c r="J199" s="32">
        <f>CHOOSE('Dependency (hide)'!$G$19,INDEX('Reference dates (hide)'!$FD$43:$HK$98,'Dependency (hide)'!$G$20,ROW(E57)),INDEX('Reference dates (hide)'!$O$321:$AB$380,ROW(E57),'Dependency (hide)'!$G$20),INDEX('Reference dates (hide)'!$FD$96:$HK$96,ROW(E57)))</f>
        <v>0</v>
      </c>
      <c r="K199" s="297">
        <f>CHOOSE('Dependency (hide)'!$G$19,INDEX('Reference dates (hide)'!$KF$43:$MM$98,'Dependency (hide)'!$G$20,ROW(F57)),INDEX('Reference dates (hide)'!$O$382:$AB$441,ROW(F57),'Dependency (hide)'!$G$20),INDEX('Reference dates (hide)'!$KF$96:$MM$96,ROW(F57)))</f>
        <v>0</v>
      </c>
      <c r="L199" s="298"/>
      <c r="M199" s="298"/>
      <c r="N199" s="299"/>
    </row>
    <row r="200" spans="1:14" ht="14.25" hidden="1" customHeight="1" x14ac:dyDescent="0.25">
      <c r="A200" s="79">
        <f t="shared" si="0"/>
        <v>20</v>
      </c>
      <c r="B200" s="301" t="str">
        <f>'Data files'!A35</f>
        <v xml:space="preserve">20. </v>
      </c>
      <c r="C200" s="302"/>
      <c r="D200" s="83" t="str">
        <f ca="1">IF(OFFSET('Control Sheet'!$I$45,$A200,MOD(ROW(A60),3),1,1)=0,"",OFFSET('Control Sheet'!$I$45,$A200,MOD(ROW(A60),3),1,1))</f>
        <v>0</v>
      </c>
      <c r="E200" s="52">
        <f>CHOOSE('Dependency (hide)'!$G$19,INDEX('Reference dates (hide)'!$AB$43:$CI$98,'Dependency (hide)'!$G$20,ROW(A58)),INDEX('Reference dates (hide)'!$O$123:$AB$182,ROW(A58),'Dependency (hide)'!$G$20),INDEX('Reference dates (hide)'!$AB$96:$CI$96,ROW(A58)))</f>
        <v>0</v>
      </c>
      <c r="F200" s="52">
        <f>CHOOSE('Dependency (hide)'!$G$19,INDEX('Reference dates (hide)'!$CP$43:$EW$98,'Dependency (hide)'!$G$20,ROW(A58)),INDEX('Reference dates (hide)'!$O$184:$AB$243,ROW(A58),'Dependency (hide)'!$G$20),INDEX('Reference dates (hide)'!$CP$96:$EW$96,ROW(A58)))</f>
        <v>0</v>
      </c>
      <c r="G200" s="30"/>
      <c r="H200" s="52">
        <f>CHOOSE('Dependency (hide)'!$G$19,INDEX('Reference dates (hide)'!$HR$43:$JY$98,'Dependency (hide)'!$G$20,ROW(C58)),INDEX('Reference dates (hide)'!$O$245:$AB$304,ROW(C58),'Dependency (hide)'!$G$20),INDEX('Reference dates (hide)'!$HR$96:$JY$96,ROW(C58)))</f>
        <v>0</v>
      </c>
      <c r="I200" s="152"/>
      <c r="J200" s="52">
        <f>CHOOSE('Dependency (hide)'!$G$19,INDEX('Reference dates (hide)'!$FD$43:$HK$98,'Dependency (hide)'!$G$20,ROW(E58)),INDEX('Reference dates (hide)'!$O$321:$AB$380,ROW(E58),'Dependency (hide)'!$G$20),INDEX('Reference dates (hide)'!$FD$96:$HK$96,ROW(E58)))</f>
        <v>0</v>
      </c>
      <c r="K200" s="293">
        <f>CHOOSE('Dependency (hide)'!$G$19,INDEX('Reference dates (hide)'!$KF$43:$MM$98,'Dependency (hide)'!$G$20,ROW(F58)),INDEX('Reference dates (hide)'!$O$382:$AB$441,ROW(F58),'Dependency (hide)'!$G$20),INDEX('Reference dates (hide)'!$KF$96:$MM$96,ROW(F58)))</f>
        <v>0</v>
      </c>
      <c r="L200" s="294"/>
      <c r="M200" s="294"/>
      <c r="N200" s="295"/>
    </row>
    <row r="201" spans="1:14" hidden="1" x14ac:dyDescent="0.25">
      <c r="A201" s="79">
        <f t="shared" si="0"/>
        <v>20</v>
      </c>
      <c r="B201" s="303"/>
      <c r="C201" s="304"/>
      <c r="D201" s="83" t="str">
        <f ca="1">IF(OFFSET('Control Sheet'!$I$45,$A201,MOD(ROW(A61),3),1,1)=0,"",OFFSET('Control Sheet'!$I$45,$A201,MOD(ROW(A61),3),1,1))</f>
        <v/>
      </c>
      <c r="E201" s="52">
        <f>CHOOSE('Dependency (hide)'!$G$19,INDEX('Reference dates (hide)'!$AB$43:$CI$98,'Dependency (hide)'!$G$20,ROW(A59)),INDEX('Reference dates (hide)'!$O$123:$AB$182,ROW(A59),'Dependency (hide)'!$G$20),INDEX('Reference dates (hide)'!$AB$96:$CI$96,ROW(A59)))</f>
        <v>0</v>
      </c>
      <c r="F201" s="52">
        <f>CHOOSE('Dependency (hide)'!$G$19,INDEX('Reference dates (hide)'!$CP$43:$EW$98,'Dependency (hide)'!$G$20,ROW(A59)),INDEX('Reference dates (hide)'!$O$184:$AB$243,ROW(A59),'Dependency (hide)'!$G$20),INDEX('Reference dates (hide)'!$CP$96:$EW$96,ROW(A59)))</f>
        <v>0</v>
      </c>
      <c r="G201" s="30"/>
      <c r="H201" s="52">
        <f>CHOOSE('Dependency (hide)'!$G$19,INDEX('Reference dates (hide)'!$HR$43:$JY$98,'Dependency (hide)'!$G$20,ROW(C59)),INDEX('Reference dates (hide)'!$O$245:$AB$304,ROW(C59),'Dependency (hide)'!$G$20),INDEX('Reference dates (hide)'!$HR$96:$JY$96,ROW(C59)))</f>
        <v>0</v>
      </c>
      <c r="I201" s="152"/>
      <c r="J201" s="52">
        <f>CHOOSE('Dependency (hide)'!$G$19,INDEX('Reference dates (hide)'!$FD$43:$HK$98,'Dependency (hide)'!$G$20,ROW(E59)),INDEX('Reference dates (hide)'!$O$321:$AB$380,ROW(E59),'Dependency (hide)'!$G$20),INDEX('Reference dates (hide)'!$FD$96:$HK$96,ROW(E59)))</f>
        <v>0</v>
      </c>
      <c r="K201" s="293">
        <f>CHOOSE('Dependency (hide)'!$G$19,INDEX('Reference dates (hide)'!$KF$43:$MM$98,'Dependency (hide)'!$G$20,ROW(F59)),INDEX('Reference dates (hide)'!$O$382:$AB$441,ROW(F59),'Dependency (hide)'!$G$20),INDEX('Reference dates (hide)'!$KF$96:$MM$96,ROW(F59)))</f>
        <v>0</v>
      </c>
      <c r="L201" s="294"/>
      <c r="M201" s="294"/>
      <c r="N201" s="295"/>
    </row>
    <row r="202" spans="1:14" hidden="1" x14ac:dyDescent="0.25">
      <c r="A202" s="79">
        <f t="shared" si="0"/>
        <v>20</v>
      </c>
      <c r="B202" s="305"/>
      <c r="C202" s="306"/>
      <c r="D202" s="83" t="str">
        <f ca="1">IF(OFFSET('Control Sheet'!$I$45,$A202,MOD(ROW(A62),3),1,1)=0,"",OFFSET('Control Sheet'!$I$45,$A202,MOD(ROW(A62),3),1,1))</f>
        <v/>
      </c>
      <c r="E202" s="52">
        <f>CHOOSE('Dependency (hide)'!$G$19,INDEX('Reference dates (hide)'!$AB$43:$CI$98,'Dependency (hide)'!$G$20,ROW(A60)),INDEX('Reference dates (hide)'!$O$123:$AB$182,ROW(A60),'Dependency (hide)'!$G$20),INDEX('Reference dates (hide)'!$AB$96:$CI$96,ROW(A60)))</f>
        <v>0</v>
      </c>
      <c r="F202" s="52">
        <f>CHOOSE('Dependency (hide)'!$G$19,INDEX('Reference dates (hide)'!$CP$43:$EW$98,'Dependency (hide)'!$G$20,ROW(A60)),INDEX('Reference dates (hide)'!$O$184:$AB$243,ROW(A60),'Dependency (hide)'!$G$20),INDEX('Reference dates (hide)'!$CP$96:$EW$96,ROW(A60)))</f>
        <v>0</v>
      </c>
      <c r="G202" s="30"/>
      <c r="H202" s="52">
        <f>CHOOSE('Dependency (hide)'!$G$19,INDEX('Reference dates (hide)'!$HR$43:$JY$98,'Dependency (hide)'!$G$20,ROW(C60)),INDEX('Reference dates (hide)'!$O$245:$AB$304,ROW(C60),'Dependency (hide)'!$G$20),INDEX('Reference dates (hide)'!$HR$96:$JY$96,ROW(C60)))</f>
        <v>0</v>
      </c>
      <c r="I202" s="152"/>
      <c r="J202" s="52">
        <f>CHOOSE('Dependency (hide)'!$G$19,INDEX('Reference dates (hide)'!$FD$43:$HK$98,'Dependency (hide)'!$G$20,ROW(E60)),INDEX('Reference dates (hide)'!$O$321:$AB$380,ROW(E60),'Dependency (hide)'!$G$20),INDEX('Reference dates (hide)'!$FD$96:$HK$96,ROW(E60)))</f>
        <v>0</v>
      </c>
      <c r="K202" s="293">
        <f>CHOOSE('Dependency (hide)'!$G$19,INDEX('Reference dates (hide)'!$KF$43:$MM$98,'Dependency (hide)'!$G$20,ROW(F60)),INDEX('Reference dates (hide)'!$O$382:$AB$441,ROW(F60),'Dependency (hide)'!$G$20),INDEX('Reference dates (hide)'!$KF$96:$MM$96,ROW(F60)))</f>
        <v>0</v>
      </c>
      <c r="L202" s="294"/>
      <c r="M202" s="294"/>
      <c r="N202" s="295"/>
    </row>
    <row r="203" spans="1:14" x14ac:dyDescent="0.25">
      <c r="A203" s="79"/>
      <c r="B203" s="90"/>
      <c r="C203" s="90"/>
      <c r="D203" s="91"/>
      <c r="E203" s="91"/>
      <c r="F203" s="91"/>
      <c r="I203" s="150"/>
      <c r="K203" s="296"/>
      <c r="L203" s="296"/>
      <c r="M203" s="296"/>
      <c r="N203" s="296"/>
    </row>
    <row r="204" spans="1:14" x14ac:dyDescent="0.25">
      <c r="A204" s="79"/>
      <c r="B204" s="80"/>
      <c r="C204" s="80"/>
      <c r="I204" s="150"/>
    </row>
    <row r="205" spans="1:14" x14ac:dyDescent="0.25">
      <c r="A205" s="79"/>
      <c r="B205" s="80"/>
      <c r="C205" s="80"/>
      <c r="I205" s="150"/>
    </row>
    <row r="206" spans="1:14" x14ac:dyDescent="0.25">
      <c r="A206" s="79"/>
      <c r="B206" s="80"/>
      <c r="C206" s="80"/>
      <c r="I206" s="150"/>
    </row>
    <row r="207" spans="1:14" x14ac:dyDescent="0.25">
      <c r="A207" s="79"/>
      <c r="B207" s="80"/>
      <c r="C207" s="80"/>
      <c r="I207" s="150"/>
    </row>
    <row r="208" spans="1:14" x14ac:dyDescent="0.25">
      <c r="A208" s="79"/>
      <c r="B208" s="80"/>
      <c r="C208" s="80"/>
      <c r="I208" s="150"/>
    </row>
    <row r="209" spans="1:9" x14ac:dyDescent="0.25">
      <c r="A209" s="79"/>
      <c r="B209" s="80"/>
      <c r="C209" s="80"/>
      <c r="I209" s="150"/>
    </row>
    <row r="210" spans="1:9" x14ac:dyDescent="0.25">
      <c r="A210" s="79"/>
      <c r="B210" s="80"/>
      <c r="C210" s="80"/>
      <c r="I210" s="150"/>
    </row>
    <row r="211" spans="1:9" x14ac:dyDescent="0.25">
      <c r="A211" s="79"/>
      <c r="B211" s="80"/>
      <c r="C211" s="80"/>
      <c r="I211" s="150"/>
    </row>
    <row r="212" spans="1:9" x14ac:dyDescent="0.25">
      <c r="A212" s="79"/>
      <c r="B212" s="80"/>
      <c r="C212" s="80"/>
    </row>
    <row r="213" spans="1:9" x14ac:dyDescent="0.25">
      <c r="A213" s="79"/>
      <c r="B213" s="80"/>
      <c r="C213" s="80"/>
    </row>
    <row r="214" spans="1:9" x14ac:dyDescent="0.25">
      <c r="A214" s="79"/>
      <c r="B214" s="80"/>
      <c r="C214" s="80"/>
    </row>
    <row r="215" spans="1:9" x14ac:dyDescent="0.25">
      <c r="A215" s="79"/>
      <c r="B215" s="80"/>
      <c r="C215" s="80"/>
    </row>
    <row r="216" spans="1:9" x14ac:dyDescent="0.25">
      <c r="A216" s="79"/>
      <c r="B216" s="80"/>
      <c r="C216" s="80"/>
    </row>
    <row r="217" spans="1:9" x14ac:dyDescent="0.25">
      <c r="A217" s="79"/>
      <c r="B217" s="80"/>
      <c r="C217" s="80"/>
    </row>
    <row r="218" spans="1:9" x14ac:dyDescent="0.25">
      <c r="A218" s="79"/>
      <c r="B218" s="80"/>
      <c r="C218" s="80"/>
    </row>
    <row r="219" spans="1:9" x14ac:dyDescent="0.25">
      <c r="A219" s="79"/>
      <c r="B219" s="80"/>
      <c r="C219" s="80"/>
    </row>
    <row r="220" spans="1:9" x14ac:dyDescent="0.25">
      <c r="A220" s="79"/>
      <c r="B220" s="80"/>
      <c r="C220" s="80"/>
    </row>
    <row r="221" spans="1:9" x14ac:dyDescent="0.25">
      <c r="A221" s="79"/>
      <c r="B221" s="80"/>
      <c r="C221" s="80"/>
    </row>
    <row r="222" spans="1:9" x14ac:dyDescent="0.25">
      <c r="A222" s="79"/>
      <c r="B222" s="80"/>
      <c r="C222" s="80"/>
    </row>
    <row r="223" spans="1:9" x14ac:dyDescent="0.25">
      <c r="A223" s="79"/>
      <c r="B223" s="80"/>
      <c r="C223" s="80"/>
    </row>
    <row r="224" spans="1:9" x14ac:dyDescent="0.25">
      <c r="A224" s="79"/>
      <c r="B224" s="80"/>
      <c r="C224" s="80"/>
    </row>
    <row r="225" spans="1:3" x14ac:dyDescent="0.25">
      <c r="A225" s="79"/>
      <c r="B225" s="80"/>
      <c r="C225" s="80"/>
    </row>
    <row r="226" spans="1:3" x14ac:dyDescent="0.25">
      <c r="A226" s="79"/>
      <c r="B226" s="80"/>
      <c r="C226" s="80"/>
    </row>
    <row r="227" spans="1:3" x14ac:dyDescent="0.25">
      <c r="A227" s="79"/>
      <c r="B227" s="80"/>
      <c r="C227" s="80"/>
    </row>
    <row r="228" spans="1:3" x14ac:dyDescent="0.25">
      <c r="A228" s="79"/>
      <c r="B228" s="80"/>
      <c r="C228" s="80"/>
    </row>
    <row r="229" spans="1:3" x14ac:dyDescent="0.25">
      <c r="A229" s="79"/>
      <c r="B229" s="80"/>
      <c r="C229" s="80"/>
    </row>
    <row r="230" spans="1:3" x14ac:dyDescent="0.25">
      <c r="A230" s="79"/>
      <c r="B230" s="80"/>
      <c r="C230" s="80"/>
    </row>
    <row r="231" spans="1:3" x14ac:dyDescent="0.25">
      <c r="A231" s="79"/>
      <c r="B231" s="80"/>
      <c r="C231" s="80"/>
    </row>
    <row r="232" spans="1:3" x14ac:dyDescent="0.25">
      <c r="A232" s="79"/>
      <c r="B232" s="80"/>
      <c r="C232" s="80"/>
    </row>
    <row r="233" spans="1:3" x14ac:dyDescent="0.25">
      <c r="A233" s="79"/>
      <c r="B233" s="80"/>
      <c r="C233" s="80"/>
    </row>
    <row r="234" spans="1:3" x14ac:dyDescent="0.25">
      <c r="A234" s="79"/>
      <c r="B234" s="80"/>
      <c r="C234" s="80"/>
    </row>
    <row r="235" spans="1:3" x14ac:dyDescent="0.25">
      <c r="A235" s="79"/>
      <c r="B235" s="80"/>
      <c r="C235" s="80"/>
    </row>
    <row r="236" spans="1:3" x14ac:dyDescent="0.25">
      <c r="A236" s="79"/>
      <c r="B236" s="80"/>
      <c r="C236" s="80"/>
    </row>
    <row r="237" spans="1:3" x14ac:dyDescent="0.25">
      <c r="A237" s="79"/>
      <c r="B237" s="80"/>
      <c r="C237" s="80"/>
    </row>
    <row r="238" spans="1:3" x14ac:dyDescent="0.25">
      <c r="A238" s="79"/>
      <c r="B238" s="80"/>
      <c r="C238" s="80"/>
    </row>
    <row r="239" spans="1:3" x14ac:dyDescent="0.25">
      <c r="A239" s="79"/>
      <c r="B239" s="80"/>
      <c r="C239" s="80"/>
    </row>
    <row r="240" spans="1:3" x14ac:dyDescent="0.25">
      <c r="A240" s="79"/>
      <c r="B240" s="80"/>
      <c r="C240" s="80"/>
    </row>
    <row r="241" spans="1:3" x14ac:dyDescent="0.25">
      <c r="A241" s="79"/>
      <c r="B241" s="80"/>
      <c r="C241" s="80"/>
    </row>
    <row r="242" spans="1:3" x14ac:dyDescent="0.25">
      <c r="A242" s="79"/>
      <c r="B242" s="80"/>
      <c r="C242" s="80"/>
    </row>
    <row r="243" spans="1:3" x14ac:dyDescent="0.25">
      <c r="B243"/>
      <c r="C243"/>
    </row>
  </sheetData>
  <dataConsolidate link="1"/>
  <mergeCells count="226">
    <mergeCell ref="J4:N4"/>
    <mergeCell ref="O4:R4"/>
    <mergeCell ref="O5:R5"/>
    <mergeCell ref="K27:R27"/>
    <mergeCell ref="B60:C64"/>
    <mergeCell ref="J5:N5"/>
    <mergeCell ref="J6:N6"/>
    <mergeCell ref="O6:R6"/>
    <mergeCell ref="K28:N28"/>
    <mergeCell ref="K29:N29"/>
    <mergeCell ref="K30:N30"/>
    <mergeCell ref="K31:N31"/>
    <mergeCell ref="K32:N32"/>
    <mergeCell ref="K33:N33"/>
    <mergeCell ref="K34:N34"/>
    <mergeCell ref="K35:N35"/>
    <mergeCell ref="D5:F5"/>
    <mergeCell ref="K36:N36"/>
    <mergeCell ref="K37:N37"/>
    <mergeCell ref="K38:N38"/>
    <mergeCell ref="K39:N39"/>
    <mergeCell ref="K40:N40"/>
    <mergeCell ref="K46:N46"/>
    <mergeCell ref="K47:N47"/>
    <mergeCell ref="B39:C39"/>
    <mergeCell ref="B125:C129"/>
    <mergeCell ref="B105:C109"/>
    <mergeCell ref="B110:C114"/>
    <mergeCell ref="B115:C119"/>
    <mergeCell ref="B120:C124"/>
    <mergeCell ref="B80:C84"/>
    <mergeCell ref="B85:C89"/>
    <mergeCell ref="B90:C94"/>
    <mergeCell ref="B95:C99"/>
    <mergeCell ref="B100:C104"/>
    <mergeCell ref="B70:C74"/>
    <mergeCell ref="B40:C44"/>
    <mergeCell ref="B45:C49"/>
    <mergeCell ref="B50:C54"/>
    <mergeCell ref="B65:C69"/>
    <mergeCell ref="B55:C59"/>
    <mergeCell ref="B182:C184"/>
    <mergeCell ref="B185:C187"/>
    <mergeCell ref="B188:C190"/>
    <mergeCell ref="B191:C193"/>
    <mergeCell ref="B194:C196"/>
    <mergeCell ref="B197:C199"/>
    <mergeCell ref="B200:C202"/>
    <mergeCell ref="B142:C142"/>
    <mergeCell ref="B75:C79"/>
    <mergeCell ref="B130:C134"/>
    <mergeCell ref="B155:C157"/>
    <mergeCell ref="B158:C160"/>
    <mergeCell ref="B161:C163"/>
    <mergeCell ref="B164:C166"/>
    <mergeCell ref="B167:C169"/>
    <mergeCell ref="B170:C172"/>
    <mergeCell ref="B173:C175"/>
    <mergeCell ref="B176:C178"/>
    <mergeCell ref="B179:C181"/>
    <mergeCell ref="B143:C145"/>
    <mergeCell ref="B146:C148"/>
    <mergeCell ref="B149:C151"/>
    <mergeCell ref="B152:C154"/>
    <mergeCell ref="B135:C139"/>
    <mergeCell ref="K48:N48"/>
    <mergeCell ref="K49:N49"/>
    <mergeCell ref="K50:N50"/>
    <mergeCell ref="K41:N41"/>
    <mergeCell ref="K42:N42"/>
    <mergeCell ref="K43:N43"/>
    <mergeCell ref="K44:N44"/>
    <mergeCell ref="K45:N45"/>
    <mergeCell ref="K56:N56"/>
    <mergeCell ref="K57:N57"/>
    <mergeCell ref="K58:N58"/>
    <mergeCell ref="K59:N59"/>
    <mergeCell ref="K60:N60"/>
    <mergeCell ref="K51:N51"/>
    <mergeCell ref="K52:N52"/>
    <mergeCell ref="K53:N53"/>
    <mergeCell ref="K54:N54"/>
    <mergeCell ref="K55:N55"/>
    <mergeCell ref="K66:N66"/>
    <mergeCell ref="K67:N67"/>
    <mergeCell ref="K68:N68"/>
    <mergeCell ref="K69:N69"/>
    <mergeCell ref="K70:N70"/>
    <mergeCell ref="K61:N61"/>
    <mergeCell ref="K62:N62"/>
    <mergeCell ref="K63:N63"/>
    <mergeCell ref="K64:N64"/>
    <mergeCell ref="K65:N65"/>
    <mergeCell ref="K76:N76"/>
    <mergeCell ref="K77:N77"/>
    <mergeCell ref="K78:N78"/>
    <mergeCell ref="K79:N79"/>
    <mergeCell ref="K80:N80"/>
    <mergeCell ref="K71:N71"/>
    <mergeCell ref="K72:N72"/>
    <mergeCell ref="K73:N73"/>
    <mergeCell ref="K74:N74"/>
    <mergeCell ref="K75:N75"/>
    <mergeCell ref="K86:N86"/>
    <mergeCell ref="K87:N87"/>
    <mergeCell ref="K88:N88"/>
    <mergeCell ref="K89:N89"/>
    <mergeCell ref="K90:N90"/>
    <mergeCell ref="K81:N81"/>
    <mergeCell ref="K82:N82"/>
    <mergeCell ref="K83:N83"/>
    <mergeCell ref="K84:N84"/>
    <mergeCell ref="K85:N85"/>
    <mergeCell ref="K96:N96"/>
    <mergeCell ref="K97:N97"/>
    <mergeCell ref="K98:N98"/>
    <mergeCell ref="K99:N99"/>
    <mergeCell ref="K100:N100"/>
    <mergeCell ref="K91:N91"/>
    <mergeCell ref="K92:N92"/>
    <mergeCell ref="K93:N93"/>
    <mergeCell ref="K94:N94"/>
    <mergeCell ref="K95:N95"/>
    <mergeCell ref="K106:N106"/>
    <mergeCell ref="K107:N107"/>
    <mergeCell ref="K108:N108"/>
    <mergeCell ref="K109:N109"/>
    <mergeCell ref="K110:N110"/>
    <mergeCell ref="K101:N101"/>
    <mergeCell ref="K102:N102"/>
    <mergeCell ref="K103:N103"/>
    <mergeCell ref="K104:N104"/>
    <mergeCell ref="K105:N105"/>
    <mergeCell ref="K116:N116"/>
    <mergeCell ref="K117:N117"/>
    <mergeCell ref="K118:N118"/>
    <mergeCell ref="K119:N119"/>
    <mergeCell ref="K120:N120"/>
    <mergeCell ref="K111:N111"/>
    <mergeCell ref="K112:N112"/>
    <mergeCell ref="K113:N113"/>
    <mergeCell ref="K114:N114"/>
    <mergeCell ref="K115:N115"/>
    <mergeCell ref="K126:N126"/>
    <mergeCell ref="K127:N127"/>
    <mergeCell ref="K128:N128"/>
    <mergeCell ref="K129:N129"/>
    <mergeCell ref="K130:N130"/>
    <mergeCell ref="K121:N121"/>
    <mergeCell ref="K122:N122"/>
    <mergeCell ref="K123:N123"/>
    <mergeCell ref="K124:N124"/>
    <mergeCell ref="K125:N125"/>
    <mergeCell ref="K136:N136"/>
    <mergeCell ref="K137:N137"/>
    <mergeCell ref="K138:N138"/>
    <mergeCell ref="K139:N139"/>
    <mergeCell ref="K140:N140"/>
    <mergeCell ref="K131:N131"/>
    <mergeCell ref="K132:N132"/>
    <mergeCell ref="K133:N133"/>
    <mergeCell ref="K134:N134"/>
    <mergeCell ref="K135:N135"/>
    <mergeCell ref="K146:N146"/>
    <mergeCell ref="K147:N147"/>
    <mergeCell ref="K148:N148"/>
    <mergeCell ref="K149:N149"/>
    <mergeCell ref="K150:N150"/>
    <mergeCell ref="K141:N141"/>
    <mergeCell ref="K142:N142"/>
    <mergeCell ref="K143:N143"/>
    <mergeCell ref="K144:N144"/>
    <mergeCell ref="K145:N145"/>
    <mergeCell ref="K156:N156"/>
    <mergeCell ref="K157:N157"/>
    <mergeCell ref="K158:N158"/>
    <mergeCell ref="K159:N159"/>
    <mergeCell ref="K160:N160"/>
    <mergeCell ref="K151:N151"/>
    <mergeCell ref="K152:N152"/>
    <mergeCell ref="K153:N153"/>
    <mergeCell ref="K154:N154"/>
    <mergeCell ref="K155:N155"/>
    <mergeCell ref="K166:N166"/>
    <mergeCell ref="K167:N167"/>
    <mergeCell ref="K168:N168"/>
    <mergeCell ref="K169:N169"/>
    <mergeCell ref="K170:N170"/>
    <mergeCell ref="K161:N161"/>
    <mergeCell ref="K162:N162"/>
    <mergeCell ref="K163:N163"/>
    <mergeCell ref="K164:N164"/>
    <mergeCell ref="K165:N165"/>
    <mergeCell ref="K176:N176"/>
    <mergeCell ref="K177:N177"/>
    <mergeCell ref="K178:N178"/>
    <mergeCell ref="K179:N179"/>
    <mergeCell ref="K180:N180"/>
    <mergeCell ref="K171:N171"/>
    <mergeCell ref="K172:N172"/>
    <mergeCell ref="K173:N173"/>
    <mergeCell ref="K174:N174"/>
    <mergeCell ref="K175:N175"/>
    <mergeCell ref="K186:N186"/>
    <mergeCell ref="K187:N187"/>
    <mergeCell ref="K188:N188"/>
    <mergeCell ref="K189:N189"/>
    <mergeCell ref="K190:N190"/>
    <mergeCell ref="K181:N181"/>
    <mergeCell ref="K182:N182"/>
    <mergeCell ref="K183:N183"/>
    <mergeCell ref="K184:N184"/>
    <mergeCell ref="K185:N185"/>
    <mergeCell ref="K201:N201"/>
    <mergeCell ref="K202:N202"/>
    <mergeCell ref="K203:N203"/>
    <mergeCell ref="K196:N196"/>
    <mergeCell ref="K197:N197"/>
    <mergeCell ref="K198:N198"/>
    <mergeCell ref="K199:N199"/>
    <mergeCell ref="K200:N200"/>
    <mergeCell ref="K191:N191"/>
    <mergeCell ref="K192:N192"/>
    <mergeCell ref="K193:N193"/>
    <mergeCell ref="K194:N194"/>
    <mergeCell ref="K195:N195"/>
  </mergeCells>
  <conditionalFormatting sqref="R26">
    <cfRule type="expression" dxfId="7" priority="14">
      <formula>R26=3</formula>
    </cfRule>
    <cfRule type="expression" dxfId="6" priority="15">
      <formula>R26=2</formula>
    </cfRule>
    <cfRule type="expression" dxfId="5" priority="16">
      <formula>R26=1</formula>
    </cfRule>
  </conditionalFormatting>
  <conditionalFormatting sqref="T15:T16">
    <cfRule type="expression" dxfId="4" priority="9">
      <formula>IF(OR(LEFT($T$8,3)="Lin",$O$6="Year"),1,0)</formula>
    </cfRule>
  </conditionalFormatting>
  <conditionalFormatting sqref="H29:H33 D29:F33 J29:N33">
    <cfRule type="expression" dxfId="3" priority="8">
      <formula>IF(AND($O$5&lt;&gt;"Total",$O$4&lt;&gt;"POD"),IF(ROW(A1)&lt;=COUNTA(Aggregate_ProcessPOD_Picks),1,0),1)</formula>
    </cfRule>
  </conditionalFormatting>
  <conditionalFormatting sqref="T10:T13">
    <cfRule type="expression" dxfId="2" priority="1">
      <formula>IF(LEFT($T$8,3)="Bar",1,0)</formula>
    </cfRule>
  </conditionalFormatting>
  <dataValidations count="1">
    <dataValidation type="list" allowBlank="1" showInputMessage="1" showErrorMessage="1" sqref="O5" xr:uid="{00000000-0002-0000-0C00-000001000000}">
      <formula1>Range_Process_Select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4" r:id="rId4" name="Scroll_BarTime">
              <controlPr defaultSize="0" autoPict="0" macro="[0]!Sheet30.Scroll_BarTime_Change">
                <anchor moveWithCells="1">
                  <from>
                    <xdr:col>0</xdr:col>
                    <xdr:colOff>0</xdr:colOff>
                    <xdr:row>24</xdr:row>
                    <xdr:rowOff>0</xdr:rowOff>
                  </from>
                  <to>
                    <xdr:col>16</xdr:col>
                    <xdr:colOff>579120</xdr:colOff>
                    <xdr:row>25</xdr:row>
                    <xdr:rowOff>0</xdr:rowOff>
                  </to>
                </anchor>
              </controlPr>
            </control>
          </mc:Choice>
        </mc:AlternateContent>
        <mc:AlternateContent xmlns:mc="http://schemas.openxmlformats.org/markup-compatibility/2006">
          <mc:Choice Requires="x14">
            <control shapeId="79878" r:id="rId5" name="Button_ShowAnimation">
              <controlPr defaultSize="0" print="0" autoFill="0" autoPict="0" macro="[0]!Sheet30.animate_Chart">
                <anchor moveWithCells="1" sizeWithCells="1">
                  <from>
                    <xdr:col>19</xdr:col>
                    <xdr:colOff>0</xdr:colOff>
                    <xdr:row>20</xdr:row>
                    <xdr:rowOff>76200</xdr:rowOff>
                  </from>
                  <to>
                    <xdr:col>19</xdr:col>
                    <xdr:colOff>1371600</xdr:colOff>
                    <xdr:row>22</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745CC866-04DE-43C7-9306-9986D222EEB0}">
          <x14:formula1>
            <xm:f>IF(LEFT(Show_By,3)="Lin",IF(AND($O$4="Process",Aggregate_Process_Select&gt;0),Aggregate_ProcessPOD_Picks,IF('Data files'!$E$11="Yes",'Control Sheet'!$H$7:$H$11,'Control Sheet'!$H$2:$H$4)),$B$1)</xm:f>
          </x14:formula1>
          <xm:sqref>T12</xm:sqref>
        </x14:dataValidation>
        <x14:dataValidation type="list" allowBlank="1" showInputMessage="1" showErrorMessage="1" xr:uid="{00000000-0002-0000-0C00-000000000000}">
          <x14:formula1>
            <xm:f>'Control Sheet'!$B$22:$B$23</xm:f>
          </x14:formula1>
          <xm:sqref>D5</xm:sqref>
        </x14:dataValidation>
        <x14:dataValidation type="list" allowBlank="1" showInputMessage="1" showErrorMessage="1" xr:uid="{00000000-0002-0000-0C00-000002000000}">
          <x14:formula1>
            <xm:f>'Control Sheet'!$B$26:$B$27</xm:f>
          </x14:formula1>
          <xm:sqref>O4</xm:sqref>
        </x14:dataValidation>
        <x14:dataValidation type="list" allowBlank="1" showInputMessage="1" showErrorMessage="1" xr:uid="{3947BB67-786F-4209-9B78-84D88F31143E}">
          <x14:formula1>
            <xm:f>'Control Sheet'!$H$19:$H$21</xm:f>
          </x14:formula1>
          <xm:sqref>O6:R6</xm:sqref>
        </x14:dataValidation>
        <x14:dataValidation type="list" allowBlank="1" showInputMessage="1" showErrorMessage="1" xr:uid="{C3C2661E-3692-4E31-9AEE-2DF66DC5C02A}">
          <x14:formula1>
            <xm:f>CHOOSE('Dependency (hide)'!$G$19,'Control Sheet'!$I$16:$I$17,'Control Sheet'!$I$20:$I$21,'Control Sheet'!$J$19:$J$21)</xm:f>
          </x14:formula1>
          <xm:sqref>T8</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ED6BA8-2D1D-452E-BCCB-724FCCC6EE8F}">
  <sheetPr codeName="Sheet26"/>
  <dimension ref="A2:AG204"/>
  <sheetViews>
    <sheetView showGridLines="0" showRowColHeaders="0" topLeftCell="C1" workbookViewId="0">
      <selection activeCell="E3" sqref="E3:F3"/>
    </sheetView>
  </sheetViews>
  <sheetFormatPr defaultRowHeight="13.8" x14ac:dyDescent="0.25"/>
  <cols>
    <col min="1" max="2" width="8.796875" hidden="1" customWidth="1"/>
    <col min="3" max="4" width="17.69921875" customWidth="1"/>
    <col min="5" max="9" width="9.69921875" customWidth="1"/>
    <col min="10" max="11" width="11.69921875" customWidth="1"/>
    <col min="12" max="16" width="9.69921875" customWidth="1"/>
    <col min="17" max="17" width="8.796875" customWidth="1"/>
    <col min="18" max="18" width="8.796875" hidden="1" customWidth="1"/>
    <col min="19" max="19" width="29.59765625" hidden="1" customWidth="1"/>
    <col min="20" max="20" width="15" hidden="1" customWidth="1"/>
    <col min="21" max="33" width="8.69921875" hidden="1" customWidth="1"/>
    <col min="34" max="34" width="8.69921875" customWidth="1"/>
  </cols>
  <sheetData>
    <row r="2" spans="2:33" x14ac:dyDescent="0.25">
      <c r="C2" s="26" t="str">
        <f>'Data files'!D4&amp;IF('Data files'!D4&lt;&gt;"",", ","")&amp;'Data files'!D7&amp;IF(ISERROR(FIND("SERVICE",UPPER('Data files'!D7),1))=FALSE,""," Service")</f>
        <v>Test Trust, Test service</v>
      </c>
      <c r="D2" s="27"/>
      <c r="E2" s="27"/>
      <c r="F2" s="27"/>
      <c r="G2" s="27"/>
      <c r="H2" s="27"/>
      <c r="I2" s="27"/>
      <c r="J2" s="27"/>
      <c r="K2" s="27"/>
      <c r="L2" s="27"/>
      <c r="M2" s="27"/>
      <c r="N2" s="27"/>
      <c r="O2" s="27"/>
      <c r="P2" s="27"/>
      <c r="Q2" s="27"/>
      <c r="S2" s="26" t="str">
        <f>'Data files'!T4&amp;IF('Data files'!T4&lt;&gt;"",", ","")&amp;'Data files'!T7&amp;IF(ISERROR(FIND("SERVICE",UPPER('Data files'!T7),1))=FALSE,""," Service")</f>
        <v xml:space="preserve"> Service</v>
      </c>
      <c r="T2" s="27"/>
      <c r="U2" s="27"/>
      <c r="V2" s="27"/>
      <c r="W2" s="27"/>
      <c r="X2" s="27"/>
      <c r="Y2" s="27"/>
      <c r="Z2" s="27"/>
      <c r="AA2" s="27"/>
      <c r="AB2" s="27"/>
      <c r="AC2" s="27"/>
      <c r="AD2" s="27"/>
      <c r="AE2" s="27"/>
      <c r="AF2" s="27"/>
      <c r="AG2" s="27"/>
    </row>
    <row r="3" spans="2:33" x14ac:dyDescent="0.25">
      <c r="C3" s="1" t="s">
        <v>1235</v>
      </c>
      <c r="E3" s="337" t="s">
        <v>986</v>
      </c>
      <c r="F3" s="338"/>
      <c r="H3" s="334" t="s">
        <v>1465</v>
      </c>
      <c r="I3" s="334"/>
      <c r="J3" s="334"/>
      <c r="K3" s="334"/>
      <c r="L3" s="335" t="s">
        <v>18</v>
      </c>
      <c r="S3" s="1" t="s">
        <v>1235</v>
      </c>
      <c r="U3" s="337" t="s">
        <v>986</v>
      </c>
      <c r="V3" s="338"/>
    </row>
    <row r="4" spans="2:33" x14ac:dyDescent="0.25">
      <c r="C4" s="339" t="s">
        <v>1319</v>
      </c>
      <c r="D4" s="340"/>
      <c r="E4" s="342" t="s">
        <v>982</v>
      </c>
      <c r="F4" s="343"/>
      <c r="H4" s="334"/>
      <c r="I4" s="334"/>
      <c r="J4" s="334"/>
      <c r="K4" s="334"/>
      <c r="L4" s="336"/>
    </row>
    <row r="5" spans="2:33" ht="14.4" x14ac:dyDescent="0.3">
      <c r="C5" s="1" t="s">
        <v>1440</v>
      </c>
      <c r="D5" s="156"/>
      <c r="E5" s="10" t="str">
        <f>'Data files'!$H$9&amp;" ("&amp;'Data files'!$G$9&amp;")"</f>
        <v>2020 (Calendar year)</v>
      </c>
    </row>
    <row r="6" spans="2:33" x14ac:dyDescent="0.25">
      <c r="C6" s="204"/>
      <c r="D6" s="195"/>
      <c r="E6" s="195"/>
      <c r="F6" s="195"/>
      <c r="G6" s="195"/>
      <c r="H6" s="195"/>
      <c r="I6" s="195"/>
      <c r="J6" s="194"/>
      <c r="K6" s="195"/>
      <c r="L6" s="195"/>
      <c r="M6" s="195"/>
    </row>
    <row r="7" spans="2:33" x14ac:dyDescent="0.25">
      <c r="C7" s="194"/>
      <c r="D7" s="195"/>
      <c r="E7" s="195"/>
      <c r="F7" s="194"/>
      <c r="G7" s="194"/>
      <c r="H7" s="194"/>
      <c r="I7" s="195"/>
      <c r="J7" s="195"/>
      <c r="K7" s="194"/>
      <c r="L7" s="194"/>
      <c r="M7" s="195"/>
    </row>
    <row r="8" spans="2:33" x14ac:dyDescent="0.25">
      <c r="E8" s="206">
        <f>'Reference dates (hide)'!O40</f>
        <v>2020</v>
      </c>
      <c r="F8" s="207" t="str">
        <f>'Reference dates (hide)'!P40</f>
        <v/>
      </c>
      <c r="G8" s="207" t="str">
        <f>'Reference dates (hide)'!Q40</f>
        <v/>
      </c>
      <c r="H8" s="207" t="str">
        <f>'Reference dates (hide)'!R40</f>
        <v/>
      </c>
      <c r="I8" s="207" t="str">
        <f>'Reference dates (hide)'!S40</f>
        <v/>
      </c>
      <c r="J8" s="207" t="str">
        <f>'Reference dates (hide)'!T40</f>
        <v/>
      </c>
      <c r="K8" s="207" t="str">
        <f>'Reference dates (hide)'!U40</f>
        <v/>
      </c>
      <c r="L8" s="207" t="str">
        <f>'Reference dates (hide)'!V40</f>
        <v/>
      </c>
      <c r="M8" s="207" t="str">
        <f>'Reference dates (hide)'!W40</f>
        <v/>
      </c>
      <c r="N8" s="207" t="str">
        <f>'Reference dates (hide)'!X40</f>
        <v/>
      </c>
      <c r="O8" s="207" t="str">
        <f>'Reference dates (hide)'!Y40</f>
        <v/>
      </c>
      <c r="P8" s="207" t="str">
        <f>'Reference dates (hide)'!Z40</f>
        <v/>
      </c>
      <c r="Q8" s="332" t="s">
        <v>982</v>
      </c>
    </row>
    <row r="9" spans="2:33" x14ac:dyDescent="0.25">
      <c r="B9">
        <f t="array" ref="B9:B20">YEAR(TRANSPOSE(Current_Months))</f>
        <v>2020</v>
      </c>
      <c r="C9" s="1" t="s">
        <v>986</v>
      </c>
      <c r="E9" s="205" t="str">
        <f>'Reference dates (hide)'!O41</f>
        <v>Jan</v>
      </c>
      <c r="F9" s="205" t="str">
        <f>'Reference dates (hide)'!P41</f>
        <v>Feb</v>
      </c>
      <c r="G9" s="205" t="str">
        <f>'Reference dates (hide)'!Q41</f>
        <v>Mar</v>
      </c>
      <c r="H9" s="205" t="str">
        <f>'Reference dates (hide)'!R41</f>
        <v>Apr</v>
      </c>
      <c r="I9" s="205" t="str">
        <f>'Reference dates (hide)'!S41</f>
        <v>May</v>
      </c>
      <c r="J9" s="205" t="str">
        <f>'Reference dates (hide)'!T41</f>
        <v>Jun</v>
      </c>
      <c r="K9" s="205" t="str">
        <f>'Reference dates (hide)'!U41</f>
        <v>Jul</v>
      </c>
      <c r="L9" s="205" t="str">
        <f>'Reference dates (hide)'!V41</f>
        <v>Aug</v>
      </c>
      <c r="M9" s="205" t="str">
        <f>'Reference dates (hide)'!W41</f>
        <v>Sep</v>
      </c>
      <c r="N9" s="205" t="str">
        <f>'Reference dates (hide)'!X41</f>
        <v>Oct</v>
      </c>
      <c r="O9" s="205" t="str">
        <f>'Reference dates (hide)'!Y41</f>
        <v>Nov</v>
      </c>
      <c r="P9" s="206" t="str">
        <f>'Reference dates (hide)'!Z41</f>
        <v>Dec</v>
      </c>
      <c r="Q9" s="333"/>
    </row>
    <row r="10" spans="2:33" x14ac:dyDescent="0.25">
      <c r="B10">
        <v>2020</v>
      </c>
      <c r="C10" s="341" t="s">
        <v>815</v>
      </c>
      <c r="D10" s="154" t="s">
        <v>1320</v>
      </c>
      <c r="E10" s="201">
        <f t="array" aca="1" ref="E10:P10" ca="1">INDEX(Aggregate_Table_Monthly,((MATCH($E$4,Range_Process_Select,0)-1)*5)+1,0)</f>
        <v>1940.8571977362626</v>
      </c>
      <c r="F10" s="201">
        <f ca="1"/>
        <v>1552.6857581890101</v>
      </c>
      <c r="G10" s="201">
        <f ca="1"/>
        <v>1707.9543340079113</v>
      </c>
      <c r="H10" s="201">
        <f ca="1"/>
        <v>1707.954334007911</v>
      </c>
      <c r="I10" s="201">
        <f ca="1"/>
        <v>1630.3200460984606</v>
      </c>
      <c r="J10" s="201">
        <f ca="1"/>
        <v>1707.9543340079113</v>
      </c>
      <c r="K10" s="201">
        <f ca="1"/>
        <v>1785.5886219173615</v>
      </c>
      <c r="L10" s="201">
        <f ca="1"/>
        <v>1552.6857581890101</v>
      </c>
      <c r="M10" s="201">
        <f ca="1"/>
        <v>1785.5886219173617</v>
      </c>
      <c r="N10" s="201">
        <f ca="1"/>
        <v>1707.954334007911</v>
      </c>
      <c r="O10" s="201">
        <f ca="1"/>
        <v>1630.3200460984606</v>
      </c>
      <c r="P10" s="201">
        <f ca="1"/>
        <v>1863.2229098268119</v>
      </c>
      <c r="Q10" s="201">
        <f ca="1">SUM(E10:P10)</f>
        <v>20573.086296004381</v>
      </c>
    </row>
    <row r="11" spans="2:33" x14ac:dyDescent="0.25">
      <c r="B11">
        <v>2020</v>
      </c>
      <c r="C11" s="341"/>
      <c r="D11" s="202" t="s">
        <v>1390</v>
      </c>
      <c r="E11" s="203">
        <f t="array" aca="1" ref="E11:P11" ca="1">INDEX(Aggregate_Table_WL_Monthly,((MATCH($E$4,Range_Process_Select,0)-1)*5)+1,0)</f>
        <v>0</v>
      </c>
      <c r="F11" s="203">
        <f ca="1"/>
        <v>0</v>
      </c>
      <c r="G11" s="203">
        <f ca="1"/>
        <v>0</v>
      </c>
      <c r="H11" s="203">
        <f ca="1"/>
        <v>0</v>
      </c>
      <c r="I11" s="203">
        <f ca="1"/>
        <v>0</v>
      </c>
      <c r="J11" s="203">
        <f ca="1"/>
        <v>0</v>
      </c>
      <c r="K11" s="203">
        <f ca="1"/>
        <v>0</v>
      </c>
      <c r="L11" s="203">
        <f ca="1"/>
        <v>0</v>
      </c>
      <c r="M11" s="203">
        <f ca="1"/>
        <v>0</v>
      </c>
      <c r="N11" s="203">
        <f ca="1"/>
        <v>0</v>
      </c>
      <c r="O11" s="203">
        <f ca="1"/>
        <v>0</v>
      </c>
      <c r="P11" s="203">
        <f ca="1"/>
        <v>0</v>
      </c>
      <c r="Q11" s="203">
        <f ca="1">SUM(E11:P11)</f>
        <v>0</v>
      </c>
    </row>
    <row r="12" spans="2:33" x14ac:dyDescent="0.25">
      <c r="B12">
        <v>2020</v>
      </c>
      <c r="C12" s="1"/>
      <c r="E12" s="8"/>
      <c r="F12" s="8"/>
      <c r="G12" s="8"/>
      <c r="H12" s="8"/>
      <c r="I12" s="8"/>
      <c r="J12" s="8"/>
      <c r="K12" s="8"/>
      <c r="L12" s="8"/>
      <c r="M12" s="8"/>
      <c r="N12" s="8"/>
      <c r="O12" s="8"/>
      <c r="P12" s="8"/>
      <c r="Q12" s="8"/>
    </row>
    <row r="13" spans="2:33" ht="13.8" customHeight="1" x14ac:dyDescent="0.25">
      <c r="B13">
        <v>2020</v>
      </c>
      <c r="C13" s="341" t="s">
        <v>1441</v>
      </c>
      <c r="D13" s="154" t="s">
        <v>1320</v>
      </c>
      <c r="E13" s="201">
        <f t="array" aca="1" ref="E13:P13" ca="1">INDEX(Aggregate_Table_Monthly,((MATCH($E$4,Range_Process_Select,0)-1)*5)+2,0)</f>
        <v>0</v>
      </c>
      <c r="F13" s="201">
        <f ca="1"/>
        <v>0</v>
      </c>
      <c r="G13" s="201">
        <f ca="1"/>
        <v>0</v>
      </c>
      <c r="H13" s="201">
        <f ca="1"/>
        <v>0</v>
      </c>
      <c r="I13" s="201">
        <f ca="1"/>
        <v>0</v>
      </c>
      <c r="J13" s="201">
        <f ca="1"/>
        <v>0</v>
      </c>
      <c r="K13" s="201">
        <f ca="1"/>
        <v>0</v>
      </c>
      <c r="L13" s="201">
        <f ca="1"/>
        <v>0</v>
      </c>
      <c r="M13" s="201">
        <f ca="1"/>
        <v>0</v>
      </c>
      <c r="N13" s="201">
        <f ca="1"/>
        <v>0</v>
      </c>
      <c r="O13" s="201">
        <f ca="1"/>
        <v>0</v>
      </c>
      <c r="P13" s="201">
        <f ca="1"/>
        <v>0</v>
      </c>
      <c r="Q13" s="201">
        <f t="shared" ref="Q13:Q14" ca="1" si="0">SUM(E13:P13)</f>
        <v>0</v>
      </c>
    </row>
    <row r="14" spans="2:33" x14ac:dyDescent="0.25">
      <c r="B14">
        <v>2020</v>
      </c>
      <c r="C14" s="341"/>
      <c r="D14" s="202" t="s">
        <v>1390</v>
      </c>
      <c r="E14" s="203">
        <f t="array" aca="1" ref="E14:P14" ca="1">INDEX(Aggregate_Table_WL_Monthly,((MATCH($E$4,Range_Process_Select,0)-1)*5)+2,0)</f>
        <v>0</v>
      </c>
      <c r="F14" s="203">
        <f ca="1"/>
        <v>0</v>
      </c>
      <c r="G14" s="203">
        <f ca="1"/>
        <v>0</v>
      </c>
      <c r="H14" s="203">
        <f ca="1"/>
        <v>0</v>
      </c>
      <c r="I14" s="203">
        <f ca="1"/>
        <v>0</v>
      </c>
      <c r="J14" s="203">
        <f ca="1"/>
        <v>0</v>
      </c>
      <c r="K14" s="203">
        <f ca="1"/>
        <v>0</v>
      </c>
      <c r="L14" s="203">
        <f ca="1"/>
        <v>0</v>
      </c>
      <c r="M14" s="203">
        <f ca="1"/>
        <v>0</v>
      </c>
      <c r="N14" s="203">
        <f ca="1"/>
        <v>0</v>
      </c>
      <c r="O14" s="203">
        <f ca="1"/>
        <v>0</v>
      </c>
      <c r="P14" s="203">
        <f ca="1"/>
        <v>0</v>
      </c>
      <c r="Q14" s="203">
        <f t="shared" ca="1" si="0"/>
        <v>0</v>
      </c>
    </row>
    <row r="15" spans="2:33" x14ac:dyDescent="0.25">
      <c r="B15">
        <v>2020</v>
      </c>
      <c r="C15" s="1"/>
      <c r="E15" s="8"/>
      <c r="F15" s="8"/>
      <c r="G15" s="8"/>
      <c r="H15" s="8"/>
      <c r="I15" s="8"/>
      <c r="J15" s="8"/>
      <c r="K15" s="8"/>
      <c r="L15" s="8"/>
      <c r="M15" s="8"/>
      <c r="N15" s="8"/>
      <c r="O15" s="8"/>
      <c r="P15" s="8"/>
      <c r="Q15" s="8"/>
    </row>
    <row r="16" spans="2:33" x14ac:dyDescent="0.25">
      <c r="B16">
        <v>2020</v>
      </c>
      <c r="C16" s="341" t="s">
        <v>991</v>
      </c>
      <c r="D16" s="154" t="s">
        <v>1320</v>
      </c>
      <c r="E16" s="201">
        <f t="array" aca="1" ref="E16:P16" ca="1">INDEX(Aggregate_Table_Monthly,((MATCH($E$4,Range_Process_Select,0)-1)*5)+3,0)</f>
        <v>0</v>
      </c>
      <c r="F16" s="201">
        <f ca="1"/>
        <v>0</v>
      </c>
      <c r="G16" s="201">
        <f ca="1"/>
        <v>0</v>
      </c>
      <c r="H16" s="201">
        <f ca="1"/>
        <v>0</v>
      </c>
      <c r="I16" s="201">
        <f ca="1"/>
        <v>0</v>
      </c>
      <c r="J16" s="201">
        <f ca="1"/>
        <v>0</v>
      </c>
      <c r="K16" s="201">
        <f ca="1"/>
        <v>0</v>
      </c>
      <c r="L16" s="201">
        <f ca="1"/>
        <v>0</v>
      </c>
      <c r="M16" s="201">
        <f ca="1"/>
        <v>0</v>
      </c>
      <c r="N16" s="201">
        <f ca="1"/>
        <v>0</v>
      </c>
      <c r="O16" s="201">
        <f ca="1"/>
        <v>0</v>
      </c>
      <c r="P16" s="201">
        <f ca="1"/>
        <v>0</v>
      </c>
      <c r="Q16" s="201">
        <f t="shared" ref="Q16:Q17" ca="1" si="1">SUM(E16:P16)</f>
        <v>0</v>
      </c>
    </row>
    <row r="17" spans="2:17" x14ac:dyDescent="0.25">
      <c r="B17">
        <v>2020</v>
      </c>
      <c r="C17" s="341"/>
      <c r="D17" s="202" t="s">
        <v>1390</v>
      </c>
      <c r="E17" s="203">
        <f t="array" aca="1" ref="E17:P17" ca="1">INDEX(Aggregate_Table_WL_Monthly,((MATCH($E$4,Range_Process_Select,0)-1)*5)+3,0)</f>
        <v>0</v>
      </c>
      <c r="F17" s="203">
        <f ca="1"/>
        <v>0</v>
      </c>
      <c r="G17" s="203">
        <f ca="1"/>
        <v>0</v>
      </c>
      <c r="H17" s="203">
        <f ca="1"/>
        <v>0</v>
      </c>
      <c r="I17" s="203">
        <f ca="1"/>
        <v>0</v>
      </c>
      <c r="J17" s="203">
        <f ca="1"/>
        <v>0</v>
      </c>
      <c r="K17" s="203">
        <f ca="1"/>
        <v>0</v>
      </c>
      <c r="L17" s="203">
        <f ca="1"/>
        <v>0</v>
      </c>
      <c r="M17" s="203">
        <f ca="1"/>
        <v>0</v>
      </c>
      <c r="N17" s="203">
        <f ca="1"/>
        <v>0</v>
      </c>
      <c r="O17" s="203">
        <f ca="1"/>
        <v>0</v>
      </c>
      <c r="P17" s="203">
        <f ca="1"/>
        <v>0</v>
      </c>
      <c r="Q17" s="203">
        <f t="shared" ca="1" si="1"/>
        <v>0</v>
      </c>
    </row>
    <row r="18" spans="2:17" x14ac:dyDescent="0.25">
      <c r="B18">
        <v>2020</v>
      </c>
      <c r="C18" s="1"/>
      <c r="E18" s="8"/>
      <c r="F18" s="8"/>
      <c r="G18" s="8"/>
      <c r="H18" s="8"/>
      <c r="I18" s="8"/>
      <c r="J18" s="8"/>
      <c r="K18" s="8"/>
      <c r="L18" s="8"/>
      <c r="M18" s="8"/>
      <c r="N18" s="8"/>
      <c r="O18" s="8"/>
      <c r="P18" s="8"/>
      <c r="Q18" s="8"/>
    </row>
    <row r="19" spans="2:17" ht="13.8" customHeight="1" x14ac:dyDescent="0.25">
      <c r="B19">
        <v>2020</v>
      </c>
      <c r="C19" s="341" t="s">
        <v>1442</v>
      </c>
      <c r="D19" s="154" t="s">
        <v>1320</v>
      </c>
      <c r="E19" s="201">
        <f t="array" aca="1" ref="E19:P19" ca="1">INDEX(Aggregate_Table_Monthly,((MATCH($E$4,Range_Process_Select,0)-1)*5)+4,0)</f>
        <v>0</v>
      </c>
      <c r="F19" s="201">
        <f ca="1"/>
        <v>0</v>
      </c>
      <c r="G19" s="201">
        <f ca="1"/>
        <v>0</v>
      </c>
      <c r="H19" s="201">
        <f ca="1"/>
        <v>0</v>
      </c>
      <c r="I19" s="201">
        <f ca="1"/>
        <v>0</v>
      </c>
      <c r="J19" s="201">
        <f ca="1"/>
        <v>0</v>
      </c>
      <c r="K19" s="201">
        <f ca="1"/>
        <v>0</v>
      </c>
      <c r="L19" s="201">
        <f ca="1"/>
        <v>0</v>
      </c>
      <c r="M19" s="201">
        <f ca="1"/>
        <v>0</v>
      </c>
      <c r="N19" s="201">
        <f ca="1"/>
        <v>0</v>
      </c>
      <c r="O19" s="201">
        <f ca="1"/>
        <v>0</v>
      </c>
      <c r="P19" s="201">
        <f ca="1"/>
        <v>0</v>
      </c>
      <c r="Q19" s="201">
        <f t="shared" ref="Q19:Q20" ca="1" si="2">SUM(E19:P19)</f>
        <v>0</v>
      </c>
    </row>
    <row r="20" spans="2:17" x14ac:dyDescent="0.25">
      <c r="B20">
        <v>2020</v>
      </c>
      <c r="C20" s="341"/>
      <c r="D20" s="202" t="s">
        <v>1390</v>
      </c>
      <c r="E20" s="203">
        <f t="array" aca="1" ref="E20:P20" ca="1">INDEX(Aggregate_Table_WL_Monthly,((MATCH($E$4,Range_Process_Select,0)-1)*5)+4,0)</f>
        <v>0</v>
      </c>
      <c r="F20" s="203">
        <f ca="1"/>
        <v>0</v>
      </c>
      <c r="G20" s="203">
        <f ca="1"/>
        <v>0</v>
      </c>
      <c r="H20" s="203">
        <f ca="1"/>
        <v>0</v>
      </c>
      <c r="I20" s="203">
        <f ca="1"/>
        <v>0</v>
      </c>
      <c r="J20" s="203">
        <f ca="1"/>
        <v>0</v>
      </c>
      <c r="K20" s="203">
        <f ca="1"/>
        <v>0</v>
      </c>
      <c r="L20" s="203">
        <f ca="1"/>
        <v>0</v>
      </c>
      <c r="M20" s="203">
        <f ca="1"/>
        <v>0</v>
      </c>
      <c r="N20" s="203">
        <f ca="1"/>
        <v>0</v>
      </c>
      <c r="O20" s="203">
        <f ca="1"/>
        <v>0</v>
      </c>
      <c r="P20" s="203">
        <f ca="1"/>
        <v>0</v>
      </c>
      <c r="Q20" s="203">
        <f t="shared" ca="1" si="2"/>
        <v>0</v>
      </c>
    </row>
    <row r="21" spans="2:17" x14ac:dyDescent="0.25">
      <c r="C21" s="1"/>
      <c r="E21" s="8"/>
      <c r="F21" s="8"/>
      <c r="G21" s="8"/>
      <c r="H21" s="8"/>
      <c r="I21" s="8"/>
      <c r="J21" s="8"/>
      <c r="K21" s="8"/>
      <c r="L21" s="8"/>
      <c r="M21" s="8"/>
      <c r="N21" s="8"/>
      <c r="O21" s="8"/>
      <c r="P21" s="8"/>
      <c r="Q21" s="8"/>
    </row>
    <row r="22" spans="2:17" ht="13.8" customHeight="1" x14ac:dyDescent="0.25">
      <c r="C22" s="341" t="s">
        <v>1318</v>
      </c>
      <c r="D22" s="154" t="s">
        <v>1320</v>
      </c>
      <c r="E22" s="201">
        <f t="array" aca="1" ref="E22:P22" ca="1">INDEX(Aggregate_Table_Monthly,((MATCH($E$4,Range_Process_Select,0)-1)*5)+5,0)</f>
        <v>0</v>
      </c>
      <c r="F22" s="201">
        <f ca="1"/>
        <v>0</v>
      </c>
      <c r="G22" s="201">
        <f ca="1"/>
        <v>0</v>
      </c>
      <c r="H22" s="201">
        <f ca="1"/>
        <v>0</v>
      </c>
      <c r="I22" s="201">
        <f ca="1"/>
        <v>0</v>
      </c>
      <c r="J22" s="201">
        <f ca="1"/>
        <v>0</v>
      </c>
      <c r="K22" s="201">
        <f ca="1"/>
        <v>0</v>
      </c>
      <c r="L22" s="201">
        <f ca="1"/>
        <v>0</v>
      </c>
      <c r="M22" s="201">
        <f ca="1"/>
        <v>0</v>
      </c>
      <c r="N22" s="201">
        <f ca="1"/>
        <v>0</v>
      </c>
      <c r="O22" s="201">
        <f ca="1"/>
        <v>0</v>
      </c>
      <c r="P22" s="201">
        <f ca="1"/>
        <v>0</v>
      </c>
      <c r="Q22" s="201">
        <f t="shared" ref="Q22:Q23" ca="1" si="3">SUM(E22:P22)</f>
        <v>0</v>
      </c>
    </row>
    <row r="23" spans="2:17" ht="13.8" customHeight="1" x14ac:dyDescent="0.25">
      <c r="C23" s="341"/>
      <c r="D23" s="202" t="s">
        <v>1390</v>
      </c>
      <c r="E23" s="203">
        <f t="array" aca="1" ref="E23:P23" ca="1">INDEX(Aggregate_Table_WL_Monthly,((MATCH($E$4,Range_Process_Select,0)-1)*5)+5,0)</f>
        <v>0</v>
      </c>
      <c r="F23" s="203">
        <f ca="1"/>
        <v>0</v>
      </c>
      <c r="G23" s="203">
        <f ca="1"/>
        <v>0</v>
      </c>
      <c r="H23" s="203">
        <f ca="1"/>
        <v>0</v>
      </c>
      <c r="I23" s="203">
        <f ca="1"/>
        <v>0</v>
      </c>
      <c r="J23" s="203">
        <f ca="1"/>
        <v>0</v>
      </c>
      <c r="K23" s="203">
        <f ca="1"/>
        <v>0</v>
      </c>
      <c r="L23" s="203">
        <f ca="1"/>
        <v>0</v>
      </c>
      <c r="M23" s="203">
        <f ca="1"/>
        <v>0</v>
      </c>
      <c r="N23" s="203">
        <f ca="1"/>
        <v>0</v>
      </c>
      <c r="O23" s="203">
        <f ca="1"/>
        <v>0</v>
      </c>
      <c r="P23" s="203">
        <f ca="1"/>
        <v>0</v>
      </c>
      <c r="Q23" s="203">
        <f t="shared" ca="1" si="3"/>
        <v>0</v>
      </c>
    </row>
    <row r="24" spans="2:17" ht="13.8" customHeight="1" x14ac:dyDescent="0.25">
      <c r="E24" s="8"/>
      <c r="F24" s="8"/>
      <c r="G24" s="8"/>
      <c r="H24" s="8"/>
      <c r="I24" s="8"/>
      <c r="J24" s="8"/>
      <c r="K24" s="8"/>
      <c r="L24" s="8"/>
      <c r="M24" s="8"/>
      <c r="N24" s="8"/>
      <c r="O24" s="8"/>
      <c r="P24" s="8"/>
    </row>
    <row r="25" spans="2:17" ht="13.8" customHeight="1" x14ac:dyDescent="0.25">
      <c r="C25" s="200"/>
      <c r="D25" s="196"/>
      <c r="E25" s="197"/>
      <c r="F25" s="198"/>
      <c r="G25" s="198"/>
      <c r="H25" s="198"/>
      <c r="I25" s="195"/>
      <c r="J25" s="195"/>
      <c r="K25" s="195"/>
      <c r="L25" s="195"/>
      <c r="M25" s="195"/>
    </row>
    <row r="26" spans="2:17" ht="13.8" customHeight="1" x14ac:dyDescent="0.25">
      <c r="C26" s="200"/>
      <c r="D26" s="196"/>
      <c r="E26" s="197"/>
      <c r="F26" s="198"/>
      <c r="G26" s="198"/>
      <c r="H26" s="198"/>
      <c r="I26" s="195"/>
      <c r="J26" s="195"/>
      <c r="K26" s="195"/>
      <c r="L26" s="195"/>
      <c r="M26" s="195"/>
    </row>
    <row r="27" spans="2:17" ht="13.8" customHeight="1" x14ac:dyDescent="0.25">
      <c r="C27" s="200"/>
      <c r="D27" s="196"/>
      <c r="E27" s="197"/>
      <c r="F27" s="198"/>
      <c r="G27" s="198"/>
      <c r="H27" s="198"/>
      <c r="I27" s="195"/>
      <c r="J27" s="195"/>
      <c r="K27" s="195"/>
      <c r="L27" s="195"/>
      <c r="M27" s="195"/>
    </row>
    <row r="28" spans="2:17" ht="13.8" customHeight="1" x14ac:dyDescent="0.25">
      <c r="C28" s="200"/>
      <c r="D28" s="196"/>
      <c r="E28" s="197"/>
      <c r="F28" s="198"/>
      <c r="G28" s="198"/>
      <c r="H28" s="198"/>
      <c r="I28" s="195"/>
      <c r="J28" s="195"/>
      <c r="K28" s="195"/>
      <c r="L28" s="195"/>
      <c r="M28" s="195"/>
    </row>
    <row r="29" spans="2:17" ht="13.8" customHeight="1" x14ac:dyDescent="0.25">
      <c r="C29" s="200"/>
      <c r="D29" s="196"/>
      <c r="E29" s="197"/>
      <c r="F29" s="198"/>
      <c r="G29" s="198"/>
      <c r="H29" s="198"/>
      <c r="I29" s="195"/>
      <c r="J29" s="195"/>
      <c r="K29" s="195"/>
      <c r="L29" s="195"/>
      <c r="M29" s="195"/>
    </row>
    <row r="30" spans="2:17" ht="13.8" customHeight="1" x14ac:dyDescent="0.25">
      <c r="C30" s="200"/>
      <c r="D30" s="196"/>
      <c r="E30" s="197"/>
      <c r="F30" s="198"/>
      <c r="G30" s="198"/>
      <c r="H30" s="198"/>
      <c r="I30" s="195"/>
      <c r="J30" s="195"/>
      <c r="K30" s="195"/>
      <c r="L30" s="195"/>
      <c r="M30" s="195"/>
    </row>
    <row r="31" spans="2:17" ht="13.8" customHeight="1" x14ac:dyDescent="0.25">
      <c r="C31" s="200"/>
      <c r="D31" s="196"/>
      <c r="E31" s="197"/>
      <c r="F31" s="198"/>
      <c r="G31" s="198"/>
      <c r="H31" s="198"/>
      <c r="I31" s="195"/>
      <c r="J31" s="195"/>
      <c r="K31" s="195"/>
      <c r="L31" s="195"/>
      <c r="M31" s="195"/>
    </row>
    <row r="32" spans="2:17" ht="13.8" customHeight="1" x14ac:dyDescent="0.25">
      <c r="C32" s="200"/>
      <c r="D32" s="196"/>
      <c r="E32" s="197"/>
      <c r="F32" s="198"/>
      <c r="G32" s="198"/>
      <c r="H32" s="198"/>
      <c r="I32" s="195"/>
      <c r="J32" s="195"/>
      <c r="K32" s="195"/>
      <c r="L32" s="195"/>
      <c r="M32" s="195"/>
    </row>
    <row r="33" spans="3:13" ht="13.8" customHeight="1" x14ac:dyDescent="0.25">
      <c r="C33" s="200"/>
      <c r="D33" s="196"/>
      <c r="E33" s="197"/>
      <c r="F33" s="198"/>
      <c r="G33" s="198"/>
      <c r="H33" s="198"/>
      <c r="I33" s="195"/>
      <c r="J33" s="195"/>
      <c r="K33" s="195"/>
      <c r="L33" s="195"/>
      <c r="M33" s="195"/>
    </row>
    <row r="34" spans="3:13" ht="13.8" customHeight="1" x14ac:dyDescent="0.25">
      <c r="C34" s="199"/>
      <c r="D34" s="195"/>
      <c r="E34" s="195"/>
      <c r="F34" s="198"/>
      <c r="G34" s="198"/>
      <c r="H34" s="198"/>
      <c r="I34" s="195"/>
      <c r="J34" s="195"/>
      <c r="K34" s="195"/>
      <c r="L34" s="195"/>
      <c r="M34" s="195"/>
    </row>
    <row r="35" spans="3:13" x14ac:dyDescent="0.25">
      <c r="C35" s="200"/>
      <c r="D35" s="196"/>
      <c r="E35" s="197"/>
      <c r="F35" s="198"/>
      <c r="G35" s="198"/>
      <c r="H35" s="198"/>
      <c r="I35" s="195"/>
      <c r="J35" s="195"/>
      <c r="K35" s="195"/>
      <c r="L35" s="195"/>
      <c r="M35" s="195"/>
    </row>
    <row r="36" spans="3:13" x14ac:dyDescent="0.25">
      <c r="C36" s="200"/>
      <c r="D36" s="196"/>
      <c r="E36" s="197"/>
      <c r="F36" s="198"/>
      <c r="G36" s="198"/>
      <c r="H36" s="198"/>
      <c r="I36" s="195"/>
      <c r="J36" s="195"/>
      <c r="K36" s="195"/>
      <c r="L36" s="195"/>
      <c r="M36" s="195"/>
    </row>
    <row r="37" spans="3:13" x14ac:dyDescent="0.25">
      <c r="C37" s="200"/>
      <c r="D37" s="196"/>
      <c r="E37" s="197"/>
      <c r="F37" s="198"/>
      <c r="G37" s="198"/>
      <c r="H37" s="198"/>
      <c r="I37" s="195"/>
      <c r="J37" s="195"/>
      <c r="K37" s="195"/>
      <c r="L37" s="195"/>
      <c r="M37" s="195"/>
    </row>
    <row r="38" spans="3:13" x14ac:dyDescent="0.25">
      <c r="C38" s="200"/>
      <c r="D38" s="196"/>
      <c r="E38" s="197"/>
      <c r="F38" s="198"/>
      <c r="G38" s="198"/>
      <c r="H38" s="198"/>
      <c r="I38" s="195"/>
      <c r="J38" s="195"/>
      <c r="K38" s="195"/>
      <c r="L38" s="195"/>
      <c r="M38" s="195"/>
    </row>
    <row r="39" spans="3:13" x14ac:dyDescent="0.25">
      <c r="C39" s="200"/>
      <c r="D39" s="196"/>
      <c r="E39" s="197"/>
      <c r="F39" s="198"/>
      <c r="G39" s="198"/>
      <c r="H39" s="198"/>
      <c r="I39" s="195"/>
      <c r="J39" s="195"/>
      <c r="K39" s="195"/>
      <c r="L39" s="195"/>
      <c r="M39" s="195"/>
    </row>
    <row r="40" spans="3:13" x14ac:dyDescent="0.25">
      <c r="C40" s="200"/>
      <c r="D40" s="196"/>
      <c r="E40" s="197"/>
      <c r="F40" s="198"/>
      <c r="G40" s="198"/>
      <c r="H40" s="198"/>
      <c r="I40" s="195"/>
      <c r="J40" s="195"/>
      <c r="K40" s="195"/>
      <c r="L40" s="195"/>
      <c r="M40" s="195"/>
    </row>
    <row r="41" spans="3:13" x14ac:dyDescent="0.25">
      <c r="C41" s="200"/>
      <c r="D41" s="196"/>
      <c r="E41" s="197"/>
      <c r="F41" s="198"/>
      <c r="G41" s="198"/>
      <c r="H41" s="198"/>
      <c r="I41" s="195"/>
      <c r="J41" s="195"/>
      <c r="K41" s="195"/>
      <c r="L41" s="195"/>
      <c r="M41" s="195"/>
    </row>
    <row r="42" spans="3:13" x14ac:dyDescent="0.25">
      <c r="C42" s="200"/>
      <c r="D42" s="196"/>
      <c r="E42" s="197"/>
      <c r="F42" s="198"/>
      <c r="G42" s="198"/>
      <c r="H42" s="198"/>
      <c r="I42" s="195"/>
      <c r="J42" s="195"/>
      <c r="K42" s="195"/>
      <c r="L42" s="195"/>
      <c r="M42" s="195"/>
    </row>
    <row r="43" spans="3:13" x14ac:dyDescent="0.25">
      <c r="C43" s="200"/>
      <c r="D43" s="196"/>
      <c r="E43" s="197"/>
      <c r="F43" s="198"/>
      <c r="G43" s="198"/>
      <c r="H43" s="198"/>
      <c r="I43" s="195"/>
      <c r="J43" s="195"/>
      <c r="K43" s="195"/>
      <c r="L43" s="195"/>
      <c r="M43" s="195"/>
    </row>
    <row r="44" spans="3:13" x14ac:dyDescent="0.25">
      <c r="C44" s="200"/>
      <c r="D44" s="196"/>
      <c r="E44" s="197"/>
      <c r="F44" s="198"/>
      <c r="G44" s="198"/>
      <c r="H44" s="198"/>
      <c r="I44" s="195"/>
      <c r="J44" s="195"/>
      <c r="K44" s="195"/>
      <c r="L44" s="195"/>
      <c r="M44" s="195"/>
    </row>
    <row r="45" spans="3:13" x14ac:dyDescent="0.25">
      <c r="C45" s="200"/>
      <c r="D45" s="196"/>
      <c r="E45" s="197"/>
      <c r="F45" s="198"/>
      <c r="G45" s="198"/>
      <c r="H45" s="198"/>
      <c r="I45" s="195"/>
      <c r="J45" s="195"/>
      <c r="K45" s="195"/>
      <c r="L45" s="195"/>
      <c r="M45" s="195"/>
    </row>
    <row r="46" spans="3:13" x14ac:dyDescent="0.25">
      <c r="C46" s="200"/>
      <c r="D46" s="196"/>
      <c r="E46" s="197"/>
      <c r="F46" s="198"/>
      <c r="G46" s="198"/>
      <c r="H46" s="198"/>
      <c r="I46" s="195"/>
      <c r="J46" s="195"/>
      <c r="K46" s="195"/>
      <c r="L46" s="195"/>
      <c r="M46" s="195"/>
    </row>
    <row r="47" spans="3:13" x14ac:dyDescent="0.25">
      <c r="C47" s="199"/>
      <c r="D47" s="195"/>
      <c r="E47" s="195"/>
      <c r="F47" s="198"/>
      <c r="G47" s="198"/>
      <c r="H47" s="198"/>
      <c r="I47" s="195"/>
      <c r="J47" s="195"/>
      <c r="K47" s="195"/>
      <c r="L47" s="195"/>
      <c r="M47" s="195"/>
    </row>
    <row r="48" spans="3:13" ht="13.8" customHeight="1" x14ac:dyDescent="0.25">
      <c r="C48" s="200"/>
      <c r="D48" s="196"/>
      <c r="E48" s="197"/>
      <c r="F48" s="198"/>
      <c r="G48" s="198"/>
      <c r="H48" s="198"/>
      <c r="I48" s="195"/>
      <c r="J48" s="195"/>
      <c r="K48" s="195"/>
      <c r="L48" s="195"/>
      <c r="M48" s="195"/>
    </row>
    <row r="49" spans="3:13" ht="13.8" customHeight="1" x14ac:dyDescent="0.25">
      <c r="C49" s="200"/>
      <c r="D49" s="196"/>
      <c r="E49" s="197"/>
      <c r="F49" s="198"/>
      <c r="G49" s="198"/>
      <c r="H49" s="198"/>
      <c r="I49" s="195"/>
      <c r="J49" s="195"/>
      <c r="K49" s="195"/>
      <c r="L49" s="195"/>
      <c r="M49" s="195"/>
    </row>
    <row r="50" spans="3:13" ht="13.8" customHeight="1" x14ac:dyDescent="0.25">
      <c r="C50" s="200"/>
      <c r="D50" s="196"/>
      <c r="E50" s="197"/>
      <c r="F50" s="198"/>
      <c r="G50" s="198"/>
      <c r="H50" s="198"/>
      <c r="I50" s="195"/>
      <c r="J50" s="195"/>
      <c r="K50" s="195"/>
      <c r="L50" s="195"/>
      <c r="M50" s="195"/>
    </row>
    <row r="51" spans="3:13" ht="13.8" customHeight="1" x14ac:dyDescent="0.25">
      <c r="C51" s="200"/>
      <c r="D51" s="196"/>
      <c r="E51" s="197"/>
      <c r="F51" s="198"/>
      <c r="G51" s="198"/>
      <c r="H51" s="198"/>
      <c r="I51" s="195"/>
      <c r="J51" s="195"/>
      <c r="K51" s="195"/>
      <c r="L51" s="195"/>
      <c r="M51" s="195"/>
    </row>
    <row r="52" spans="3:13" ht="13.8" customHeight="1" x14ac:dyDescent="0.25">
      <c r="C52" s="200"/>
      <c r="D52" s="196"/>
      <c r="E52" s="197"/>
      <c r="F52" s="198"/>
      <c r="G52" s="198"/>
      <c r="H52" s="198"/>
      <c r="I52" s="195"/>
      <c r="J52" s="195"/>
      <c r="K52" s="195"/>
      <c r="L52" s="195"/>
      <c r="M52" s="195"/>
    </row>
    <row r="53" spans="3:13" ht="13.8" customHeight="1" x14ac:dyDescent="0.25">
      <c r="C53" s="200"/>
      <c r="D53" s="196"/>
      <c r="E53" s="197"/>
      <c r="F53" s="198"/>
      <c r="G53" s="198"/>
      <c r="H53" s="198"/>
      <c r="I53" s="195"/>
      <c r="J53" s="195"/>
      <c r="K53" s="195"/>
      <c r="L53" s="195"/>
      <c r="M53" s="195"/>
    </row>
    <row r="54" spans="3:13" ht="13.8" customHeight="1" x14ac:dyDescent="0.25">
      <c r="C54" s="200"/>
      <c r="D54" s="196"/>
      <c r="E54" s="197"/>
      <c r="F54" s="198"/>
      <c r="G54" s="198"/>
      <c r="H54" s="198"/>
      <c r="I54" s="195"/>
      <c r="J54" s="195"/>
      <c r="K54" s="195"/>
      <c r="L54" s="195"/>
      <c r="M54" s="195"/>
    </row>
    <row r="55" spans="3:13" ht="13.8" customHeight="1" x14ac:dyDescent="0.25">
      <c r="C55" s="200"/>
      <c r="D55" s="196"/>
      <c r="E55" s="197"/>
      <c r="F55" s="198"/>
      <c r="G55" s="198"/>
      <c r="H55" s="198"/>
      <c r="I55" s="195"/>
      <c r="J55" s="195"/>
      <c r="K55" s="195"/>
      <c r="L55" s="195"/>
      <c r="M55" s="195"/>
    </row>
    <row r="56" spans="3:13" ht="13.8" customHeight="1" x14ac:dyDescent="0.25">
      <c r="C56" s="200"/>
      <c r="D56" s="196"/>
      <c r="E56" s="197"/>
      <c r="F56" s="198"/>
      <c r="G56" s="198"/>
      <c r="H56" s="198"/>
      <c r="I56" s="195"/>
      <c r="J56" s="195"/>
      <c r="K56" s="195"/>
      <c r="L56" s="195"/>
      <c r="M56" s="195"/>
    </row>
    <row r="57" spans="3:13" ht="13.8" customHeight="1" x14ac:dyDescent="0.25">
      <c r="C57" s="200"/>
      <c r="D57" s="196"/>
      <c r="E57" s="197"/>
      <c r="F57" s="198"/>
      <c r="G57" s="198"/>
      <c r="H57" s="198"/>
      <c r="I57" s="195"/>
      <c r="J57" s="195"/>
      <c r="K57" s="195"/>
      <c r="L57" s="195"/>
      <c r="M57" s="195"/>
    </row>
    <row r="58" spans="3:13" ht="13.8" customHeight="1" x14ac:dyDescent="0.25">
      <c r="C58" s="200"/>
      <c r="D58" s="196"/>
      <c r="E58" s="197"/>
      <c r="F58" s="198"/>
      <c r="G58" s="198"/>
      <c r="H58" s="198"/>
      <c r="I58" s="195"/>
      <c r="J58" s="195"/>
      <c r="K58" s="195"/>
      <c r="L58" s="195"/>
      <c r="M58" s="195"/>
    </row>
    <row r="59" spans="3:13" ht="13.8" customHeight="1" x14ac:dyDescent="0.25">
      <c r="C59" s="200"/>
      <c r="D59" s="196"/>
      <c r="E59" s="197"/>
      <c r="F59" s="198"/>
      <c r="G59" s="198"/>
      <c r="H59" s="198"/>
      <c r="I59" s="195"/>
      <c r="J59" s="195"/>
      <c r="K59" s="195"/>
      <c r="L59" s="195"/>
      <c r="M59" s="195"/>
    </row>
    <row r="60" spans="3:13" ht="13.8" customHeight="1" x14ac:dyDescent="0.25">
      <c r="C60" s="199"/>
      <c r="D60" s="195"/>
      <c r="E60" s="195"/>
      <c r="F60" s="198"/>
      <c r="G60" s="198"/>
      <c r="H60" s="198"/>
      <c r="I60" s="195"/>
      <c r="J60" s="195"/>
      <c r="K60" s="195"/>
      <c r="L60" s="195"/>
      <c r="M60" s="195"/>
    </row>
    <row r="61" spans="3:13" x14ac:dyDescent="0.25">
      <c r="C61" s="200"/>
      <c r="D61" s="196"/>
      <c r="E61" s="197"/>
      <c r="F61" s="198"/>
      <c r="G61" s="198"/>
      <c r="H61" s="198"/>
      <c r="I61" s="195"/>
      <c r="J61" s="195"/>
      <c r="K61" s="195"/>
      <c r="L61" s="195"/>
      <c r="M61" s="195"/>
    </row>
    <row r="62" spans="3:13" x14ac:dyDescent="0.25">
      <c r="C62" s="200"/>
      <c r="D62" s="196"/>
      <c r="E62" s="197"/>
      <c r="F62" s="198"/>
      <c r="G62" s="198"/>
      <c r="H62" s="198"/>
      <c r="I62" s="195"/>
      <c r="J62" s="195"/>
      <c r="K62" s="195"/>
      <c r="L62" s="195"/>
      <c r="M62" s="195"/>
    </row>
    <row r="63" spans="3:13" x14ac:dyDescent="0.25">
      <c r="C63" s="200"/>
      <c r="D63" s="196"/>
      <c r="E63" s="197"/>
      <c r="F63" s="198"/>
      <c r="G63" s="198"/>
      <c r="H63" s="198"/>
      <c r="I63" s="195"/>
      <c r="J63" s="195"/>
      <c r="K63" s="195"/>
      <c r="L63" s="195"/>
      <c r="M63" s="195"/>
    </row>
    <row r="64" spans="3:13" x14ac:dyDescent="0.25">
      <c r="C64" s="200"/>
      <c r="D64" s="196"/>
      <c r="E64" s="197"/>
      <c r="F64" s="198"/>
      <c r="G64" s="198"/>
      <c r="H64" s="198"/>
      <c r="I64" s="195"/>
      <c r="J64" s="195"/>
      <c r="K64" s="195"/>
      <c r="L64" s="195"/>
      <c r="M64" s="195"/>
    </row>
    <row r="65" spans="3:33" x14ac:dyDescent="0.25">
      <c r="C65" s="200"/>
      <c r="D65" s="196"/>
      <c r="E65" s="197"/>
      <c r="F65" s="198"/>
      <c r="G65" s="198"/>
      <c r="H65" s="198"/>
      <c r="I65" s="195"/>
      <c r="J65" s="195"/>
      <c r="K65" s="195"/>
      <c r="L65" s="195"/>
      <c r="M65" s="195"/>
    </row>
    <row r="66" spans="3:33" x14ac:dyDescent="0.25">
      <c r="C66" s="200"/>
      <c r="D66" s="196"/>
      <c r="E66" s="197"/>
      <c r="F66" s="198"/>
      <c r="G66" s="198"/>
      <c r="H66" s="198"/>
      <c r="I66" s="195"/>
      <c r="J66" s="195"/>
      <c r="K66" s="195"/>
      <c r="L66" s="195"/>
      <c r="M66" s="195"/>
    </row>
    <row r="67" spans="3:33" x14ac:dyDescent="0.25">
      <c r="C67" s="200"/>
      <c r="D67" s="196"/>
      <c r="E67" s="197"/>
      <c r="F67" s="198"/>
      <c r="G67" s="198"/>
      <c r="H67" s="198"/>
      <c r="I67" s="195"/>
      <c r="J67" s="195"/>
      <c r="K67" s="195"/>
      <c r="L67" s="195"/>
      <c r="M67" s="195"/>
    </row>
    <row r="68" spans="3:33" x14ac:dyDescent="0.25">
      <c r="C68" s="200"/>
      <c r="D68" s="196"/>
      <c r="E68" s="197"/>
      <c r="F68" s="198"/>
      <c r="G68" s="198"/>
      <c r="H68" s="198"/>
      <c r="I68" s="195"/>
      <c r="J68" s="195"/>
      <c r="K68" s="195"/>
      <c r="L68" s="195"/>
      <c r="M68" s="195"/>
    </row>
    <row r="69" spans="3:33" x14ac:dyDescent="0.25">
      <c r="C69" s="200"/>
      <c r="D69" s="196"/>
      <c r="E69" s="197"/>
      <c r="F69" s="198"/>
      <c r="G69" s="198"/>
      <c r="H69" s="198"/>
      <c r="I69" s="195"/>
      <c r="J69" s="195"/>
      <c r="K69" s="195"/>
      <c r="L69" s="195"/>
      <c r="M69" s="195"/>
    </row>
    <row r="70" spans="3:33" x14ac:dyDescent="0.25">
      <c r="C70" s="200"/>
      <c r="D70" s="196"/>
      <c r="E70" s="197"/>
      <c r="F70" s="198"/>
      <c r="G70" s="198"/>
      <c r="H70" s="198"/>
      <c r="I70" s="195"/>
      <c r="J70" s="195"/>
      <c r="K70" s="195"/>
      <c r="L70" s="195"/>
      <c r="M70" s="195"/>
    </row>
    <row r="71" spans="3:33" x14ac:dyDescent="0.25">
      <c r="C71" s="200"/>
      <c r="D71" s="196"/>
      <c r="E71" s="197"/>
      <c r="F71" s="198"/>
      <c r="G71" s="198"/>
      <c r="H71" s="198"/>
      <c r="I71" s="195"/>
      <c r="J71" s="195"/>
      <c r="K71" s="195"/>
      <c r="L71" s="195"/>
      <c r="M71" s="195"/>
    </row>
    <row r="72" spans="3:33" x14ac:dyDescent="0.25">
      <c r="C72" s="200"/>
      <c r="D72" s="196"/>
      <c r="E72" s="197"/>
      <c r="F72" s="198"/>
      <c r="G72" s="198"/>
      <c r="H72" s="198"/>
      <c r="I72" s="195"/>
      <c r="J72" s="195"/>
      <c r="K72" s="195"/>
      <c r="L72" s="195"/>
      <c r="M72" s="195"/>
    </row>
    <row r="73" spans="3:33" x14ac:dyDescent="0.25">
      <c r="F73" s="155"/>
    </row>
    <row r="74" spans="3:33" hidden="1" x14ac:dyDescent="0.25"/>
    <row r="75" spans="3:33" hidden="1" x14ac:dyDescent="0.25">
      <c r="S75" s="1" t="s">
        <v>1321</v>
      </c>
    </row>
    <row r="76" spans="3:33" hidden="1" x14ac:dyDescent="0.25">
      <c r="S76" t="s">
        <v>1469</v>
      </c>
      <c r="T76" s="259" t="s">
        <v>18</v>
      </c>
      <c r="U76" s="277"/>
      <c r="V76" s="260"/>
    </row>
    <row r="77" spans="3:33" hidden="1" x14ac:dyDescent="0.25">
      <c r="U77" s="223">
        <f>IF(ISBLANK('Reference dates (hide)'!O40),"",'Reference dates (hide)'!O40)</f>
        <v>2020</v>
      </c>
      <c r="V77" s="224" t="str">
        <f>IF(ISBLANK('Reference dates (hide)'!P40),"",'Reference dates (hide)'!P40)</f>
        <v/>
      </c>
      <c r="W77" s="178" t="str">
        <f>IF(ISBLANK('Reference dates (hide)'!Q40),"",'Reference dates (hide)'!Q40)</f>
        <v/>
      </c>
      <c r="X77" s="178" t="str">
        <f>IF(ISBLANK('Reference dates (hide)'!R40),"",'Reference dates (hide)'!R40)</f>
        <v/>
      </c>
      <c r="Y77" s="178" t="str">
        <f>IF(ISBLANK('Reference dates (hide)'!S40),"",'Reference dates (hide)'!S40)</f>
        <v/>
      </c>
      <c r="Z77" s="178" t="str">
        <f>IF(ISBLANK('Reference dates (hide)'!T40),"",'Reference dates (hide)'!T40)</f>
        <v/>
      </c>
      <c r="AA77" s="178" t="str">
        <f>IF(ISBLANK('Reference dates (hide)'!U40),"",'Reference dates (hide)'!U40)</f>
        <v/>
      </c>
      <c r="AB77" s="178" t="str">
        <f>IF(ISBLANK('Reference dates (hide)'!V40),"",'Reference dates (hide)'!V40)</f>
        <v/>
      </c>
      <c r="AC77" s="178" t="str">
        <f>IF(ISBLANK('Reference dates (hide)'!W40),"",'Reference dates (hide)'!W40)</f>
        <v/>
      </c>
      <c r="AD77" s="178" t="str">
        <f>IF(ISBLANK('Reference dates (hide)'!X40),"",'Reference dates (hide)'!X40)</f>
        <v/>
      </c>
      <c r="AE77" s="178" t="str">
        <f>IF(ISBLANK('Reference dates (hide)'!Y40),"",'Reference dates (hide)'!Y40)</f>
        <v/>
      </c>
      <c r="AF77" s="178" t="str">
        <f>IF(ISBLANK('Reference dates (hide)'!Z40),"",'Reference dates (hide)'!Z40)</f>
        <v/>
      </c>
      <c r="AG77" s="330" t="s">
        <v>982</v>
      </c>
    </row>
    <row r="78" spans="3:33" hidden="1" x14ac:dyDescent="0.25">
      <c r="U78" s="179" t="str">
        <f>'Reference dates (hide)'!O41</f>
        <v>Jan</v>
      </c>
      <c r="V78" s="179" t="str">
        <f>'Reference dates (hide)'!P41</f>
        <v>Feb</v>
      </c>
      <c r="W78" s="179" t="str">
        <f>'Reference dates (hide)'!Q41</f>
        <v>Mar</v>
      </c>
      <c r="X78" s="179" t="str">
        <f>'Reference dates (hide)'!R41</f>
        <v>Apr</v>
      </c>
      <c r="Y78" s="179" t="str">
        <f>'Reference dates (hide)'!S41</f>
        <v>May</v>
      </c>
      <c r="Z78" s="179" t="str">
        <f>'Reference dates (hide)'!T41</f>
        <v>Jun</v>
      </c>
      <c r="AA78" s="179" t="str">
        <f>'Reference dates (hide)'!U41</f>
        <v>Jul</v>
      </c>
      <c r="AB78" s="179" t="str">
        <f>'Reference dates (hide)'!V41</f>
        <v>Aug</v>
      </c>
      <c r="AC78" s="179" t="str">
        <f>'Reference dates (hide)'!W41</f>
        <v>Sep</v>
      </c>
      <c r="AD78" s="179" t="str">
        <f>'Reference dates (hide)'!X41</f>
        <v>Oct</v>
      </c>
      <c r="AE78" s="179" t="str">
        <f>'Reference dates (hide)'!Y41</f>
        <v>Nov</v>
      </c>
      <c r="AF78" s="221" t="str">
        <f>'Reference dates (hide)'!Z41</f>
        <v>Dec</v>
      </c>
      <c r="AG78" s="331"/>
    </row>
    <row r="79" spans="3:33" hidden="1" x14ac:dyDescent="0.25">
      <c r="S79" s="292" t="s">
        <v>1316</v>
      </c>
      <c r="T79" s="161" t="s">
        <v>815</v>
      </c>
      <c r="U79" s="169">
        <f ca="1">'Reference dates (hide)'!AF125+IF($T$76&lt;&gt;"No",'Reference dates (hide)'!AF233,0)</f>
        <v>1940.8571977362626</v>
      </c>
      <c r="V79" s="169">
        <f ca="1">'Reference dates (hide)'!AG125+IF($T$76&lt;&gt;"No",'Reference dates (hide)'!AG233,0)</f>
        <v>1552.6857581890101</v>
      </c>
      <c r="W79" s="169">
        <f ca="1">'Reference dates (hide)'!AH125+IF($T$76&lt;&gt;"No",'Reference dates (hide)'!AH233,0)</f>
        <v>1707.9543340079113</v>
      </c>
      <c r="X79" s="169">
        <f ca="1">'Reference dates (hide)'!AI125+IF($T$76&lt;&gt;"No",'Reference dates (hide)'!AI233,0)</f>
        <v>1707.954334007911</v>
      </c>
      <c r="Y79" s="169">
        <f ca="1">'Reference dates (hide)'!AJ125+IF($T$76&lt;&gt;"No",'Reference dates (hide)'!AJ233,0)</f>
        <v>1630.3200460984606</v>
      </c>
      <c r="Z79" s="169">
        <f ca="1">'Reference dates (hide)'!AK125+IF($T$76&lt;&gt;"No",'Reference dates (hide)'!AK233,0)</f>
        <v>1707.9543340079113</v>
      </c>
      <c r="AA79" s="169">
        <f ca="1">'Reference dates (hide)'!AL125+IF($T$76&lt;&gt;"No",'Reference dates (hide)'!AL233,0)</f>
        <v>1785.5886219173615</v>
      </c>
      <c r="AB79" s="169">
        <f ca="1">'Reference dates (hide)'!AM125+IF($T$76&lt;&gt;"No",'Reference dates (hide)'!AM233,0)</f>
        <v>1552.6857581890101</v>
      </c>
      <c r="AC79" s="169">
        <f ca="1">'Reference dates (hide)'!AN125+IF($T$76&lt;&gt;"No",'Reference dates (hide)'!AN233,0)</f>
        <v>1785.5886219173617</v>
      </c>
      <c r="AD79" s="169">
        <f ca="1">'Reference dates (hide)'!AO125+IF($T$76&lt;&gt;"No",'Reference dates (hide)'!AO233,0)</f>
        <v>1707.954334007911</v>
      </c>
      <c r="AE79" s="169">
        <f ca="1">'Reference dates (hide)'!AP125+IF($T$76&lt;&gt;"No",'Reference dates (hide)'!AP233,0)</f>
        <v>1630.3200460984606</v>
      </c>
      <c r="AF79" s="169">
        <f ca="1">'Reference dates (hide)'!AQ125+IF($T$76&lt;&gt;"No",'Reference dates (hide)'!AQ233,0)</f>
        <v>1863.2229098268119</v>
      </c>
      <c r="AG79" s="169">
        <f ca="1">SUM(U79:AF79)</f>
        <v>20573.086296004381</v>
      </c>
    </row>
    <row r="80" spans="3:33" hidden="1" x14ac:dyDescent="0.25">
      <c r="S80" s="292"/>
      <c r="T80" s="177" t="s">
        <v>1317</v>
      </c>
      <c r="U80" s="169">
        <f ca="1">'Reference dates (hide)'!AF126+IF($T$76&lt;&gt;"No",'Reference dates (hide)'!AF234,0)</f>
        <v>0</v>
      </c>
      <c r="V80" s="169">
        <f ca="1">'Reference dates (hide)'!AG126+IF($T$76&lt;&gt;"No",'Reference dates (hide)'!AG234,0)</f>
        <v>0</v>
      </c>
      <c r="W80" s="169">
        <f ca="1">'Reference dates (hide)'!AH126+IF($T$76&lt;&gt;"No",'Reference dates (hide)'!AH234,0)</f>
        <v>0</v>
      </c>
      <c r="X80" s="169">
        <f ca="1">'Reference dates (hide)'!AI126+IF($T$76&lt;&gt;"No",'Reference dates (hide)'!AI234,0)</f>
        <v>0</v>
      </c>
      <c r="Y80" s="169">
        <f ca="1">'Reference dates (hide)'!AJ126+IF($T$76&lt;&gt;"No",'Reference dates (hide)'!AJ234,0)</f>
        <v>0</v>
      </c>
      <c r="Z80" s="169">
        <f ca="1">'Reference dates (hide)'!AK126+IF($T$76&lt;&gt;"No",'Reference dates (hide)'!AK234,0)</f>
        <v>0</v>
      </c>
      <c r="AA80" s="169">
        <f ca="1">'Reference dates (hide)'!AL126+IF($T$76&lt;&gt;"No",'Reference dates (hide)'!AL234,0)</f>
        <v>0</v>
      </c>
      <c r="AB80" s="169">
        <f ca="1">'Reference dates (hide)'!AM126+IF($T$76&lt;&gt;"No",'Reference dates (hide)'!AM234,0)</f>
        <v>0</v>
      </c>
      <c r="AC80" s="169">
        <f ca="1">'Reference dates (hide)'!AN126+IF($T$76&lt;&gt;"No",'Reference dates (hide)'!AN234,0)</f>
        <v>0</v>
      </c>
      <c r="AD80" s="169">
        <f ca="1">'Reference dates (hide)'!AO126+IF($T$76&lt;&gt;"No",'Reference dates (hide)'!AO234,0)</f>
        <v>0</v>
      </c>
      <c r="AE80" s="169">
        <f ca="1">'Reference dates (hide)'!AP126+IF($T$76&lt;&gt;"No",'Reference dates (hide)'!AP234,0)</f>
        <v>0</v>
      </c>
      <c r="AF80" s="169">
        <f ca="1">'Reference dates (hide)'!AQ126+IF($T$76&lt;&gt;"No",'Reference dates (hide)'!AQ234,0)</f>
        <v>0</v>
      </c>
      <c r="AG80" s="169">
        <f t="shared" ref="AG80:AG83" ca="1" si="4">SUM(U80:AF80)</f>
        <v>0</v>
      </c>
    </row>
    <row r="81" spans="1:33" hidden="1" x14ac:dyDescent="0.25">
      <c r="S81" s="292"/>
      <c r="T81" s="161" t="s">
        <v>818</v>
      </c>
      <c r="U81" s="169">
        <f ca="1">'Reference dates (hide)'!AF127+IF($T$76&lt;&gt;"No",'Reference dates (hide)'!AF235,0)</f>
        <v>0</v>
      </c>
      <c r="V81" s="169">
        <f ca="1">'Reference dates (hide)'!AG127+IF($T$76&lt;&gt;"No",'Reference dates (hide)'!AG235,0)</f>
        <v>0</v>
      </c>
      <c r="W81" s="169">
        <f ca="1">'Reference dates (hide)'!AH127+IF($T$76&lt;&gt;"No",'Reference dates (hide)'!AH235,0)</f>
        <v>0</v>
      </c>
      <c r="X81" s="169">
        <f ca="1">'Reference dates (hide)'!AI127+IF($T$76&lt;&gt;"No",'Reference dates (hide)'!AI235,0)</f>
        <v>0</v>
      </c>
      <c r="Y81" s="169">
        <f ca="1">'Reference dates (hide)'!AJ127+IF($T$76&lt;&gt;"No",'Reference dates (hide)'!AJ235,0)</f>
        <v>0</v>
      </c>
      <c r="Z81" s="169">
        <f ca="1">'Reference dates (hide)'!AK127+IF($T$76&lt;&gt;"No",'Reference dates (hide)'!AK235,0)</f>
        <v>0</v>
      </c>
      <c r="AA81" s="169">
        <f ca="1">'Reference dates (hide)'!AL127+IF($T$76&lt;&gt;"No",'Reference dates (hide)'!AL235,0)</f>
        <v>0</v>
      </c>
      <c r="AB81" s="169">
        <f ca="1">'Reference dates (hide)'!AM127+IF($T$76&lt;&gt;"No",'Reference dates (hide)'!AM235,0)</f>
        <v>0</v>
      </c>
      <c r="AC81" s="169">
        <f ca="1">'Reference dates (hide)'!AN127+IF($T$76&lt;&gt;"No",'Reference dates (hide)'!AN235,0)</f>
        <v>0</v>
      </c>
      <c r="AD81" s="169">
        <f ca="1">'Reference dates (hide)'!AO127+IF($T$76&lt;&gt;"No",'Reference dates (hide)'!AO235,0)</f>
        <v>0</v>
      </c>
      <c r="AE81" s="169">
        <f ca="1">'Reference dates (hide)'!AP127+IF($T$76&lt;&gt;"No",'Reference dates (hide)'!AP235,0)</f>
        <v>0</v>
      </c>
      <c r="AF81" s="169">
        <f ca="1">'Reference dates (hide)'!AQ127+IF($T$76&lt;&gt;"No",'Reference dates (hide)'!AQ235,0)</f>
        <v>0</v>
      </c>
      <c r="AG81" s="169">
        <f t="shared" ca="1" si="4"/>
        <v>0</v>
      </c>
    </row>
    <row r="82" spans="1:33" hidden="1" x14ac:dyDescent="0.25">
      <c r="S82" s="292"/>
      <c r="T82" s="177" t="s">
        <v>842</v>
      </c>
      <c r="U82" s="169">
        <f ca="1">'Reference dates (hide)'!AF128+IF($T$76&lt;&gt;"No",'Reference dates (hide)'!AF236,0)</f>
        <v>0</v>
      </c>
      <c r="V82" s="169">
        <f ca="1">'Reference dates (hide)'!AG128+IF($T$76&lt;&gt;"No",'Reference dates (hide)'!AG236,0)</f>
        <v>0</v>
      </c>
      <c r="W82" s="169">
        <f ca="1">'Reference dates (hide)'!AH128+IF($T$76&lt;&gt;"No",'Reference dates (hide)'!AH236,0)</f>
        <v>0</v>
      </c>
      <c r="X82" s="169">
        <f ca="1">'Reference dates (hide)'!AI128+IF($T$76&lt;&gt;"No",'Reference dates (hide)'!AI236,0)</f>
        <v>0</v>
      </c>
      <c r="Y82" s="169">
        <f ca="1">'Reference dates (hide)'!AJ128+IF($T$76&lt;&gt;"No",'Reference dates (hide)'!AJ236,0)</f>
        <v>0</v>
      </c>
      <c r="Z82" s="169">
        <f ca="1">'Reference dates (hide)'!AK128+IF($T$76&lt;&gt;"No",'Reference dates (hide)'!AK236,0)</f>
        <v>0</v>
      </c>
      <c r="AA82" s="169">
        <f ca="1">'Reference dates (hide)'!AL128+IF($T$76&lt;&gt;"No",'Reference dates (hide)'!AL236,0)</f>
        <v>0</v>
      </c>
      <c r="AB82" s="169">
        <f ca="1">'Reference dates (hide)'!AM128+IF($T$76&lt;&gt;"No",'Reference dates (hide)'!AM236,0)</f>
        <v>0</v>
      </c>
      <c r="AC82" s="169">
        <f ca="1">'Reference dates (hide)'!AN128+IF($T$76&lt;&gt;"No",'Reference dates (hide)'!AN236,0)</f>
        <v>0</v>
      </c>
      <c r="AD82" s="169">
        <f ca="1">'Reference dates (hide)'!AO128+IF($T$76&lt;&gt;"No",'Reference dates (hide)'!AO236,0)</f>
        <v>0</v>
      </c>
      <c r="AE82" s="169">
        <f ca="1">'Reference dates (hide)'!AP128+IF($T$76&lt;&gt;"No",'Reference dates (hide)'!AP236,0)</f>
        <v>0</v>
      </c>
      <c r="AF82" s="169">
        <f ca="1">'Reference dates (hide)'!AQ128+IF($T$76&lt;&gt;"No",'Reference dates (hide)'!AQ236,0)</f>
        <v>0</v>
      </c>
      <c r="AG82" s="169">
        <f t="shared" ca="1" si="4"/>
        <v>0</v>
      </c>
    </row>
    <row r="83" spans="1:33" hidden="1" x14ac:dyDescent="0.25">
      <c r="S83" s="292"/>
      <c r="T83" s="161" t="s">
        <v>839</v>
      </c>
      <c r="U83" s="169">
        <f ca="1">'Reference dates (hide)'!AF129+IF($T$76&lt;&gt;"No",'Reference dates (hide)'!AF237,0)</f>
        <v>0</v>
      </c>
      <c r="V83" s="169">
        <f ca="1">'Reference dates (hide)'!AG129+IF($T$76&lt;&gt;"No",'Reference dates (hide)'!AG237,0)</f>
        <v>0</v>
      </c>
      <c r="W83" s="169">
        <f ca="1">'Reference dates (hide)'!AH129+IF($T$76&lt;&gt;"No",'Reference dates (hide)'!AH237,0)</f>
        <v>0</v>
      </c>
      <c r="X83" s="169">
        <f ca="1">'Reference dates (hide)'!AI129+IF($T$76&lt;&gt;"No",'Reference dates (hide)'!AI237,0)</f>
        <v>0</v>
      </c>
      <c r="Y83" s="169">
        <f ca="1">'Reference dates (hide)'!AJ129+IF($T$76&lt;&gt;"No",'Reference dates (hide)'!AJ237,0)</f>
        <v>0</v>
      </c>
      <c r="Z83" s="169">
        <f ca="1">'Reference dates (hide)'!AK129+IF($T$76&lt;&gt;"No",'Reference dates (hide)'!AK237,0)</f>
        <v>0</v>
      </c>
      <c r="AA83" s="169">
        <f ca="1">'Reference dates (hide)'!AL129+IF($T$76&lt;&gt;"No",'Reference dates (hide)'!AL237,0)</f>
        <v>0</v>
      </c>
      <c r="AB83" s="169">
        <f ca="1">'Reference dates (hide)'!AM129+IF($T$76&lt;&gt;"No",'Reference dates (hide)'!AM237,0)</f>
        <v>0</v>
      </c>
      <c r="AC83" s="169">
        <f ca="1">'Reference dates (hide)'!AN129+IF($T$76&lt;&gt;"No",'Reference dates (hide)'!AN237,0)</f>
        <v>0</v>
      </c>
      <c r="AD83" s="169">
        <f ca="1">'Reference dates (hide)'!AO129+IF($T$76&lt;&gt;"No",'Reference dates (hide)'!AO237,0)</f>
        <v>0</v>
      </c>
      <c r="AE83" s="169">
        <f ca="1">'Reference dates (hide)'!AP129+IF($T$76&lt;&gt;"No",'Reference dates (hide)'!AP237,0)</f>
        <v>0</v>
      </c>
      <c r="AF83" s="169">
        <f ca="1">'Reference dates (hide)'!AQ129+IF($T$76&lt;&gt;"No",'Reference dates (hide)'!AQ237,0)</f>
        <v>0</v>
      </c>
      <c r="AG83" s="169">
        <f t="shared" ca="1" si="4"/>
        <v>0</v>
      </c>
    </row>
    <row r="84" spans="1:33" hidden="1" x14ac:dyDescent="0.25">
      <c r="S84" s="1"/>
      <c r="U84" s="8"/>
      <c r="V84" s="8"/>
      <c r="W84" s="8"/>
      <c r="X84" s="8"/>
      <c r="Y84" s="8"/>
      <c r="Z84" s="8"/>
      <c r="AA84" s="8"/>
      <c r="AB84" s="8"/>
      <c r="AC84" s="8"/>
      <c r="AD84" s="8"/>
      <c r="AE84" s="8"/>
      <c r="AF84" s="8"/>
      <c r="AG84" s="8"/>
    </row>
    <row r="85" spans="1:33" hidden="1" x14ac:dyDescent="0.25">
      <c r="A85" s="126"/>
      <c r="B85" s="126"/>
      <c r="C85" s="126"/>
      <c r="D85" s="126"/>
      <c r="E85" s="126"/>
      <c r="F85" s="126"/>
      <c r="G85" s="126"/>
      <c r="H85" s="126"/>
      <c r="I85" s="126"/>
      <c r="J85" s="126"/>
      <c r="K85" s="126"/>
      <c r="L85" s="126"/>
      <c r="M85" s="126"/>
      <c r="N85" s="126"/>
      <c r="O85" s="126"/>
      <c r="P85" s="126"/>
      <c r="Q85" s="126"/>
      <c r="R85" s="126"/>
      <c r="S85" s="292" t="str">
        <f>'Data files'!A16</f>
        <v>1. test service</v>
      </c>
      <c r="T85" s="161" t="s">
        <v>815</v>
      </c>
      <c r="U85" s="169">
        <f ca="1">'Reference dates (hide)'!AF130+IF($T$76&lt;&gt;"No",'Reference dates (hide)'!AF238,0)</f>
        <v>1940.8571977362626</v>
      </c>
      <c r="V85" s="169">
        <f ca="1">'Reference dates (hide)'!AG130+IF($T$76&lt;&gt;"No",'Reference dates (hide)'!AG238,0)</f>
        <v>1552.6857581890101</v>
      </c>
      <c r="W85" s="169">
        <f ca="1">'Reference dates (hide)'!AH130+IF($T$76&lt;&gt;"No",'Reference dates (hide)'!AH238,0)</f>
        <v>1707.9543340079113</v>
      </c>
      <c r="X85" s="169">
        <f ca="1">'Reference dates (hide)'!AI130+IF($T$76&lt;&gt;"No",'Reference dates (hide)'!AI238,0)</f>
        <v>1707.954334007911</v>
      </c>
      <c r="Y85" s="169">
        <f ca="1">'Reference dates (hide)'!AJ130+IF($T$76&lt;&gt;"No",'Reference dates (hide)'!AJ238,0)</f>
        <v>1630.3200460984606</v>
      </c>
      <c r="Z85" s="169">
        <f ca="1">'Reference dates (hide)'!AK130+IF($T$76&lt;&gt;"No",'Reference dates (hide)'!AK238,0)</f>
        <v>1707.9543340079113</v>
      </c>
      <c r="AA85" s="169">
        <f ca="1">'Reference dates (hide)'!AL130+IF($T$76&lt;&gt;"No",'Reference dates (hide)'!AL238,0)</f>
        <v>1785.5886219173615</v>
      </c>
      <c r="AB85" s="169">
        <f ca="1">'Reference dates (hide)'!AM130+IF($T$76&lt;&gt;"No",'Reference dates (hide)'!AM238,0)</f>
        <v>1552.6857581890101</v>
      </c>
      <c r="AC85" s="169">
        <f ca="1">'Reference dates (hide)'!AN130+IF($T$76&lt;&gt;"No",'Reference dates (hide)'!AN238,0)</f>
        <v>1785.5886219173617</v>
      </c>
      <c r="AD85" s="169">
        <f ca="1">'Reference dates (hide)'!AO130+IF($T$76&lt;&gt;"No",'Reference dates (hide)'!AO238,0)</f>
        <v>1707.954334007911</v>
      </c>
      <c r="AE85" s="169">
        <f ca="1">'Reference dates (hide)'!AP130+IF($T$76&lt;&gt;"No",'Reference dates (hide)'!AP238,0)</f>
        <v>1630.3200460984606</v>
      </c>
      <c r="AF85" s="169">
        <f ca="1">'Reference dates (hide)'!AQ130+IF($T$76&lt;&gt;"No",'Reference dates (hide)'!AQ238,0)</f>
        <v>1863.2229098268119</v>
      </c>
      <c r="AG85" s="169">
        <f t="shared" ref="AG85:AG148" ca="1" si="5">SUM(U85:AF85)</f>
        <v>20573.086296004381</v>
      </c>
    </row>
    <row r="86" spans="1:33" hidden="1" x14ac:dyDescent="0.25">
      <c r="A86" s="126"/>
      <c r="B86" s="126"/>
      <c r="C86" s="126"/>
      <c r="D86" s="126"/>
      <c r="E86" s="126"/>
      <c r="F86" s="126"/>
      <c r="G86" s="126"/>
      <c r="H86" s="126"/>
      <c r="I86" s="126"/>
      <c r="J86" s="126"/>
      <c r="K86" s="126"/>
      <c r="L86" s="126"/>
      <c r="M86" s="126"/>
      <c r="N86" s="126"/>
      <c r="O86" s="126"/>
      <c r="P86" s="126"/>
      <c r="Q86" s="126"/>
      <c r="R86" s="126"/>
      <c r="S86" s="292"/>
      <c r="T86" s="177" t="s">
        <v>1317</v>
      </c>
      <c r="U86" s="169">
        <f ca="1">'Reference dates (hide)'!AF131+IF($T$76&lt;&gt;"No",'Reference dates (hide)'!AF239,0)</f>
        <v>0</v>
      </c>
      <c r="V86" s="169">
        <f ca="1">'Reference dates (hide)'!AG131+IF($T$76&lt;&gt;"No",'Reference dates (hide)'!AG239,0)</f>
        <v>0</v>
      </c>
      <c r="W86" s="169">
        <f ca="1">'Reference dates (hide)'!AH131+IF($T$76&lt;&gt;"No",'Reference dates (hide)'!AH239,0)</f>
        <v>0</v>
      </c>
      <c r="X86" s="169">
        <f ca="1">'Reference dates (hide)'!AI131+IF($T$76&lt;&gt;"No",'Reference dates (hide)'!AI239,0)</f>
        <v>0</v>
      </c>
      <c r="Y86" s="169">
        <f ca="1">'Reference dates (hide)'!AJ131+IF($T$76&lt;&gt;"No",'Reference dates (hide)'!AJ239,0)</f>
        <v>0</v>
      </c>
      <c r="Z86" s="169">
        <f ca="1">'Reference dates (hide)'!AK131+IF($T$76&lt;&gt;"No",'Reference dates (hide)'!AK239,0)</f>
        <v>0</v>
      </c>
      <c r="AA86" s="169">
        <f ca="1">'Reference dates (hide)'!AL131+IF($T$76&lt;&gt;"No",'Reference dates (hide)'!AL239,0)</f>
        <v>0</v>
      </c>
      <c r="AB86" s="169">
        <f ca="1">'Reference dates (hide)'!AM131+IF($T$76&lt;&gt;"No",'Reference dates (hide)'!AM239,0)</f>
        <v>0</v>
      </c>
      <c r="AC86" s="169">
        <f ca="1">'Reference dates (hide)'!AN131+IF($T$76&lt;&gt;"No",'Reference dates (hide)'!AN239,0)</f>
        <v>0</v>
      </c>
      <c r="AD86" s="169">
        <f ca="1">'Reference dates (hide)'!AO131+IF($T$76&lt;&gt;"No",'Reference dates (hide)'!AO239,0)</f>
        <v>0</v>
      </c>
      <c r="AE86" s="169">
        <f ca="1">'Reference dates (hide)'!AP131+IF($T$76&lt;&gt;"No",'Reference dates (hide)'!AP239,0)</f>
        <v>0</v>
      </c>
      <c r="AF86" s="169">
        <f ca="1">'Reference dates (hide)'!AQ131+IF($T$76&lt;&gt;"No",'Reference dates (hide)'!AQ239,0)</f>
        <v>0</v>
      </c>
      <c r="AG86" s="169">
        <f t="shared" ca="1" si="5"/>
        <v>0</v>
      </c>
    </row>
    <row r="87" spans="1:33" hidden="1" x14ac:dyDescent="0.25">
      <c r="A87" s="126"/>
      <c r="B87" s="126"/>
      <c r="C87" s="126"/>
      <c r="D87" s="126"/>
      <c r="E87" s="126"/>
      <c r="F87" s="126"/>
      <c r="G87" s="126"/>
      <c r="H87" s="126"/>
      <c r="I87" s="126"/>
      <c r="J87" s="126"/>
      <c r="K87" s="126"/>
      <c r="L87" s="126"/>
      <c r="M87" s="126"/>
      <c r="N87" s="126"/>
      <c r="O87" s="126"/>
      <c r="P87" s="126"/>
      <c r="Q87" s="126"/>
      <c r="R87" s="126"/>
      <c r="S87" s="292"/>
      <c r="T87" s="161" t="s">
        <v>818</v>
      </c>
      <c r="U87" s="169">
        <f ca="1">'Reference dates (hide)'!AF132+IF($T$76&lt;&gt;"No",'Reference dates (hide)'!AF240,0)</f>
        <v>0</v>
      </c>
      <c r="V87" s="169">
        <f ca="1">'Reference dates (hide)'!AG132+IF($T$76&lt;&gt;"No",'Reference dates (hide)'!AG240,0)</f>
        <v>0</v>
      </c>
      <c r="W87" s="169">
        <f ca="1">'Reference dates (hide)'!AH132+IF($T$76&lt;&gt;"No",'Reference dates (hide)'!AH240,0)</f>
        <v>0</v>
      </c>
      <c r="X87" s="169">
        <f ca="1">'Reference dates (hide)'!AI132+IF($T$76&lt;&gt;"No",'Reference dates (hide)'!AI240,0)</f>
        <v>0</v>
      </c>
      <c r="Y87" s="169">
        <f ca="1">'Reference dates (hide)'!AJ132+IF($T$76&lt;&gt;"No",'Reference dates (hide)'!AJ240,0)</f>
        <v>0</v>
      </c>
      <c r="Z87" s="169">
        <f ca="1">'Reference dates (hide)'!AK132+IF($T$76&lt;&gt;"No",'Reference dates (hide)'!AK240,0)</f>
        <v>0</v>
      </c>
      <c r="AA87" s="169">
        <f ca="1">'Reference dates (hide)'!AL132+IF($T$76&lt;&gt;"No",'Reference dates (hide)'!AL240,0)</f>
        <v>0</v>
      </c>
      <c r="AB87" s="169">
        <f ca="1">'Reference dates (hide)'!AM132+IF($T$76&lt;&gt;"No",'Reference dates (hide)'!AM240,0)</f>
        <v>0</v>
      </c>
      <c r="AC87" s="169">
        <f ca="1">'Reference dates (hide)'!AN132+IF($T$76&lt;&gt;"No",'Reference dates (hide)'!AN240,0)</f>
        <v>0</v>
      </c>
      <c r="AD87" s="169">
        <f ca="1">'Reference dates (hide)'!AO132+IF($T$76&lt;&gt;"No",'Reference dates (hide)'!AO240,0)</f>
        <v>0</v>
      </c>
      <c r="AE87" s="169">
        <f ca="1">'Reference dates (hide)'!AP132+IF($T$76&lt;&gt;"No",'Reference dates (hide)'!AP240,0)</f>
        <v>0</v>
      </c>
      <c r="AF87" s="169">
        <f ca="1">'Reference dates (hide)'!AQ132+IF($T$76&lt;&gt;"No",'Reference dates (hide)'!AQ240,0)</f>
        <v>0</v>
      </c>
      <c r="AG87" s="169">
        <f t="shared" ca="1" si="5"/>
        <v>0</v>
      </c>
    </row>
    <row r="88" spans="1:33" hidden="1" x14ac:dyDescent="0.25">
      <c r="A88" s="126"/>
      <c r="B88" s="126"/>
      <c r="C88" s="126"/>
      <c r="D88" s="126"/>
      <c r="E88" s="126"/>
      <c r="F88" s="126"/>
      <c r="G88" s="126"/>
      <c r="H88" s="126"/>
      <c r="I88" s="126"/>
      <c r="J88" s="126"/>
      <c r="K88" s="126"/>
      <c r="L88" s="126"/>
      <c r="M88" s="126"/>
      <c r="N88" s="126"/>
      <c r="O88" s="126"/>
      <c r="P88" s="126"/>
      <c r="Q88" s="126"/>
      <c r="R88" s="126"/>
      <c r="S88" s="292"/>
      <c r="T88" s="177" t="s">
        <v>842</v>
      </c>
      <c r="U88" s="169">
        <f ca="1">'Reference dates (hide)'!AF133+IF($T$76&lt;&gt;"No",'Reference dates (hide)'!AF241,0)</f>
        <v>0</v>
      </c>
      <c r="V88" s="169">
        <f ca="1">'Reference dates (hide)'!AG133+IF($T$76&lt;&gt;"No",'Reference dates (hide)'!AG241,0)</f>
        <v>0</v>
      </c>
      <c r="W88" s="169">
        <f ca="1">'Reference dates (hide)'!AH133+IF($T$76&lt;&gt;"No",'Reference dates (hide)'!AH241,0)</f>
        <v>0</v>
      </c>
      <c r="X88" s="169">
        <f ca="1">'Reference dates (hide)'!AI133+IF($T$76&lt;&gt;"No",'Reference dates (hide)'!AI241,0)</f>
        <v>0</v>
      </c>
      <c r="Y88" s="169">
        <f ca="1">'Reference dates (hide)'!AJ133+IF($T$76&lt;&gt;"No",'Reference dates (hide)'!AJ241,0)</f>
        <v>0</v>
      </c>
      <c r="Z88" s="169">
        <f ca="1">'Reference dates (hide)'!AK133+IF($T$76&lt;&gt;"No",'Reference dates (hide)'!AK241,0)</f>
        <v>0</v>
      </c>
      <c r="AA88" s="169">
        <f ca="1">'Reference dates (hide)'!AL133+IF($T$76&lt;&gt;"No",'Reference dates (hide)'!AL241,0)</f>
        <v>0</v>
      </c>
      <c r="AB88" s="169">
        <f ca="1">'Reference dates (hide)'!AM133+IF($T$76&lt;&gt;"No",'Reference dates (hide)'!AM241,0)</f>
        <v>0</v>
      </c>
      <c r="AC88" s="169">
        <f ca="1">'Reference dates (hide)'!AN133+IF($T$76&lt;&gt;"No",'Reference dates (hide)'!AN241,0)</f>
        <v>0</v>
      </c>
      <c r="AD88" s="169">
        <f ca="1">'Reference dates (hide)'!AO133+IF($T$76&lt;&gt;"No",'Reference dates (hide)'!AO241,0)</f>
        <v>0</v>
      </c>
      <c r="AE88" s="169">
        <f ca="1">'Reference dates (hide)'!AP133+IF($T$76&lt;&gt;"No",'Reference dates (hide)'!AP241,0)</f>
        <v>0</v>
      </c>
      <c r="AF88" s="169">
        <f ca="1">'Reference dates (hide)'!AQ133+IF($T$76&lt;&gt;"No",'Reference dates (hide)'!AQ241,0)</f>
        <v>0</v>
      </c>
      <c r="AG88" s="169">
        <f t="shared" ca="1" si="5"/>
        <v>0</v>
      </c>
    </row>
    <row r="89" spans="1:33" hidden="1" x14ac:dyDescent="0.25">
      <c r="A89" s="126"/>
      <c r="B89" s="126"/>
      <c r="C89" s="126"/>
      <c r="D89" s="126"/>
      <c r="E89" s="126"/>
      <c r="F89" s="126"/>
      <c r="G89" s="126"/>
      <c r="H89" s="126"/>
      <c r="I89" s="126"/>
      <c r="J89" s="126"/>
      <c r="K89" s="126"/>
      <c r="L89" s="126"/>
      <c r="M89" s="126"/>
      <c r="N89" s="126"/>
      <c r="O89" s="126"/>
      <c r="P89" s="126"/>
      <c r="Q89" s="126"/>
      <c r="R89" s="126"/>
      <c r="S89" s="292"/>
      <c r="T89" s="161" t="s">
        <v>839</v>
      </c>
      <c r="U89" s="169">
        <f ca="1">'Reference dates (hide)'!AF134+IF($T$76&lt;&gt;"No",'Reference dates (hide)'!AF242,0)</f>
        <v>0</v>
      </c>
      <c r="V89" s="169">
        <f ca="1">'Reference dates (hide)'!AG134+IF($T$76&lt;&gt;"No",'Reference dates (hide)'!AG242,0)</f>
        <v>0</v>
      </c>
      <c r="W89" s="169">
        <f ca="1">'Reference dates (hide)'!AH134+IF($T$76&lt;&gt;"No",'Reference dates (hide)'!AH242,0)</f>
        <v>0</v>
      </c>
      <c r="X89" s="169">
        <f ca="1">'Reference dates (hide)'!AI134+IF($T$76&lt;&gt;"No",'Reference dates (hide)'!AI242,0)</f>
        <v>0</v>
      </c>
      <c r="Y89" s="169">
        <f ca="1">'Reference dates (hide)'!AJ134+IF($T$76&lt;&gt;"No",'Reference dates (hide)'!AJ242,0)</f>
        <v>0</v>
      </c>
      <c r="Z89" s="169">
        <f ca="1">'Reference dates (hide)'!AK134+IF($T$76&lt;&gt;"No",'Reference dates (hide)'!AK242,0)</f>
        <v>0</v>
      </c>
      <c r="AA89" s="169">
        <f ca="1">'Reference dates (hide)'!AL134+IF($T$76&lt;&gt;"No",'Reference dates (hide)'!AL242,0)</f>
        <v>0</v>
      </c>
      <c r="AB89" s="169">
        <f ca="1">'Reference dates (hide)'!AM134+IF($T$76&lt;&gt;"No",'Reference dates (hide)'!AM242,0)</f>
        <v>0</v>
      </c>
      <c r="AC89" s="169">
        <f ca="1">'Reference dates (hide)'!AN134+IF($T$76&lt;&gt;"No",'Reference dates (hide)'!AN242,0)</f>
        <v>0</v>
      </c>
      <c r="AD89" s="169">
        <f ca="1">'Reference dates (hide)'!AO134+IF($T$76&lt;&gt;"No",'Reference dates (hide)'!AO242,0)</f>
        <v>0</v>
      </c>
      <c r="AE89" s="169">
        <f ca="1">'Reference dates (hide)'!AP134+IF($T$76&lt;&gt;"No",'Reference dates (hide)'!AP242,0)</f>
        <v>0</v>
      </c>
      <c r="AF89" s="169">
        <f ca="1">'Reference dates (hide)'!AQ134+IF($T$76&lt;&gt;"No",'Reference dates (hide)'!AQ242,0)</f>
        <v>0</v>
      </c>
      <c r="AG89" s="169">
        <f t="shared" ca="1" si="5"/>
        <v>0</v>
      </c>
    </row>
    <row r="90" spans="1:33" hidden="1" x14ac:dyDescent="0.25">
      <c r="S90" s="1"/>
      <c r="U90" s="8"/>
      <c r="V90" s="8"/>
      <c r="W90" s="8"/>
      <c r="X90" s="8"/>
      <c r="Y90" s="8"/>
      <c r="Z90" s="8"/>
      <c r="AA90" s="8"/>
      <c r="AB90" s="8"/>
      <c r="AC90" s="8"/>
      <c r="AD90" s="8"/>
      <c r="AE90" s="8"/>
      <c r="AF90" s="8"/>
      <c r="AG90" s="8"/>
    </row>
    <row r="91" spans="1:33" hidden="1" x14ac:dyDescent="0.25">
      <c r="S91" s="292" t="str">
        <f>'Data files'!A17</f>
        <v xml:space="preserve">2. </v>
      </c>
      <c r="T91" s="161" t="s">
        <v>815</v>
      </c>
      <c r="U91" s="169">
        <f ca="1">'Reference dates (hide)'!AF135+IF($T$76&lt;&gt;"No",'Reference dates (hide)'!AF243,0)</f>
        <v>0</v>
      </c>
      <c r="V91" s="169">
        <f ca="1">'Reference dates (hide)'!AG135+IF($T$76&lt;&gt;"No",'Reference dates (hide)'!AG243,0)</f>
        <v>0</v>
      </c>
      <c r="W91" s="169">
        <f ca="1">'Reference dates (hide)'!AH135+IF($T$76&lt;&gt;"No",'Reference dates (hide)'!AH243,0)</f>
        <v>0</v>
      </c>
      <c r="X91" s="169">
        <f ca="1">'Reference dates (hide)'!AI135+IF($T$76&lt;&gt;"No",'Reference dates (hide)'!AI243,0)</f>
        <v>0</v>
      </c>
      <c r="Y91" s="169">
        <f ca="1">'Reference dates (hide)'!AJ135+IF($T$76&lt;&gt;"No",'Reference dates (hide)'!AJ243,0)</f>
        <v>0</v>
      </c>
      <c r="Z91" s="169">
        <f ca="1">'Reference dates (hide)'!AK135+IF($T$76&lt;&gt;"No",'Reference dates (hide)'!AK243,0)</f>
        <v>0</v>
      </c>
      <c r="AA91" s="169">
        <f ca="1">'Reference dates (hide)'!AL135+IF($T$76&lt;&gt;"No",'Reference dates (hide)'!AL243,0)</f>
        <v>0</v>
      </c>
      <c r="AB91" s="169">
        <f ca="1">'Reference dates (hide)'!AM135+IF($T$76&lt;&gt;"No",'Reference dates (hide)'!AM243,0)</f>
        <v>0</v>
      </c>
      <c r="AC91" s="169">
        <f ca="1">'Reference dates (hide)'!AN135+IF($T$76&lt;&gt;"No",'Reference dates (hide)'!AN243,0)</f>
        <v>0</v>
      </c>
      <c r="AD91" s="169">
        <f ca="1">'Reference dates (hide)'!AO135+IF($T$76&lt;&gt;"No",'Reference dates (hide)'!AO243,0)</f>
        <v>0</v>
      </c>
      <c r="AE91" s="169">
        <f ca="1">'Reference dates (hide)'!AP135+IF($T$76&lt;&gt;"No",'Reference dates (hide)'!AP243,0)</f>
        <v>0</v>
      </c>
      <c r="AF91" s="169">
        <f ca="1">'Reference dates (hide)'!AQ135+IF($T$76&lt;&gt;"No",'Reference dates (hide)'!AQ243,0)</f>
        <v>0</v>
      </c>
      <c r="AG91" s="169">
        <f t="shared" ref="AG91" ca="1" si="6">SUM(U91:AF91)</f>
        <v>0</v>
      </c>
    </row>
    <row r="92" spans="1:33" hidden="1" x14ac:dyDescent="0.25">
      <c r="S92" s="292"/>
      <c r="T92" s="177" t="s">
        <v>1317</v>
      </c>
      <c r="U92" s="169">
        <f ca="1">'Reference dates (hide)'!AF136+IF($T$76&lt;&gt;"No",'Reference dates (hide)'!AF244,0)</f>
        <v>0</v>
      </c>
      <c r="V92" s="169">
        <f ca="1">'Reference dates (hide)'!AG136+IF($T$76&lt;&gt;"No",'Reference dates (hide)'!AG244,0)</f>
        <v>0</v>
      </c>
      <c r="W92" s="169">
        <f ca="1">'Reference dates (hide)'!AH136+IF($T$76&lt;&gt;"No",'Reference dates (hide)'!AH244,0)</f>
        <v>0</v>
      </c>
      <c r="X92" s="169">
        <f ca="1">'Reference dates (hide)'!AI136+IF($T$76&lt;&gt;"No",'Reference dates (hide)'!AI244,0)</f>
        <v>0</v>
      </c>
      <c r="Y92" s="169">
        <f ca="1">'Reference dates (hide)'!AJ136+IF($T$76&lt;&gt;"No",'Reference dates (hide)'!AJ244,0)</f>
        <v>0</v>
      </c>
      <c r="Z92" s="169">
        <f ca="1">'Reference dates (hide)'!AK136+IF($T$76&lt;&gt;"No",'Reference dates (hide)'!AK244,0)</f>
        <v>0</v>
      </c>
      <c r="AA92" s="169">
        <f ca="1">'Reference dates (hide)'!AL136+IF($T$76&lt;&gt;"No",'Reference dates (hide)'!AL244,0)</f>
        <v>0</v>
      </c>
      <c r="AB92" s="169">
        <f ca="1">'Reference dates (hide)'!AM136+IF($T$76&lt;&gt;"No",'Reference dates (hide)'!AM244,0)</f>
        <v>0</v>
      </c>
      <c r="AC92" s="169">
        <f ca="1">'Reference dates (hide)'!AN136+IF($T$76&lt;&gt;"No",'Reference dates (hide)'!AN244,0)</f>
        <v>0</v>
      </c>
      <c r="AD92" s="169">
        <f ca="1">'Reference dates (hide)'!AO136+IF($T$76&lt;&gt;"No",'Reference dates (hide)'!AO244,0)</f>
        <v>0</v>
      </c>
      <c r="AE92" s="169">
        <f ca="1">'Reference dates (hide)'!AP136+IF($T$76&lt;&gt;"No",'Reference dates (hide)'!AP244,0)</f>
        <v>0</v>
      </c>
      <c r="AF92" s="169">
        <f ca="1">'Reference dates (hide)'!AQ136+IF($T$76&lt;&gt;"No",'Reference dates (hide)'!AQ244,0)</f>
        <v>0</v>
      </c>
      <c r="AG92" s="169">
        <f t="shared" ca="1" si="5"/>
        <v>0</v>
      </c>
    </row>
    <row r="93" spans="1:33" hidden="1" x14ac:dyDescent="0.25">
      <c r="S93" s="292"/>
      <c r="T93" s="161" t="s">
        <v>818</v>
      </c>
      <c r="U93" s="169">
        <f ca="1">'Reference dates (hide)'!AF137+IF($T$76&lt;&gt;"No",'Reference dates (hide)'!AF245,0)</f>
        <v>0</v>
      </c>
      <c r="V93" s="169">
        <f ca="1">'Reference dates (hide)'!AG137+IF($T$76&lt;&gt;"No",'Reference dates (hide)'!AG245,0)</f>
        <v>0</v>
      </c>
      <c r="W93" s="169">
        <f ca="1">'Reference dates (hide)'!AH137+IF($T$76&lt;&gt;"No",'Reference dates (hide)'!AH245,0)</f>
        <v>0</v>
      </c>
      <c r="X93" s="169">
        <f ca="1">'Reference dates (hide)'!AI137+IF($T$76&lt;&gt;"No",'Reference dates (hide)'!AI245,0)</f>
        <v>0</v>
      </c>
      <c r="Y93" s="169">
        <f ca="1">'Reference dates (hide)'!AJ137+IF($T$76&lt;&gt;"No",'Reference dates (hide)'!AJ245,0)</f>
        <v>0</v>
      </c>
      <c r="Z93" s="169">
        <f ca="1">'Reference dates (hide)'!AK137+IF($T$76&lt;&gt;"No",'Reference dates (hide)'!AK245,0)</f>
        <v>0</v>
      </c>
      <c r="AA93" s="169">
        <f ca="1">'Reference dates (hide)'!AL137+IF($T$76&lt;&gt;"No",'Reference dates (hide)'!AL245,0)</f>
        <v>0</v>
      </c>
      <c r="AB93" s="169">
        <f ca="1">'Reference dates (hide)'!AM137+IF($T$76&lt;&gt;"No",'Reference dates (hide)'!AM245,0)</f>
        <v>0</v>
      </c>
      <c r="AC93" s="169">
        <f ca="1">'Reference dates (hide)'!AN137+IF($T$76&lt;&gt;"No",'Reference dates (hide)'!AN245,0)</f>
        <v>0</v>
      </c>
      <c r="AD93" s="169">
        <f ca="1">'Reference dates (hide)'!AO137+IF($T$76&lt;&gt;"No",'Reference dates (hide)'!AO245,0)</f>
        <v>0</v>
      </c>
      <c r="AE93" s="169">
        <f ca="1">'Reference dates (hide)'!AP137+IF($T$76&lt;&gt;"No",'Reference dates (hide)'!AP245,0)</f>
        <v>0</v>
      </c>
      <c r="AF93" s="169">
        <f ca="1">'Reference dates (hide)'!AQ137+IF($T$76&lt;&gt;"No",'Reference dates (hide)'!AQ245,0)</f>
        <v>0</v>
      </c>
      <c r="AG93" s="169">
        <f t="shared" ca="1" si="5"/>
        <v>0</v>
      </c>
    </row>
    <row r="94" spans="1:33" hidden="1" x14ac:dyDescent="0.25">
      <c r="S94" s="292"/>
      <c r="T94" s="177" t="s">
        <v>842</v>
      </c>
      <c r="U94" s="169">
        <f ca="1">'Reference dates (hide)'!AF138+IF($T$76&lt;&gt;"No",'Reference dates (hide)'!AF246,0)</f>
        <v>0</v>
      </c>
      <c r="V94" s="169">
        <f ca="1">'Reference dates (hide)'!AG138+IF($T$76&lt;&gt;"No",'Reference dates (hide)'!AG246,0)</f>
        <v>0</v>
      </c>
      <c r="W94" s="169">
        <f ca="1">'Reference dates (hide)'!AH138+IF($T$76&lt;&gt;"No",'Reference dates (hide)'!AH246,0)</f>
        <v>0</v>
      </c>
      <c r="X94" s="169">
        <f ca="1">'Reference dates (hide)'!AI138+IF($T$76&lt;&gt;"No",'Reference dates (hide)'!AI246,0)</f>
        <v>0</v>
      </c>
      <c r="Y94" s="169">
        <f ca="1">'Reference dates (hide)'!AJ138+IF($T$76&lt;&gt;"No",'Reference dates (hide)'!AJ246,0)</f>
        <v>0</v>
      </c>
      <c r="Z94" s="169">
        <f ca="1">'Reference dates (hide)'!AK138+IF($T$76&lt;&gt;"No",'Reference dates (hide)'!AK246,0)</f>
        <v>0</v>
      </c>
      <c r="AA94" s="169">
        <f ca="1">'Reference dates (hide)'!AL138+IF($T$76&lt;&gt;"No",'Reference dates (hide)'!AL246,0)</f>
        <v>0</v>
      </c>
      <c r="AB94" s="169">
        <f ca="1">'Reference dates (hide)'!AM138+IF($T$76&lt;&gt;"No",'Reference dates (hide)'!AM246,0)</f>
        <v>0</v>
      </c>
      <c r="AC94" s="169">
        <f ca="1">'Reference dates (hide)'!AN138+IF($T$76&lt;&gt;"No",'Reference dates (hide)'!AN246,0)</f>
        <v>0</v>
      </c>
      <c r="AD94" s="169">
        <f ca="1">'Reference dates (hide)'!AO138+IF($T$76&lt;&gt;"No",'Reference dates (hide)'!AO246,0)</f>
        <v>0</v>
      </c>
      <c r="AE94" s="169">
        <f ca="1">'Reference dates (hide)'!AP138+IF($T$76&lt;&gt;"No",'Reference dates (hide)'!AP246,0)</f>
        <v>0</v>
      </c>
      <c r="AF94" s="169">
        <f ca="1">'Reference dates (hide)'!AQ138+IF($T$76&lt;&gt;"No",'Reference dates (hide)'!AQ246,0)</f>
        <v>0</v>
      </c>
      <c r="AG94" s="169">
        <f t="shared" ca="1" si="5"/>
        <v>0</v>
      </c>
    </row>
    <row r="95" spans="1:33" hidden="1" x14ac:dyDescent="0.25">
      <c r="S95" s="292"/>
      <c r="T95" s="161" t="s">
        <v>839</v>
      </c>
      <c r="U95" s="169">
        <f ca="1">'Reference dates (hide)'!AF139+IF($T$76&lt;&gt;"No",'Reference dates (hide)'!AF247,0)</f>
        <v>0</v>
      </c>
      <c r="V95" s="169">
        <f ca="1">'Reference dates (hide)'!AG139+IF($T$76&lt;&gt;"No",'Reference dates (hide)'!AG247,0)</f>
        <v>0</v>
      </c>
      <c r="W95" s="169">
        <f ca="1">'Reference dates (hide)'!AH139+IF($T$76&lt;&gt;"No",'Reference dates (hide)'!AH247,0)</f>
        <v>0</v>
      </c>
      <c r="X95" s="169">
        <f ca="1">'Reference dates (hide)'!AI139+IF($T$76&lt;&gt;"No",'Reference dates (hide)'!AI247,0)</f>
        <v>0</v>
      </c>
      <c r="Y95" s="169">
        <f ca="1">'Reference dates (hide)'!AJ139+IF($T$76&lt;&gt;"No",'Reference dates (hide)'!AJ247,0)</f>
        <v>0</v>
      </c>
      <c r="Z95" s="169">
        <f ca="1">'Reference dates (hide)'!AK139+IF($T$76&lt;&gt;"No",'Reference dates (hide)'!AK247,0)</f>
        <v>0</v>
      </c>
      <c r="AA95" s="169">
        <f ca="1">'Reference dates (hide)'!AL139+IF($T$76&lt;&gt;"No",'Reference dates (hide)'!AL247,0)</f>
        <v>0</v>
      </c>
      <c r="AB95" s="169">
        <f ca="1">'Reference dates (hide)'!AM139+IF($T$76&lt;&gt;"No",'Reference dates (hide)'!AM247,0)</f>
        <v>0</v>
      </c>
      <c r="AC95" s="169">
        <f ca="1">'Reference dates (hide)'!AN139+IF($T$76&lt;&gt;"No",'Reference dates (hide)'!AN247,0)</f>
        <v>0</v>
      </c>
      <c r="AD95" s="169">
        <f ca="1">'Reference dates (hide)'!AO139+IF($T$76&lt;&gt;"No",'Reference dates (hide)'!AO247,0)</f>
        <v>0</v>
      </c>
      <c r="AE95" s="169">
        <f ca="1">'Reference dates (hide)'!AP139+IF($T$76&lt;&gt;"No",'Reference dates (hide)'!AP247,0)</f>
        <v>0</v>
      </c>
      <c r="AF95" s="169">
        <f ca="1">'Reference dates (hide)'!AQ139+IF($T$76&lt;&gt;"No",'Reference dates (hide)'!AQ247,0)</f>
        <v>0</v>
      </c>
      <c r="AG95" s="169">
        <f t="shared" ca="1" si="5"/>
        <v>0</v>
      </c>
    </row>
    <row r="96" spans="1:33" hidden="1" x14ac:dyDescent="0.25">
      <c r="S96" s="1"/>
      <c r="U96" s="8"/>
      <c r="V96" s="8"/>
      <c r="W96" s="8"/>
      <c r="X96" s="8"/>
      <c r="Y96" s="8"/>
      <c r="Z96" s="8"/>
      <c r="AA96" s="8"/>
      <c r="AB96" s="8"/>
      <c r="AC96" s="8"/>
      <c r="AD96" s="8"/>
      <c r="AE96" s="8"/>
      <c r="AF96" s="8"/>
      <c r="AG96" s="8"/>
    </row>
    <row r="97" spans="19:33" hidden="1" x14ac:dyDescent="0.25">
      <c r="S97" s="292" t="str">
        <f>'Data files'!A18</f>
        <v xml:space="preserve">3. </v>
      </c>
      <c r="T97" s="161" t="s">
        <v>815</v>
      </c>
      <c r="U97" s="169">
        <f ca="1">'Reference dates (hide)'!AF140+IF($T$76&lt;&gt;"No",'Reference dates (hide)'!AF248,0)</f>
        <v>0</v>
      </c>
      <c r="V97" s="169">
        <f ca="1">'Reference dates (hide)'!AG140+IF($T$76&lt;&gt;"No",'Reference dates (hide)'!AG248,0)</f>
        <v>0</v>
      </c>
      <c r="W97" s="169">
        <f ca="1">'Reference dates (hide)'!AH140+IF($T$76&lt;&gt;"No",'Reference dates (hide)'!AH248,0)</f>
        <v>0</v>
      </c>
      <c r="X97" s="169">
        <f ca="1">'Reference dates (hide)'!AI140+IF($T$76&lt;&gt;"No",'Reference dates (hide)'!AI248,0)</f>
        <v>0</v>
      </c>
      <c r="Y97" s="169">
        <f ca="1">'Reference dates (hide)'!AJ140+IF($T$76&lt;&gt;"No",'Reference dates (hide)'!AJ248,0)</f>
        <v>0</v>
      </c>
      <c r="Z97" s="169">
        <f ca="1">'Reference dates (hide)'!AK140+IF($T$76&lt;&gt;"No",'Reference dates (hide)'!AK248,0)</f>
        <v>0</v>
      </c>
      <c r="AA97" s="169">
        <f ca="1">'Reference dates (hide)'!AL140+IF($T$76&lt;&gt;"No",'Reference dates (hide)'!AL248,0)</f>
        <v>0</v>
      </c>
      <c r="AB97" s="169">
        <f ca="1">'Reference dates (hide)'!AM140+IF($T$76&lt;&gt;"No",'Reference dates (hide)'!AM248,0)</f>
        <v>0</v>
      </c>
      <c r="AC97" s="169">
        <f ca="1">'Reference dates (hide)'!AN140+IF($T$76&lt;&gt;"No",'Reference dates (hide)'!AN248,0)</f>
        <v>0</v>
      </c>
      <c r="AD97" s="169">
        <f ca="1">'Reference dates (hide)'!AO140+IF($T$76&lt;&gt;"No",'Reference dates (hide)'!AO248,0)</f>
        <v>0</v>
      </c>
      <c r="AE97" s="169">
        <f ca="1">'Reference dates (hide)'!AP140+IF($T$76&lt;&gt;"No",'Reference dates (hide)'!AP248,0)</f>
        <v>0</v>
      </c>
      <c r="AF97" s="169">
        <f ca="1">'Reference dates (hide)'!AQ140+IF($T$76&lt;&gt;"No",'Reference dates (hide)'!AQ248,0)</f>
        <v>0</v>
      </c>
      <c r="AG97" s="169">
        <f t="shared" ref="AG97" ca="1" si="7">SUM(U97:AF97)</f>
        <v>0</v>
      </c>
    </row>
    <row r="98" spans="19:33" hidden="1" x14ac:dyDescent="0.25">
      <c r="S98" s="292"/>
      <c r="T98" s="177" t="s">
        <v>1317</v>
      </c>
      <c r="U98" s="169">
        <f ca="1">'Reference dates (hide)'!AF141+IF($T$76&lt;&gt;"No",'Reference dates (hide)'!AF249,0)</f>
        <v>0</v>
      </c>
      <c r="V98" s="169">
        <f ca="1">'Reference dates (hide)'!AG141+IF($T$76&lt;&gt;"No",'Reference dates (hide)'!AG249,0)</f>
        <v>0</v>
      </c>
      <c r="W98" s="169">
        <f ca="1">'Reference dates (hide)'!AH141+IF($T$76&lt;&gt;"No",'Reference dates (hide)'!AH249,0)</f>
        <v>0</v>
      </c>
      <c r="X98" s="169">
        <f ca="1">'Reference dates (hide)'!AI141+IF($T$76&lt;&gt;"No",'Reference dates (hide)'!AI249,0)</f>
        <v>0</v>
      </c>
      <c r="Y98" s="169">
        <f ca="1">'Reference dates (hide)'!AJ141+IF($T$76&lt;&gt;"No",'Reference dates (hide)'!AJ249,0)</f>
        <v>0</v>
      </c>
      <c r="Z98" s="169">
        <f ca="1">'Reference dates (hide)'!AK141+IF($T$76&lt;&gt;"No",'Reference dates (hide)'!AK249,0)</f>
        <v>0</v>
      </c>
      <c r="AA98" s="169">
        <f ca="1">'Reference dates (hide)'!AL141+IF($T$76&lt;&gt;"No",'Reference dates (hide)'!AL249,0)</f>
        <v>0</v>
      </c>
      <c r="AB98" s="169">
        <f ca="1">'Reference dates (hide)'!AM141+IF($T$76&lt;&gt;"No",'Reference dates (hide)'!AM249,0)</f>
        <v>0</v>
      </c>
      <c r="AC98" s="169">
        <f ca="1">'Reference dates (hide)'!AN141+IF($T$76&lt;&gt;"No",'Reference dates (hide)'!AN249,0)</f>
        <v>0</v>
      </c>
      <c r="AD98" s="169">
        <f ca="1">'Reference dates (hide)'!AO141+IF($T$76&lt;&gt;"No",'Reference dates (hide)'!AO249,0)</f>
        <v>0</v>
      </c>
      <c r="AE98" s="169">
        <f ca="1">'Reference dates (hide)'!AP141+IF($T$76&lt;&gt;"No",'Reference dates (hide)'!AP249,0)</f>
        <v>0</v>
      </c>
      <c r="AF98" s="169">
        <f ca="1">'Reference dates (hide)'!AQ141+IF($T$76&lt;&gt;"No",'Reference dates (hide)'!AQ249,0)</f>
        <v>0</v>
      </c>
      <c r="AG98" s="169">
        <f t="shared" ca="1" si="5"/>
        <v>0</v>
      </c>
    </row>
    <row r="99" spans="19:33" hidden="1" x14ac:dyDescent="0.25">
      <c r="S99" s="292"/>
      <c r="T99" s="161" t="s">
        <v>818</v>
      </c>
      <c r="U99" s="169">
        <f ca="1">'Reference dates (hide)'!AF142+IF($T$76&lt;&gt;"No",'Reference dates (hide)'!AF250,0)</f>
        <v>0</v>
      </c>
      <c r="V99" s="169">
        <f ca="1">'Reference dates (hide)'!AG142+IF($T$76&lt;&gt;"No",'Reference dates (hide)'!AG250,0)</f>
        <v>0</v>
      </c>
      <c r="W99" s="169">
        <f ca="1">'Reference dates (hide)'!AH142+IF($T$76&lt;&gt;"No",'Reference dates (hide)'!AH250,0)</f>
        <v>0</v>
      </c>
      <c r="X99" s="169">
        <f ca="1">'Reference dates (hide)'!AI142+IF($T$76&lt;&gt;"No",'Reference dates (hide)'!AI250,0)</f>
        <v>0</v>
      </c>
      <c r="Y99" s="169">
        <f ca="1">'Reference dates (hide)'!AJ142+IF($T$76&lt;&gt;"No",'Reference dates (hide)'!AJ250,0)</f>
        <v>0</v>
      </c>
      <c r="Z99" s="169">
        <f ca="1">'Reference dates (hide)'!AK142+IF($T$76&lt;&gt;"No",'Reference dates (hide)'!AK250,0)</f>
        <v>0</v>
      </c>
      <c r="AA99" s="169">
        <f ca="1">'Reference dates (hide)'!AL142+IF($T$76&lt;&gt;"No",'Reference dates (hide)'!AL250,0)</f>
        <v>0</v>
      </c>
      <c r="AB99" s="169">
        <f ca="1">'Reference dates (hide)'!AM142+IF($T$76&lt;&gt;"No",'Reference dates (hide)'!AM250,0)</f>
        <v>0</v>
      </c>
      <c r="AC99" s="169">
        <f ca="1">'Reference dates (hide)'!AN142+IF($T$76&lt;&gt;"No",'Reference dates (hide)'!AN250,0)</f>
        <v>0</v>
      </c>
      <c r="AD99" s="169">
        <f ca="1">'Reference dates (hide)'!AO142+IF($T$76&lt;&gt;"No",'Reference dates (hide)'!AO250,0)</f>
        <v>0</v>
      </c>
      <c r="AE99" s="169">
        <f ca="1">'Reference dates (hide)'!AP142+IF($T$76&lt;&gt;"No",'Reference dates (hide)'!AP250,0)</f>
        <v>0</v>
      </c>
      <c r="AF99" s="169">
        <f ca="1">'Reference dates (hide)'!AQ142+IF($T$76&lt;&gt;"No",'Reference dates (hide)'!AQ250,0)</f>
        <v>0</v>
      </c>
      <c r="AG99" s="169">
        <f t="shared" ca="1" si="5"/>
        <v>0</v>
      </c>
    </row>
    <row r="100" spans="19:33" hidden="1" x14ac:dyDescent="0.25">
      <c r="S100" s="292"/>
      <c r="T100" s="177" t="s">
        <v>842</v>
      </c>
      <c r="U100" s="169">
        <f ca="1">'Reference dates (hide)'!AF143+IF($T$76&lt;&gt;"No",'Reference dates (hide)'!AF251,0)</f>
        <v>0</v>
      </c>
      <c r="V100" s="169">
        <f ca="1">'Reference dates (hide)'!AG143+IF($T$76&lt;&gt;"No",'Reference dates (hide)'!AG251,0)</f>
        <v>0</v>
      </c>
      <c r="W100" s="169">
        <f ca="1">'Reference dates (hide)'!AH143+IF($T$76&lt;&gt;"No",'Reference dates (hide)'!AH251,0)</f>
        <v>0</v>
      </c>
      <c r="X100" s="169">
        <f ca="1">'Reference dates (hide)'!AI143+IF($T$76&lt;&gt;"No",'Reference dates (hide)'!AI251,0)</f>
        <v>0</v>
      </c>
      <c r="Y100" s="169">
        <f ca="1">'Reference dates (hide)'!AJ143+IF($T$76&lt;&gt;"No",'Reference dates (hide)'!AJ251,0)</f>
        <v>0</v>
      </c>
      <c r="Z100" s="169">
        <f ca="1">'Reference dates (hide)'!AK143+IF($T$76&lt;&gt;"No",'Reference dates (hide)'!AK251,0)</f>
        <v>0</v>
      </c>
      <c r="AA100" s="169">
        <f ca="1">'Reference dates (hide)'!AL143+IF($T$76&lt;&gt;"No",'Reference dates (hide)'!AL251,0)</f>
        <v>0</v>
      </c>
      <c r="AB100" s="169">
        <f ca="1">'Reference dates (hide)'!AM143+IF($T$76&lt;&gt;"No",'Reference dates (hide)'!AM251,0)</f>
        <v>0</v>
      </c>
      <c r="AC100" s="169">
        <f ca="1">'Reference dates (hide)'!AN143+IF($T$76&lt;&gt;"No",'Reference dates (hide)'!AN251,0)</f>
        <v>0</v>
      </c>
      <c r="AD100" s="169">
        <f ca="1">'Reference dates (hide)'!AO143+IF($T$76&lt;&gt;"No",'Reference dates (hide)'!AO251,0)</f>
        <v>0</v>
      </c>
      <c r="AE100" s="169">
        <f ca="1">'Reference dates (hide)'!AP143+IF($T$76&lt;&gt;"No",'Reference dates (hide)'!AP251,0)</f>
        <v>0</v>
      </c>
      <c r="AF100" s="169">
        <f ca="1">'Reference dates (hide)'!AQ143+IF($T$76&lt;&gt;"No",'Reference dates (hide)'!AQ251,0)</f>
        <v>0</v>
      </c>
      <c r="AG100" s="169">
        <f t="shared" ca="1" si="5"/>
        <v>0</v>
      </c>
    </row>
    <row r="101" spans="19:33" hidden="1" x14ac:dyDescent="0.25">
      <c r="S101" s="292"/>
      <c r="T101" s="161" t="s">
        <v>839</v>
      </c>
      <c r="U101" s="169">
        <f ca="1">'Reference dates (hide)'!AF144+IF($T$76&lt;&gt;"No",'Reference dates (hide)'!AF252,0)</f>
        <v>0</v>
      </c>
      <c r="V101" s="169">
        <f ca="1">'Reference dates (hide)'!AG144+IF($T$76&lt;&gt;"No",'Reference dates (hide)'!AG252,0)</f>
        <v>0</v>
      </c>
      <c r="W101" s="169">
        <f ca="1">'Reference dates (hide)'!AH144+IF($T$76&lt;&gt;"No",'Reference dates (hide)'!AH252,0)</f>
        <v>0</v>
      </c>
      <c r="X101" s="169">
        <f ca="1">'Reference dates (hide)'!AI144+IF($T$76&lt;&gt;"No",'Reference dates (hide)'!AI252,0)</f>
        <v>0</v>
      </c>
      <c r="Y101" s="169">
        <f ca="1">'Reference dates (hide)'!AJ144+IF($T$76&lt;&gt;"No",'Reference dates (hide)'!AJ252,0)</f>
        <v>0</v>
      </c>
      <c r="Z101" s="169">
        <f ca="1">'Reference dates (hide)'!AK144+IF($T$76&lt;&gt;"No",'Reference dates (hide)'!AK252,0)</f>
        <v>0</v>
      </c>
      <c r="AA101" s="169">
        <f ca="1">'Reference dates (hide)'!AL144+IF($T$76&lt;&gt;"No",'Reference dates (hide)'!AL252,0)</f>
        <v>0</v>
      </c>
      <c r="AB101" s="169">
        <f ca="1">'Reference dates (hide)'!AM144+IF($T$76&lt;&gt;"No",'Reference dates (hide)'!AM252,0)</f>
        <v>0</v>
      </c>
      <c r="AC101" s="169">
        <f ca="1">'Reference dates (hide)'!AN144+IF($T$76&lt;&gt;"No",'Reference dates (hide)'!AN252,0)</f>
        <v>0</v>
      </c>
      <c r="AD101" s="169">
        <f ca="1">'Reference dates (hide)'!AO144+IF($T$76&lt;&gt;"No",'Reference dates (hide)'!AO252,0)</f>
        <v>0</v>
      </c>
      <c r="AE101" s="169">
        <f ca="1">'Reference dates (hide)'!AP144+IF($T$76&lt;&gt;"No",'Reference dates (hide)'!AP252,0)</f>
        <v>0</v>
      </c>
      <c r="AF101" s="169">
        <f ca="1">'Reference dates (hide)'!AQ144+IF($T$76&lt;&gt;"No",'Reference dates (hide)'!AQ252,0)</f>
        <v>0</v>
      </c>
      <c r="AG101" s="169">
        <f t="shared" ca="1" si="5"/>
        <v>0</v>
      </c>
    </row>
    <row r="102" spans="19:33" hidden="1" x14ac:dyDescent="0.25">
      <c r="S102" s="1"/>
      <c r="U102" s="8"/>
      <c r="V102" s="8"/>
      <c r="W102" s="8"/>
      <c r="X102" s="8"/>
      <c r="Y102" s="8"/>
      <c r="Z102" s="8"/>
      <c r="AA102" s="8"/>
      <c r="AB102" s="8"/>
      <c r="AC102" s="8"/>
      <c r="AD102" s="8"/>
      <c r="AE102" s="8"/>
      <c r="AF102" s="8"/>
      <c r="AG102" s="8"/>
    </row>
    <row r="103" spans="19:33" hidden="1" x14ac:dyDescent="0.25">
      <c r="S103" s="292" t="str">
        <f>'Data files'!A19</f>
        <v xml:space="preserve">4. </v>
      </c>
      <c r="T103" s="161" t="s">
        <v>815</v>
      </c>
      <c r="U103" s="169">
        <f ca="1">'Reference dates (hide)'!AF145+IF($T$76&lt;&gt;"No",'Reference dates (hide)'!AF253,0)</f>
        <v>0</v>
      </c>
      <c r="V103" s="169">
        <f ca="1">'Reference dates (hide)'!AG145+IF($T$76&lt;&gt;"No",'Reference dates (hide)'!AG253,0)</f>
        <v>0</v>
      </c>
      <c r="W103" s="169">
        <f ca="1">'Reference dates (hide)'!AH145+IF($T$76&lt;&gt;"No",'Reference dates (hide)'!AH253,0)</f>
        <v>0</v>
      </c>
      <c r="X103" s="169">
        <f ca="1">'Reference dates (hide)'!AI145+IF($T$76&lt;&gt;"No",'Reference dates (hide)'!AI253,0)</f>
        <v>0</v>
      </c>
      <c r="Y103" s="169">
        <f ca="1">'Reference dates (hide)'!AJ145+IF($T$76&lt;&gt;"No",'Reference dates (hide)'!AJ253,0)</f>
        <v>0</v>
      </c>
      <c r="Z103" s="169">
        <f ca="1">'Reference dates (hide)'!AK145+IF($T$76&lt;&gt;"No",'Reference dates (hide)'!AK253,0)</f>
        <v>0</v>
      </c>
      <c r="AA103" s="169">
        <f ca="1">'Reference dates (hide)'!AL145+IF($T$76&lt;&gt;"No",'Reference dates (hide)'!AL253,0)</f>
        <v>0</v>
      </c>
      <c r="AB103" s="169">
        <f ca="1">'Reference dates (hide)'!AM145+IF($T$76&lt;&gt;"No",'Reference dates (hide)'!AM253,0)</f>
        <v>0</v>
      </c>
      <c r="AC103" s="169">
        <f ca="1">'Reference dates (hide)'!AN145+IF($T$76&lt;&gt;"No",'Reference dates (hide)'!AN253,0)</f>
        <v>0</v>
      </c>
      <c r="AD103" s="169">
        <f ca="1">'Reference dates (hide)'!AO145+IF($T$76&lt;&gt;"No",'Reference dates (hide)'!AO253,0)</f>
        <v>0</v>
      </c>
      <c r="AE103" s="169">
        <f ca="1">'Reference dates (hide)'!AP145+IF($T$76&lt;&gt;"No",'Reference dates (hide)'!AP253,0)</f>
        <v>0</v>
      </c>
      <c r="AF103" s="169">
        <f ca="1">'Reference dates (hide)'!AQ145+IF($T$76&lt;&gt;"No",'Reference dates (hide)'!AQ253,0)</f>
        <v>0</v>
      </c>
      <c r="AG103" s="169">
        <f t="shared" ref="AG103" ca="1" si="8">SUM(U103:AF103)</f>
        <v>0</v>
      </c>
    </row>
    <row r="104" spans="19:33" hidden="1" x14ac:dyDescent="0.25">
      <c r="S104" s="292"/>
      <c r="T104" s="177" t="s">
        <v>1317</v>
      </c>
      <c r="U104" s="169">
        <f ca="1">'Reference dates (hide)'!AF146+IF($T$76&lt;&gt;"No",'Reference dates (hide)'!AF254,0)</f>
        <v>0</v>
      </c>
      <c r="V104" s="169">
        <f ca="1">'Reference dates (hide)'!AG146+IF($T$76&lt;&gt;"No",'Reference dates (hide)'!AG254,0)</f>
        <v>0</v>
      </c>
      <c r="W104" s="169">
        <f ca="1">'Reference dates (hide)'!AH146+IF($T$76&lt;&gt;"No",'Reference dates (hide)'!AH254,0)</f>
        <v>0</v>
      </c>
      <c r="X104" s="169">
        <f ca="1">'Reference dates (hide)'!AI146+IF($T$76&lt;&gt;"No",'Reference dates (hide)'!AI254,0)</f>
        <v>0</v>
      </c>
      <c r="Y104" s="169">
        <f ca="1">'Reference dates (hide)'!AJ146+IF($T$76&lt;&gt;"No",'Reference dates (hide)'!AJ254,0)</f>
        <v>0</v>
      </c>
      <c r="Z104" s="169">
        <f ca="1">'Reference dates (hide)'!AK146+IF($T$76&lt;&gt;"No",'Reference dates (hide)'!AK254,0)</f>
        <v>0</v>
      </c>
      <c r="AA104" s="169">
        <f ca="1">'Reference dates (hide)'!AL146+IF($T$76&lt;&gt;"No",'Reference dates (hide)'!AL254,0)</f>
        <v>0</v>
      </c>
      <c r="AB104" s="169">
        <f ca="1">'Reference dates (hide)'!AM146+IF($T$76&lt;&gt;"No",'Reference dates (hide)'!AM254,0)</f>
        <v>0</v>
      </c>
      <c r="AC104" s="169">
        <f ca="1">'Reference dates (hide)'!AN146+IF($T$76&lt;&gt;"No",'Reference dates (hide)'!AN254,0)</f>
        <v>0</v>
      </c>
      <c r="AD104" s="169">
        <f ca="1">'Reference dates (hide)'!AO146+IF($T$76&lt;&gt;"No",'Reference dates (hide)'!AO254,0)</f>
        <v>0</v>
      </c>
      <c r="AE104" s="169">
        <f ca="1">'Reference dates (hide)'!AP146+IF($T$76&lt;&gt;"No",'Reference dates (hide)'!AP254,0)</f>
        <v>0</v>
      </c>
      <c r="AF104" s="169">
        <f ca="1">'Reference dates (hide)'!AQ146+IF($T$76&lt;&gt;"No",'Reference dates (hide)'!AQ254,0)</f>
        <v>0</v>
      </c>
      <c r="AG104" s="169">
        <f t="shared" ca="1" si="5"/>
        <v>0</v>
      </c>
    </row>
    <row r="105" spans="19:33" hidden="1" x14ac:dyDescent="0.25">
      <c r="S105" s="292"/>
      <c r="T105" s="161" t="s">
        <v>818</v>
      </c>
      <c r="U105" s="169">
        <f ca="1">'Reference dates (hide)'!AF147+IF($T$76&lt;&gt;"No",'Reference dates (hide)'!AF255,0)</f>
        <v>0</v>
      </c>
      <c r="V105" s="169">
        <f ca="1">'Reference dates (hide)'!AG147+IF($T$76&lt;&gt;"No",'Reference dates (hide)'!AG255,0)</f>
        <v>0</v>
      </c>
      <c r="W105" s="169">
        <f ca="1">'Reference dates (hide)'!AH147+IF($T$76&lt;&gt;"No",'Reference dates (hide)'!AH255,0)</f>
        <v>0</v>
      </c>
      <c r="X105" s="169">
        <f ca="1">'Reference dates (hide)'!AI147+IF($T$76&lt;&gt;"No",'Reference dates (hide)'!AI255,0)</f>
        <v>0</v>
      </c>
      <c r="Y105" s="169">
        <f ca="1">'Reference dates (hide)'!AJ147+IF($T$76&lt;&gt;"No",'Reference dates (hide)'!AJ255,0)</f>
        <v>0</v>
      </c>
      <c r="Z105" s="169">
        <f ca="1">'Reference dates (hide)'!AK147+IF($T$76&lt;&gt;"No",'Reference dates (hide)'!AK255,0)</f>
        <v>0</v>
      </c>
      <c r="AA105" s="169">
        <f ca="1">'Reference dates (hide)'!AL147+IF($T$76&lt;&gt;"No",'Reference dates (hide)'!AL255,0)</f>
        <v>0</v>
      </c>
      <c r="AB105" s="169">
        <f ca="1">'Reference dates (hide)'!AM147+IF($T$76&lt;&gt;"No",'Reference dates (hide)'!AM255,0)</f>
        <v>0</v>
      </c>
      <c r="AC105" s="169">
        <f ca="1">'Reference dates (hide)'!AN147+IF($T$76&lt;&gt;"No",'Reference dates (hide)'!AN255,0)</f>
        <v>0</v>
      </c>
      <c r="AD105" s="169">
        <f ca="1">'Reference dates (hide)'!AO147+IF($T$76&lt;&gt;"No",'Reference dates (hide)'!AO255,0)</f>
        <v>0</v>
      </c>
      <c r="AE105" s="169">
        <f ca="1">'Reference dates (hide)'!AP147+IF($T$76&lt;&gt;"No",'Reference dates (hide)'!AP255,0)</f>
        <v>0</v>
      </c>
      <c r="AF105" s="169">
        <f ca="1">'Reference dates (hide)'!AQ147+IF($T$76&lt;&gt;"No",'Reference dates (hide)'!AQ255,0)</f>
        <v>0</v>
      </c>
      <c r="AG105" s="169">
        <f t="shared" ca="1" si="5"/>
        <v>0</v>
      </c>
    </row>
    <row r="106" spans="19:33" hidden="1" x14ac:dyDescent="0.25">
      <c r="S106" s="292"/>
      <c r="T106" s="177" t="s">
        <v>842</v>
      </c>
      <c r="U106" s="169">
        <f ca="1">'Reference dates (hide)'!AF148+IF($T$76&lt;&gt;"No",'Reference dates (hide)'!AF256,0)</f>
        <v>0</v>
      </c>
      <c r="V106" s="169">
        <f ca="1">'Reference dates (hide)'!AG148+IF($T$76&lt;&gt;"No",'Reference dates (hide)'!AG256,0)</f>
        <v>0</v>
      </c>
      <c r="W106" s="169">
        <f ca="1">'Reference dates (hide)'!AH148+IF($T$76&lt;&gt;"No",'Reference dates (hide)'!AH256,0)</f>
        <v>0</v>
      </c>
      <c r="X106" s="169">
        <f ca="1">'Reference dates (hide)'!AI148+IF($T$76&lt;&gt;"No",'Reference dates (hide)'!AI256,0)</f>
        <v>0</v>
      </c>
      <c r="Y106" s="169">
        <f ca="1">'Reference dates (hide)'!AJ148+IF($T$76&lt;&gt;"No",'Reference dates (hide)'!AJ256,0)</f>
        <v>0</v>
      </c>
      <c r="Z106" s="169">
        <f ca="1">'Reference dates (hide)'!AK148+IF($T$76&lt;&gt;"No",'Reference dates (hide)'!AK256,0)</f>
        <v>0</v>
      </c>
      <c r="AA106" s="169">
        <f ca="1">'Reference dates (hide)'!AL148+IF($T$76&lt;&gt;"No",'Reference dates (hide)'!AL256,0)</f>
        <v>0</v>
      </c>
      <c r="AB106" s="169">
        <f ca="1">'Reference dates (hide)'!AM148+IF($T$76&lt;&gt;"No",'Reference dates (hide)'!AM256,0)</f>
        <v>0</v>
      </c>
      <c r="AC106" s="169">
        <f ca="1">'Reference dates (hide)'!AN148+IF($T$76&lt;&gt;"No",'Reference dates (hide)'!AN256,0)</f>
        <v>0</v>
      </c>
      <c r="AD106" s="169">
        <f ca="1">'Reference dates (hide)'!AO148+IF($T$76&lt;&gt;"No",'Reference dates (hide)'!AO256,0)</f>
        <v>0</v>
      </c>
      <c r="AE106" s="169">
        <f ca="1">'Reference dates (hide)'!AP148+IF($T$76&lt;&gt;"No",'Reference dates (hide)'!AP256,0)</f>
        <v>0</v>
      </c>
      <c r="AF106" s="169">
        <f ca="1">'Reference dates (hide)'!AQ148+IF($T$76&lt;&gt;"No",'Reference dates (hide)'!AQ256,0)</f>
        <v>0</v>
      </c>
      <c r="AG106" s="169">
        <f t="shared" ca="1" si="5"/>
        <v>0</v>
      </c>
    </row>
    <row r="107" spans="19:33" hidden="1" x14ac:dyDescent="0.25">
      <c r="S107" s="292"/>
      <c r="T107" s="161" t="s">
        <v>839</v>
      </c>
      <c r="U107" s="169">
        <f ca="1">'Reference dates (hide)'!AF149+IF($T$76&lt;&gt;"No",'Reference dates (hide)'!AF257,0)</f>
        <v>0</v>
      </c>
      <c r="V107" s="169">
        <f ca="1">'Reference dates (hide)'!AG149+IF($T$76&lt;&gt;"No",'Reference dates (hide)'!AG257,0)</f>
        <v>0</v>
      </c>
      <c r="W107" s="169">
        <f ca="1">'Reference dates (hide)'!AH149+IF($T$76&lt;&gt;"No",'Reference dates (hide)'!AH257,0)</f>
        <v>0</v>
      </c>
      <c r="X107" s="169">
        <f ca="1">'Reference dates (hide)'!AI149+IF($T$76&lt;&gt;"No",'Reference dates (hide)'!AI257,0)</f>
        <v>0</v>
      </c>
      <c r="Y107" s="169">
        <f ca="1">'Reference dates (hide)'!AJ149+IF($T$76&lt;&gt;"No",'Reference dates (hide)'!AJ257,0)</f>
        <v>0</v>
      </c>
      <c r="Z107" s="169">
        <f ca="1">'Reference dates (hide)'!AK149+IF($T$76&lt;&gt;"No",'Reference dates (hide)'!AK257,0)</f>
        <v>0</v>
      </c>
      <c r="AA107" s="169">
        <f ca="1">'Reference dates (hide)'!AL149+IF($T$76&lt;&gt;"No",'Reference dates (hide)'!AL257,0)</f>
        <v>0</v>
      </c>
      <c r="AB107" s="169">
        <f ca="1">'Reference dates (hide)'!AM149+IF($T$76&lt;&gt;"No",'Reference dates (hide)'!AM257,0)</f>
        <v>0</v>
      </c>
      <c r="AC107" s="169">
        <f ca="1">'Reference dates (hide)'!AN149+IF($T$76&lt;&gt;"No",'Reference dates (hide)'!AN257,0)</f>
        <v>0</v>
      </c>
      <c r="AD107" s="169">
        <f ca="1">'Reference dates (hide)'!AO149+IF($T$76&lt;&gt;"No",'Reference dates (hide)'!AO257,0)</f>
        <v>0</v>
      </c>
      <c r="AE107" s="169">
        <f ca="1">'Reference dates (hide)'!AP149+IF($T$76&lt;&gt;"No",'Reference dates (hide)'!AP257,0)</f>
        <v>0</v>
      </c>
      <c r="AF107" s="169">
        <f ca="1">'Reference dates (hide)'!AQ149+IF($T$76&lt;&gt;"No",'Reference dates (hide)'!AQ257,0)</f>
        <v>0</v>
      </c>
      <c r="AG107" s="169">
        <f t="shared" ca="1" si="5"/>
        <v>0</v>
      </c>
    </row>
    <row r="108" spans="19:33" hidden="1" x14ac:dyDescent="0.25">
      <c r="S108" s="1"/>
      <c r="U108" s="8"/>
      <c r="V108" s="8"/>
      <c r="W108" s="8"/>
      <c r="X108" s="8"/>
      <c r="Y108" s="8"/>
      <c r="Z108" s="8"/>
      <c r="AA108" s="8"/>
      <c r="AB108" s="8"/>
      <c r="AC108" s="8"/>
      <c r="AD108" s="8"/>
      <c r="AE108" s="8"/>
      <c r="AF108" s="8"/>
      <c r="AG108" s="8"/>
    </row>
    <row r="109" spans="19:33" hidden="1" x14ac:dyDescent="0.25">
      <c r="S109" s="292" t="str">
        <f>'Data files'!A20</f>
        <v xml:space="preserve">5. </v>
      </c>
      <c r="T109" s="161" t="s">
        <v>815</v>
      </c>
      <c r="U109" s="169">
        <f ca="1">'Reference dates (hide)'!AF150+IF($T$76&lt;&gt;"No",'Reference dates (hide)'!AF258,0)</f>
        <v>0</v>
      </c>
      <c r="V109" s="169">
        <f ca="1">'Reference dates (hide)'!AG150+IF($T$76&lt;&gt;"No",'Reference dates (hide)'!AG258,0)</f>
        <v>0</v>
      </c>
      <c r="W109" s="169">
        <f ca="1">'Reference dates (hide)'!AH150+IF($T$76&lt;&gt;"No",'Reference dates (hide)'!AH258,0)</f>
        <v>0</v>
      </c>
      <c r="X109" s="169">
        <f ca="1">'Reference dates (hide)'!AI150+IF($T$76&lt;&gt;"No",'Reference dates (hide)'!AI258,0)</f>
        <v>0</v>
      </c>
      <c r="Y109" s="169">
        <f ca="1">'Reference dates (hide)'!AJ150+IF($T$76&lt;&gt;"No",'Reference dates (hide)'!AJ258,0)</f>
        <v>0</v>
      </c>
      <c r="Z109" s="169">
        <f ca="1">'Reference dates (hide)'!AK150+IF($T$76&lt;&gt;"No",'Reference dates (hide)'!AK258,0)</f>
        <v>0</v>
      </c>
      <c r="AA109" s="169">
        <f ca="1">'Reference dates (hide)'!AL150+IF($T$76&lt;&gt;"No",'Reference dates (hide)'!AL258,0)</f>
        <v>0</v>
      </c>
      <c r="AB109" s="169">
        <f ca="1">'Reference dates (hide)'!AM150+IF($T$76&lt;&gt;"No",'Reference dates (hide)'!AM258,0)</f>
        <v>0</v>
      </c>
      <c r="AC109" s="169">
        <f ca="1">'Reference dates (hide)'!AN150+IF($T$76&lt;&gt;"No",'Reference dates (hide)'!AN258,0)</f>
        <v>0</v>
      </c>
      <c r="AD109" s="169">
        <f ca="1">'Reference dates (hide)'!AO150+IF($T$76&lt;&gt;"No",'Reference dates (hide)'!AO258,0)</f>
        <v>0</v>
      </c>
      <c r="AE109" s="169">
        <f ca="1">'Reference dates (hide)'!AP150+IF($T$76&lt;&gt;"No",'Reference dates (hide)'!AP258,0)</f>
        <v>0</v>
      </c>
      <c r="AF109" s="169">
        <f ca="1">'Reference dates (hide)'!AQ150+IF($T$76&lt;&gt;"No",'Reference dates (hide)'!AQ258,0)</f>
        <v>0</v>
      </c>
      <c r="AG109" s="169">
        <f t="shared" ref="AG109" ca="1" si="9">SUM(U109:AF109)</f>
        <v>0</v>
      </c>
    </row>
    <row r="110" spans="19:33" hidden="1" x14ac:dyDescent="0.25">
      <c r="S110" s="292"/>
      <c r="T110" s="177" t="s">
        <v>1317</v>
      </c>
      <c r="U110" s="169">
        <f ca="1">'Reference dates (hide)'!AF151+IF($T$76&lt;&gt;"No",'Reference dates (hide)'!AF259,0)</f>
        <v>0</v>
      </c>
      <c r="V110" s="169">
        <f ca="1">'Reference dates (hide)'!AG151+IF($T$76&lt;&gt;"No",'Reference dates (hide)'!AG259,0)</f>
        <v>0</v>
      </c>
      <c r="W110" s="169">
        <f ca="1">'Reference dates (hide)'!AH151+IF($T$76&lt;&gt;"No",'Reference dates (hide)'!AH259,0)</f>
        <v>0</v>
      </c>
      <c r="X110" s="169">
        <f ca="1">'Reference dates (hide)'!AI151+IF($T$76&lt;&gt;"No",'Reference dates (hide)'!AI259,0)</f>
        <v>0</v>
      </c>
      <c r="Y110" s="169">
        <f ca="1">'Reference dates (hide)'!AJ151+IF($T$76&lt;&gt;"No",'Reference dates (hide)'!AJ259,0)</f>
        <v>0</v>
      </c>
      <c r="Z110" s="169">
        <f ca="1">'Reference dates (hide)'!AK151+IF($T$76&lt;&gt;"No",'Reference dates (hide)'!AK259,0)</f>
        <v>0</v>
      </c>
      <c r="AA110" s="169">
        <f ca="1">'Reference dates (hide)'!AL151+IF($T$76&lt;&gt;"No",'Reference dates (hide)'!AL259,0)</f>
        <v>0</v>
      </c>
      <c r="AB110" s="169">
        <f ca="1">'Reference dates (hide)'!AM151+IF($T$76&lt;&gt;"No",'Reference dates (hide)'!AM259,0)</f>
        <v>0</v>
      </c>
      <c r="AC110" s="169">
        <f ca="1">'Reference dates (hide)'!AN151+IF($T$76&lt;&gt;"No",'Reference dates (hide)'!AN259,0)</f>
        <v>0</v>
      </c>
      <c r="AD110" s="169">
        <f ca="1">'Reference dates (hide)'!AO151+IF($T$76&lt;&gt;"No",'Reference dates (hide)'!AO259,0)</f>
        <v>0</v>
      </c>
      <c r="AE110" s="169">
        <f ca="1">'Reference dates (hide)'!AP151+IF($T$76&lt;&gt;"No",'Reference dates (hide)'!AP259,0)</f>
        <v>0</v>
      </c>
      <c r="AF110" s="169">
        <f ca="1">'Reference dates (hide)'!AQ151+IF($T$76&lt;&gt;"No",'Reference dates (hide)'!AQ259,0)</f>
        <v>0</v>
      </c>
      <c r="AG110" s="169">
        <f t="shared" ca="1" si="5"/>
        <v>0</v>
      </c>
    </row>
    <row r="111" spans="19:33" hidden="1" x14ac:dyDescent="0.25">
      <c r="S111" s="292"/>
      <c r="T111" s="161" t="s">
        <v>818</v>
      </c>
      <c r="U111" s="169">
        <f ca="1">'Reference dates (hide)'!AF152+IF($T$76&lt;&gt;"No",'Reference dates (hide)'!AF260,0)</f>
        <v>0</v>
      </c>
      <c r="V111" s="169">
        <f ca="1">'Reference dates (hide)'!AG152+IF($T$76&lt;&gt;"No",'Reference dates (hide)'!AG260,0)</f>
        <v>0</v>
      </c>
      <c r="W111" s="169">
        <f ca="1">'Reference dates (hide)'!AH152+IF($T$76&lt;&gt;"No",'Reference dates (hide)'!AH260,0)</f>
        <v>0</v>
      </c>
      <c r="X111" s="169">
        <f ca="1">'Reference dates (hide)'!AI152+IF($T$76&lt;&gt;"No",'Reference dates (hide)'!AI260,0)</f>
        <v>0</v>
      </c>
      <c r="Y111" s="169">
        <f ca="1">'Reference dates (hide)'!AJ152+IF($T$76&lt;&gt;"No",'Reference dates (hide)'!AJ260,0)</f>
        <v>0</v>
      </c>
      <c r="Z111" s="169">
        <f ca="1">'Reference dates (hide)'!AK152+IF($T$76&lt;&gt;"No",'Reference dates (hide)'!AK260,0)</f>
        <v>0</v>
      </c>
      <c r="AA111" s="169">
        <f ca="1">'Reference dates (hide)'!AL152+IF($T$76&lt;&gt;"No",'Reference dates (hide)'!AL260,0)</f>
        <v>0</v>
      </c>
      <c r="AB111" s="169">
        <f ca="1">'Reference dates (hide)'!AM152+IF($T$76&lt;&gt;"No",'Reference dates (hide)'!AM260,0)</f>
        <v>0</v>
      </c>
      <c r="AC111" s="169">
        <f ca="1">'Reference dates (hide)'!AN152+IF($T$76&lt;&gt;"No",'Reference dates (hide)'!AN260,0)</f>
        <v>0</v>
      </c>
      <c r="AD111" s="169">
        <f ca="1">'Reference dates (hide)'!AO152+IF($T$76&lt;&gt;"No",'Reference dates (hide)'!AO260,0)</f>
        <v>0</v>
      </c>
      <c r="AE111" s="169">
        <f ca="1">'Reference dates (hide)'!AP152+IF($T$76&lt;&gt;"No",'Reference dates (hide)'!AP260,0)</f>
        <v>0</v>
      </c>
      <c r="AF111" s="169">
        <f ca="1">'Reference dates (hide)'!AQ152+IF($T$76&lt;&gt;"No",'Reference dates (hide)'!AQ260,0)</f>
        <v>0</v>
      </c>
      <c r="AG111" s="169">
        <f t="shared" ca="1" si="5"/>
        <v>0</v>
      </c>
    </row>
    <row r="112" spans="19:33" hidden="1" x14ac:dyDescent="0.25">
      <c r="S112" s="292"/>
      <c r="T112" s="177" t="s">
        <v>842</v>
      </c>
      <c r="U112" s="169">
        <f ca="1">'Reference dates (hide)'!AF153+IF($T$76&lt;&gt;"No",'Reference dates (hide)'!AF261,0)</f>
        <v>0</v>
      </c>
      <c r="V112" s="169">
        <f ca="1">'Reference dates (hide)'!AG153+IF($T$76&lt;&gt;"No",'Reference dates (hide)'!AG261,0)</f>
        <v>0</v>
      </c>
      <c r="W112" s="169">
        <f ca="1">'Reference dates (hide)'!AH153+IF($T$76&lt;&gt;"No",'Reference dates (hide)'!AH261,0)</f>
        <v>0</v>
      </c>
      <c r="X112" s="169">
        <f ca="1">'Reference dates (hide)'!AI153+IF($T$76&lt;&gt;"No",'Reference dates (hide)'!AI261,0)</f>
        <v>0</v>
      </c>
      <c r="Y112" s="169">
        <f ca="1">'Reference dates (hide)'!AJ153+IF($T$76&lt;&gt;"No",'Reference dates (hide)'!AJ261,0)</f>
        <v>0</v>
      </c>
      <c r="Z112" s="169">
        <f ca="1">'Reference dates (hide)'!AK153+IF($T$76&lt;&gt;"No",'Reference dates (hide)'!AK261,0)</f>
        <v>0</v>
      </c>
      <c r="AA112" s="169">
        <f ca="1">'Reference dates (hide)'!AL153+IF($T$76&lt;&gt;"No",'Reference dates (hide)'!AL261,0)</f>
        <v>0</v>
      </c>
      <c r="AB112" s="169">
        <f ca="1">'Reference dates (hide)'!AM153+IF($T$76&lt;&gt;"No",'Reference dates (hide)'!AM261,0)</f>
        <v>0</v>
      </c>
      <c r="AC112" s="169">
        <f ca="1">'Reference dates (hide)'!AN153+IF($T$76&lt;&gt;"No",'Reference dates (hide)'!AN261,0)</f>
        <v>0</v>
      </c>
      <c r="AD112" s="169">
        <f ca="1">'Reference dates (hide)'!AO153+IF($T$76&lt;&gt;"No",'Reference dates (hide)'!AO261,0)</f>
        <v>0</v>
      </c>
      <c r="AE112" s="169">
        <f ca="1">'Reference dates (hide)'!AP153+IF($T$76&lt;&gt;"No",'Reference dates (hide)'!AP261,0)</f>
        <v>0</v>
      </c>
      <c r="AF112" s="169">
        <f ca="1">'Reference dates (hide)'!AQ153+IF($T$76&lt;&gt;"No",'Reference dates (hide)'!AQ261,0)</f>
        <v>0</v>
      </c>
      <c r="AG112" s="169">
        <f t="shared" ca="1" si="5"/>
        <v>0</v>
      </c>
    </row>
    <row r="113" spans="19:33" hidden="1" x14ac:dyDescent="0.25">
      <c r="S113" s="292"/>
      <c r="T113" s="161" t="s">
        <v>839</v>
      </c>
      <c r="U113" s="169">
        <f ca="1">'Reference dates (hide)'!AF154+IF($T$76&lt;&gt;"No",'Reference dates (hide)'!AF262,0)</f>
        <v>0</v>
      </c>
      <c r="V113" s="169">
        <f ca="1">'Reference dates (hide)'!AG154+IF($T$76&lt;&gt;"No",'Reference dates (hide)'!AG262,0)</f>
        <v>0</v>
      </c>
      <c r="W113" s="169">
        <f ca="1">'Reference dates (hide)'!AH154+IF($T$76&lt;&gt;"No",'Reference dates (hide)'!AH262,0)</f>
        <v>0</v>
      </c>
      <c r="X113" s="169">
        <f ca="1">'Reference dates (hide)'!AI154+IF($T$76&lt;&gt;"No",'Reference dates (hide)'!AI262,0)</f>
        <v>0</v>
      </c>
      <c r="Y113" s="169">
        <f ca="1">'Reference dates (hide)'!AJ154+IF($T$76&lt;&gt;"No",'Reference dates (hide)'!AJ262,0)</f>
        <v>0</v>
      </c>
      <c r="Z113" s="169">
        <f ca="1">'Reference dates (hide)'!AK154+IF($T$76&lt;&gt;"No",'Reference dates (hide)'!AK262,0)</f>
        <v>0</v>
      </c>
      <c r="AA113" s="169">
        <f ca="1">'Reference dates (hide)'!AL154+IF($T$76&lt;&gt;"No",'Reference dates (hide)'!AL262,0)</f>
        <v>0</v>
      </c>
      <c r="AB113" s="169">
        <f ca="1">'Reference dates (hide)'!AM154+IF($T$76&lt;&gt;"No",'Reference dates (hide)'!AM262,0)</f>
        <v>0</v>
      </c>
      <c r="AC113" s="169">
        <f ca="1">'Reference dates (hide)'!AN154+IF($T$76&lt;&gt;"No",'Reference dates (hide)'!AN262,0)</f>
        <v>0</v>
      </c>
      <c r="AD113" s="169">
        <f ca="1">'Reference dates (hide)'!AO154+IF($T$76&lt;&gt;"No",'Reference dates (hide)'!AO262,0)</f>
        <v>0</v>
      </c>
      <c r="AE113" s="169">
        <f ca="1">'Reference dates (hide)'!AP154+IF($T$76&lt;&gt;"No",'Reference dates (hide)'!AP262,0)</f>
        <v>0</v>
      </c>
      <c r="AF113" s="169">
        <f ca="1">'Reference dates (hide)'!AQ154+IF($T$76&lt;&gt;"No",'Reference dates (hide)'!AQ262,0)</f>
        <v>0</v>
      </c>
      <c r="AG113" s="169">
        <f t="shared" ca="1" si="5"/>
        <v>0</v>
      </c>
    </row>
    <row r="114" spans="19:33" hidden="1" x14ac:dyDescent="0.25">
      <c r="S114" s="1"/>
      <c r="U114" s="8"/>
      <c r="V114" s="8"/>
      <c r="W114" s="8"/>
      <c r="X114" s="8"/>
      <c r="Y114" s="8"/>
      <c r="Z114" s="8"/>
      <c r="AA114" s="8"/>
      <c r="AB114" s="8"/>
      <c r="AC114" s="8"/>
      <c r="AD114" s="8"/>
      <c r="AE114" s="8"/>
      <c r="AF114" s="8"/>
      <c r="AG114" s="8"/>
    </row>
    <row r="115" spans="19:33" hidden="1" x14ac:dyDescent="0.25">
      <c r="S115" s="292" t="str">
        <f>'Data files'!A21</f>
        <v xml:space="preserve">6. </v>
      </c>
      <c r="T115" s="161" t="s">
        <v>815</v>
      </c>
      <c r="U115" s="169">
        <f ca="1">'Reference dates (hide)'!AF155+IF($T$76&lt;&gt;"No",'Reference dates (hide)'!AF263,0)</f>
        <v>0</v>
      </c>
      <c r="V115" s="169">
        <f ca="1">'Reference dates (hide)'!AG155+IF($T$76&lt;&gt;"No",'Reference dates (hide)'!AG263,0)</f>
        <v>0</v>
      </c>
      <c r="W115" s="169">
        <f ca="1">'Reference dates (hide)'!AH155+IF($T$76&lt;&gt;"No",'Reference dates (hide)'!AH263,0)</f>
        <v>0</v>
      </c>
      <c r="X115" s="169">
        <f ca="1">'Reference dates (hide)'!AI155+IF($T$76&lt;&gt;"No",'Reference dates (hide)'!AI263,0)</f>
        <v>0</v>
      </c>
      <c r="Y115" s="169">
        <f ca="1">'Reference dates (hide)'!AJ155+IF($T$76&lt;&gt;"No",'Reference dates (hide)'!AJ263,0)</f>
        <v>0</v>
      </c>
      <c r="Z115" s="169">
        <f ca="1">'Reference dates (hide)'!AK155+IF($T$76&lt;&gt;"No",'Reference dates (hide)'!AK263,0)</f>
        <v>0</v>
      </c>
      <c r="AA115" s="169">
        <f ca="1">'Reference dates (hide)'!AL155+IF($T$76&lt;&gt;"No",'Reference dates (hide)'!AL263,0)</f>
        <v>0</v>
      </c>
      <c r="AB115" s="169">
        <f ca="1">'Reference dates (hide)'!AM155+IF($T$76&lt;&gt;"No",'Reference dates (hide)'!AM263,0)</f>
        <v>0</v>
      </c>
      <c r="AC115" s="169">
        <f ca="1">'Reference dates (hide)'!AN155+IF($T$76&lt;&gt;"No",'Reference dates (hide)'!AN263,0)</f>
        <v>0</v>
      </c>
      <c r="AD115" s="169">
        <f ca="1">'Reference dates (hide)'!AO155+IF($T$76&lt;&gt;"No",'Reference dates (hide)'!AO263,0)</f>
        <v>0</v>
      </c>
      <c r="AE115" s="169">
        <f ca="1">'Reference dates (hide)'!AP155+IF($T$76&lt;&gt;"No",'Reference dates (hide)'!AP263,0)</f>
        <v>0</v>
      </c>
      <c r="AF115" s="169">
        <f ca="1">'Reference dates (hide)'!AQ155+IF($T$76&lt;&gt;"No",'Reference dates (hide)'!AQ263,0)</f>
        <v>0</v>
      </c>
      <c r="AG115" s="169">
        <f t="shared" ref="AG115" ca="1" si="10">SUM(U115:AF115)</f>
        <v>0</v>
      </c>
    </row>
    <row r="116" spans="19:33" hidden="1" x14ac:dyDescent="0.25">
      <c r="S116" s="292"/>
      <c r="T116" s="177" t="s">
        <v>1317</v>
      </c>
      <c r="U116" s="169">
        <f ca="1">'Reference dates (hide)'!AF156+IF($T$76&lt;&gt;"No",'Reference dates (hide)'!AF264,0)</f>
        <v>0</v>
      </c>
      <c r="V116" s="169">
        <f ca="1">'Reference dates (hide)'!AG156+IF($T$76&lt;&gt;"No",'Reference dates (hide)'!AG264,0)</f>
        <v>0</v>
      </c>
      <c r="W116" s="169">
        <f ca="1">'Reference dates (hide)'!AH156+IF($T$76&lt;&gt;"No",'Reference dates (hide)'!AH264,0)</f>
        <v>0</v>
      </c>
      <c r="X116" s="169">
        <f ca="1">'Reference dates (hide)'!AI156+IF($T$76&lt;&gt;"No",'Reference dates (hide)'!AI264,0)</f>
        <v>0</v>
      </c>
      <c r="Y116" s="169">
        <f ca="1">'Reference dates (hide)'!AJ156+IF($T$76&lt;&gt;"No",'Reference dates (hide)'!AJ264,0)</f>
        <v>0</v>
      </c>
      <c r="Z116" s="169">
        <f ca="1">'Reference dates (hide)'!AK156+IF($T$76&lt;&gt;"No",'Reference dates (hide)'!AK264,0)</f>
        <v>0</v>
      </c>
      <c r="AA116" s="169">
        <f ca="1">'Reference dates (hide)'!AL156+IF($T$76&lt;&gt;"No",'Reference dates (hide)'!AL264,0)</f>
        <v>0</v>
      </c>
      <c r="AB116" s="169">
        <f ca="1">'Reference dates (hide)'!AM156+IF($T$76&lt;&gt;"No",'Reference dates (hide)'!AM264,0)</f>
        <v>0</v>
      </c>
      <c r="AC116" s="169">
        <f ca="1">'Reference dates (hide)'!AN156+IF($T$76&lt;&gt;"No",'Reference dates (hide)'!AN264,0)</f>
        <v>0</v>
      </c>
      <c r="AD116" s="169">
        <f ca="1">'Reference dates (hide)'!AO156+IF($T$76&lt;&gt;"No",'Reference dates (hide)'!AO264,0)</f>
        <v>0</v>
      </c>
      <c r="AE116" s="169">
        <f ca="1">'Reference dates (hide)'!AP156+IF($T$76&lt;&gt;"No",'Reference dates (hide)'!AP264,0)</f>
        <v>0</v>
      </c>
      <c r="AF116" s="169">
        <f ca="1">'Reference dates (hide)'!AQ156+IF($T$76&lt;&gt;"No",'Reference dates (hide)'!AQ264,0)</f>
        <v>0</v>
      </c>
      <c r="AG116" s="169">
        <f t="shared" ca="1" si="5"/>
        <v>0</v>
      </c>
    </row>
    <row r="117" spans="19:33" hidden="1" x14ac:dyDescent="0.25">
      <c r="S117" s="292"/>
      <c r="T117" s="161" t="s">
        <v>818</v>
      </c>
      <c r="U117" s="169">
        <f ca="1">'Reference dates (hide)'!AF157+IF($T$76&lt;&gt;"No",'Reference dates (hide)'!AF265,0)</f>
        <v>0</v>
      </c>
      <c r="V117" s="169">
        <f ca="1">'Reference dates (hide)'!AG157+IF($T$76&lt;&gt;"No",'Reference dates (hide)'!AG265,0)</f>
        <v>0</v>
      </c>
      <c r="W117" s="169">
        <f ca="1">'Reference dates (hide)'!AH157+IF($T$76&lt;&gt;"No",'Reference dates (hide)'!AH265,0)</f>
        <v>0</v>
      </c>
      <c r="X117" s="169">
        <f ca="1">'Reference dates (hide)'!AI157+IF($T$76&lt;&gt;"No",'Reference dates (hide)'!AI265,0)</f>
        <v>0</v>
      </c>
      <c r="Y117" s="169">
        <f ca="1">'Reference dates (hide)'!AJ157+IF($T$76&lt;&gt;"No",'Reference dates (hide)'!AJ265,0)</f>
        <v>0</v>
      </c>
      <c r="Z117" s="169">
        <f ca="1">'Reference dates (hide)'!AK157+IF($T$76&lt;&gt;"No",'Reference dates (hide)'!AK265,0)</f>
        <v>0</v>
      </c>
      <c r="AA117" s="169">
        <f ca="1">'Reference dates (hide)'!AL157+IF($T$76&lt;&gt;"No",'Reference dates (hide)'!AL265,0)</f>
        <v>0</v>
      </c>
      <c r="AB117" s="169">
        <f ca="1">'Reference dates (hide)'!AM157+IF($T$76&lt;&gt;"No",'Reference dates (hide)'!AM265,0)</f>
        <v>0</v>
      </c>
      <c r="AC117" s="169">
        <f ca="1">'Reference dates (hide)'!AN157+IF($T$76&lt;&gt;"No",'Reference dates (hide)'!AN265,0)</f>
        <v>0</v>
      </c>
      <c r="AD117" s="169">
        <f ca="1">'Reference dates (hide)'!AO157+IF($T$76&lt;&gt;"No",'Reference dates (hide)'!AO265,0)</f>
        <v>0</v>
      </c>
      <c r="AE117" s="169">
        <f ca="1">'Reference dates (hide)'!AP157+IF($T$76&lt;&gt;"No",'Reference dates (hide)'!AP265,0)</f>
        <v>0</v>
      </c>
      <c r="AF117" s="169">
        <f ca="1">'Reference dates (hide)'!AQ157+IF($T$76&lt;&gt;"No",'Reference dates (hide)'!AQ265,0)</f>
        <v>0</v>
      </c>
      <c r="AG117" s="169">
        <f t="shared" ca="1" si="5"/>
        <v>0</v>
      </c>
    </row>
    <row r="118" spans="19:33" hidden="1" x14ac:dyDescent="0.25">
      <c r="S118" s="292"/>
      <c r="T118" s="177" t="s">
        <v>842</v>
      </c>
      <c r="U118" s="169">
        <f ca="1">'Reference dates (hide)'!AF158+IF($T$76&lt;&gt;"No",'Reference dates (hide)'!AF266,0)</f>
        <v>0</v>
      </c>
      <c r="V118" s="169">
        <f ca="1">'Reference dates (hide)'!AG158+IF($T$76&lt;&gt;"No",'Reference dates (hide)'!AG266,0)</f>
        <v>0</v>
      </c>
      <c r="W118" s="169">
        <f ca="1">'Reference dates (hide)'!AH158+IF($T$76&lt;&gt;"No",'Reference dates (hide)'!AH266,0)</f>
        <v>0</v>
      </c>
      <c r="X118" s="169">
        <f ca="1">'Reference dates (hide)'!AI158+IF($T$76&lt;&gt;"No",'Reference dates (hide)'!AI266,0)</f>
        <v>0</v>
      </c>
      <c r="Y118" s="169">
        <f ca="1">'Reference dates (hide)'!AJ158+IF($T$76&lt;&gt;"No",'Reference dates (hide)'!AJ266,0)</f>
        <v>0</v>
      </c>
      <c r="Z118" s="169">
        <f ca="1">'Reference dates (hide)'!AK158+IF($T$76&lt;&gt;"No",'Reference dates (hide)'!AK266,0)</f>
        <v>0</v>
      </c>
      <c r="AA118" s="169">
        <f ca="1">'Reference dates (hide)'!AL158+IF($T$76&lt;&gt;"No",'Reference dates (hide)'!AL266,0)</f>
        <v>0</v>
      </c>
      <c r="AB118" s="169">
        <f ca="1">'Reference dates (hide)'!AM158+IF($T$76&lt;&gt;"No",'Reference dates (hide)'!AM266,0)</f>
        <v>0</v>
      </c>
      <c r="AC118" s="169">
        <f ca="1">'Reference dates (hide)'!AN158+IF($T$76&lt;&gt;"No",'Reference dates (hide)'!AN266,0)</f>
        <v>0</v>
      </c>
      <c r="AD118" s="169">
        <f ca="1">'Reference dates (hide)'!AO158+IF($T$76&lt;&gt;"No",'Reference dates (hide)'!AO266,0)</f>
        <v>0</v>
      </c>
      <c r="AE118" s="169">
        <f ca="1">'Reference dates (hide)'!AP158+IF($T$76&lt;&gt;"No",'Reference dates (hide)'!AP266,0)</f>
        <v>0</v>
      </c>
      <c r="AF118" s="169">
        <f ca="1">'Reference dates (hide)'!AQ158+IF($T$76&lt;&gt;"No",'Reference dates (hide)'!AQ266,0)</f>
        <v>0</v>
      </c>
      <c r="AG118" s="169">
        <f t="shared" ca="1" si="5"/>
        <v>0</v>
      </c>
    </row>
    <row r="119" spans="19:33" hidden="1" x14ac:dyDescent="0.25">
      <c r="S119" s="292"/>
      <c r="T119" s="161" t="s">
        <v>839</v>
      </c>
      <c r="U119" s="169">
        <f ca="1">'Reference dates (hide)'!AF159+IF($T$76&lt;&gt;"No",'Reference dates (hide)'!AF267,0)</f>
        <v>0</v>
      </c>
      <c r="V119" s="169">
        <f ca="1">'Reference dates (hide)'!AG159+IF($T$76&lt;&gt;"No",'Reference dates (hide)'!AG267,0)</f>
        <v>0</v>
      </c>
      <c r="W119" s="169">
        <f ca="1">'Reference dates (hide)'!AH159+IF($T$76&lt;&gt;"No",'Reference dates (hide)'!AH267,0)</f>
        <v>0</v>
      </c>
      <c r="X119" s="169">
        <f ca="1">'Reference dates (hide)'!AI159+IF($T$76&lt;&gt;"No",'Reference dates (hide)'!AI267,0)</f>
        <v>0</v>
      </c>
      <c r="Y119" s="169">
        <f ca="1">'Reference dates (hide)'!AJ159+IF($T$76&lt;&gt;"No",'Reference dates (hide)'!AJ267,0)</f>
        <v>0</v>
      </c>
      <c r="Z119" s="169">
        <f ca="1">'Reference dates (hide)'!AK159+IF($T$76&lt;&gt;"No",'Reference dates (hide)'!AK267,0)</f>
        <v>0</v>
      </c>
      <c r="AA119" s="169">
        <f ca="1">'Reference dates (hide)'!AL159+IF($T$76&lt;&gt;"No",'Reference dates (hide)'!AL267,0)</f>
        <v>0</v>
      </c>
      <c r="AB119" s="169">
        <f ca="1">'Reference dates (hide)'!AM159+IF($T$76&lt;&gt;"No",'Reference dates (hide)'!AM267,0)</f>
        <v>0</v>
      </c>
      <c r="AC119" s="169">
        <f ca="1">'Reference dates (hide)'!AN159+IF($T$76&lt;&gt;"No",'Reference dates (hide)'!AN267,0)</f>
        <v>0</v>
      </c>
      <c r="AD119" s="169">
        <f ca="1">'Reference dates (hide)'!AO159+IF($T$76&lt;&gt;"No",'Reference dates (hide)'!AO267,0)</f>
        <v>0</v>
      </c>
      <c r="AE119" s="169">
        <f ca="1">'Reference dates (hide)'!AP159+IF($T$76&lt;&gt;"No",'Reference dates (hide)'!AP267,0)</f>
        <v>0</v>
      </c>
      <c r="AF119" s="169">
        <f ca="1">'Reference dates (hide)'!AQ159+IF($T$76&lt;&gt;"No",'Reference dates (hide)'!AQ267,0)</f>
        <v>0</v>
      </c>
      <c r="AG119" s="169">
        <f t="shared" ca="1" si="5"/>
        <v>0</v>
      </c>
    </row>
    <row r="120" spans="19:33" hidden="1" x14ac:dyDescent="0.25">
      <c r="S120" s="1"/>
      <c r="U120" s="8"/>
      <c r="V120" s="8"/>
      <c r="W120" s="8"/>
      <c r="X120" s="8"/>
      <c r="Y120" s="8"/>
      <c r="Z120" s="8"/>
      <c r="AA120" s="8"/>
      <c r="AB120" s="8"/>
      <c r="AC120" s="8"/>
      <c r="AD120" s="8"/>
      <c r="AE120" s="8"/>
      <c r="AF120" s="8"/>
      <c r="AG120" s="8"/>
    </row>
    <row r="121" spans="19:33" hidden="1" x14ac:dyDescent="0.25">
      <c r="S121" s="292" t="str">
        <f>'Data files'!A22</f>
        <v xml:space="preserve">7. </v>
      </c>
      <c r="T121" s="161" t="s">
        <v>815</v>
      </c>
      <c r="U121" s="169">
        <f ca="1">'Reference dates (hide)'!AF160+IF($T$76&lt;&gt;"No",'Reference dates (hide)'!AF268,0)</f>
        <v>0</v>
      </c>
      <c r="V121" s="169">
        <f ca="1">'Reference dates (hide)'!AG160+IF($T$76&lt;&gt;"No",'Reference dates (hide)'!AG268,0)</f>
        <v>0</v>
      </c>
      <c r="W121" s="169">
        <f ca="1">'Reference dates (hide)'!AH160+IF($T$76&lt;&gt;"No",'Reference dates (hide)'!AH268,0)</f>
        <v>0</v>
      </c>
      <c r="X121" s="169">
        <f ca="1">'Reference dates (hide)'!AI160+IF($T$76&lt;&gt;"No",'Reference dates (hide)'!AI268,0)</f>
        <v>0</v>
      </c>
      <c r="Y121" s="169">
        <f ca="1">'Reference dates (hide)'!AJ160+IF($T$76&lt;&gt;"No",'Reference dates (hide)'!AJ268,0)</f>
        <v>0</v>
      </c>
      <c r="Z121" s="169">
        <f ca="1">'Reference dates (hide)'!AK160+IF($T$76&lt;&gt;"No",'Reference dates (hide)'!AK268,0)</f>
        <v>0</v>
      </c>
      <c r="AA121" s="169">
        <f ca="1">'Reference dates (hide)'!AL160+IF($T$76&lt;&gt;"No",'Reference dates (hide)'!AL268,0)</f>
        <v>0</v>
      </c>
      <c r="AB121" s="169">
        <f ca="1">'Reference dates (hide)'!AM160+IF($T$76&lt;&gt;"No",'Reference dates (hide)'!AM268,0)</f>
        <v>0</v>
      </c>
      <c r="AC121" s="169">
        <f ca="1">'Reference dates (hide)'!AN160+IF($T$76&lt;&gt;"No",'Reference dates (hide)'!AN268,0)</f>
        <v>0</v>
      </c>
      <c r="AD121" s="169">
        <f ca="1">'Reference dates (hide)'!AO160+IF($T$76&lt;&gt;"No",'Reference dates (hide)'!AO268,0)</f>
        <v>0</v>
      </c>
      <c r="AE121" s="169">
        <f ca="1">'Reference dates (hide)'!AP160+IF($T$76&lt;&gt;"No",'Reference dates (hide)'!AP268,0)</f>
        <v>0</v>
      </c>
      <c r="AF121" s="169">
        <f ca="1">'Reference dates (hide)'!AQ160+IF($T$76&lt;&gt;"No",'Reference dates (hide)'!AQ268,0)</f>
        <v>0</v>
      </c>
      <c r="AG121" s="169">
        <f t="shared" ref="AG121" ca="1" si="11">SUM(U121:AF121)</f>
        <v>0</v>
      </c>
    </row>
    <row r="122" spans="19:33" hidden="1" x14ac:dyDescent="0.25">
      <c r="S122" s="292"/>
      <c r="T122" s="177" t="s">
        <v>1317</v>
      </c>
      <c r="U122" s="169">
        <f ca="1">'Reference dates (hide)'!AF161+IF($T$76&lt;&gt;"No",'Reference dates (hide)'!AF269,0)</f>
        <v>0</v>
      </c>
      <c r="V122" s="169">
        <f ca="1">'Reference dates (hide)'!AG161+IF($T$76&lt;&gt;"No",'Reference dates (hide)'!AG269,0)</f>
        <v>0</v>
      </c>
      <c r="W122" s="169">
        <f ca="1">'Reference dates (hide)'!AH161+IF($T$76&lt;&gt;"No",'Reference dates (hide)'!AH269,0)</f>
        <v>0</v>
      </c>
      <c r="X122" s="169">
        <f ca="1">'Reference dates (hide)'!AI161+IF($T$76&lt;&gt;"No",'Reference dates (hide)'!AI269,0)</f>
        <v>0</v>
      </c>
      <c r="Y122" s="169">
        <f ca="1">'Reference dates (hide)'!AJ161+IF($T$76&lt;&gt;"No",'Reference dates (hide)'!AJ269,0)</f>
        <v>0</v>
      </c>
      <c r="Z122" s="169">
        <f ca="1">'Reference dates (hide)'!AK161+IF($T$76&lt;&gt;"No",'Reference dates (hide)'!AK269,0)</f>
        <v>0</v>
      </c>
      <c r="AA122" s="169">
        <f ca="1">'Reference dates (hide)'!AL161+IF($T$76&lt;&gt;"No",'Reference dates (hide)'!AL269,0)</f>
        <v>0</v>
      </c>
      <c r="AB122" s="169">
        <f ca="1">'Reference dates (hide)'!AM161+IF($T$76&lt;&gt;"No",'Reference dates (hide)'!AM269,0)</f>
        <v>0</v>
      </c>
      <c r="AC122" s="169">
        <f ca="1">'Reference dates (hide)'!AN161+IF($T$76&lt;&gt;"No",'Reference dates (hide)'!AN269,0)</f>
        <v>0</v>
      </c>
      <c r="AD122" s="169">
        <f ca="1">'Reference dates (hide)'!AO161+IF($T$76&lt;&gt;"No",'Reference dates (hide)'!AO269,0)</f>
        <v>0</v>
      </c>
      <c r="AE122" s="169">
        <f ca="1">'Reference dates (hide)'!AP161+IF($T$76&lt;&gt;"No",'Reference dates (hide)'!AP269,0)</f>
        <v>0</v>
      </c>
      <c r="AF122" s="169">
        <f ca="1">'Reference dates (hide)'!AQ161+IF($T$76&lt;&gt;"No",'Reference dates (hide)'!AQ269,0)</f>
        <v>0</v>
      </c>
      <c r="AG122" s="169">
        <f t="shared" ca="1" si="5"/>
        <v>0</v>
      </c>
    </row>
    <row r="123" spans="19:33" hidden="1" x14ac:dyDescent="0.25">
      <c r="S123" s="292"/>
      <c r="T123" s="161" t="s">
        <v>818</v>
      </c>
      <c r="U123" s="169">
        <f ca="1">'Reference dates (hide)'!AF162+IF($T$76&lt;&gt;"No",'Reference dates (hide)'!AF270,0)</f>
        <v>0</v>
      </c>
      <c r="V123" s="169">
        <f ca="1">'Reference dates (hide)'!AG162+IF($T$76&lt;&gt;"No",'Reference dates (hide)'!AG270,0)</f>
        <v>0</v>
      </c>
      <c r="W123" s="169">
        <f ca="1">'Reference dates (hide)'!AH162+IF($T$76&lt;&gt;"No",'Reference dates (hide)'!AH270,0)</f>
        <v>0</v>
      </c>
      <c r="X123" s="169">
        <f ca="1">'Reference dates (hide)'!AI162+IF($T$76&lt;&gt;"No",'Reference dates (hide)'!AI270,0)</f>
        <v>0</v>
      </c>
      <c r="Y123" s="169">
        <f ca="1">'Reference dates (hide)'!AJ162+IF($T$76&lt;&gt;"No",'Reference dates (hide)'!AJ270,0)</f>
        <v>0</v>
      </c>
      <c r="Z123" s="169">
        <f ca="1">'Reference dates (hide)'!AK162+IF($T$76&lt;&gt;"No",'Reference dates (hide)'!AK270,0)</f>
        <v>0</v>
      </c>
      <c r="AA123" s="169">
        <f ca="1">'Reference dates (hide)'!AL162+IF($T$76&lt;&gt;"No",'Reference dates (hide)'!AL270,0)</f>
        <v>0</v>
      </c>
      <c r="AB123" s="169">
        <f ca="1">'Reference dates (hide)'!AM162+IF($T$76&lt;&gt;"No",'Reference dates (hide)'!AM270,0)</f>
        <v>0</v>
      </c>
      <c r="AC123" s="169">
        <f ca="1">'Reference dates (hide)'!AN162+IF($T$76&lt;&gt;"No",'Reference dates (hide)'!AN270,0)</f>
        <v>0</v>
      </c>
      <c r="AD123" s="169">
        <f ca="1">'Reference dates (hide)'!AO162+IF($T$76&lt;&gt;"No",'Reference dates (hide)'!AO270,0)</f>
        <v>0</v>
      </c>
      <c r="AE123" s="169">
        <f ca="1">'Reference dates (hide)'!AP162+IF($T$76&lt;&gt;"No",'Reference dates (hide)'!AP270,0)</f>
        <v>0</v>
      </c>
      <c r="AF123" s="169">
        <f ca="1">'Reference dates (hide)'!AQ162+IF($T$76&lt;&gt;"No",'Reference dates (hide)'!AQ270,0)</f>
        <v>0</v>
      </c>
      <c r="AG123" s="169">
        <f t="shared" ca="1" si="5"/>
        <v>0</v>
      </c>
    </row>
    <row r="124" spans="19:33" hidden="1" x14ac:dyDescent="0.25">
      <c r="S124" s="292"/>
      <c r="T124" s="177" t="s">
        <v>842</v>
      </c>
      <c r="U124" s="169">
        <f ca="1">'Reference dates (hide)'!AF163+IF($T$76&lt;&gt;"No",'Reference dates (hide)'!AF271,0)</f>
        <v>0</v>
      </c>
      <c r="V124" s="169">
        <f ca="1">'Reference dates (hide)'!AG163+IF($T$76&lt;&gt;"No",'Reference dates (hide)'!AG271,0)</f>
        <v>0</v>
      </c>
      <c r="W124" s="169">
        <f ca="1">'Reference dates (hide)'!AH163+IF($T$76&lt;&gt;"No",'Reference dates (hide)'!AH271,0)</f>
        <v>0</v>
      </c>
      <c r="X124" s="169">
        <f ca="1">'Reference dates (hide)'!AI163+IF($T$76&lt;&gt;"No",'Reference dates (hide)'!AI271,0)</f>
        <v>0</v>
      </c>
      <c r="Y124" s="169">
        <f ca="1">'Reference dates (hide)'!AJ163+IF($T$76&lt;&gt;"No",'Reference dates (hide)'!AJ271,0)</f>
        <v>0</v>
      </c>
      <c r="Z124" s="169">
        <f ca="1">'Reference dates (hide)'!AK163+IF($T$76&lt;&gt;"No",'Reference dates (hide)'!AK271,0)</f>
        <v>0</v>
      </c>
      <c r="AA124" s="169">
        <f ca="1">'Reference dates (hide)'!AL163+IF($T$76&lt;&gt;"No",'Reference dates (hide)'!AL271,0)</f>
        <v>0</v>
      </c>
      <c r="AB124" s="169">
        <f ca="1">'Reference dates (hide)'!AM163+IF($T$76&lt;&gt;"No",'Reference dates (hide)'!AM271,0)</f>
        <v>0</v>
      </c>
      <c r="AC124" s="169">
        <f ca="1">'Reference dates (hide)'!AN163+IF($T$76&lt;&gt;"No",'Reference dates (hide)'!AN271,0)</f>
        <v>0</v>
      </c>
      <c r="AD124" s="169">
        <f ca="1">'Reference dates (hide)'!AO163+IF($T$76&lt;&gt;"No",'Reference dates (hide)'!AO271,0)</f>
        <v>0</v>
      </c>
      <c r="AE124" s="169">
        <f ca="1">'Reference dates (hide)'!AP163+IF($T$76&lt;&gt;"No",'Reference dates (hide)'!AP271,0)</f>
        <v>0</v>
      </c>
      <c r="AF124" s="169">
        <f ca="1">'Reference dates (hide)'!AQ163+IF($T$76&lt;&gt;"No",'Reference dates (hide)'!AQ271,0)</f>
        <v>0</v>
      </c>
      <c r="AG124" s="169">
        <f t="shared" ca="1" si="5"/>
        <v>0</v>
      </c>
    </row>
    <row r="125" spans="19:33" hidden="1" x14ac:dyDescent="0.25">
      <c r="S125" s="292"/>
      <c r="T125" s="161" t="s">
        <v>839</v>
      </c>
      <c r="U125" s="169">
        <f ca="1">'Reference dates (hide)'!AF164+IF($T$76&lt;&gt;"No",'Reference dates (hide)'!AF272,0)</f>
        <v>0</v>
      </c>
      <c r="V125" s="169">
        <f ca="1">'Reference dates (hide)'!AG164+IF($T$76&lt;&gt;"No",'Reference dates (hide)'!AG272,0)</f>
        <v>0</v>
      </c>
      <c r="W125" s="169">
        <f ca="1">'Reference dates (hide)'!AH164+IF($T$76&lt;&gt;"No",'Reference dates (hide)'!AH272,0)</f>
        <v>0</v>
      </c>
      <c r="X125" s="169">
        <f ca="1">'Reference dates (hide)'!AI164+IF($T$76&lt;&gt;"No",'Reference dates (hide)'!AI272,0)</f>
        <v>0</v>
      </c>
      <c r="Y125" s="169">
        <f ca="1">'Reference dates (hide)'!AJ164+IF($T$76&lt;&gt;"No",'Reference dates (hide)'!AJ272,0)</f>
        <v>0</v>
      </c>
      <c r="Z125" s="169">
        <f ca="1">'Reference dates (hide)'!AK164+IF($T$76&lt;&gt;"No",'Reference dates (hide)'!AK272,0)</f>
        <v>0</v>
      </c>
      <c r="AA125" s="169">
        <f ca="1">'Reference dates (hide)'!AL164+IF($T$76&lt;&gt;"No",'Reference dates (hide)'!AL272,0)</f>
        <v>0</v>
      </c>
      <c r="AB125" s="169">
        <f ca="1">'Reference dates (hide)'!AM164+IF($T$76&lt;&gt;"No",'Reference dates (hide)'!AM272,0)</f>
        <v>0</v>
      </c>
      <c r="AC125" s="169">
        <f ca="1">'Reference dates (hide)'!AN164+IF($T$76&lt;&gt;"No",'Reference dates (hide)'!AN272,0)</f>
        <v>0</v>
      </c>
      <c r="AD125" s="169">
        <f ca="1">'Reference dates (hide)'!AO164+IF($T$76&lt;&gt;"No",'Reference dates (hide)'!AO272,0)</f>
        <v>0</v>
      </c>
      <c r="AE125" s="169">
        <f ca="1">'Reference dates (hide)'!AP164+IF($T$76&lt;&gt;"No",'Reference dates (hide)'!AP272,0)</f>
        <v>0</v>
      </c>
      <c r="AF125" s="169">
        <f ca="1">'Reference dates (hide)'!AQ164+IF($T$76&lt;&gt;"No",'Reference dates (hide)'!AQ272,0)</f>
        <v>0</v>
      </c>
      <c r="AG125" s="169">
        <f t="shared" ca="1" si="5"/>
        <v>0</v>
      </c>
    </row>
    <row r="126" spans="19:33" hidden="1" x14ac:dyDescent="0.25">
      <c r="S126" s="1"/>
      <c r="U126" s="8"/>
      <c r="V126" s="8"/>
      <c r="W126" s="8"/>
      <c r="X126" s="8"/>
      <c r="Y126" s="8"/>
      <c r="Z126" s="8"/>
      <c r="AA126" s="8"/>
      <c r="AB126" s="8"/>
      <c r="AC126" s="8"/>
      <c r="AD126" s="8"/>
      <c r="AE126" s="8"/>
      <c r="AF126" s="8"/>
      <c r="AG126" s="8"/>
    </row>
    <row r="127" spans="19:33" hidden="1" x14ac:dyDescent="0.25">
      <c r="S127" s="292" t="str">
        <f>'Data files'!A23</f>
        <v xml:space="preserve">8. </v>
      </c>
      <c r="T127" s="161" t="s">
        <v>815</v>
      </c>
      <c r="U127" s="169">
        <f ca="1">'Reference dates (hide)'!AF165+IF($T$76&lt;&gt;"No",'Reference dates (hide)'!AF273,0)</f>
        <v>0</v>
      </c>
      <c r="V127" s="169">
        <f ca="1">'Reference dates (hide)'!AG165+IF($T$76&lt;&gt;"No",'Reference dates (hide)'!AG273,0)</f>
        <v>0</v>
      </c>
      <c r="W127" s="169">
        <f ca="1">'Reference dates (hide)'!AH165+IF($T$76&lt;&gt;"No",'Reference dates (hide)'!AH273,0)</f>
        <v>0</v>
      </c>
      <c r="X127" s="169">
        <f ca="1">'Reference dates (hide)'!AI165+IF($T$76&lt;&gt;"No",'Reference dates (hide)'!AI273,0)</f>
        <v>0</v>
      </c>
      <c r="Y127" s="169">
        <f ca="1">'Reference dates (hide)'!AJ165+IF($T$76&lt;&gt;"No",'Reference dates (hide)'!AJ273,0)</f>
        <v>0</v>
      </c>
      <c r="Z127" s="169">
        <f ca="1">'Reference dates (hide)'!AK165+IF($T$76&lt;&gt;"No",'Reference dates (hide)'!AK273,0)</f>
        <v>0</v>
      </c>
      <c r="AA127" s="169">
        <f ca="1">'Reference dates (hide)'!AL165+IF($T$76&lt;&gt;"No",'Reference dates (hide)'!AL273,0)</f>
        <v>0</v>
      </c>
      <c r="AB127" s="169">
        <f ca="1">'Reference dates (hide)'!AM165+IF($T$76&lt;&gt;"No",'Reference dates (hide)'!AM273,0)</f>
        <v>0</v>
      </c>
      <c r="AC127" s="169">
        <f ca="1">'Reference dates (hide)'!AN165+IF($T$76&lt;&gt;"No",'Reference dates (hide)'!AN273,0)</f>
        <v>0</v>
      </c>
      <c r="AD127" s="169">
        <f ca="1">'Reference dates (hide)'!AO165+IF($T$76&lt;&gt;"No",'Reference dates (hide)'!AO273,0)</f>
        <v>0</v>
      </c>
      <c r="AE127" s="169">
        <f ca="1">'Reference dates (hide)'!AP165+IF($T$76&lt;&gt;"No",'Reference dates (hide)'!AP273,0)</f>
        <v>0</v>
      </c>
      <c r="AF127" s="169">
        <f ca="1">'Reference dates (hide)'!AQ165+IF($T$76&lt;&gt;"No",'Reference dates (hide)'!AQ273,0)</f>
        <v>0</v>
      </c>
      <c r="AG127" s="169">
        <f t="shared" ref="AG127" ca="1" si="12">SUM(U127:AF127)</f>
        <v>0</v>
      </c>
    </row>
    <row r="128" spans="19:33" hidden="1" x14ac:dyDescent="0.25">
      <c r="S128" s="292"/>
      <c r="T128" s="177" t="s">
        <v>1317</v>
      </c>
      <c r="U128" s="169">
        <f ca="1">'Reference dates (hide)'!AF166+IF($T$76&lt;&gt;"No",'Reference dates (hide)'!AF274,0)</f>
        <v>0</v>
      </c>
      <c r="V128" s="169">
        <f ca="1">'Reference dates (hide)'!AG166+IF($T$76&lt;&gt;"No",'Reference dates (hide)'!AG274,0)</f>
        <v>0</v>
      </c>
      <c r="W128" s="169">
        <f ca="1">'Reference dates (hide)'!AH166+IF($T$76&lt;&gt;"No",'Reference dates (hide)'!AH274,0)</f>
        <v>0</v>
      </c>
      <c r="X128" s="169">
        <f ca="1">'Reference dates (hide)'!AI166+IF($T$76&lt;&gt;"No",'Reference dates (hide)'!AI274,0)</f>
        <v>0</v>
      </c>
      <c r="Y128" s="169">
        <f ca="1">'Reference dates (hide)'!AJ166+IF($T$76&lt;&gt;"No",'Reference dates (hide)'!AJ274,0)</f>
        <v>0</v>
      </c>
      <c r="Z128" s="169">
        <f ca="1">'Reference dates (hide)'!AK166+IF($T$76&lt;&gt;"No",'Reference dates (hide)'!AK274,0)</f>
        <v>0</v>
      </c>
      <c r="AA128" s="169">
        <f ca="1">'Reference dates (hide)'!AL166+IF($T$76&lt;&gt;"No",'Reference dates (hide)'!AL274,0)</f>
        <v>0</v>
      </c>
      <c r="AB128" s="169">
        <f ca="1">'Reference dates (hide)'!AM166+IF($T$76&lt;&gt;"No",'Reference dates (hide)'!AM274,0)</f>
        <v>0</v>
      </c>
      <c r="AC128" s="169">
        <f ca="1">'Reference dates (hide)'!AN166+IF($T$76&lt;&gt;"No",'Reference dates (hide)'!AN274,0)</f>
        <v>0</v>
      </c>
      <c r="AD128" s="169">
        <f ca="1">'Reference dates (hide)'!AO166+IF($T$76&lt;&gt;"No",'Reference dates (hide)'!AO274,0)</f>
        <v>0</v>
      </c>
      <c r="AE128" s="169">
        <f ca="1">'Reference dates (hide)'!AP166+IF($T$76&lt;&gt;"No",'Reference dates (hide)'!AP274,0)</f>
        <v>0</v>
      </c>
      <c r="AF128" s="169">
        <f ca="1">'Reference dates (hide)'!AQ166+IF($T$76&lt;&gt;"No",'Reference dates (hide)'!AQ274,0)</f>
        <v>0</v>
      </c>
      <c r="AG128" s="169">
        <f t="shared" ca="1" si="5"/>
        <v>0</v>
      </c>
    </row>
    <row r="129" spans="19:33" hidden="1" x14ac:dyDescent="0.25">
      <c r="S129" s="292"/>
      <c r="T129" s="161" t="s">
        <v>818</v>
      </c>
      <c r="U129" s="169">
        <f ca="1">'Reference dates (hide)'!AF167+IF($T$76&lt;&gt;"No",'Reference dates (hide)'!AF275,0)</f>
        <v>0</v>
      </c>
      <c r="V129" s="169">
        <f ca="1">'Reference dates (hide)'!AG167+IF($T$76&lt;&gt;"No",'Reference dates (hide)'!AG275,0)</f>
        <v>0</v>
      </c>
      <c r="W129" s="169">
        <f ca="1">'Reference dates (hide)'!AH167+IF($T$76&lt;&gt;"No",'Reference dates (hide)'!AH275,0)</f>
        <v>0</v>
      </c>
      <c r="X129" s="169">
        <f ca="1">'Reference dates (hide)'!AI167+IF($T$76&lt;&gt;"No",'Reference dates (hide)'!AI275,0)</f>
        <v>0</v>
      </c>
      <c r="Y129" s="169">
        <f ca="1">'Reference dates (hide)'!AJ167+IF($T$76&lt;&gt;"No",'Reference dates (hide)'!AJ275,0)</f>
        <v>0</v>
      </c>
      <c r="Z129" s="169">
        <f ca="1">'Reference dates (hide)'!AK167+IF($T$76&lt;&gt;"No",'Reference dates (hide)'!AK275,0)</f>
        <v>0</v>
      </c>
      <c r="AA129" s="169">
        <f ca="1">'Reference dates (hide)'!AL167+IF($T$76&lt;&gt;"No",'Reference dates (hide)'!AL275,0)</f>
        <v>0</v>
      </c>
      <c r="AB129" s="169">
        <f ca="1">'Reference dates (hide)'!AM167+IF($T$76&lt;&gt;"No",'Reference dates (hide)'!AM275,0)</f>
        <v>0</v>
      </c>
      <c r="AC129" s="169">
        <f ca="1">'Reference dates (hide)'!AN167+IF($T$76&lt;&gt;"No",'Reference dates (hide)'!AN275,0)</f>
        <v>0</v>
      </c>
      <c r="AD129" s="169">
        <f ca="1">'Reference dates (hide)'!AO167+IF($T$76&lt;&gt;"No",'Reference dates (hide)'!AO275,0)</f>
        <v>0</v>
      </c>
      <c r="AE129" s="169">
        <f ca="1">'Reference dates (hide)'!AP167+IF($T$76&lt;&gt;"No",'Reference dates (hide)'!AP275,0)</f>
        <v>0</v>
      </c>
      <c r="AF129" s="169">
        <f ca="1">'Reference dates (hide)'!AQ167+IF($T$76&lt;&gt;"No",'Reference dates (hide)'!AQ275,0)</f>
        <v>0</v>
      </c>
      <c r="AG129" s="169">
        <f t="shared" ca="1" si="5"/>
        <v>0</v>
      </c>
    </row>
    <row r="130" spans="19:33" hidden="1" x14ac:dyDescent="0.25">
      <c r="S130" s="292"/>
      <c r="T130" s="177" t="s">
        <v>842</v>
      </c>
      <c r="U130" s="169">
        <f ca="1">'Reference dates (hide)'!AF168+IF($T$76&lt;&gt;"No",'Reference dates (hide)'!AF276,0)</f>
        <v>0</v>
      </c>
      <c r="V130" s="169">
        <f ca="1">'Reference dates (hide)'!AG168+IF($T$76&lt;&gt;"No",'Reference dates (hide)'!AG276,0)</f>
        <v>0</v>
      </c>
      <c r="W130" s="169">
        <f ca="1">'Reference dates (hide)'!AH168+IF($T$76&lt;&gt;"No",'Reference dates (hide)'!AH276,0)</f>
        <v>0</v>
      </c>
      <c r="X130" s="169">
        <f ca="1">'Reference dates (hide)'!AI168+IF($T$76&lt;&gt;"No",'Reference dates (hide)'!AI276,0)</f>
        <v>0</v>
      </c>
      <c r="Y130" s="169">
        <f ca="1">'Reference dates (hide)'!AJ168+IF($T$76&lt;&gt;"No",'Reference dates (hide)'!AJ276,0)</f>
        <v>0</v>
      </c>
      <c r="Z130" s="169">
        <f ca="1">'Reference dates (hide)'!AK168+IF($T$76&lt;&gt;"No",'Reference dates (hide)'!AK276,0)</f>
        <v>0</v>
      </c>
      <c r="AA130" s="169">
        <f ca="1">'Reference dates (hide)'!AL168+IF($T$76&lt;&gt;"No",'Reference dates (hide)'!AL276,0)</f>
        <v>0</v>
      </c>
      <c r="AB130" s="169">
        <f ca="1">'Reference dates (hide)'!AM168+IF($T$76&lt;&gt;"No",'Reference dates (hide)'!AM276,0)</f>
        <v>0</v>
      </c>
      <c r="AC130" s="169">
        <f ca="1">'Reference dates (hide)'!AN168+IF($T$76&lt;&gt;"No",'Reference dates (hide)'!AN276,0)</f>
        <v>0</v>
      </c>
      <c r="AD130" s="169">
        <f ca="1">'Reference dates (hide)'!AO168+IF($T$76&lt;&gt;"No",'Reference dates (hide)'!AO276,0)</f>
        <v>0</v>
      </c>
      <c r="AE130" s="169">
        <f ca="1">'Reference dates (hide)'!AP168+IF($T$76&lt;&gt;"No",'Reference dates (hide)'!AP276,0)</f>
        <v>0</v>
      </c>
      <c r="AF130" s="169">
        <f ca="1">'Reference dates (hide)'!AQ168+IF($T$76&lt;&gt;"No",'Reference dates (hide)'!AQ276,0)</f>
        <v>0</v>
      </c>
      <c r="AG130" s="169">
        <f t="shared" ca="1" si="5"/>
        <v>0</v>
      </c>
    </row>
    <row r="131" spans="19:33" hidden="1" x14ac:dyDescent="0.25">
      <c r="S131" s="292"/>
      <c r="T131" s="161" t="s">
        <v>839</v>
      </c>
      <c r="U131" s="169">
        <f ca="1">'Reference dates (hide)'!AF169+IF($T$76&lt;&gt;"No",'Reference dates (hide)'!AF277,0)</f>
        <v>0</v>
      </c>
      <c r="V131" s="169">
        <f ca="1">'Reference dates (hide)'!AG169+IF($T$76&lt;&gt;"No",'Reference dates (hide)'!AG277,0)</f>
        <v>0</v>
      </c>
      <c r="W131" s="169">
        <f ca="1">'Reference dates (hide)'!AH169+IF($T$76&lt;&gt;"No",'Reference dates (hide)'!AH277,0)</f>
        <v>0</v>
      </c>
      <c r="X131" s="169">
        <f ca="1">'Reference dates (hide)'!AI169+IF($T$76&lt;&gt;"No",'Reference dates (hide)'!AI277,0)</f>
        <v>0</v>
      </c>
      <c r="Y131" s="169">
        <f ca="1">'Reference dates (hide)'!AJ169+IF($T$76&lt;&gt;"No",'Reference dates (hide)'!AJ277,0)</f>
        <v>0</v>
      </c>
      <c r="Z131" s="169">
        <f ca="1">'Reference dates (hide)'!AK169+IF($T$76&lt;&gt;"No",'Reference dates (hide)'!AK277,0)</f>
        <v>0</v>
      </c>
      <c r="AA131" s="169">
        <f ca="1">'Reference dates (hide)'!AL169+IF($T$76&lt;&gt;"No",'Reference dates (hide)'!AL277,0)</f>
        <v>0</v>
      </c>
      <c r="AB131" s="169">
        <f ca="1">'Reference dates (hide)'!AM169+IF($T$76&lt;&gt;"No",'Reference dates (hide)'!AM277,0)</f>
        <v>0</v>
      </c>
      <c r="AC131" s="169">
        <f ca="1">'Reference dates (hide)'!AN169+IF($T$76&lt;&gt;"No",'Reference dates (hide)'!AN277,0)</f>
        <v>0</v>
      </c>
      <c r="AD131" s="169">
        <f ca="1">'Reference dates (hide)'!AO169+IF($T$76&lt;&gt;"No",'Reference dates (hide)'!AO277,0)</f>
        <v>0</v>
      </c>
      <c r="AE131" s="169">
        <f ca="1">'Reference dates (hide)'!AP169+IF($T$76&lt;&gt;"No",'Reference dates (hide)'!AP277,0)</f>
        <v>0</v>
      </c>
      <c r="AF131" s="169">
        <f ca="1">'Reference dates (hide)'!AQ169+IF($T$76&lt;&gt;"No",'Reference dates (hide)'!AQ277,0)</f>
        <v>0</v>
      </c>
      <c r="AG131" s="169">
        <f t="shared" ca="1" si="5"/>
        <v>0</v>
      </c>
    </row>
    <row r="132" spans="19:33" hidden="1" x14ac:dyDescent="0.25">
      <c r="S132" s="1"/>
      <c r="U132" s="8"/>
      <c r="V132" s="8"/>
      <c r="W132" s="8"/>
      <c r="X132" s="8"/>
      <c r="Y132" s="8"/>
      <c r="Z132" s="8"/>
      <c r="AA132" s="8"/>
      <c r="AB132" s="8"/>
      <c r="AC132" s="8"/>
      <c r="AD132" s="8"/>
      <c r="AE132" s="8"/>
      <c r="AF132" s="8"/>
      <c r="AG132" s="8"/>
    </row>
    <row r="133" spans="19:33" hidden="1" x14ac:dyDescent="0.25">
      <c r="S133" s="292" t="str">
        <f>'Data files'!A24</f>
        <v xml:space="preserve">9. </v>
      </c>
      <c r="T133" s="161" t="s">
        <v>815</v>
      </c>
      <c r="U133" s="169">
        <f ca="1">'Reference dates (hide)'!AF170+IF($T$76&lt;&gt;"No",'Reference dates (hide)'!AF278,0)</f>
        <v>0</v>
      </c>
      <c r="V133" s="169">
        <f ca="1">'Reference dates (hide)'!AG170+IF($T$76&lt;&gt;"No",'Reference dates (hide)'!AG278,0)</f>
        <v>0</v>
      </c>
      <c r="W133" s="169">
        <f ca="1">'Reference dates (hide)'!AH170+IF($T$76&lt;&gt;"No",'Reference dates (hide)'!AH278,0)</f>
        <v>0</v>
      </c>
      <c r="X133" s="169">
        <f ca="1">'Reference dates (hide)'!AI170+IF($T$76&lt;&gt;"No",'Reference dates (hide)'!AI278,0)</f>
        <v>0</v>
      </c>
      <c r="Y133" s="169">
        <f ca="1">'Reference dates (hide)'!AJ170+IF($T$76&lt;&gt;"No",'Reference dates (hide)'!AJ278,0)</f>
        <v>0</v>
      </c>
      <c r="Z133" s="169">
        <f ca="1">'Reference dates (hide)'!AK170+IF($T$76&lt;&gt;"No",'Reference dates (hide)'!AK278,0)</f>
        <v>0</v>
      </c>
      <c r="AA133" s="169">
        <f ca="1">'Reference dates (hide)'!AL170+IF($T$76&lt;&gt;"No",'Reference dates (hide)'!AL278,0)</f>
        <v>0</v>
      </c>
      <c r="AB133" s="169">
        <f ca="1">'Reference dates (hide)'!AM170+IF($T$76&lt;&gt;"No",'Reference dates (hide)'!AM278,0)</f>
        <v>0</v>
      </c>
      <c r="AC133" s="169">
        <f ca="1">'Reference dates (hide)'!AN170+IF($T$76&lt;&gt;"No",'Reference dates (hide)'!AN278,0)</f>
        <v>0</v>
      </c>
      <c r="AD133" s="169">
        <f ca="1">'Reference dates (hide)'!AO170+IF($T$76&lt;&gt;"No",'Reference dates (hide)'!AO278,0)</f>
        <v>0</v>
      </c>
      <c r="AE133" s="169">
        <f ca="1">'Reference dates (hide)'!AP170+IF($T$76&lt;&gt;"No",'Reference dates (hide)'!AP278,0)</f>
        <v>0</v>
      </c>
      <c r="AF133" s="169">
        <f ca="1">'Reference dates (hide)'!AQ170+IF($T$76&lt;&gt;"No",'Reference dates (hide)'!AQ278,0)</f>
        <v>0</v>
      </c>
      <c r="AG133" s="169">
        <f t="shared" ref="AG133" ca="1" si="13">SUM(U133:AF133)</f>
        <v>0</v>
      </c>
    </row>
    <row r="134" spans="19:33" hidden="1" x14ac:dyDescent="0.25">
      <c r="S134" s="292"/>
      <c r="T134" s="177" t="s">
        <v>1317</v>
      </c>
      <c r="U134" s="169">
        <f ca="1">'Reference dates (hide)'!AF171+IF($T$76&lt;&gt;"No",'Reference dates (hide)'!AF279,0)</f>
        <v>0</v>
      </c>
      <c r="V134" s="169">
        <f ca="1">'Reference dates (hide)'!AG171+IF($T$76&lt;&gt;"No",'Reference dates (hide)'!AG279,0)</f>
        <v>0</v>
      </c>
      <c r="W134" s="169">
        <f ca="1">'Reference dates (hide)'!AH171+IF($T$76&lt;&gt;"No",'Reference dates (hide)'!AH279,0)</f>
        <v>0</v>
      </c>
      <c r="X134" s="169">
        <f ca="1">'Reference dates (hide)'!AI171+IF($T$76&lt;&gt;"No",'Reference dates (hide)'!AI279,0)</f>
        <v>0</v>
      </c>
      <c r="Y134" s="169">
        <f ca="1">'Reference dates (hide)'!AJ171+IF($T$76&lt;&gt;"No",'Reference dates (hide)'!AJ279,0)</f>
        <v>0</v>
      </c>
      <c r="Z134" s="169">
        <f ca="1">'Reference dates (hide)'!AK171+IF($T$76&lt;&gt;"No",'Reference dates (hide)'!AK279,0)</f>
        <v>0</v>
      </c>
      <c r="AA134" s="169">
        <f ca="1">'Reference dates (hide)'!AL171+IF($T$76&lt;&gt;"No",'Reference dates (hide)'!AL279,0)</f>
        <v>0</v>
      </c>
      <c r="AB134" s="169">
        <f ca="1">'Reference dates (hide)'!AM171+IF($T$76&lt;&gt;"No",'Reference dates (hide)'!AM279,0)</f>
        <v>0</v>
      </c>
      <c r="AC134" s="169">
        <f ca="1">'Reference dates (hide)'!AN171+IF($T$76&lt;&gt;"No",'Reference dates (hide)'!AN279,0)</f>
        <v>0</v>
      </c>
      <c r="AD134" s="169">
        <f ca="1">'Reference dates (hide)'!AO171+IF($T$76&lt;&gt;"No",'Reference dates (hide)'!AO279,0)</f>
        <v>0</v>
      </c>
      <c r="AE134" s="169">
        <f ca="1">'Reference dates (hide)'!AP171+IF($T$76&lt;&gt;"No",'Reference dates (hide)'!AP279,0)</f>
        <v>0</v>
      </c>
      <c r="AF134" s="169">
        <f ca="1">'Reference dates (hide)'!AQ171+IF($T$76&lt;&gt;"No",'Reference dates (hide)'!AQ279,0)</f>
        <v>0</v>
      </c>
      <c r="AG134" s="169">
        <f t="shared" ca="1" si="5"/>
        <v>0</v>
      </c>
    </row>
    <row r="135" spans="19:33" hidden="1" x14ac:dyDescent="0.25">
      <c r="S135" s="292"/>
      <c r="T135" s="161" t="s">
        <v>818</v>
      </c>
      <c r="U135" s="169">
        <f ca="1">'Reference dates (hide)'!AF172+IF($T$76&lt;&gt;"No",'Reference dates (hide)'!AF280,0)</f>
        <v>0</v>
      </c>
      <c r="V135" s="169">
        <f ca="1">'Reference dates (hide)'!AG172+IF($T$76&lt;&gt;"No",'Reference dates (hide)'!AG280,0)</f>
        <v>0</v>
      </c>
      <c r="W135" s="169">
        <f ca="1">'Reference dates (hide)'!AH172+IF($T$76&lt;&gt;"No",'Reference dates (hide)'!AH280,0)</f>
        <v>0</v>
      </c>
      <c r="X135" s="169">
        <f ca="1">'Reference dates (hide)'!AI172+IF($T$76&lt;&gt;"No",'Reference dates (hide)'!AI280,0)</f>
        <v>0</v>
      </c>
      <c r="Y135" s="169">
        <f ca="1">'Reference dates (hide)'!AJ172+IF($T$76&lt;&gt;"No",'Reference dates (hide)'!AJ280,0)</f>
        <v>0</v>
      </c>
      <c r="Z135" s="169">
        <f ca="1">'Reference dates (hide)'!AK172+IF($T$76&lt;&gt;"No",'Reference dates (hide)'!AK280,0)</f>
        <v>0</v>
      </c>
      <c r="AA135" s="169">
        <f ca="1">'Reference dates (hide)'!AL172+IF($T$76&lt;&gt;"No",'Reference dates (hide)'!AL280,0)</f>
        <v>0</v>
      </c>
      <c r="AB135" s="169">
        <f ca="1">'Reference dates (hide)'!AM172+IF($T$76&lt;&gt;"No",'Reference dates (hide)'!AM280,0)</f>
        <v>0</v>
      </c>
      <c r="AC135" s="169">
        <f ca="1">'Reference dates (hide)'!AN172+IF($T$76&lt;&gt;"No",'Reference dates (hide)'!AN280,0)</f>
        <v>0</v>
      </c>
      <c r="AD135" s="169">
        <f ca="1">'Reference dates (hide)'!AO172+IF($T$76&lt;&gt;"No",'Reference dates (hide)'!AO280,0)</f>
        <v>0</v>
      </c>
      <c r="AE135" s="169">
        <f ca="1">'Reference dates (hide)'!AP172+IF($T$76&lt;&gt;"No",'Reference dates (hide)'!AP280,0)</f>
        <v>0</v>
      </c>
      <c r="AF135" s="169">
        <f ca="1">'Reference dates (hide)'!AQ172+IF($T$76&lt;&gt;"No",'Reference dates (hide)'!AQ280,0)</f>
        <v>0</v>
      </c>
      <c r="AG135" s="169">
        <f t="shared" ca="1" si="5"/>
        <v>0</v>
      </c>
    </row>
    <row r="136" spans="19:33" hidden="1" x14ac:dyDescent="0.25">
      <c r="S136" s="292"/>
      <c r="T136" s="177" t="s">
        <v>842</v>
      </c>
      <c r="U136" s="169">
        <f ca="1">'Reference dates (hide)'!AF173+IF($T$76&lt;&gt;"No",'Reference dates (hide)'!AF281,0)</f>
        <v>0</v>
      </c>
      <c r="V136" s="169">
        <f ca="1">'Reference dates (hide)'!AG173+IF($T$76&lt;&gt;"No",'Reference dates (hide)'!AG281,0)</f>
        <v>0</v>
      </c>
      <c r="W136" s="169">
        <f ca="1">'Reference dates (hide)'!AH173+IF($T$76&lt;&gt;"No",'Reference dates (hide)'!AH281,0)</f>
        <v>0</v>
      </c>
      <c r="X136" s="169">
        <f ca="1">'Reference dates (hide)'!AI173+IF($T$76&lt;&gt;"No",'Reference dates (hide)'!AI281,0)</f>
        <v>0</v>
      </c>
      <c r="Y136" s="169">
        <f ca="1">'Reference dates (hide)'!AJ173+IF($T$76&lt;&gt;"No",'Reference dates (hide)'!AJ281,0)</f>
        <v>0</v>
      </c>
      <c r="Z136" s="169">
        <f ca="1">'Reference dates (hide)'!AK173+IF($T$76&lt;&gt;"No",'Reference dates (hide)'!AK281,0)</f>
        <v>0</v>
      </c>
      <c r="AA136" s="169">
        <f ca="1">'Reference dates (hide)'!AL173+IF($T$76&lt;&gt;"No",'Reference dates (hide)'!AL281,0)</f>
        <v>0</v>
      </c>
      <c r="AB136" s="169">
        <f ca="1">'Reference dates (hide)'!AM173+IF($T$76&lt;&gt;"No",'Reference dates (hide)'!AM281,0)</f>
        <v>0</v>
      </c>
      <c r="AC136" s="169">
        <f ca="1">'Reference dates (hide)'!AN173+IF($T$76&lt;&gt;"No",'Reference dates (hide)'!AN281,0)</f>
        <v>0</v>
      </c>
      <c r="AD136" s="169">
        <f ca="1">'Reference dates (hide)'!AO173+IF($T$76&lt;&gt;"No",'Reference dates (hide)'!AO281,0)</f>
        <v>0</v>
      </c>
      <c r="AE136" s="169">
        <f ca="1">'Reference dates (hide)'!AP173+IF($T$76&lt;&gt;"No",'Reference dates (hide)'!AP281,0)</f>
        <v>0</v>
      </c>
      <c r="AF136" s="169">
        <f ca="1">'Reference dates (hide)'!AQ173+IF($T$76&lt;&gt;"No",'Reference dates (hide)'!AQ281,0)</f>
        <v>0</v>
      </c>
      <c r="AG136" s="169">
        <f t="shared" ca="1" si="5"/>
        <v>0</v>
      </c>
    </row>
    <row r="137" spans="19:33" hidden="1" x14ac:dyDescent="0.25">
      <c r="S137" s="292"/>
      <c r="T137" s="161" t="s">
        <v>839</v>
      </c>
      <c r="U137" s="169">
        <f ca="1">'Reference dates (hide)'!AF174+IF($T$76&lt;&gt;"No",'Reference dates (hide)'!AF282,0)</f>
        <v>0</v>
      </c>
      <c r="V137" s="169">
        <f ca="1">'Reference dates (hide)'!AG174+IF($T$76&lt;&gt;"No",'Reference dates (hide)'!AG282,0)</f>
        <v>0</v>
      </c>
      <c r="W137" s="169">
        <f ca="1">'Reference dates (hide)'!AH174+IF($T$76&lt;&gt;"No",'Reference dates (hide)'!AH282,0)</f>
        <v>0</v>
      </c>
      <c r="X137" s="169">
        <f ca="1">'Reference dates (hide)'!AI174+IF($T$76&lt;&gt;"No",'Reference dates (hide)'!AI282,0)</f>
        <v>0</v>
      </c>
      <c r="Y137" s="169">
        <f ca="1">'Reference dates (hide)'!AJ174+IF($T$76&lt;&gt;"No",'Reference dates (hide)'!AJ282,0)</f>
        <v>0</v>
      </c>
      <c r="Z137" s="169">
        <f ca="1">'Reference dates (hide)'!AK174+IF($T$76&lt;&gt;"No",'Reference dates (hide)'!AK282,0)</f>
        <v>0</v>
      </c>
      <c r="AA137" s="169">
        <f ca="1">'Reference dates (hide)'!AL174+IF($T$76&lt;&gt;"No",'Reference dates (hide)'!AL282,0)</f>
        <v>0</v>
      </c>
      <c r="AB137" s="169">
        <f ca="1">'Reference dates (hide)'!AM174+IF($T$76&lt;&gt;"No",'Reference dates (hide)'!AM282,0)</f>
        <v>0</v>
      </c>
      <c r="AC137" s="169">
        <f ca="1">'Reference dates (hide)'!AN174+IF($T$76&lt;&gt;"No",'Reference dates (hide)'!AN282,0)</f>
        <v>0</v>
      </c>
      <c r="AD137" s="169">
        <f ca="1">'Reference dates (hide)'!AO174+IF($T$76&lt;&gt;"No",'Reference dates (hide)'!AO282,0)</f>
        <v>0</v>
      </c>
      <c r="AE137" s="169">
        <f ca="1">'Reference dates (hide)'!AP174+IF($T$76&lt;&gt;"No",'Reference dates (hide)'!AP282,0)</f>
        <v>0</v>
      </c>
      <c r="AF137" s="169">
        <f ca="1">'Reference dates (hide)'!AQ174+IF($T$76&lt;&gt;"No",'Reference dates (hide)'!AQ282,0)</f>
        <v>0</v>
      </c>
      <c r="AG137" s="169">
        <f t="shared" ca="1" si="5"/>
        <v>0</v>
      </c>
    </row>
    <row r="138" spans="19:33" hidden="1" x14ac:dyDescent="0.25">
      <c r="S138" s="1"/>
      <c r="U138" s="8"/>
      <c r="V138" s="8"/>
      <c r="W138" s="8"/>
      <c r="X138" s="8"/>
      <c r="Y138" s="8"/>
      <c r="Z138" s="8"/>
      <c r="AA138" s="8"/>
      <c r="AB138" s="8"/>
      <c r="AC138" s="8"/>
      <c r="AD138" s="8"/>
      <c r="AE138" s="8"/>
      <c r="AF138" s="8"/>
      <c r="AG138" s="8"/>
    </row>
    <row r="139" spans="19:33" hidden="1" x14ac:dyDescent="0.25">
      <c r="S139" s="292" t="str">
        <f>'Data files'!A25</f>
        <v xml:space="preserve">10. </v>
      </c>
      <c r="T139" s="161" t="s">
        <v>815</v>
      </c>
      <c r="U139" s="169">
        <f ca="1">'Reference dates (hide)'!AF175+IF($T$76&lt;&gt;"No",'Reference dates (hide)'!AF283,0)</f>
        <v>0</v>
      </c>
      <c r="V139" s="169">
        <f ca="1">'Reference dates (hide)'!AG175+IF($T$76&lt;&gt;"No",'Reference dates (hide)'!AG283,0)</f>
        <v>0</v>
      </c>
      <c r="W139" s="169">
        <f ca="1">'Reference dates (hide)'!AH175+IF($T$76&lt;&gt;"No",'Reference dates (hide)'!AH283,0)</f>
        <v>0</v>
      </c>
      <c r="X139" s="169">
        <f ca="1">'Reference dates (hide)'!AI175+IF($T$76&lt;&gt;"No",'Reference dates (hide)'!AI283,0)</f>
        <v>0</v>
      </c>
      <c r="Y139" s="169">
        <f ca="1">'Reference dates (hide)'!AJ175+IF($T$76&lt;&gt;"No",'Reference dates (hide)'!AJ283,0)</f>
        <v>0</v>
      </c>
      <c r="Z139" s="169">
        <f ca="1">'Reference dates (hide)'!AK175+IF($T$76&lt;&gt;"No",'Reference dates (hide)'!AK283,0)</f>
        <v>0</v>
      </c>
      <c r="AA139" s="169">
        <f ca="1">'Reference dates (hide)'!AL175+IF($T$76&lt;&gt;"No",'Reference dates (hide)'!AL283,0)</f>
        <v>0</v>
      </c>
      <c r="AB139" s="169">
        <f ca="1">'Reference dates (hide)'!AM175+IF($T$76&lt;&gt;"No",'Reference dates (hide)'!AM283,0)</f>
        <v>0</v>
      </c>
      <c r="AC139" s="169">
        <f ca="1">'Reference dates (hide)'!AN175+IF($T$76&lt;&gt;"No",'Reference dates (hide)'!AN283,0)</f>
        <v>0</v>
      </c>
      <c r="AD139" s="169">
        <f ca="1">'Reference dates (hide)'!AO175+IF($T$76&lt;&gt;"No",'Reference dates (hide)'!AO283,0)</f>
        <v>0</v>
      </c>
      <c r="AE139" s="169">
        <f ca="1">'Reference dates (hide)'!AP175+IF($T$76&lt;&gt;"No",'Reference dates (hide)'!AP283,0)</f>
        <v>0</v>
      </c>
      <c r="AF139" s="169">
        <f ca="1">'Reference dates (hide)'!AQ175+IF($T$76&lt;&gt;"No",'Reference dates (hide)'!AQ283,0)</f>
        <v>0</v>
      </c>
      <c r="AG139" s="169">
        <f t="shared" ref="AG139" ca="1" si="14">SUM(U139:AF139)</f>
        <v>0</v>
      </c>
    </row>
    <row r="140" spans="19:33" hidden="1" x14ac:dyDescent="0.25">
      <c r="S140" s="292"/>
      <c r="T140" s="177" t="s">
        <v>1317</v>
      </c>
      <c r="U140" s="169">
        <f ca="1">'Reference dates (hide)'!AF176+IF($T$76&lt;&gt;"No",'Reference dates (hide)'!AF284,0)</f>
        <v>0</v>
      </c>
      <c r="V140" s="169">
        <f ca="1">'Reference dates (hide)'!AG176+IF($T$76&lt;&gt;"No",'Reference dates (hide)'!AG284,0)</f>
        <v>0</v>
      </c>
      <c r="W140" s="169">
        <f ca="1">'Reference dates (hide)'!AH176+IF($T$76&lt;&gt;"No",'Reference dates (hide)'!AH284,0)</f>
        <v>0</v>
      </c>
      <c r="X140" s="169">
        <f ca="1">'Reference dates (hide)'!AI176+IF($T$76&lt;&gt;"No",'Reference dates (hide)'!AI284,0)</f>
        <v>0</v>
      </c>
      <c r="Y140" s="169">
        <f ca="1">'Reference dates (hide)'!AJ176+IF($T$76&lt;&gt;"No",'Reference dates (hide)'!AJ284,0)</f>
        <v>0</v>
      </c>
      <c r="Z140" s="169">
        <f ca="1">'Reference dates (hide)'!AK176+IF($T$76&lt;&gt;"No",'Reference dates (hide)'!AK284,0)</f>
        <v>0</v>
      </c>
      <c r="AA140" s="169">
        <f ca="1">'Reference dates (hide)'!AL176+IF($T$76&lt;&gt;"No",'Reference dates (hide)'!AL284,0)</f>
        <v>0</v>
      </c>
      <c r="AB140" s="169">
        <f ca="1">'Reference dates (hide)'!AM176+IF($T$76&lt;&gt;"No",'Reference dates (hide)'!AM284,0)</f>
        <v>0</v>
      </c>
      <c r="AC140" s="169">
        <f ca="1">'Reference dates (hide)'!AN176+IF($T$76&lt;&gt;"No",'Reference dates (hide)'!AN284,0)</f>
        <v>0</v>
      </c>
      <c r="AD140" s="169">
        <f ca="1">'Reference dates (hide)'!AO176+IF($T$76&lt;&gt;"No",'Reference dates (hide)'!AO284,0)</f>
        <v>0</v>
      </c>
      <c r="AE140" s="169">
        <f ca="1">'Reference dates (hide)'!AP176+IF($T$76&lt;&gt;"No",'Reference dates (hide)'!AP284,0)</f>
        <v>0</v>
      </c>
      <c r="AF140" s="169">
        <f ca="1">'Reference dates (hide)'!AQ176+IF($T$76&lt;&gt;"No",'Reference dates (hide)'!AQ284,0)</f>
        <v>0</v>
      </c>
      <c r="AG140" s="169">
        <f t="shared" ca="1" si="5"/>
        <v>0</v>
      </c>
    </row>
    <row r="141" spans="19:33" hidden="1" x14ac:dyDescent="0.25">
      <c r="S141" s="292"/>
      <c r="T141" s="161" t="s">
        <v>818</v>
      </c>
      <c r="U141" s="169">
        <f ca="1">'Reference dates (hide)'!AF177+IF($T$76&lt;&gt;"No",'Reference dates (hide)'!AF285,0)</f>
        <v>0</v>
      </c>
      <c r="V141" s="169">
        <f ca="1">'Reference dates (hide)'!AG177+IF($T$76&lt;&gt;"No",'Reference dates (hide)'!AG285,0)</f>
        <v>0</v>
      </c>
      <c r="W141" s="169">
        <f ca="1">'Reference dates (hide)'!AH177+IF($T$76&lt;&gt;"No",'Reference dates (hide)'!AH285,0)</f>
        <v>0</v>
      </c>
      <c r="X141" s="169">
        <f ca="1">'Reference dates (hide)'!AI177+IF($T$76&lt;&gt;"No",'Reference dates (hide)'!AI285,0)</f>
        <v>0</v>
      </c>
      <c r="Y141" s="169">
        <f ca="1">'Reference dates (hide)'!AJ177+IF($T$76&lt;&gt;"No",'Reference dates (hide)'!AJ285,0)</f>
        <v>0</v>
      </c>
      <c r="Z141" s="169">
        <f ca="1">'Reference dates (hide)'!AK177+IF($T$76&lt;&gt;"No",'Reference dates (hide)'!AK285,0)</f>
        <v>0</v>
      </c>
      <c r="AA141" s="169">
        <f ca="1">'Reference dates (hide)'!AL177+IF($T$76&lt;&gt;"No",'Reference dates (hide)'!AL285,0)</f>
        <v>0</v>
      </c>
      <c r="AB141" s="169">
        <f ca="1">'Reference dates (hide)'!AM177+IF($T$76&lt;&gt;"No",'Reference dates (hide)'!AM285,0)</f>
        <v>0</v>
      </c>
      <c r="AC141" s="169">
        <f ca="1">'Reference dates (hide)'!AN177+IF($T$76&lt;&gt;"No",'Reference dates (hide)'!AN285,0)</f>
        <v>0</v>
      </c>
      <c r="AD141" s="169">
        <f ca="1">'Reference dates (hide)'!AO177+IF($T$76&lt;&gt;"No",'Reference dates (hide)'!AO285,0)</f>
        <v>0</v>
      </c>
      <c r="AE141" s="169">
        <f ca="1">'Reference dates (hide)'!AP177+IF($T$76&lt;&gt;"No",'Reference dates (hide)'!AP285,0)</f>
        <v>0</v>
      </c>
      <c r="AF141" s="169">
        <f ca="1">'Reference dates (hide)'!AQ177+IF($T$76&lt;&gt;"No",'Reference dates (hide)'!AQ285,0)</f>
        <v>0</v>
      </c>
      <c r="AG141" s="169">
        <f t="shared" ca="1" si="5"/>
        <v>0</v>
      </c>
    </row>
    <row r="142" spans="19:33" hidden="1" x14ac:dyDescent="0.25">
      <c r="S142" s="292"/>
      <c r="T142" s="177" t="s">
        <v>842</v>
      </c>
      <c r="U142" s="169">
        <f ca="1">'Reference dates (hide)'!AF178+IF($T$76&lt;&gt;"No",'Reference dates (hide)'!AF286,0)</f>
        <v>0</v>
      </c>
      <c r="V142" s="169">
        <f ca="1">'Reference dates (hide)'!AG178+IF($T$76&lt;&gt;"No",'Reference dates (hide)'!AG286,0)</f>
        <v>0</v>
      </c>
      <c r="W142" s="169">
        <f ca="1">'Reference dates (hide)'!AH178+IF($T$76&lt;&gt;"No",'Reference dates (hide)'!AH286,0)</f>
        <v>0</v>
      </c>
      <c r="X142" s="169">
        <f ca="1">'Reference dates (hide)'!AI178+IF($T$76&lt;&gt;"No",'Reference dates (hide)'!AI286,0)</f>
        <v>0</v>
      </c>
      <c r="Y142" s="169">
        <f ca="1">'Reference dates (hide)'!AJ178+IF($T$76&lt;&gt;"No",'Reference dates (hide)'!AJ286,0)</f>
        <v>0</v>
      </c>
      <c r="Z142" s="169">
        <f ca="1">'Reference dates (hide)'!AK178+IF($T$76&lt;&gt;"No",'Reference dates (hide)'!AK286,0)</f>
        <v>0</v>
      </c>
      <c r="AA142" s="169">
        <f ca="1">'Reference dates (hide)'!AL178+IF($T$76&lt;&gt;"No",'Reference dates (hide)'!AL286,0)</f>
        <v>0</v>
      </c>
      <c r="AB142" s="169">
        <f ca="1">'Reference dates (hide)'!AM178+IF($T$76&lt;&gt;"No",'Reference dates (hide)'!AM286,0)</f>
        <v>0</v>
      </c>
      <c r="AC142" s="169">
        <f ca="1">'Reference dates (hide)'!AN178+IF($T$76&lt;&gt;"No",'Reference dates (hide)'!AN286,0)</f>
        <v>0</v>
      </c>
      <c r="AD142" s="169">
        <f ca="1">'Reference dates (hide)'!AO178+IF($T$76&lt;&gt;"No",'Reference dates (hide)'!AO286,0)</f>
        <v>0</v>
      </c>
      <c r="AE142" s="169">
        <f ca="1">'Reference dates (hide)'!AP178+IF($T$76&lt;&gt;"No",'Reference dates (hide)'!AP286,0)</f>
        <v>0</v>
      </c>
      <c r="AF142" s="169">
        <f ca="1">'Reference dates (hide)'!AQ178+IF($T$76&lt;&gt;"No",'Reference dates (hide)'!AQ286,0)</f>
        <v>0</v>
      </c>
      <c r="AG142" s="169">
        <f t="shared" ca="1" si="5"/>
        <v>0</v>
      </c>
    </row>
    <row r="143" spans="19:33" hidden="1" x14ac:dyDescent="0.25">
      <c r="S143" s="292"/>
      <c r="T143" s="161" t="s">
        <v>839</v>
      </c>
      <c r="U143" s="169">
        <f ca="1">'Reference dates (hide)'!AF179+IF($T$76&lt;&gt;"No",'Reference dates (hide)'!AF287,0)</f>
        <v>0</v>
      </c>
      <c r="V143" s="169">
        <f ca="1">'Reference dates (hide)'!AG179+IF($T$76&lt;&gt;"No",'Reference dates (hide)'!AG287,0)</f>
        <v>0</v>
      </c>
      <c r="W143" s="169">
        <f ca="1">'Reference dates (hide)'!AH179+IF($T$76&lt;&gt;"No",'Reference dates (hide)'!AH287,0)</f>
        <v>0</v>
      </c>
      <c r="X143" s="169">
        <f ca="1">'Reference dates (hide)'!AI179+IF($T$76&lt;&gt;"No",'Reference dates (hide)'!AI287,0)</f>
        <v>0</v>
      </c>
      <c r="Y143" s="169">
        <f ca="1">'Reference dates (hide)'!AJ179+IF($T$76&lt;&gt;"No",'Reference dates (hide)'!AJ287,0)</f>
        <v>0</v>
      </c>
      <c r="Z143" s="169">
        <f ca="1">'Reference dates (hide)'!AK179+IF($T$76&lt;&gt;"No",'Reference dates (hide)'!AK287,0)</f>
        <v>0</v>
      </c>
      <c r="AA143" s="169">
        <f ca="1">'Reference dates (hide)'!AL179+IF($T$76&lt;&gt;"No",'Reference dates (hide)'!AL287,0)</f>
        <v>0</v>
      </c>
      <c r="AB143" s="169">
        <f ca="1">'Reference dates (hide)'!AM179+IF($T$76&lt;&gt;"No",'Reference dates (hide)'!AM287,0)</f>
        <v>0</v>
      </c>
      <c r="AC143" s="169">
        <f ca="1">'Reference dates (hide)'!AN179+IF($T$76&lt;&gt;"No",'Reference dates (hide)'!AN287,0)</f>
        <v>0</v>
      </c>
      <c r="AD143" s="169">
        <f ca="1">'Reference dates (hide)'!AO179+IF($T$76&lt;&gt;"No",'Reference dates (hide)'!AO287,0)</f>
        <v>0</v>
      </c>
      <c r="AE143" s="169">
        <f ca="1">'Reference dates (hide)'!AP179+IF($T$76&lt;&gt;"No",'Reference dates (hide)'!AP287,0)</f>
        <v>0</v>
      </c>
      <c r="AF143" s="169">
        <f ca="1">'Reference dates (hide)'!AQ179+IF($T$76&lt;&gt;"No",'Reference dates (hide)'!AQ287,0)</f>
        <v>0</v>
      </c>
      <c r="AG143" s="169">
        <f t="shared" ca="1" si="5"/>
        <v>0</v>
      </c>
    </row>
    <row r="144" spans="19:33" hidden="1" x14ac:dyDescent="0.25">
      <c r="S144" s="1"/>
      <c r="U144" s="8"/>
      <c r="V144" s="8"/>
      <c r="W144" s="8"/>
      <c r="X144" s="8"/>
      <c r="Y144" s="8"/>
      <c r="Z144" s="8"/>
      <c r="AA144" s="8"/>
      <c r="AB144" s="8"/>
      <c r="AC144" s="8"/>
      <c r="AD144" s="8"/>
      <c r="AE144" s="8"/>
      <c r="AF144" s="8"/>
      <c r="AG144" s="8"/>
    </row>
    <row r="145" spans="19:33" hidden="1" x14ac:dyDescent="0.25">
      <c r="S145" s="292" t="str">
        <f>'Data files'!A26</f>
        <v xml:space="preserve">11. </v>
      </c>
      <c r="T145" s="161" t="s">
        <v>815</v>
      </c>
      <c r="U145" s="169">
        <f ca="1">'Reference dates (hide)'!AF180+IF($T$76&lt;&gt;"No",'Reference dates (hide)'!AF288,0)</f>
        <v>0</v>
      </c>
      <c r="V145" s="169">
        <f ca="1">'Reference dates (hide)'!AG180+IF($T$76&lt;&gt;"No",'Reference dates (hide)'!AG288,0)</f>
        <v>0</v>
      </c>
      <c r="W145" s="169">
        <f ca="1">'Reference dates (hide)'!AH180+IF($T$76&lt;&gt;"No",'Reference dates (hide)'!AH288,0)</f>
        <v>0</v>
      </c>
      <c r="X145" s="169">
        <f ca="1">'Reference dates (hide)'!AI180+IF($T$76&lt;&gt;"No",'Reference dates (hide)'!AI288,0)</f>
        <v>0</v>
      </c>
      <c r="Y145" s="169">
        <f ca="1">'Reference dates (hide)'!AJ180+IF($T$76&lt;&gt;"No",'Reference dates (hide)'!AJ288,0)</f>
        <v>0</v>
      </c>
      <c r="Z145" s="169">
        <f ca="1">'Reference dates (hide)'!AK180+IF($T$76&lt;&gt;"No",'Reference dates (hide)'!AK288,0)</f>
        <v>0</v>
      </c>
      <c r="AA145" s="169">
        <f ca="1">'Reference dates (hide)'!AL180+IF($T$76&lt;&gt;"No",'Reference dates (hide)'!AL288,0)</f>
        <v>0</v>
      </c>
      <c r="AB145" s="169">
        <f ca="1">'Reference dates (hide)'!AM180+IF($T$76&lt;&gt;"No",'Reference dates (hide)'!AM288,0)</f>
        <v>0</v>
      </c>
      <c r="AC145" s="169">
        <f ca="1">'Reference dates (hide)'!AN180+IF($T$76&lt;&gt;"No",'Reference dates (hide)'!AN288,0)</f>
        <v>0</v>
      </c>
      <c r="AD145" s="169">
        <f ca="1">'Reference dates (hide)'!AO180+IF($T$76&lt;&gt;"No",'Reference dates (hide)'!AO288,0)</f>
        <v>0</v>
      </c>
      <c r="AE145" s="169">
        <f ca="1">'Reference dates (hide)'!AP180+IF($T$76&lt;&gt;"No",'Reference dates (hide)'!AP288,0)</f>
        <v>0</v>
      </c>
      <c r="AF145" s="169">
        <f ca="1">'Reference dates (hide)'!AQ180+IF($T$76&lt;&gt;"No",'Reference dates (hide)'!AQ288,0)</f>
        <v>0</v>
      </c>
      <c r="AG145" s="169">
        <f t="shared" ref="AG145" ca="1" si="15">SUM(U145:AF145)</f>
        <v>0</v>
      </c>
    </row>
    <row r="146" spans="19:33" hidden="1" x14ac:dyDescent="0.25">
      <c r="S146" s="292"/>
      <c r="T146" s="177" t="s">
        <v>1317</v>
      </c>
      <c r="U146" s="169">
        <f ca="1">'Reference dates (hide)'!AF181+IF($T$76&lt;&gt;"No",'Reference dates (hide)'!AF289,0)</f>
        <v>0</v>
      </c>
      <c r="V146" s="169">
        <f ca="1">'Reference dates (hide)'!AG181+IF($T$76&lt;&gt;"No",'Reference dates (hide)'!AG289,0)</f>
        <v>0</v>
      </c>
      <c r="W146" s="169">
        <f ca="1">'Reference dates (hide)'!AH181+IF($T$76&lt;&gt;"No",'Reference dates (hide)'!AH289,0)</f>
        <v>0</v>
      </c>
      <c r="X146" s="169">
        <f ca="1">'Reference dates (hide)'!AI181+IF($T$76&lt;&gt;"No",'Reference dates (hide)'!AI289,0)</f>
        <v>0</v>
      </c>
      <c r="Y146" s="169">
        <f ca="1">'Reference dates (hide)'!AJ181+IF($T$76&lt;&gt;"No",'Reference dates (hide)'!AJ289,0)</f>
        <v>0</v>
      </c>
      <c r="Z146" s="169">
        <f ca="1">'Reference dates (hide)'!AK181+IF($T$76&lt;&gt;"No",'Reference dates (hide)'!AK289,0)</f>
        <v>0</v>
      </c>
      <c r="AA146" s="169">
        <f ca="1">'Reference dates (hide)'!AL181+IF($T$76&lt;&gt;"No",'Reference dates (hide)'!AL289,0)</f>
        <v>0</v>
      </c>
      <c r="AB146" s="169">
        <f ca="1">'Reference dates (hide)'!AM181+IF($T$76&lt;&gt;"No",'Reference dates (hide)'!AM289,0)</f>
        <v>0</v>
      </c>
      <c r="AC146" s="169">
        <f ca="1">'Reference dates (hide)'!AN181+IF($T$76&lt;&gt;"No",'Reference dates (hide)'!AN289,0)</f>
        <v>0</v>
      </c>
      <c r="AD146" s="169">
        <f ca="1">'Reference dates (hide)'!AO181+IF($T$76&lt;&gt;"No",'Reference dates (hide)'!AO289,0)</f>
        <v>0</v>
      </c>
      <c r="AE146" s="169">
        <f ca="1">'Reference dates (hide)'!AP181+IF($T$76&lt;&gt;"No",'Reference dates (hide)'!AP289,0)</f>
        <v>0</v>
      </c>
      <c r="AF146" s="169">
        <f ca="1">'Reference dates (hide)'!AQ181+IF($T$76&lt;&gt;"No",'Reference dates (hide)'!AQ289,0)</f>
        <v>0</v>
      </c>
      <c r="AG146" s="169">
        <f t="shared" ca="1" si="5"/>
        <v>0</v>
      </c>
    </row>
    <row r="147" spans="19:33" hidden="1" x14ac:dyDescent="0.25">
      <c r="S147" s="292"/>
      <c r="T147" s="161" t="s">
        <v>818</v>
      </c>
      <c r="U147" s="169">
        <f ca="1">'Reference dates (hide)'!AF182+IF($T$76&lt;&gt;"No",'Reference dates (hide)'!AF290,0)</f>
        <v>0</v>
      </c>
      <c r="V147" s="169">
        <f ca="1">'Reference dates (hide)'!AG182+IF($T$76&lt;&gt;"No",'Reference dates (hide)'!AG290,0)</f>
        <v>0</v>
      </c>
      <c r="W147" s="169">
        <f ca="1">'Reference dates (hide)'!AH182+IF($T$76&lt;&gt;"No",'Reference dates (hide)'!AH290,0)</f>
        <v>0</v>
      </c>
      <c r="X147" s="169">
        <f ca="1">'Reference dates (hide)'!AI182+IF($T$76&lt;&gt;"No",'Reference dates (hide)'!AI290,0)</f>
        <v>0</v>
      </c>
      <c r="Y147" s="169">
        <f ca="1">'Reference dates (hide)'!AJ182+IF($T$76&lt;&gt;"No",'Reference dates (hide)'!AJ290,0)</f>
        <v>0</v>
      </c>
      <c r="Z147" s="169">
        <f ca="1">'Reference dates (hide)'!AK182+IF($T$76&lt;&gt;"No",'Reference dates (hide)'!AK290,0)</f>
        <v>0</v>
      </c>
      <c r="AA147" s="169">
        <f ca="1">'Reference dates (hide)'!AL182+IF($T$76&lt;&gt;"No",'Reference dates (hide)'!AL290,0)</f>
        <v>0</v>
      </c>
      <c r="AB147" s="169">
        <f ca="1">'Reference dates (hide)'!AM182+IF($T$76&lt;&gt;"No",'Reference dates (hide)'!AM290,0)</f>
        <v>0</v>
      </c>
      <c r="AC147" s="169">
        <f ca="1">'Reference dates (hide)'!AN182+IF($T$76&lt;&gt;"No",'Reference dates (hide)'!AN290,0)</f>
        <v>0</v>
      </c>
      <c r="AD147" s="169">
        <f ca="1">'Reference dates (hide)'!AO182+IF($T$76&lt;&gt;"No",'Reference dates (hide)'!AO290,0)</f>
        <v>0</v>
      </c>
      <c r="AE147" s="169">
        <f ca="1">'Reference dates (hide)'!AP182+IF($T$76&lt;&gt;"No",'Reference dates (hide)'!AP290,0)</f>
        <v>0</v>
      </c>
      <c r="AF147" s="169">
        <f ca="1">'Reference dates (hide)'!AQ182+IF($T$76&lt;&gt;"No",'Reference dates (hide)'!AQ290,0)</f>
        <v>0</v>
      </c>
      <c r="AG147" s="169">
        <f t="shared" ca="1" si="5"/>
        <v>0</v>
      </c>
    </row>
    <row r="148" spans="19:33" hidden="1" x14ac:dyDescent="0.25">
      <c r="S148" s="292"/>
      <c r="T148" s="177" t="s">
        <v>842</v>
      </c>
      <c r="U148" s="169">
        <f ca="1">'Reference dates (hide)'!AF183+IF($T$76&lt;&gt;"No",'Reference dates (hide)'!AF291,0)</f>
        <v>0</v>
      </c>
      <c r="V148" s="169">
        <f ca="1">'Reference dates (hide)'!AG183+IF($T$76&lt;&gt;"No",'Reference dates (hide)'!AG291,0)</f>
        <v>0</v>
      </c>
      <c r="W148" s="169">
        <f ca="1">'Reference dates (hide)'!AH183+IF($T$76&lt;&gt;"No",'Reference dates (hide)'!AH291,0)</f>
        <v>0</v>
      </c>
      <c r="X148" s="169">
        <f ca="1">'Reference dates (hide)'!AI183+IF($T$76&lt;&gt;"No",'Reference dates (hide)'!AI291,0)</f>
        <v>0</v>
      </c>
      <c r="Y148" s="169">
        <f ca="1">'Reference dates (hide)'!AJ183+IF($T$76&lt;&gt;"No",'Reference dates (hide)'!AJ291,0)</f>
        <v>0</v>
      </c>
      <c r="Z148" s="169">
        <f ca="1">'Reference dates (hide)'!AK183+IF($T$76&lt;&gt;"No",'Reference dates (hide)'!AK291,0)</f>
        <v>0</v>
      </c>
      <c r="AA148" s="169">
        <f ca="1">'Reference dates (hide)'!AL183+IF($T$76&lt;&gt;"No",'Reference dates (hide)'!AL291,0)</f>
        <v>0</v>
      </c>
      <c r="AB148" s="169">
        <f ca="1">'Reference dates (hide)'!AM183+IF($T$76&lt;&gt;"No",'Reference dates (hide)'!AM291,0)</f>
        <v>0</v>
      </c>
      <c r="AC148" s="169">
        <f ca="1">'Reference dates (hide)'!AN183+IF($T$76&lt;&gt;"No",'Reference dates (hide)'!AN291,0)</f>
        <v>0</v>
      </c>
      <c r="AD148" s="169">
        <f ca="1">'Reference dates (hide)'!AO183+IF($T$76&lt;&gt;"No",'Reference dates (hide)'!AO291,0)</f>
        <v>0</v>
      </c>
      <c r="AE148" s="169">
        <f ca="1">'Reference dates (hide)'!AP183+IF($T$76&lt;&gt;"No",'Reference dates (hide)'!AP291,0)</f>
        <v>0</v>
      </c>
      <c r="AF148" s="169">
        <f ca="1">'Reference dates (hide)'!AQ183+IF($T$76&lt;&gt;"No",'Reference dates (hide)'!AQ291,0)</f>
        <v>0</v>
      </c>
      <c r="AG148" s="169">
        <f t="shared" ca="1" si="5"/>
        <v>0</v>
      </c>
    </row>
    <row r="149" spans="19:33" hidden="1" x14ac:dyDescent="0.25">
      <c r="S149" s="292"/>
      <c r="T149" s="161" t="s">
        <v>839</v>
      </c>
      <c r="U149" s="169">
        <f ca="1">'Reference dates (hide)'!AF184+IF($T$76&lt;&gt;"No",'Reference dates (hide)'!AF292,0)</f>
        <v>0</v>
      </c>
      <c r="V149" s="169">
        <f ca="1">'Reference dates (hide)'!AG184+IF($T$76&lt;&gt;"No",'Reference dates (hide)'!AG292,0)</f>
        <v>0</v>
      </c>
      <c r="W149" s="169">
        <f ca="1">'Reference dates (hide)'!AH184+IF($T$76&lt;&gt;"No",'Reference dates (hide)'!AH292,0)</f>
        <v>0</v>
      </c>
      <c r="X149" s="169">
        <f ca="1">'Reference dates (hide)'!AI184+IF($T$76&lt;&gt;"No",'Reference dates (hide)'!AI292,0)</f>
        <v>0</v>
      </c>
      <c r="Y149" s="169">
        <f ca="1">'Reference dates (hide)'!AJ184+IF($T$76&lt;&gt;"No",'Reference dates (hide)'!AJ292,0)</f>
        <v>0</v>
      </c>
      <c r="Z149" s="169">
        <f ca="1">'Reference dates (hide)'!AK184+IF($T$76&lt;&gt;"No",'Reference dates (hide)'!AK292,0)</f>
        <v>0</v>
      </c>
      <c r="AA149" s="169">
        <f ca="1">'Reference dates (hide)'!AL184+IF($T$76&lt;&gt;"No",'Reference dates (hide)'!AL292,0)</f>
        <v>0</v>
      </c>
      <c r="AB149" s="169">
        <f ca="1">'Reference dates (hide)'!AM184+IF($T$76&lt;&gt;"No",'Reference dates (hide)'!AM292,0)</f>
        <v>0</v>
      </c>
      <c r="AC149" s="169">
        <f ca="1">'Reference dates (hide)'!AN184+IF($T$76&lt;&gt;"No",'Reference dates (hide)'!AN292,0)</f>
        <v>0</v>
      </c>
      <c r="AD149" s="169">
        <f ca="1">'Reference dates (hide)'!AO184+IF($T$76&lt;&gt;"No",'Reference dates (hide)'!AO292,0)</f>
        <v>0</v>
      </c>
      <c r="AE149" s="169">
        <f ca="1">'Reference dates (hide)'!AP184+IF($T$76&lt;&gt;"No",'Reference dates (hide)'!AP292,0)</f>
        <v>0</v>
      </c>
      <c r="AF149" s="169">
        <f ca="1">'Reference dates (hide)'!AQ184+IF($T$76&lt;&gt;"No",'Reference dates (hide)'!AQ292,0)</f>
        <v>0</v>
      </c>
      <c r="AG149" s="169">
        <f t="shared" ref="AG149:AG203" ca="1" si="16">SUM(U149:AF149)</f>
        <v>0</v>
      </c>
    </row>
    <row r="150" spans="19:33" hidden="1" x14ac:dyDescent="0.25">
      <c r="S150" s="1"/>
      <c r="U150" s="8"/>
      <c r="V150" s="8"/>
      <c r="W150" s="8"/>
      <c r="X150" s="8"/>
      <c r="Y150" s="8"/>
      <c r="Z150" s="8"/>
      <c r="AA150" s="8"/>
      <c r="AB150" s="8"/>
      <c r="AC150" s="8"/>
      <c r="AD150" s="8"/>
      <c r="AE150" s="8"/>
      <c r="AF150" s="8"/>
      <c r="AG150" s="8"/>
    </row>
    <row r="151" spans="19:33" hidden="1" x14ac:dyDescent="0.25">
      <c r="S151" s="292" t="str">
        <f>'Data files'!A27</f>
        <v xml:space="preserve">12. </v>
      </c>
      <c r="T151" s="161" t="s">
        <v>815</v>
      </c>
      <c r="U151" s="169">
        <f ca="1">'Reference dates (hide)'!AF185+IF($T$76&lt;&gt;"No",'Reference dates (hide)'!AF293,0)</f>
        <v>0</v>
      </c>
      <c r="V151" s="169">
        <f ca="1">'Reference dates (hide)'!AG185+IF($T$76&lt;&gt;"No",'Reference dates (hide)'!AG293,0)</f>
        <v>0</v>
      </c>
      <c r="W151" s="169">
        <f ca="1">'Reference dates (hide)'!AH185+IF($T$76&lt;&gt;"No",'Reference dates (hide)'!AH293,0)</f>
        <v>0</v>
      </c>
      <c r="X151" s="169">
        <f ca="1">'Reference dates (hide)'!AI185+IF($T$76&lt;&gt;"No",'Reference dates (hide)'!AI293,0)</f>
        <v>0</v>
      </c>
      <c r="Y151" s="169">
        <f ca="1">'Reference dates (hide)'!AJ185+IF($T$76&lt;&gt;"No",'Reference dates (hide)'!AJ293,0)</f>
        <v>0</v>
      </c>
      <c r="Z151" s="169">
        <f ca="1">'Reference dates (hide)'!AK185+IF($T$76&lt;&gt;"No",'Reference dates (hide)'!AK293,0)</f>
        <v>0</v>
      </c>
      <c r="AA151" s="169">
        <f ca="1">'Reference dates (hide)'!AL185+IF($T$76&lt;&gt;"No",'Reference dates (hide)'!AL293,0)</f>
        <v>0</v>
      </c>
      <c r="AB151" s="169">
        <f ca="1">'Reference dates (hide)'!AM185+IF($T$76&lt;&gt;"No",'Reference dates (hide)'!AM293,0)</f>
        <v>0</v>
      </c>
      <c r="AC151" s="169">
        <f ca="1">'Reference dates (hide)'!AN185+IF($T$76&lt;&gt;"No",'Reference dates (hide)'!AN293,0)</f>
        <v>0</v>
      </c>
      <c r="AD151" s="169">
        <f ca="1">'Reference dates (hide)'!AO185+IF($T$76&lt;&gt;"No",'Reference dates (hide)'!AO293,0)</f>
        <v>0</v>
      </c>
      <c r="AE151" s="169">
        <f ca="1">'Reference dates (hide)'!AP185+IF($T$76&lt;&gt;"No",'Reference dates (hide)'!AP293,0)</f>
        <v>0</v>
      </c>
      <c r="AF151" s="169">
        <f ca="1">'Reference dates (hide)'!AQ185+IF($T$76&lt;&gt;"No",'Reference dates (hide)'!AQ293,0)</f>
        <v>0</v>
      </c>
      <c r="AG151" s="169">
        <f t="shared" ref="AG151" ca="1" si="17">SUM(U151:AF151)</f>
        <v>0</v>
      </c>
    </row>
    <row r="152" spans="19:33" hidden="1" x14ac:dyDescent="0.25">
      <c r="S152" s="292"/>
      <c r="T152" s="177" t="s">
        <v>1317</v>
      </c>
      <c r="U152" s="169">
        <f ca="1">'Reference dates (hide)'!AF186+IF($T$76&lt;&gt;"No",'Reference dates (hide)'!AF294,0)</f>
        <v>0</v>
      </c>
      <c r="V152" s="169">
        <f ca="1">'Reference dates (hide)'!AG186+IF($T$76&lt;&gt;"No",'Reference dates (hide)'!AG294,0)</f>
        <v>0</v>
      </c>
      <c r="W152" s="169">
        <f ca="1">'Reference dates (hide)'!AH186+IF($T$76&lt;&gt;"No",'Reference dates (hide)'!AH294,0)</f>
        <v>0</v>
      </c>
      <c r="X152" s="169">
        <f ca="1">'Reference dates (hide)'!AI186+IF($T$76&lt;&gt;"No",'Reference dates (hide)'!AI294,0)</f>
        <v>0</v>
      </c>
      <c r="Y152" s="169">
        <f ca="1">'Reference dates (hide)'!AJ186+IF($T$76&lt;&gt;"No",'Reference dates (hide)'!AJ294,0)</f>
        <v>0</v>
      </c>
      <c r="Z152" s="169">
        <f ca="1">'Reference dates (hide)'!AK186+IF($T$76&lt;&gt;"No",'Reference dates (hide)'!AK294,0)</f>
        <v>0</v>
      </c>
      <c r="AA152" s="169">
        <f ca="1">'Reference dates (hide)'!AL186+IF($T$76&lt;&gt;"No",'Reference dates (hide)'!AL294,0)</f>
        <v>0</v>
      </c>
      <c r="AB152" s="169">
        <f ca="1">'Reference dates (hide)'!AM186+IF($T$76&lt;&gt;"No",'Reference dates (hide)'!AM294,0)</f>
        <v>0</v>
      </c>
      <c r="AC152" s="169">
        <f ca="1">'Reference dates (hide)'!AN186+IF($T$76&lt;&gt;"No",'Reference dates (hide)'!AN294,0)</f>
        <v>0</v>
      </c>
      <c r="AD152" s="169">
        <f ca="1">'Reference dates (hide)'!AO186+IF($T$76&lt;&gt;"No",'Reference dates (hide)'!AO294,0)</f>
        <v>0</v>
      </c>
      <c r="AE152" s="169">
        <f ca="1">'Reference dates (hide)'!AP186+IF($T$76&lt;&gt;"No",'Reference dates (hide)'!AP294,0)</f>
        <v>0</v>
      </c>
      <c r="AF152" s="169">
        <f ca="1">'Reference dates (hide)'!AQ186+IF($T$76&lt;&gt;"No",'Reference dates (hide)'!AQ294,0)</f>
        <v>0</v>
      </c>
      <c r="AG152" s="169">
        <f t="shared" ca="1" si="16"/>
        <v>0</v>
      </c>
    </row>
    <row r="153" spans="19:33" hidden="1" x14ac:dyDescent="0.25">
      <c r="S153" s="292"/>
      <c r="T153" s="161" t="s">
        <v>818</v>
      </c>
      <c r="U153" s="169">
        <f ca="1">'Reference dates (hide)'!AF187+IF($T$76&lt;&gt;"No",'Reference dates (hide)'!AF295,0)</f>
        <v>0</v>
      </c>
      <c r="V153" s="169">
        <f ca="1">'Reference dates (hide)'!AG187+IF($T$76&lt;&gt;"No",'Reference dates (hide)'!AG295,0)</f>
        <v>0</v>
      </c>
      <c r="W153" s="169">
        <f ca="1">'Reference dates (hide)'!AH187+IF($T$76&lt;&gt;"No",'Reference dates (hide)'!AH295,0)</f>
        <v>0</v>
      </c>
      <c r="X153" s="169">
        <f ca="1">'Reference dates (hide)'!AI187+IF($T$76&lt;&gt;"No",'Reference dates (hide)'!AI295,0)</f>
        <v>0</v>
      </c>
      <c r="Y153" s="169">
        <f ca="1">'Reference dates (hide)'!AJ187+IF($T$76&lt;&gt;"No",'Reference dates (hide)'!AJ295,0)</f>
        <v>0</v>
      </c>
      <c r="Z153" s="169">
        <f ca="1">'Reference dates (hide)'!AK187+IF($T$76&lt;&gt;"No",'Reference dates (hide)'!AK295,0)</f>
        <v>0</v>
      </c>
      <c r="AA153" s="169">
        <f ca="1">'Reference dates (hide)'!AL187+IF($T$76&lt;&gt;"No",'Reference dates (hide)'!AL295,0)</f>
        <v>0</v>
      </c>
      <c r="AB153" s="169">
        <f ca="1">'Reference dates (hide)'!AM187+IF($T$76&lt;&gt;"No",'Reference dates (hide)'!AM295,0)</f>
        <v>0</v>
      </c>
      <c r="AC153" s="169">
        <f ca="1">'Reference dates (hide)'!AN187+IF($T$76&lt;&gt;"No",'Reference dates (hide)'!AN295,0)</f>
        <v>0</v>
      </c>
      <c r="AD153" s="169">
        <f ca="1">'Reference dates (hide)'!AO187+IF($T$76&lt;&gt;"No",'Reference dates (hide)'!AO295,0)</f>
        <v>0</v>
      </c>
      <c r="AE153" s="169">
        <f ca="1">'Reference dates (hide)'!AP187+IF($T$76&lt;&gt;"No",'Reference dates (hide)'!AP295,0)</f>
        <v>0</v>
      </c>
      <c r="AF153" s="169">
        <f ca="1">'Reference dates (hide)'!AQ187+IF($T$76&lt;&gt;"No",'Reference dates (hide)'!AQ295,0)</f>
        <v>0</v>
      </c>
      <c r="AG153" s="169">
        <f t="shared" ca="1" si="16"/>
        <v>0</v>
      </c>
    </row>
    <row r="154" spans="19:33" hidden="1" x14ac:dyDescent="0.25">
      <c r="S154" s="292"/>
      <c r="T154" s="177" t="s">
        <v>842</v>
      </c>
      <c r="U154" s="169">
        <f ca="1">'Reference dates (hide)'!AF188+IF($T$76&lt;&gt;"No",'Reference dates (hide)'!AF296,0)</f>
        <v>0</v>
      </c>
      <c r="V154" s="169">
        <f ca="1">'Reference dates (hide)'!AG188+IF($T$76&lt;&gt;"No",'Reference dates (hide)'!AG296,0)</f>
        <v>0</v>
      </c>
      <c r="W154" s="169">
        <f ca="1">'Reference dates (hide)'!AH188+IF($T$76&lt;&gt;"No",'Reference dates (hide)'!AH296,0)</f>
        <v>0</v>
      </c>
      <c r="X154" s="169">
        <f ca="1">'Reference dates (hide)'!AI188+IF($T$76&lt;&gt;"No",'Reference dates (hide)'!AI296,0)</f>
        <v>0</v>
      </c>
      <c r="Y154" s="169">
        <f ca="1">'Reference dates (hide)'!AJ188+IF($T$76&lt;&gt;"No",'Reference dates (hide)'!AJ296,0)</f>
        <v>0</v>
      </c>
      <c r="Z154" s="169">
        <f ca="1">'Reference dates (hide)'!AK188+IF($T$76&lt;&gt;"No",'Reference dates (hide)'!AK296,0)</f>
        <v>0</v>
      </c>
      <c r="AA154" s="169">
        <f ca="1">'Reference dates (hide)'!AL188+IF($T$76&lt;&gt;"No",'Reference dates (hide)'!AL296,0)</f>
        <v>0</v>
      </c>
      <c r="AB154" s="169">
        <f ca="1">'Reference dates (hide)'!AM188+IF($T$76&lt;&gt;"No",'Reference dates (hide)'!AM296,0)</f>
        <v>0</v>
      </c>
      <c r="AC154" s="169">
        <f ca="1">'Reference dates (hide)'!AN188+IF($T$76&lt;&gt;"No",'Reference dates (hide)'!AN296,0)</f>
        <v>0</v>
      </c>
      <c r="AD154" s="169">
        <f ca="1">'Reference dates (hide)'!AO188+IF($T$76&lt;&gt;"No",'Reference dates (hide)'!AO296,0)</f>
        <v>0</v>
      </c>
      <c r="AE154" s="169">
        <f ca="1">'Reference dates (hide)'!AP188+IF($T$76&lt;&gt;"No",'Reference dates (hide)'!AP296,0)</f>
        <v>0</v>
      </c>
      <c r="AF154" s="169">
        <f ca="1">'Reference dates (hide)'!AQ188+IF($T$76&lt;&gt;"No",'Reference dates (hide)'!AQ296,0)</f>
        <v>0</v>
      </c>
      <c r="AG154" s="169">
        <f t="shared" ca="1" si="16"/>
        <v>0</v>
      </c>
    </row>
    <row r="155" spans="19:33" hidden="1" x14ac:dyDescent="0.25">
      <c r="S155" s="292"/>
      <c r="T155" s="161" t="s">
        <v>839</v>
      </c>
      <c r="U155" s="169">
        <f ca="1">'Reference dates (hide)'!AF189+IF($T$76&lt;&gt;"No",'Reference dates (hide)'!AF297,0)</f>
        <v>0</v>
      </c>
      <c r="V155" s="169">
        <f ca="1">'Reference dates (hide)'!AG189+IF($T$76&lt;&gt;"No",'Reference dates (hide)'!AG297,0)</f>
        <v>0</v>
      </c>
      <c r="W155" s="169">
        <f ca="1">'Reference dates (hide)'!AH189+IF($T$76&lt;&gt;"No",'Reference dates (hide)'!AH297,0)</f>
        <v>0</v>
      </c>
      <c r="X155" s="169">
        <f ca="1">'Reference dates (hide)'!AI189+IF($T$76&lt;&gt;"No",'Reference dates (hide)'!AI297,0)</f>
        <v>0</v>
      </c>
      <c r="Y155" s="169">
        <f ca="1">'Reference dates (hide)'!AJ189+IF($T$76&lt;&gt;"No",'Reference dates (hide)'!AJ297,0)</f>
        <v>0</v>
      </c>
      <c r="Z155" s="169">
        <f ca="1">'Reference dates (hide)'!AK189+IF($T$76&lt;&gt;"No",'Reference dates (hide)'!AK297,0)</f>
        <v>0</v>
      </c>
      <c r="AA155" s="169">
        <f ca="1">'Reference dates (hide)'!AL189+IF($T$76&lt;&gt;"No",'Reference dates (hide)'!AL297,0)</f>
        <v>0</v>
      </c>
      <c r="AB155" s="169">
        <f ca="1">'Reference dates (hide)'!AM189+IF($T$76&lt;&gt;"No",'Reference dates (hide)'!AM297,0)</f>
        <v>0</v>
      </c>
      <c r="AC155" s="169">
        <f ca="1">'Reference dates (hide)'!AN189+IF($T$76&lt;&gt;"No",'Reference dates (hide)'!AN297,0)</f>
        <v>0</v>
      </c>
      <c r="AD155" s="169">
        <f ca="1">'Reference dates (hide)'!AO189+IF($T$76&lt;&gt;"No",'Reference dates (hide)'!AO297,0)</f>
        <v>0</v>
      </c>
      <c r="AE155" s="169">
        <f ca="1">'Reference dates (hide)'!AP189+IF($T$76&lt;&gt;"No",'Reference dates (hide)'!AP297,0)</f>
        <v>0</v>
      </c>
      <c r="AF155" s="169">
        <f ca="1">'Reference dates (hide)'!AQ189+IF($T$76&lt;&gt;"No",'Reference dates (hide)'!AQ297,0)</f>
        <v>0</v>
      </c>
      <c r="AG155" s="169">
        <f t="shared" ca="1" si="16"/>
        <v>0</v>
      </c>
    </row>
    <row r="156" spans="19:33" hidden="1" x14ac:dyDescent="0.25">
      <c r="S156" s="1"/>
      <c r="U156" s="8"/>
      <c r="V156" s="8"/>
      <c r="W156" s="8"/>
      <c r="X156" s="8"/>
      <c r="Y156" s="8"/>
      <c r="Z156" s="8"/>
      <c r="AA156" s="8"/>
      <c r="AB156" s="8"/>
      <c r="AC156" s="8"/>
      <c r="AD156" s="8"/>
      <c r="AE156" s="8"/>
      <c r="AF156" s="8"/>
      <c r="AG156" s="8"/>
    </row>
    <row r="157" spans="19:33" hidden="1" x14ac:dyDescent="0.25">
      <c r="S157" s="292" t="str">
        <f>'Data files'!A28</f>
        <v xml:space="preserve">13. </v>
      </c>
      <c r="T157" s="161" t="s">
        <v>815</v>
      </c>
      <c r="U157" s="169">
        <f ca="1">'Reference dates (hide)'!AF190+IF($T$76&lt;&gt;"No",'Reference dates (hide)'!AF298,0)</f>
        <v>0</v>
      </c>
      <c r="V157" s="169">
        <f ca="1">'Reference dates (hide)'!AG190+IF($T$76&lt;&gt;"No",'Reference dates (hide)'!AG298,0)</f>
        <v>0</v>
      </c>
      <c r="W157" s="169">
        <f ca="1">'Reference dates (hide)'!AH190+IF($T$76&lt;&gt;"No",'Reference dates (hide)'!AH298,0)</f>
        <v>0</v>
      </c>
      <c r="X157" s="169">
        <f ca="1">'Reference dates (hide)'!AI190+IF($T$76&lt;&gt;"No",'Reference dates (hide)'!AI298,0)</f>
        <v>0</v>
      </c>
      <c r="Y157" s="169">
        <f ca="1">'Reference dates (hide)'!AJ190+IF($T$76&lt;&gt;"No",'Reference dates (hide)'!AJ298,0)</f>
        <v>0</v>
      </c>
      <c r="Z157" s="169">
        <f ca="1">'Reference dates (hide)'!AK190+IF($T$76&lt;&gt;"No",'Reference dates (hide)'!AK298,0)</f>
        <v>0</v>
      </c>
      <c r="AA157" s="169">
        <f ca="1">'Reference dates (hide)'!AL190+IF($T$76&lt;&gt;"No",'Reference dates (hide)'!AL298,0)</f>
        <v>0</v>
      </c>
      <c r="AB157" s="169">
        <f ca="1">'Reference dates (hide)'!AM190+IF($T$76&lt;&gt;"No",'Reference dates (hide)'!AM298,0)</f>
        <v>0</v>
      </c>
      <c r="AC157" s="169">
        <f ca="1">'Reference dates (hide)'!AN190+IF($T$76&lt;&gt;"No",'Reference dates (hide)'!AN298,0)</f>
        <v>0</v>
      </c>
      <c r="AD157" s="169">
        <f ca="1">'Reference dates (hide)'!AO190+IF($T$76&lt;&gt;"No",'Reference dates (hide)'!AO298,0)</f>
        <v>0</v>
      </c>
      <c r="AE157" s="169">
        <f ca="1">'Reference dates (hide)'!AP190+IF($T$76&lt;&gt;"No",'Reference dates (hide)'!AP298,0)</f>
        <v>0</v>
      </c>
      <c r="AF157" s="169">
        <f ca="1">'Reference dates (hide)'!AQ190+IF($T$76&lt;&gt;"No",'Reference dates (hide)'!AQ298,0)</f>
        <v>0</v>
      </c>
      <c r="AG157" s="169">
        <f t="shared" ref="AG157" ca="1" si="18">SUM(U157:AF157)</f>
        <v>0</v>
      </c>
    </row>
    <row r="158" spans="19:33" hidden="1" x14ac:dyDescent="0.25">
      <c r="S158" s="292"/>
      <c r="T158" s="177" t="s">
        <v>1317</v>
      </c>
      <c r="U158" s="169">
        <f ca="1">'Reference dates (hide)'!AF191+IF($T$76&lt;&gt;"No",'Reference dates (hide)'!AF299,0)</f>
        <v>0</v>
      </c>
      <c r="V158" s="169">
        <f ca="1">'Reference dates (hide)'!AG191+IF($T$76&lt;&gt;"No",'Reference dates (hide)'!AG299,0)</f>
        <v>0</v>
      </c>
      <c r="W158" s="169">
        <f ca="1">'Reference dates (hide)'!AH191+IF($T$76&lt;&gt;"No",'Reference dates (hide)'!AH299,0)</f>
        <v>0</v>
      </c>
      <c r="X158" s="169">
        <f ca="1">'Reference dates (hide)'!AI191+IF($T$76&lt;&gt;"No",'Reference dates (hide)'!AI299,0)</f>
        <v>0</v>
      </c>
      <c r="Y158" s="169">
        <f ca="1">'Reference dates (hide)'!AJ191+IF($T$76&lt;&gt;"No",'Reference dates (hide)'!AJ299,0)</f>
        <v>0</v>
      </c>
      <c r="Z158" s="169">
        <f ca="1">'Reference dates (hide)'!AK191+IF($T$76&lt;&gt;"No",'Reference dates (hide)'!AK299,0)</f>
        <v>0</v>
      </c>
      <c r="AA158" s="169">
        <f ca="1">'Reference dates (hide)'!AL191+IF($T$76&lt;&gt;"No",'Reference dates (hide)'!AL299,0)</f>
        <v>0</v>
      </c>
      <c r="AB158" s="169">
        <f ca="1">'Reference dates (hide)'!AM191+IF($T$76&lt;&gt;"No",'Reference dates (hide)'!AM299,0)</f>
        <v>0</v>
      </c>
      <c r="AC158" s="169">
        <f ca="1">'Reference dates (hide)'!AN191+IF($T$76&lt;&gt;"No",'Reference dates (hide)'!AN299,0)</f>
        <v>0</v>
      </c>
      <c r="AD158" s="169">
        <f ca="1">'Reference dates (hide)'!AO191+IF($T$76&lt;&gt;"No",'Reference dates (hide)'!AO299,0)</f>
        <v>0</v>
      </c>
      <c r="AE158" s="169">
        <f ca="1">'Reference dates (hide)'!AP191+IF($T$76&lt;&gt;"No",'Reference dates (hide)'!AP299,0)</f>
        <v>0</v>
      </c>
      <c r="AF158" s="169">
        <f ca="1">'Reference dates (hide)'!AQ191+IF($T$76&lt;&gt;"No",'Reference dates (hide)'!AQ299,0)</f>
        <v>0</v>
      </c>
      <c r="AG158" s="169">
        <f t="shared" ca="1" si="16"/>
        <v>0</v>
      </c>
    </row>
    <row r="159" spans="19:33" hidden="1" x14ac:dyDescent="0.25">
      <c r="S159" s="292"/>
      <c r="T159" s="161" t="s">
        <v>818</v>
      </c>
      <c r="U159" s="169">
        <f ca="1">'Reference dates (hide)'!AF192+IF($T$76&lt;&gt;"No",'Reference dates (hide)'!AF300,0)</f>
        <v>0</v>
      </c>
      <c r="V159" s="169">
        <f ca="1">'Reference dates (hide)'!AG192+IF($T$76&lt;&gt;"No",'Reference dates (hide)'!AG300,0)</f>
        <v>0</v>
      </c>
      <c r="W159" s="169">
        <f ca="1">'Reference dates (hide)'!AH192+IF($T$76&lt;&gt;"No",'Reference dates (hide)'!AH300,0)</f>
        <v>0</v>
      </c>
      <c r="X159" s="169">
        <f ca="1">'Reference dates (hide)'!AI192+IF($T$76&lt;&gt;"No",'Reference dates (hide)'!AI300,0)</f>
        <v>0</v>
      </c>
      <c r="Y159" s="169">
        <f ca="1">'Reference dates (hide)'!AJ192+IF($T$76&lt;&gt;"No",'Reference dates (hide)'!AJ300,0)</f>
        <v>0</v>
      </c>
      <c r="Z159" s="169">
        <f ca="1">'Reference dates (hide)'!AK192+IF($T$76&lt;&gt;"No",'Reference dates (hide)'!AK300,0)</f>
        <v>0</v>
      </c>
      <c r="AA159" s="169">
        <f ca="1">'Reference dates (hide)'!AL192+IF($T$76&lt;&gt;"No",'Reference dates (hide)'!AL300,0)</f>
        <v>0</v>
      </c>
      <c r="AB159" s="169">
        <f ca="1">'Reference dates (hide)'!AM192+IF($T$76&lt;&gt;"No",'Reference dates (hide)'!AM300,0)</f>
        <v>0</v>
      </c>
      <c r="AC159" s="169">
        <f ca="1">'Reference dates (hide)'!AN192+IF($T$76&lt;&gt;"No",'Reference dates (hide)'!AN300,0)</f>
        <v>0</v>
      </c>
      <c r="AD159" s="169">
        <f ca="1">'Reference dates (hide)'!AO192+IF($T$76&lt;&gt;"No",'Reference dates (hide)'!AO300,0)</f>
        <v>0</v>
      </c>
      <c r="AE159" s="169">
        <f ca="1">'Reference dates (hide)'!AP192+IF($T$76&lt;&gt;"No",'Reference dates (hide)'!AP300,0)</f>
        <v>0</v>
      </c>
      <c r="AF159" s="169">
        <f ca="1">'Reference dates (hide)'!AQ192+IF($T$76&lt;&gt;"No",'Reference dates (hide)'!AQ300,0)</f>
        <v>0</v>
      </c>
      <c r="AG159" s="169">
        <f t="shared" ca="1" si="16"/>
        <v>0</v>
      </c>
    </row>
    <row r="160" spans="19:33" hidden="1" x14ac:dyDescent="0.25">
      <c r="S160" s="292"/>
      <c r="T160" s="177" t="s">
        <v>842</v>
      </c>
      <c r="U160" s="169">
        <f ca="1">'Reference dates (hide)'!AF193+IF($T$76&lt;&gt;"No",'Reference dates (hide)'!AF301,0)</f>
        <v>0</v>
      </c>
      <c r="V160" s="169">
        <f ca="1">'Reference dates (hide)'!AG193+IF($T$76&lt;&gt;"No",'Reference dates (hide)'!AG301,0)</f>
        <v>0</v>
      </c>
      <c r="W160" s="169">
        <f ca="1">'Reference dates (hide)'!AH193+IF($T$76&lt;&gt;"No",'Reference dates (hide)'!AH301,0)</f>
        <v>0</v>
      </c>
      <c r="X160" s="169">
        <f ca="1">'Reference dates (hide)'!AI193+IF($T$76&lt;&gt;"No",'Reference dates (hide)'!AI301,0)</f>
        <v>0</v>
      </c>
      <c r="Y160" s="169">
        <f ca="1">'Reference dates (hide)'!AJ193+IF($T$76&lt;&gt;"No",'Reference dates (hide)'!AJ301,0)</f>
        <v>0</v>
      </c>
      <c r="Z160" s="169">
        <f ca="1">'Reference dates (hide)'!AK193+IF($T$76&lt;&gt;"No",'Reference dates (hide)'!AK301,0)</f>
        <v>0</v>
      </c>
      <c r="AA160" s="169">
        <f ca="1">'Reference dates (hide)'!AL193+IF($T$76&lt;&gt;"No",'Reference dates (hide)'!AL301,0)</f>
        <v>0</v>
      </c>
      <c r="AB160" s="169">
        <f ca="1">'Reference dates (hide)'!AM193+IF($T$76&lt;&gt;"No",'Reference dates (hide)'!AM301,0)</f>
        <v>0</v>
      </c>
      <c r="AC160" s="169">
        <f ca="1">'Reference dates (hide)'!AN193+IF($T$76&lt;&gt;"No",'Reference dates (hide)'!AN301,0)</f>
        <v>0</v>
      </c>
      <c r="AD160" s="169">
        <f ca="1">'Reference dates (hide)'!AO193+IF($T$76&lt;&gt;"No",'Reference dates (hide)'!AO301,0)</f>
        <v>0</v>
      </c>
      <c r="AE160" s="169">
        <f ca="1">'Reference dates (hide)'!AP193+IF($T$76&lt;&gt;"No",'Reference dates (hide)'!AP301,0)</f>
        <v>0</v>
      </c>
      <c r="AF160" s="169">
        <f ca="1">'Reference dates (hide)'!AQ193+IF($T$76&lt;&gt;"No",'Reference dates (hide)'!AQ301,0)</f>
        <v>0</v>
      </c>
      <c r="AG160" s="169">
        <f t="shared" ca="1" si="16"/>
        <v>0</v>
      </c>
    </row>
    <row r="161" spans="19:33" hidden="1" x14ac:dyDescent="0.25">
      <c r="S161" s="292"/>
      <c r="T161" s="161" t="s">
        <v>839</v>
      </c>
      <c r="U161" s="169">
        <f ca="1">'Reference dates (hide)'!AF194+IF($T$76&lt;&gt;"No",'Reference dates (hide)'!AF302,0)</f>
        <v>0</v>
      </c>
      <c r="V161" s="169">
        <f ca="1">'Reference dates (hide)'!AG194+IF($T$76&lt;&gt;"No",'Reference dates (hide)'!AG302,0)</f>
        <v>0</v>
      </c>
      <c r="W161" s="169">
        <f ca="1">'Reference dates (hide)'!AH194+IF($T$76&lt;&gt;"No",'Reference dates (hide)'!AH302,0)</f>
        <v>0</v>
      </c>
      <c r="X161" s="169">
        <f ca="1">'Reference dates (hide)'!AI194+IF($T$76&lt;&gt;"No",'Reference dates (hide)'!AI302,0)</f>
        <v>0</v>
      </c>
      <c r="Y161" s="169">
        <f ca="1">'Reference dates (hide)'!AJ194+IF($T$76&lt;&gt;"No",'Reference dates (hide)'!AJ302,0)</f>
        <v>0</v>
      </c>
      <c r="Z161" s="169">
        <f ca="1">'Reference dates (hide)'!AK194+IF($T$76&lt;&gt;"No",'Reference dates (hide)'!AK302,0)</f>
        <v>0</v>
      </c>
      <c r="AA161" s="169">
        <f ca="1">'Reference dates (hide)'!AL194+IF($T$76&lt;&gt;"No",'Reference dates (hide)'!AL302,0)</f>
        <v>0</v>
      </c>
      <c r="AB161" s="169">
        <f ca="1">'Reference dates (hide)'!AM194+IF($T$76&lt;&gt;"No",'Reference dates (hide)'!AM302,0)</f>
        <v>0</v>
      </c>
      <c r="AC161" s="169">
        <f ca="1">'Reference dates (hide)'!AN194+IF($T$76&lt;&gt;"No",'Reference dates (hide)'!AN302,0)</f>
        <v>0</v>
      </c>
      <c r="AD161" s="169">
        <f ca="1">'Reference dates (hide)'!AO194+IF($T$76&lt;&gt;"No",'Reference dates (hide)'!AO302,0)</f>
        <v>0</v>
      </c>
      <c r="AE161" s="169">
        <f ca="1">'Reference dates (hide)'!AP194+IF($T$76&lt;&gt;"No",'Reference dates (hide)'!AP302,0)</f>
        <v>0</v>
      </c>
      <c r="AF161" s="169">
        <f ca="1">'Reference dates (hide)'!AQ194+IF($T$76&lt;&gt;"No",'Reference dates (hide)'!AQ302,0)</f>
        <v>0</v>
      </c>
      <c r="AG161" s="169">
        <f t="shared" ca="1" si="16"/>
        <v>0</v>
      </c>
    </row>
    <row r="162" spans="19:33" hidden="1" x14ac:dyDescent="0.25">
      <c r="S162" s="1"/>
      <c r="U162" s="8"/>
      <c r="V162" s="8"/>
      <c r="W162" s="8"/>
      <c r="X162" s="8"/>
      <c r="Y162" s="8"/>
      <c r="Z162" s="8"/>
      <c r="AA162" s="8"/>
      <c r="AB162" s="8"/>
      <c r="AC162" s="8"/>
      <c r="AD162" s="8"/>
      <c r="AE162" s="8"/>
      <c r="AF162" s="8"/>
      <c r="AG162" s="8"/>
    </row>
    <row r="163" spans="19:33" hidden="1" x14ac:dyDescent="0.25">
      <c r="S163" s="292" t="str">
        <f>'Data files'!A29</f>
        <v xml:space="preserve">14. </v>
      </c>
      <c r="T163" s="161" t="s">
        <v>815</v>
      </c>
      <c r="U163" s="169">
        <f ca="1">'Reference dates (hide)'!AF195+IF($T$76&lt;&gt;"No",'Reference dates (hide)'!AF303,0)</f>
        <v>0</v>
      </c>
      <c r="V163" s="169">
        <f ca="1">'Reference dates (hide)'!AG195+IF($T$76&lt;&gt;"No",'Reference dates (hide)'!AG303,0)</f>
        <v>0</v>
      </c>
      <c r="W163" s="169">
        <f ca="1">'Reference dates (hide)'!AH195+IF($T$76&lt;&gt;"No",'Reference dates (hide)'!AH303,0)</f>
        <v>0</v>
      </c>
      <c r="X163" s="169">
        <f ca="1">'Reference dates (hide)'!AI195+IF($T$76&lt;&gt;"No",'Reference dates (hide)'!AI303,0)</f>
        <v>0</v>
      </c>
      <c r="Y163" s="169">
        <f ca="1">'Reference dates (hide)'!AJ195+IF($T$76&lt;&gt;"No",'Reference dates (hide)'!AJ303,0)</f>
        <v>0</v>
      </c>
      <c r="Z163" s="169">
        <f ca="1">'Reference dates (hide)'!AK195+IF($T$76&lt;&gt;"No",'Reference dates (hide)'!AK303,0)</f>
        <v>0</v>
      </c>
      <c r="AA163" s="169">
        <f ca="1">'Reference dates (hide)'!AL195+IF($T$76&lt;&gt;"No",'Reference dates (hide)'!AL303,0)</f>
        <v>0</v>
      </c>
      <c r="AB163" s="169">
        <f ca="1">'Reference dates (hide)'!AM195+IF($T$76&lt;&gt;"No",'Reference dates (hide)'!AM303,0)</f>
        <v>0</v>
      </c>
      <c r="AC163" s="169">
        <f ca="1">'Reference dates (hide)'!AN195+IF($T$76&lt;&gt;"No",'Reference dates (hide)'!AN303,0)</f>
        <v>0</v>
      </c>
      <c r="AD163" s="169">
        <f ca="1">'Reference dates (hide)'!AO195+IF($T$76&lt;&gt;"No",'Reference dates (hide)'!AO303,0)</f>
        <v>0</v>
      </c>
      <c r="AE163" s="169">
        <f ca="1">'Reference dates (hide)'!AP195+IF($T$76&lt;&gt;"No",'Reference dates (hide)'!AP303,0)</f>
        <v>0</v>
      </c>
      <c r="AF163" s="169">
        <f ca="1">'Reference dates (hide)'!AQ195+IF($T$76&lt;&gt;"No",'Reference dates (hide)'!AQ303,0)</f>
        <v>0</v>
      </c>
      <c r="AG163" s="169">
        <f t="shared" ref="AG163" ca="1" si="19">SUM(U163:AF163)</f>
        <v>0</v>
      </c>
    </row>
    <row r="164" spans="19:33" hidden="1" x14ac:dyDescent="0.25">
      <c r="S164" s="292"/>
      <c r="T164" s="177" t="s">
        <v>1317</v>
      </c>
      <c r="U164" s="169">
        <f ca="1">'Reference dates (hide)'!AF196+IF($T$76&lt;&gt;"No",'Reference dates (hide)'!AF304,0)</f>
        <v>0</v>
      </c>
      <c r="V164" s="169">
        <f ca="1">'Reference dates (hide)'!AG196+IF($T$76&lt;&gt;"No",'Reference dates (hide)'!AG304,0)</f>
        <v>0</v>
      </c>
      <c r="W164" s="169">
        <f ca="1">'Reference dates (hide)'!AH196+IF($T$76&lt;&gt;"No",'Reference dates (hide)'!AH304,0)</f>
        <v>0</v>
      </c>
      <c r="X164" s="169">
        <f ca="1">'Reference dates (hide)'!AI196+IF($T$76&lt;&gt;"No",'Reference dates (hide)'!AI304,0)</f>
        <v>0</v>
      </c>
      <c r="Y164" s="169">
        <f ca="1">'Reference dates (hide)'!AJ196+IF($T$76&lt;&gt;"No",'Reference dates (hide)'!AJ304,0)</f>
        <v>0</v>
      </c>
      <c r="Z164" s="169">
        <f ca="1">'Reference dates (hide)'!AK196+IF($T$76&lt;&gt;"No",'Reference dates (hide)'!AK304,0)</f>
        <v>0</v>
      </c>
      <c r="AA164" s="169">
        <f ca="1">'Reference dates (hide)'!AL196+IF($T$76&lt;&gt;"No",'Reference dates (hide)'!AL304,0)</f>
        <v>0</v>
      </c>
      <c r="AB164" s="169">
        <f ca="1">'Reference dates (hide)'!AM196+IF($T$76&lt;&gt;"No",'Reference dates (hide)'!AM304,0)</f>
        <v>0</v>
      </c>
      <c r="AC164" s="169">
        <f ca="1">'Reference dates (hide)'!AN196+IF($T$76&lt;&gt;"No",'Reference dates (hide)'!AN304,0)</f>
        <v>0</v>
      </c>
      <c r="AD164" s="169">
        <f ca="1">'Reference dates (hide)'!AO196+IF($T$76&lt;&gt;"No",'Reference dates (hide)'!AO304,0)</f>
        <v>0</v>
      </c>
      <c r="AE164" s="169">
        <f ca="1">'Reference dates (hide)'!AP196+IF($T$76&lt;&gt;"No",'Reference dates (hide)'!AP304,0)</f>
        <v>0</v>
      </c>
      <c r="AF164" s="169">
        <f ca="1">'Reference dates (hide)'!AQ196+IF($T$76&lt;&gt;"No",'Reference dates (hide)'!AQ304,0)</f>
        <v>0</v>
      </c>
      <c r="AG164" s="169">
        <f t="shared" ca="1" si="16"/>
        <v>0</v>
      </c>
    </row>
    <row r="165" spans="19:33" hidden="1" x14ac:dyDescent="0.25">
      <c r="S165" s="292"/>
      <c r="T165" s="161" t="s">
        <v>818</v>
      </c>
      <c r="U165" s="169">
        <f ca="1">'Reference dates (hide)'!AF197+IF($T$76&lt;&gt;"No",'Reference dates (hide)'!AF305,0)</f>
        <v>0</v>
      </c>
      <c r="V165" s="169">
        <f ca="1">'Reference dates (hide)'!AG197+IF($T$76&lt;&gt;"No",'Reference dates (hide)'!AG305,0)</f>
        <v>0</v>
      </c>
      <c r="W165" s="169">
        <f ca="1">'Reference dates (hide)'!AH197+IF($T$76&lt;&gt;"No",'Reference dates (hide)'!AH305,0)</f>
        <v>0</v>
      </c>
      <c r="X165" s="169">
        <f ca="1">'Reference dates (hide)'!AI197+IF($T$76&lt;&gt;"No",'Reference dates (hide)'!AI305,0)</f>
        <v>0</v>
      </c>
      <c r="Y165" s="169">
        <f ca="1">'Reference dates (hide)'!AJ197+IF($T$76&lt;&gt;"No",'Reference dates (hide)'!AJ305,0)</f>
        <v>0</v>
      </c>
      <c r="Z165" s="169">
        <f ca="1">'Reference dates (hide)'!AK197+IF($T$76&lt;&gt;"No",'Reference dates (hide)'!AK305,0)</f>
        <v>0</v>
      </c>
      <c r="AA165" s="169">
        <f ca="1">'Reference dates (hide)'!AL197+IF($T$76&lt;&gt;"No",'Reference dates (hide)'!AL305,0)</f>
        <v>0</v>
      </c>
      <c r="AB165" s="169">
        <f ca="1">'Reference dates (hide)'!AM197+IF($T$76&lt;&gt;"No",'Reference dates (hide)'!AM305,0)</f>
        <v>0</v>
      </c>
      <c r="AC165" s="169">
        <f ca="1">'Reference dates (hide)'!AN197+IF($T$76&lt;&gt;"No",'Reference dates (hide)'!AN305,0)</f>
        <v>0</v>
      </c>
      <c r="AD165" s="169">
        <f ca="1">'Reference dates (hide)'!AO197+IF($T$76&lt;&gt;"No",'Reference dates (hide)'!AO305,0)</f>
        <v>0</v>
      </c>
      <c r="AE165" s="169">
        <f ca="1">'Reference dates (hide)'!AP197+IF($T$76&lt;&gt;"No",'Reference dates (hide)'!AP305,0)</f>
        <v>0</v>
      </c>
      <c r="AF165" s="169">
        <f ca="1">'Reference dates (hide)'!AQ197+IF($T$76&lt;&gt;"No",'Reference dates (hide)'!AQ305,0)</f>
        <v>0</v>
      </c>
      <c r="AG165" s="169">
        <f t="shared" ca="1" si="16"/>
        <v>0</v>
      </c>
    </row>
    <row r="166" spans="19:33" hidden="1" x14ac:dyDescent="0.25">
      <c r="S166" s="292"/>
      <c r="T166" s="177" t="s">
        <v>842</v>
      </c>
      <c r="U166" s="169">
        <f ca="1">'Reference dates (hide)'!AF198+IF($T$76&lt;&gt;"No",'Reference dates (hide)'!AF306,0)</f>
        <v>0</v>
      </c>
      <c r="V166" s="169">
        <f ca="1">'Reference dates (hide)'!AG198+IF($T$76&lt;&gt;"No",'Reference dates (hide)'!AG306,0)</f>
        <v>0</v>
      </c>
      <c r="W166" s="169">
        <f ca="1">'Reference dates (hide)'!AH198+IF($T$76&lt;&gt;"No",'Reference dates (hide)'!AH306,0)</f>
        <v>0</v>
      </c>
      <c r="X166" s="169">
        <f ca="1">'Reference dates (hide)'!AI198+IF($T$76&lt;&gt;"No",'Reference dates (hide)'!AI306,0)</f>
        <v>0</v>
      </c>
      <c r="Y166" s="169">
        <f ca="1">'Reference dates (hide)'!AJ198+IF($T$76&lt;&gt;"No",'Reference dates (hide)'!AJ306,0)</f>
        <v>0</v>
      </c>
      <c r="Z166" s="169">
        <f ca="1">'Reference dates (hide)'!AK198+IF($T$76&lt;&gt;"No",'Reference dates (hide)'!AK306,0)</f>
        <v>0</v>
      </c>
      <c r="AA166" s="169">
        <f ca="1">'Reference dates (hide)'!AL198+IF($T$76&lt;&gt;"No",'Reference dates (hide)'!AL306,0)</f>
        <v>0</v>
      </c>
      <c r="AB166" s="169">
        <f ca="1">'Reference dates (hide)'!AM198+IF($T$76&lt;&gt;"No",'Reference dates (hide)'!AM306,0)</f>
        <v>0</v>
      </c>
      <c r="AC166" s="169">
        <f ca="1">'Reference dates (hide)'!AN198+IF($T$76&lt;&gt;"No",'Reference dates (hide)'!AN306,0)</f>
        <v>0</v>
      </c>
      <c r="AD166" s="169">
        <f ca="1">'Reference dates (hide)'!AO198+IF($T$76&lt;&gt;"No",'Reference dates (hide)'!AO306,0)</f>
        <v>0</v>
      </c>
      <c r="AE166" s="169">
        <f ca="1">'Reference dates (hide)'!AP198+IF($T$76&lt;&gt;"No",'Reference dates (hide)'!AP306,0)</f>
        <v>0</v>
      </c>
      <c r="AF166" s="169">
        <f ca="1">'Reference dates (hide)'!AQ198+IF($T$76&lt;&gt;"No",'Reference dates (hide)'!AQ306,0)</f>
        <v>0</v>
      </c>
      <c r="AG166" s="169">
        <f t="shared" ca="1" si="16"/>
        <v>0</v>
      </c>
    </row>
    <row r="167" spans="19:33" hidden="1" x14ac:dyDescent="0.25">
      <c r="S167" s="292"/>
      <c r="T167" s="161" t="s">
        <v>839</v>
      </c>
      <c r="U167" s="169">
        <f ca="1">'Reference dates (hide)'!AF199+IF($T$76&lt;&gt;"No",'Reference dates (hide)'!AF307,0)</f>
        <v>0</v>
      </c>
      <c r="V167" s="169">
        <f ca="1">'Reference dates (hide)'!AG199+IF($T$76&lt;&gt;"No",'Reference dates (hide)'!AG307,0)</f>
        <v>0</v>
      </c>
      <c r="W167" s="169">
        <f ca="1">'Reference dates (hide)'!AH199+IF($T$76&lt;&gt;"No",'Reference dates (hide)'!AH307,0)</f>
        <v>0</v>
      </c>
      <c r="X167" s="169">
        <f ca="1">'Reference dates (hide)'!AI199+IF($T$76&lt;&gt;"No",'Reference dates (hide)'!AI307,0)</f>
        <v>0</v>
      </c>
      <c r="Y167" s="169">
        <f ca="1">'Reference dates (hide)'!AJ199+IF($T$76&lt;&gt;"No",'Reference dates (hide)'!AJ307,0)</f>
        <v>0</v>
      </c>
      <c r="Z167" s="169">
        <f ca="1">'Reference dates (hide)'!AK199+IF($T$76&lt;&gt;"No",'Reference dates (hide)'!AK307,0)</f>
        <v>0</v>
      </c>
      <c r="AA167" s="169">
        <f ca="1">'Reference dates (hide)'!AL199+IF($T$76&lt;&gt;"No",'Reference dates (hide)'!AL307,0)</f>
        <v>0</v>
      </c>
      <c r="AB167" s="169">
        <f ca="1">'Reference dates (hide)'!AM199+IF($T$76&lt;&gt;"No",'Reference dates (hide)'!AM307,0)</f>
        <v>0</v>
      </c>
      <c r="AC167" s="169">
        <f ca="1">'Reference dates (hide)'!AN199+IF($T$76&lt;&gt;"No",'Reference dates (hide)'!AN307,0)</f>
        <v>0</v>
      </c>
      <c r="AD167" s="169">
        <f ca="1">'Reference dates (hide)'!AO199+IF($T$76&lt;&gt;"No",'Reference dates (hide)'!AO307,0)</f>
        <v>0</v>
      </c>
      <c r="AE167" s="169">
        <f ca="1">'Reference dates (hide)'!AP199+IF($T$76&lt;&gt;"No",'Reference dates (hide)'!AP307,0)</f>
        <v>0</v>
      </c>
      <c r="AF167" s="169">
        <f ca="1">'Reference dates (hide)'!AQ199+IF($T$76&lt;&gt;"No",'Reference dates (hide)'!AQ307,0)</f>
        <v>0</v>
      </c>
      <c r="AG167" s="169">
        <f t="shared" ca="1" si="16"/>
        <v>0</v>
      </c>
    </row>
    <row r="168" spans="19:33" hidden="1" x14ac:dyDescent="0.25">
      <c r="S168" s="1"/>
      <c r="U168" s="8"/>
      <c r="V168" s="8"/>
      <c r="W168" s="8"/>
      <c r="X168" s="8"/>
      <c r="Y168" s="8"/>
      <c r="Z168" s="8"/>
      <c r="AA168" s="8"/>
      <c r="AB168" s="8"/>
      <c r="AC168" s="8"/>
      <c r="AD168" s="8"/>
      <c r="AE168" s="8"/>
      <c r="AF168" s="8"/>
      <c r="AG168" s="8"/>
    </row>
    <row r="169" spans="19:33" hidden="1" x14ac:dyDescent="0.25">
      <c r="S169" s="292" t="str">
        <f>'Data files'!A30</f>
        <v xml:space="preserve">15. </v>
      </c>
      <c r="T169" s="161" t="s">
        <v>815</v>
      </c>
      <c r="U169" s="169">
        <f ca="1">'Reference dates (hide)'!AF200+IF($T$76&lt;&gt;"No",'Reference dates (hide)'!AF308,0)</f>
        <v>0</v>
      </c>
      <c r="V169" s="169">
        <f ca="1">'Reference dates (hide)'!AG200+IF($T$76&lt;&gt;"No",'Reference dates (hide)'!AG308,0)</f>
        <v>0</v>
      </c>
      <c r="W169" s="169">
        <f ca="1">'Reference dates (hide)'!AH200+IF($T$76&lt;&gt;"No",'Reference dates (hide)'!AH308,0)</f>
        <v>0</v>
      </c>
      <c r="X169" s="169">
        <f ca="1">'Reference dates (hide)'!AI200+IF($T$76&lt;&gt;"No",'Reference dates (hide)'!AI308,0)</f>
        <v>0</v>
      </c>
      <c r="Y169" s="169">
        <f ca="1">'Reference dates (hide)'!AJ200+IF($T$76&lt;&gt;"No",'Reference dates (hide)'!AJ308,0)</f>
        <v>0</v>
      </c>
      <c r="Z169" s="169">
        <f ca="1">'Reference dates (hide)'!AK200+IF($T$76&lt;&gt;"No",'Reference dates (hide)'!AK308,0)</f>
        <v>0</v>
      </c>
      <c r="AA169" s="169">
        <f ca="1">'Reference dates (hide)'!AL200+IF($T$76&lt;&gt;"No",'Reference dates (hide)'!AL308,0)</f>
        <v>0</v>
      </c>
      <c r="AB169" s="169">
        <f ca="1">'Reference dates (hide)'!AM200+IF($T$76&lt;&gt;"No",'Reference dates (hide)'!AM308,0)</f>
        <v>0</v>
      </c>
      <c r="AC169" s="169">
        <f ca="1">'Reference dates (hide)'!AN200+IF($T$76&lt;&gt;"No",'Reference dates (hide)'!AN308,0)</f>
        <v>0</v>
      </c>
      <c r="AD169" s="169">
        <f ca="1">'Reference dates (hide)'!AO200+IF($T$76&lt;&gt;"No",'Reference dates (hide)'!AO308,0)</f>
        <v>0</v>
      </c>
      <c r="AE169" s="169">
        <f ca="1">'Reference dates (hide)'!AP200+IF($T$76&lt;&gt;"No",'Reference dates (hide)'!AP308,0)</f>
        <v>0</v>
      </c>
      <c r="AF169" s="169">
        <f ca="1">'Reference dates (hide)'!AQ200+IF($T$76&lt;&gt;"No",'Reference dates (hide)'!AQ308,0)</f>
        <v>0</v>
      </c>
      <c r="AG169" s="169">
        <f t="shared" ref="AG169" ca="1" si="20">SUM(U169:AF169)</f>
        <v>0</v>
      </c>
    </row>
    <row r="170" spans="19:33" hidden="1" x14ac:dyDescent="0.25">
      <c r="S170" s="292"/>
      <c r="T170" s="177" t="s">
        <v>1317</v>
      </c>
      <c r="U170" s="169">
        <f ca="1">'Reference dates (hide)'!AF201+IF($T$76&lt;&gt;"No",'Reference dates (hide)'!AF309,0)</f>
        <v>0</v>
      </c>
      <c r="V170" s="169">
        <f ca="1">'Reference dates (hide)'!AG201+IF($T$76&lt;&gt;"No",'Reference dates (hide)'!AG309,0)</f>
        <v>0</v>
      </c>
      <c r="W170" s="169">
        <f ca="1">'Reference dates (hide)'!AH201+IF($T$76&lt;&gt;"No",'Reference dates (hide)'!AH309,0)</f>
        <v>0</v>
      </c>
      <c r="X170" s="169">
        <f ca="1">'Reference dates (hide)'!AI201+IF($T$76&lt;&gt;"No",'Reference dates (hide)'!AI309,0)</f>
        <v>0</v>
      </c>
      <c r="Y170" s="169">
        <f ca="1">'Reference dates (hide)'!AJ201+IF($T$76&lt;&gt;"No",'Reference dates (hide)'!AJ309,0)</f>
        <v>0</v>
      </c>
      <c r="Z170" s="169">
        <f ca="1">'Reference dates (hide)'!AK201+IF($T$76&lt;&gt;"No",'Reference dates (hide)'!AK309,0)</f>
        <v>0</v>
      </c>
      <c r="AA170" s="169">
        <f ca="1">'Reference dates (hide)'!AL201+IF($T$76&lt;&gt;"No",'Reference dates (hide)'!AL309,0)</f>
        <v>0</v>
      </c>
      <c r="AB170" s="169">
        <f ca="1">'Reference dates (hide)'!AM201+IF($T$76&lt;&gt;"No",'Reference dates (hide)'!AM309,0)</f>
        <v>0</v>
      </c>
      <c r="AC170" s="169">
        <f ca="1">'Reference dates (hide)'!AN201+IF($T$76&lt;&gt;"No",'Reference dates (hide)'!AN309,0)</f>
        <v>0</v>
      </c>
      <c r="AD170" s="169">
        <f ca="1">'Reference dates (hide)'!AO201+IF($T$76&lt;&gt;"No",'Reference dates (hide)'!AO309,0)</f>
        <v>0</v>
      </c>
      <c r="AE170" s="169">
        <f ca="1">'Reference dates (hide)'!AP201+IF($T$76&lt;&gt;"No",'Reference dates (hide)'!AP309,0)</f>
        <v>0</v>
      </c>
      <c r="AF170" s="169">
        <f ca="1">'Reference dates (hide)'!AQ201+IF($T$76&lt;&gt;"No",'Reference dates (hide)'!AQ309,0)</f>
        <v>0</v>
      </c>
      <c r="AG170" s="169">
        <f t="shared" ca="1" si="16"/>
        <v>0</v>
      </c>
    </row>
    <row r="171" spans="19:33" hidden="1" x14ac:dyDescent="0.25">
      <c r="S171" s="292"/>
      <c r="T171" s="161" t="s">
        <v>818</v>
      </c>
      <c r="U171" s="169">
        <f ca="1">'Reference dates (hide)'!AF202+IF($T$76&lt;&gt;"No",'Reference dates (hide)'!AF310,0)</f>
        <v>0</v>
      </c>
      <c r="V171" s="169">
        <f ca="1">'Reference dates (hide)'!AG202+IF($T$76&lt;&gt;"No",'Reference dates (hide)'!AG310,0)</f>
        <v>0</v>
      </c>
      <c r="W171" s="169">
        <f ca="1">'Reference dates (hide)'!AH202+IF($T$76&lt;&gt;"No",'Reference dates (hide)'!AH310,0)</f>
        <v>0</v>
      </c>
      <c r="X171" s="169">
        <f ca="1">'Reference dates (hide)'!AI202+IF($T$76&lt;&gt;"No",'Reference dates (hide)'!AI310,0)</f>
        <v>0</v>
      </c>
      <c r="Y171" s="169">
        <f ca="1">'Reference dates (hide)'!AJ202+IF($T$76&lt;&gt;"No",'Reference dates (hide)'!AJ310,0)</f>
        <v>0</v>
      </c>
      <c r="Z171" s="169">
        <f ca="1">'Reference dates (hide)'!AK202+IF($T$76&lt;&gt;"No",'Reference dates (hide)'!AK310,0)</f>
        <v>0</v>
      </c>
      <c r="AA171" s="169">
        <f ca="1">'Reference dates (hide)'!AL202+IF($T$76&lt;&gt;"No",'Reference dates (hide)'!AL310,0)</f>
        <v>0</v>
      </c>
      <c r="AB171" s="169">
        <f ca="1">'Reference dates (hide)'!AM202+IF($T$76&lt;&gt;"No",'Reference dates (hide)'!AM310,0)</f>
        <v>0</v>
      </c>
      <c r="AC171" s="169">
        <f ca="1">'Reference dates (hide)'!AN202+IF($T$76&lt;&gt;"No",'Reference dates (hide)'!AN310,0)</f>
        <v>0</v>
      </c>
      <c r="AD171" s="169">
        <f ca="1">'Reference dates (hide)'!AO202+IF($T$76&lt;&gt;"No",'Reference dates (hide)'!AO310,0)</f>
        <v>0</v>
      </c>
      <c r="AE171" s="169">
        <f ca="1">'Reference dates (hide)'!AP202+IF($T$76&lt;&gt;"No",'Reference dates (hide)'!AP310,0)</f>
        <v>0</v>
      </c>
      <c r="AF171" s="169">
        <f ca="1">'Reference dates (hide)'!AQ202+IF($T$76&lt;&gt;"No",'Reference dates (hide)'!AQ310,0)</f>
        <v>0</v>
      </c>
      <c r="AG171" s="169">
        <f t="shared" ca="1" si="16"/>
        <v>0</v>
      </c>
    </row>
    <row r="172" spans="19:33" hidden="1" x14ac:dyDescent="0.25">
      <c r="S172" s="292"/>
      <c r="T172" s="177" t="s">
        <v>842</v>
      </c>
      <c r="U172" s="169">
        <f ca="1">'Reference dates (hide)'!AF203+IF($T$76&lt;&gt;"No",'Reference dates (hide)'!AF311,0)</f>
        <v>0</v>
      </c>
      <c r="V172" s="169">
        <f ca="1">'Reference dates (hide)'!AG203+IF($T$76&lt;&gt;"No",'Reference dates (hide)'!AG311,0)</f>
        <v>0</v>
      </c>
      <c r="W172" s="169">
        <f ca="1">'Reference dates (hide)'!AH203+IF($T$76&lt;&gt;"No",'Reference dates (hide)'!AH311,0)</f>
        <v>0</v>
      </c>
      <c r="X172" s="169">
        <f ca="1">'Reference dates (hide)'!AI203+IF($T$76&lt;&gt;"No",'Reference dates (hide)'!AI311,0)</f>
        <v>0</v>
      </c>
      <c r="Y172" s="169">
        <f ca="1">'Reference dates (hide)'!AJ203+IF($T$76&lt;&gt;"No",'Reference dates (hide)'!AJ311,0)</f>
        <v>0</v>
      </c>
      <c r="Z172" s="169">
        <f ca="1">'Reference dates (hide)'!AK203+IF($T$76&lt;&gt;"No",'Reference dates (hide)'!AK311,0)</f>
        <v>0</v>
      </c>
      <c r="AA172" s="169">
        <f ca="1">'Reference dates (hide)'!AL203+IF($T$76&lt;&gt;"No",'Reference dates (hide)'!AL311,0)</f>
        <v>0</v>
      </c>
      <c r="AB172" s="169">
        <f ca="1">'Reference dates (hide)'!AM203+IF($T$76&lt;&gt;"No",'Reference dates (hide)'!AM311,0)</f>
        <v>0</v>
      </c>
      <c r="AC172" s="169">
        <f ca="1">'Reference dates (hide)'!AN203+IF($T$76&lt;&gt;"No",'Reference dates (hide)'!AN311,0)</f>
        <v>0</v>
      </c>
      <c r="AD172" s="169">
        <f ca="1">'Reference dates (hide)'!AO203+IF($T$76&lt;&gt;"No",'Reference dates (hide)'!AO311,0)</f>
        <v>0</v>
      </c>
      <c r="AE172" s="169">
        <f ca="1">'Reference dates (hide)'!AP203+IF($T$76&lt;&gt;"No",'Reference dates (hide)'!AP311,0)</f>
        <v>0</v>
      </c>
      <c r="AF172" s="169">
        <f ca="1">'Reference dates (hide)'!AQ203+IF($T$76&lt;&gt;"No",'Reference dates (hide)'!AQ311,0)</f>
        <v>0</v>
      </c>
      <c r="AG172" s="169">
        <f t="shared" ca="1" si="16"/>
        <v>0</v>
      </c>
    </row>
    <row r="173" spans="19:33" hidden="1" x14ac:dyDescent="0.25">
      <c r="S173" s="292"/>
      <c r="T173" s="161" t="s">
        <v>839</v>
      </c>
      <c r="U173" s="169">
        <f ca="1">'Reference dates (hide)'!AF204+IF($T$76&lt;&gt;"No",'Reference dates (hide)'!AF312,0)</f>
        <v>0</v>
      </c>
      <c r="V173" s="169">
        <f ca="1">'Reference dates (hide)'!AG204+IF($T$76&lt;&gt;"No",'Reference dates (hide)'!AG312,0)</f>
        <v>0</v>
      </c>
      <c r="W173" s="169">
        <f ca="1">'Reference dates (hide)'!AH204+IF($T$76&lt;&gt;"No",'Reference dates (hide)'!AH312,0)</f>
        <v>0</v>
      </c>
      <c r="X173" s="169">
        <f ca="1">'Reference dates (hide)'!AI204+IF($T$76&lt;&gt;"No",'Reference dates (hide)'!AI312,0)</f>
        <v>0</v>
      </c>
      <c r="Y173" s="169">
        <f ca="1">'Reference dates (hide)'!AJ204+IF($T$76&lt;&gt;"No",'Reference dates (hide)'!AJ312,0)</f>
        <v>0</v>
      </c>
      <c r="Z173" s="169">
        <f ca="1">'Reference dates (hide)'!AK204+IF($T$76&lt;&gt;"No",'Reference dates (hide)'!AK312,0)</f>
        <v>0</v>
      </c>
      <c r="AA173" s="169">
        <f ca="1">'Reference dates (hide)'!AL204+IF($T$76&lt;&gt;"No",'Reference dates (hide)'!AL312,0)</f>
        <v>0</v>
      </c>
      <c r="AB173" s="169">
        <f ca="1">'Reference dates (hide)'!AM204+IF($T$76&lt;&gt;"No",'Reference dates (hide)'!AM312,0)</f>
        <v>0</v>
      </c>
      <c r="AC173" s="169">
        <f ca="1">'Reference dates (hide)'!AN204+IF($T$76&lt;&gt;"No",'Reference dates (hide)'!AN312,0)</f>
        <v>0</v>
      </c>
      <c r="AD173" s="169">
        <f ca="1">'Reference dates (hide)'!AO204+IF($T$76&lt;&gt;"No",'Reference dates (hide)'!AO312,0)</f>
        <v>0</v>
      </c>
      <c r="AE173" s="169">
        <f ca="1">'Reference dates (hide)'!AP204+IF($T$76&lt;&gt;"No",'Reference dates (hide)'!AP312,0)</f>
        <v>0</v>
      </c>
      <c r="AF173" s="169">
        <f ca="1">'Reference dates (hide)'!AQ204+IF($T$76&lt;&gt;"No",'Reference dates (hide)'!AQ312,0)</f>
        <v>0</v>
      </c>
      <c r="AG173" s="169">
        <f t="shared" ca="1" si="16"/>
        <v>0</v>
      </c>
    </row>
    <row r="174" spans="19:33" hidden="1" x14ac:dyDescent="0.25">
      <c r="S174" s="1"/>
      <c r="U174" s="8"/>
      <c r="V174" s="8"/>
      <c r="W174" s="8"/>
      <c r="X174" s="8"/>
      <c r="Y174" s="8"/>
      <c r="Z174" s="8"/>
      <c r="AA174" s="8"/>
      <c r="AB174" s="8"/>
      <c r="AC174" s="8"/>
      <c r="AD174" s="8"/>
      <c r="AE174" s="8"/>
      <c r="AF174" s="8"/>
      <c r="AG174" s="8"/>
    </row>
    <row r="175" spans="19:33" hidden="1" x14ac:dyDescent="0.25">
      <c r="S175" s="292" t="str">
        <f>'Data files'!A31</f>
        <v xml:space="preserve">16. </v>
      </c>
      <c r="T175" s="161" t="s">
        <v>815</v>
      </c>
      <c r="U175" s="169">
        <f ca="1">'Reference dates (hide)'!AF205+IF($T$76&lt;&gt;"No",'Reference dates (hide)'!AF313,0)</f>
        <v>0</v>
      </c>
      <c r="V175" s="169">
        <f ca="1">'Reference dates (hide)'!AG205+IF($T$76&lt;&gt;"No",'Reference dates (hide)'!AG313,0)</f>
        <v>0</v>
      </c>
      <c r="W175" s="169">
        <f ca="1">'Reference dates (hide)'!AH205+IF($T$76&lt;&gt;"No",'Reference dates (hide)'!AH313,0)</f>
        <v>0</v>
      </c>
      <c r="X175" s="169">
        <f ca="1">'Reference dates (hide)'!AI205+IF($T$76&lt;&gt;"No",'Reference dates (hide)'!AI313,0)</f>
        <v>0</v>
      </c>
      <c r="Y175" s="169">
        <f ca="1">'Reference dates (hide)'!AJ205+IF($T$76&lt;&gt;"No",'Reference dates (hide)'!AJ313,0)</f>
        <v>0</v>
      </c>
      <c r="Z175" s="169">
        <f ca="1">'Reference dates (hide)'!AK205+IF($T$76&lt;&gt;"No",'Reference dates (hide)'!AK313,0)</f>
        <v>0</v>
      </c>
      <c r="AA175" s="169">
        <f ca="1">'Reference dates (hide)'!AL205+IF($T$76&lt;&gt;"No",'Reference dates (hide)'!AL313,0)</f>
        <v>0</v>
      </c>
      <c r="AB175" s="169">
        <f ca="1">'Reference dates (hide)'!AM205+IF($T$76&lt;&gt;"No",'Reference dates (hide)'!AM313,0)</f>
        <v>0</v>
      </c>
      <c r="AC175" s="169">
        <f ca="1">'Reference dates (hide)'!AN205+IF($T$76&lt;&gt;"No",'Reference dates (hide)'!AN313,0)</f>
        <v>0</v>
      </c>
      <c r="AD175" s="169">
        <f ca="1">'Reference dates (hide)'!AO205+IF($T$76&lt;&gt;"No",'Reference dates (hide)'!AO313,0)</f>
        <v>0</v>
      </c>
      <c r="AE175" s="169">
        <f ca="1">'Reference dates (hide)'!AP205+IF($T$76&lt;&gt;"No",'Reference dates (hide)'!AP313,0)</f>
        <v>0</v>
      </c>
      <c r="AF175" s="169">
        <f ca="1">'Reference dates (hide)'!AQ205+IF($T$76&lt;&gt;"No",'Reference dates (hide)'!AQ313,0)</f>
        <v>0</v>
      </c>
      <c r="AG175" s="169">
        <f t="shared" ref="AG175" ca="1" si="21">SUM(U175:AF175)</f>
        <v>0</v>
      </c>
    </row>
    <row r="176" spans="19:33" hidden="1" x14ac:dyDescent="0.25">
      <c r="S176" s="292"/>
      <c r="T176" s="177" t="s">
        <v>1317</v>
      </c>
      <c r="U176" s="169">
        <f ca="1">'Reference dates (hide)'!AF206+IF($T$76&lt;&gt;"No",'Reference dates (hide)'!AF314,0)</f>
        <v>0</v>
      </c>
      <c r="V176" s="169">
        <f ca="1">'Reference dates (hide)'!AG206+IF($T$76&lt;&gt;"No",'Reference dates (hide)'!AG314,0)</f>
        <v>0</v>
      </c>
      <c r="W176" s="169">
        <f ca="1">'Reference dates (hide)'!AH206+IF($T$76&lt;&gt;"No",'Reference dates (hide)'!AH314,0)</f>
        <v>0</v>
      </c>
      <c r="X176" s="169">
        <f ca="1">'Reference dates (hide)'!AI206+IF($T$76&lt;&gt;"No",'Reference dates (hide)'!AI314,0)</f>
        <v>0</v>
      </c>
      <c r="Y176" s="169">
        <f ca="1">'Reference dates (hide)'!AJ206+IF($T$76&lt;&gt;"No",'Reference dates (hide)'!AJ314,0)</f>
        <v>0</v>
      </c>
      <c r="Z176" s="169">
        <f ca="1">'Reference dates (hide)'!AK206+IF($T$76&lt;&gt;"No",'Reference dates (hide)'!AK314,0)</f>
        <v>0</v>
      </c>
      <c r="AA176" s="169">
        <f ca="1">'Reference dates (hide)'!AL206+IF($T$76&lt;&gt;"No",'Reference dates (hide)'!AL314,0)</f>
        <v>0</v>
      </c>
      <c r="AB176" s="169">
        <f ca="1">'Reference dates (hide)'!AM206+IF($T$76&lt;&gt;"No",'Reference dates (hide)'!AM314,0)</f>
        <v>0</v>
      </c>
      <c r="AC176" s="169">
        <f ca="1">'Reference dates (hide)'!AN206+IF($T$76&lt;&gt;"No",'Reference dates (hide)'!AN314,0)</f>
        <v>0</v>
      </c>
      <c r="AD176" s="169">
        <f ca="1">'Reference dates (hide)'!AO206+IF($T$76&lt;&gt;"No",'Reference dates (hide)'!AO314,0)</f>
        <v>0</v>
      </c>
      <c r="AE176" s="169">
        <f ca="1">'Reference dates (hide)'!AP206+IF($T$76&lt;&gt;"No",'Reference dates (hide)'!AP314,0)</f>
        <v>0</v>
      </c>
      <c r="AF176" s="169">
        <f ca="1">'Reference dates (hide)'!AQ206+IF($T$76&lt;&gt;"No",'Reference dates (hide)'!AQ314,0)</f>
        <v>0</v>
      </c>
      <c r="AG176" s="169">
        <f t="shared" ca="1" si="16"/>
        <v>0</v>
      </c>
    </row>
    <row r="177" spans="19:33" hidden="1" x14ac:dyDescent="0.25">
      <c r="S177" s="292"/>
      <c r="T177" s="161" t="s">
        <v>818</v>
      </c>
      <c r="U177" s="169">
        <f ca="1">'Reference dates (hide)'!AF207+IF($T$76&lt;&gt;"No",'Reference dates (hide)'!AF315,0)</f>
        <v>0</v>
      </c>
      <c r="V177" s="169">
        <f ca="1">'Reference dates (hide)'!AG207+IF($T$76&lt;&gt;"No",'Reference dates (hide)'!AG315,0)</f>
        <v>0</v>
      </c>
      <c r="W177" s="169">
        <f ca="1">'Reference dates (hide)'!AH207+IF($T$76&lt;&gt;"No",'Reference dates (hide)'!AH315,0)</f>
        <v>0</v>
      </c>
      <c r="X177" s="169">
        <f ca="1">'Reference dates (hide)'!AI207+IF($T$76&lt;&gt;"No",'Reference dates (hide)'!AI315,0)</f>
        <v>0</v>
      </c>
      <c r="Y177" s="169">
        <f ca="1">'Reference dates (hide)'!AJ207+IF($T$76&lt;&gt;"No",'Reference dates (hide)'!AJ315,0)</f>
        <v>0</v>
      </c>
      <c r="Z177" s="169">
        <f ca="1">'Reference dates (hide)'!AK207+IF($T$76&lt;&gt;"No",'Reference dates (hide)'!AK315,0)</f>
        <v>0</v>
      </c>
      <c r="AA177" s="169">
        <f ca="1">'Reference dates (hide)'!AL207+IF($T$76&lt;&gt;"No",'Reference dates (hide)'!AL315,0)</f>
        <v>0</v>
      </c>
      <c r="AB177" s="169">
        <f ca="1">'Reference dates (hide)'!AM207+IF($T$76&lt;&gt;"No",'Reference dates (hide)'!AM315,0)</f>
        <v>0</v>
      </c>
      <c r="AC177" s="169">
        <f ca="1">'Reference dates (hide)'!AN207+IF($T$76&lt;&gt;"No",'Reference dates (hide)'!AN315,0)</f>
        <v>0</v>
      </c>
      <c r="AD177" s="169">
        <f ca="1">'Reference dates (hide)'!AO207+IF($T$76&lt;&gt;"No",'Reference dates (hide)'!AO315,0)</f>
        <v>0</v>
      </c>
      <c r="AE177" s="169">
        <f ca="1">'Reference dates (hide)'!AP207+IF($T$76&lt;&gt;"No",'Reference dates (hide)'!AP315,0)</f>
        <v>0</v>
      </c>
      <c r="AF177" s="169">
        <f ca="1">'Reference dates (hide)'!AQ207+IF($T$76&lt;&gt;"No",'Reference dates (hide)'!AQ315,0)</f>
        <v>0</v>
      </c>
      <c r="AG177" s="169">
        <f t="shared" ca="1" si="16"/>
        <v>0</v>
      </c>
    </row>
    <row r="178" spans="19:33" hidden="1" x14ac:dyDescent="0.25">
      <c r="S178" s="292"/>
      <c r="T178" s="177" t="s">
        <v>842</v>
      </c>
      <c r="U178" s="169">
        <f ca="1">'Reference dates (hide)'!AF208+IF($T$76&lt;&gt;"No",'Reference dates (hide)'!AF316,0)</f>
        <v>0</v>
      </c>
      <c r="V178" s="169">
        <f ca="1">'Reference dates (hide)'!AG208+IF($T$76&lt;&gt;"No",'Reference dates (hide)'!AG316,0)</f>
        <v>0</v>
      </c>
      <c r="W178" s="169">
        <f ca="1">'Reference dates (hide)'!AH208+IF($T$76&lt;&gt;"No",'Reference dates (hide)'!AH316,0)</f>
        <v>0</v>
      </c>
      <c r="X178" s="169">
        <f ca="1">'Reference dates (hide)'!AI208+IF($T$76&lt;&gt;"No",'Reference dates (hide)'!AI316,0)</f>
        <v>0</v>
      </c>
      <c r="Y178" s="169">
        <f ca="1">'Reference dates (hide)'!AJ208+IF($T$76&lt;&gt;"No",'Reference dates (hide)'!AJ316,0)</f>
        <v>0</v>
      </c>
      <c r="Z178" s="169">
        <f ca="1">'Reference dates (hide)'!AK208+IF($T$76&lt;&gt;"No",'Reference dates (hide)'!AK316,0)</f>
        <v>0</v>
      </c>
      <c r="AA178" s="169">
        <f ca="1">'Reference dates (hide)'!AL208+IF($T$76&lt;&gt;"No",'Reference dates (hide)'!AL316,0)</f>
        <v>0</v>
      </c>
      <c r="AB178" s="169">
        <f ca="1">'Reference dates (hide)'!AM208+IF($T$76&lt;&gt;"No",'Reference dates (hide)'!AM316,0)</f>
        <v>0</v>
      </c>
      <c r="AC178" s="169">
        <f ca="1">'Reference dates (hide)'!AN208+IF($T$76&lt;&gt;"No",'Reference dates (hide)'!AN316,0)</f>
        <v>0</v>
      </c>
      <c r="AD178" s="169">
        <f ca="1">'Reference dates (hide)'!AO208+IF($T$76&lt;&gt;"No",'Reference dates (hide)'!AO316,0)</f>
        <v>0</v>
      </c>
      <c r="AE178" s="169">
        <f ca="1">'Reference dates (hide)'!AP208+IF($T$76&lt;&gt;"No",'Reference dates (hide)'!AP316,0)</f>
        <v>0</v>
      </c>
      <c r="AF178" s="169">
        <f ca="1">'Reference dates (hide)'!AQ208+IF($T$76&lt;&gt;"No",'Reference dates (hide)'!AQ316,0)</f>
        <v>0</v>
      </c>
      <c r="AG178" s="169">
        <f t="shared" ca="1" si="16"/>
        <v>0</v>
      </c>
    </row>
    <row r="179" spans="19:33" hidden="1" x14ac:dyDescent="0.25">
      <c r="S179" s="292"/>
      <c r="T179" s="161" t="s">
        <v>839</v>
      </c>
      <c r="U179" s="169">
        <f ca="1">'Reference dates (hide)'!AF209+IF($T$76&lt;&gt;"No",'Reference dates (hide)'!AF317,0)</f>
        <v>0</v>
      </c>
      <c r="V179" s="169">
        <f ca="1">'Reference dates (hide)'!AG209+IF($T$76&lt;&gt;"No",'Reference dates (hide)'!AG317,0)</f>
        <v>0</v>
      </c>
      <c r="W179" s="169">
        <f ca="1">'Reference dates (hide)'!AH209+IF($T$76&lt;&gt;"No",'Reference dates (hide)'!AH317,0)</f>
        <v>0</v>
      </c>
      <c r="X179" s="169">
        <f ca="1">'Reference dates (hide)'!AI209+IF($T$76&lt;&gt;"No",'Reference dates (hide)'!AI317,0)</f>
        <v>0</v>
      </c>
      <c r="Y179" s="169">
        <f ca="1">'Reference dates (hide)'!AJ209+IF($T$76&lt;&gt;"No",'Reference dates (hide)'!AJ317,0)</f>
        <v>0</v>
      </c>
      <c r="Z179" s="169">
        <f ca="1">'Reference dates (hide)'!AK209+IF($T$76&lt;&gt;"No",'Reference dates (hide)'!AK317,0)</f>
        <v>0</v>
      </c>
      <c r="AA179" s="169">
        <f ca="1">'Reference dates (hide)'!AL209+IF($T$76&lt;&gt;"No",'Reference dates (hide)'!AL317,0)</f>
        <v>0</v>
      </c>
      <c r="AB179" s="169">
        <f ca="1">'Reference dates (hide)'!AM209+IF($T$76&lt;&gt;"No",'Reference dates (hide)'!AM317,0)</f>
        <v>0</v>
      </c>
      <c r="AC179" s="169">
        <f ca="1">'Reference dates (hide)'!AN209+IF($T$76&lt;&gt;"No",'Reference dates (hide)'!AN317,0)</f>
        <v>0</v>
      </c>
      <c r="AD179" s="169">
        <f ca="1">'Reference dates (hide)'!AO209+IF($T$76&lt;&gt;"No",'Reference dates (hide)'!AO317,0)</f>
        <v>0</v>
      </c>
      <c r="AE179" s="169">
        <f ca="1">'Reference dates (hide)'!AP209+IF($T$76&lt;&gt;"No",'Reference dates (hide)'!AP317,0)</f>
        <v>0</v>
      </c>
      <c r="AF179" s="169">
        <f ca="1">'Reference dates (hide)'!AQ209+IF($T$76&lt;&gt;"No",'Reference dates (hide)'!AQ317,0)</f>
        <v>0</v>
      </c>
      <c r="AG179" s="169">
        <f t="shared" ca="1" si="16"/>
        <v>0</v>
      </c>
    </row>
    <row r="180" spans="19:33" hidden="1" x14ac:dyDescent="0.25">
      <c r="S180" s="1"/>
      <c r="U180" s="8"/>
      <c r="V180" s="8"/>
      <c r="W180" s="8"/>
      <c r="X180" s="8"/>
      <c r="Y180" s="8"/>
      <c r="Z180" s="8"/>
      <c r="AA180" s="8"/>
      <c r="AB180" s="8"/>
      <c r="AC180" s="8"/>
      <c r="AD180" s="8"/>
      <c r="AE180" s="8"/>
      <c r="AF180" s="8"/>
      <c r="AG180" s="8"/>
    </row>
    <row r="181" spans="19:33" hidden="1" x14ac:dyDescent="0.25">
      <c r="S181" s="292" t="str">
        <f>'Data files'!A32</f>
        <v xml:space="preserve">17. </v>
      </c>
      <c r="T181" s="161" t="s">
        <v>815</v>
      </c>
      <c r="U181" s="169">
        <f ca="1">'Reference dates (hide)'!AF210+IF($T$76&lt;&gt;"No",'Reference dates (hide)'!AF318,0)</f>
        <v>0</v>
      </c>
      <c r="V181" s="169">
        <f ca="1">'Reference dates (hide)'!AG210+IF($T$76&lt;&gt;"No",'Reference dates (hide)'!AG318,0)</f>
        <v>0</v>
      </c>
      <c r="W181" s="169">
        <f ca="1">'Reference dates (hide)'!AH210+IF($T$76&lt;&gt;"No",'Reference dates (hide)'!AH318,0)</f>
        <v>0</v>
      </c>
      <c r="X181" s="169">
        <f ca="1">'Reference dates (hide)'!AI210+IF($T$76&lt;&gt;"No",'Reference dates (hide)'!AI318,0)</f>
        <v>0</v>
      </c>
      <c r="Y181" s="169">
        <f ca="1">'Reference dates (hide)'!AJ210+IF($T$76&lt;&gt;"No",'Reference dates (hide)'!AJ318,0)</f>
        <v>0</v>
      </c>
      <c r="Z181" s="169">
        <f ca="1">'Reference dates (hide)'!AK210+IF($T$76&lt;&gt;"No",'Reference dates (hide)'!AK318,0)</f>
        <v>0</v>
      </c>
      <c r="AA181" s="169">
        <f ca="1">'Reference dates (hide)'!AL210+IF($T$76&lt;&gt;"No",'Reference dates (hide)'!AL318,0)</f>
        <v>0</v>
      </c>
      <c r="AB181" s="169">
        <f ca="1">'Reference dates (hide)'!AM210+IF($T$76&lt;&gt;"No",'Reference dates (hide)'!AM318,0)</f>
        <v>0</v>
      </c>
      <c r="AC181" s="169">
        <f ca="1">'Reference dates (hide)'!AN210+IF($T$76&lt;&gt;"No",'Reference dates (hide)'!AN318,0)</f>
        <v>0</v>
      </c>
      <c r="AD181" s="169">
        <f ca="1">'Reference dates (hide)'!AO210+IF($T$76&lt;&gt;"No",'Reference dates (hide)'!AO318,0)</f>
        <v>0</v>
      </c>
      <c r="AE181" s="169">
        <f ca="1">'Reference dates (hide)'!AP210+IF($T$76&lt;&gt;"No",'Reference dates (hide)'!AP318,0)</f>
        <v>0</v>
      </c>
      <c r="AF181" s="169">
        <f ca="1">'Reference dates (hide)'!AQ210+IF($T$76&lt;&gt;"No",'Reference dates (hide)'!AQ318,0)</f>
        <v>0</v>
      </c>
      <c r="AG181" s="169">
        <f t="shared" ref="AG181" ca="1" si="22">SUM(U181:AF181)</f>
        <v>0</v>
      </c>
    </row>
    <row r="182" spans="19:33" hidden="1" x14ac:dyDescent="0.25">
      <c r="S182" s="292"/>
      <c r="T182" s="177" t="s">
        <v>1317</v>
      </c>
      <c r="U182" s="169">
        <f ca="1">'Reference dates (hide)'!AF211+IF($T$76&lt;&gt;"No",'Reference dates (hide)'!AF319,0)</f>
        <v>0</v>
      </c>
      <c r="V182" s="169">
        <f ca="1">'Reference dates (hide)'!AG211+IF($T$76&lt;&gt;"No",'Reference dates (hide)'!AG319,0)</f>
        <v>0</v>
      </c>
      <c r="W182" s="169">
        <f ca="1">'Reference dates (hide)'!AH211+IF($T$76&lt;&gt;"No",'Reference dates (hide)'!AH319,0)</f>
        <v>0</v>
      </c>
      <c r="X182" s="169">
        <f ca="1">'Reference dates (hide)'!AI211+IF($T$76&lt;&gt;"No",'Reference dates (hide)'!AI319,0)</f>
        <v>0</v>
      </c>
      <c r="Y182" s="169">
        <f ca="1">'Reference dates (hide)'!AJ211+IF($T$76&lt;&gt;"No",'Reference dates (hide)'!AJ319,0)</f>
        <v>0</v>
      </c>
      <c r="Z182" s="169">
        <f ca="1">'Reference dates (hide)'!AK211+IF($T$76&lt;&gt;"No",'Reference dates (hide)'!AK319,0)</f>
        <v>0</v>
      </c>
      <c r="AA182" s="169">
        <f ca="1">'Reference dates (hide)'!AL211+IF($T$76&lt;&gt;"No",'Reference dates (hide)'!AL319,0)</f>
        <v>0</v>
      </c>
      <c r="AB182" s="169">
        <f ca="1">'Reference dates (hide)'!AM211+IF($T$76&lt;&gt;"No",'Reference dates (hide)'!AM319,0)</f>
        <v>0</v>
      </c>
      <c r="AC182" s="169">
        <f ca="1">'Reference dates (hide)'!AN211+IF($T$76&lt;&gt;"No",'Reference dates (hide)'!AN319,0)</f>
        <v>0</v>
      </c>
      <c r="AD182" s="169">
        <f ca="1">'Reference dates (hide)'!AO211+IF($T$76&lt;&gt;"No",'Reference dates (hide)'!AO319,0)</f>
        <v>0</v>
      </c>
      <c r="AE182" s="169">
        <f ca="1">'Reference dates (hide)'!AP211+IF($T$76&lt;&gt;"No",'Reference dates (hide)'!AP319,0)</f>
        <v>0</v>
      </c>
      <c r="AF182" s="169">
        <f ca="1">'Reference dates (hide)'!AQ211+IF($T$76&lt;&gt;"No",'Reference dates (hide)'!AQ319,0)</f>
        <v>0</v>
      </c>
      <c r="AG182" s="169">
        <f t="shared" ca="1" si="16"/>
        <v>0</v>
      </c>
    </row>
    <row r="183" spans="19:33" hidden="1" x14ac:dyDescent="0.25">
      <c r="S183" s="292"/>
      <c r="T183" s="161" t="s">
        <v>818</v>
      </c>
      <c r="U183" s="169">
        <f ca="1">'Reference dates (hide)'!AF212+IF($T$76&lt;&gt;"No",'Reference dates (hide)'!AF320,0)</f>
        <v>0</v>
      </c>
      <c r="V183" s="169">
        <f ca="1">'Reference dates (hide)'!AG212+IF($T$76&lt;&gt;"No",'Reference dates (hide)'!AG320,0)</f>
        <v>0</v>
      </c>
      <c r="W183" s="169">
        <f ca="1">'Reference dates (hide)'!AH212+IF($T$76&lt;&gt;"No",'Reference dates (hide)'!AH320,0)</f>
        <v>0</v>
      </c>
      <c r="X183" s="169">
        <f ca="1">'Reference dates (hide)'!AI212+IF($T$76&lt;&gt;"No",'Reference dates (hide)'!AI320,0)</f>
        <v>0</v>
      </c>
      <c r="Y183" s="169">
        <f ca="1">'Reference dates (hide)'!AJ212+IF($T$76&lt;&gt;"No",'Reference dates (hide)'!AJ320,0)</f>
        <v>0</v>
      </c>
      <c r="Z183" s="169">
        <f ca="1">'Reference dates (hide)'!AK212+IF($T$76&lt;&gt;"No",'Reference dates (hide)'!AK320,0)</f>
        <v>0</v>
      </c>
      <c r="AA183" s="169">
        <f ca="1">'Reference dates (hide)'!AL212+IF($T$76&lt;&gt;"No",'Reference dates (hide)'!AL320,0)</f>
        <v>0</v>
      </c>
      <c r="AB183" s="169">
        <f ca="1">'Reference dates (hide)'!AM212+IF($T$76&lt;&gt;"No",'Reference dates (hide)'!AM320,0)</f>
        <v>0</v>
      </c>
      <c r="AC183" s="169">
        <f ca="1">'Reference dates (hide)'!AN212+IF($T$76&lt;&gt;"No",'Reference dates (hide)'!AN320,0)</f>
        <v>0</v>
      </c>
      <c r="AD183" s="169">
        <f ca="1">'Reference dates (hide)'!AO212+IF($T$76&lt;&gt;"No",'Reference dates (hide)'!AO320,0)</f>
        <v>0</v>
      </c>
      <c r="AE183" s="169">
        <f ca="1">'Reference dates (hide)'!AP212+IF($T$76&lt;&gt;"No",'Reference dates (hide)'!AP320,0)</f>
        <v>0</v>
      </c>
      <c r="AF183" s="169">
        <f ca="1">'Reference dates (hide)'!AQ212+IF($T$76&lt;&gt;"No",'Reference dates (hide)'!AQ320,0)</f>
        <v>0</v>
      </c>
      <c r="AG183" s="169">
        <f t="shared" ca="1" si="16"/>
        <v>0</v>
      </c>
    </row>
    <row r="184" spans="19:33" hidden="1" x14ac:dyDescent="0.25">
      <c r="S184" s="292"/>
      <c r="T184" s="177" t="s">
        <v>842</v>
      </c>
      <c r="U184" s="169">
        <f ca="1">'Reference dates (hide)'!AF213+IF($T$76&lt;&gt;"No",'Reference dates (hide)'!AF321,0)</f>
        <v>0</v>
      </c>
      <c r="V184" s="169">
        <f ca="1">'Reference dates (hide)'!AG213+IF($T$76&lt;&gt;"No",'Reference dates (hide)'!AG321,0)</f>
        <v>0</v>
      </c>
      <c r="W184" s="169">
        <f ca="1">'Reference dates (hide)'!AH213+IF($T$76&lt;&gt;"No",'Reference dates (hide)'!AH321,0)</f>
        <v>0</v>
      </c>
      <c r="X184" s="169">
        <f ca="1">'Reference dates (hide)'!AI213+IF($T$76&lt;&gt;"No",'Reference dates (hide)'!AI321,0)</f>
        <v>0</v>
      </c>
      <c r="Y184" s="169">
        <f ca="1">'Reference dates (hide)'!AJ213+IF($T$76&lt;&gt;"No",'Reference dates (hide)'!AJ321,0)</f>
        <v>0</v>
      </c>
      <c r="Z184" s="169">
        <f ca="1">'Reference dates (hide)'!AK213+IF($T$76&lt;&gt;"No",'Reference dates (hide)'!AK321,0)</f>
        <v>0</v>
      </c>
      <c r="AA184" s="169">
        <f ca="1">'Reference dates (hide)'!AL213+IF($T$76&lt;&gt;"No",'Reference dates (hide)'!AL321,0)</f>
        <v>0</v>
      </c>
      <c r="AB184" s="169">
        <f ca="1">'Reference dates (hide)'!AM213+IF($T$76&lt;&gt;"No",'Reference dates (hide)'!AM321,0)</f>
        <v>0</v>
      </c>
      <c r="AC184" s="169">
        <f ca="1">'Reference dates (hide)'!AN213+IF($T$76&lt;&gt;"No",'Reference dates (hide)'!AN321,0)</f>
        <v>0</v>
      </c>
      <c r="AD184" s="169">
        <f ca="1">'Reference dates (hide)'!AO213+IF($T$76&lt;&gt;"No",'Reference dates (hide)'!AO321,0)</f>
        <v>0</v>
      </c>
      <c r="AE184" s="169">
        <f ca="1">'Reference dates (hide)'!AP213+IF($T$76&lt;&gt;"No",'Reference dates (hide)'!AP321,0)</f>
        <v>0</v>
      </c>
      <c r="AF184" s="169">
        <f ca="1">'Reference dates (hide)'!AQ213+IF($T$76&lt;&gt;"No",'Reference dates (hide)'!AQ321,0)</f>
        <v>0</v>
      </c>
      <c r="AG184" s="169">
        <f t="shared" ca="1" si="16"/>
        <v>0</v>
      </c>
    </row>
    <row r="185" spans="19:33" hidden="1" x14ac:dyDescent="0.25">
      <c r="S185" s="292"/>
      <c r="T185" s="161" t="s">
        <v>839</v>
      </c>
      <c r="U185" s="169">
        <f ca="1">'Reference dates (hide)'!AF214+IF($T$76&lt;&gt;"No",'Reference dates (hide)'!AF322,0)</f>
        <v>0</v>
      </c>
      <c r="V185" s="169">
        <f ca="1">'Reference dates (hide)'!AG214+IF($T$76&lt;&gt;"No",'Reference dates (hide)'!AG322,0)</f>
        <v>0</v>
      </c>
      <c r="W185" s="169">
        <f ca="1">'Reference dates (hide)'!AH214+IF($T$76&lt;&gt;"No",'Reference dates (hide)'!AH322,0)</f>
        <v>0</v>
      </c>
      <c r="X185" s="169">
        <f ca="1">'Reference dates (hide)'!AI214+IF($T$76&lt;&gt;"No",'Reference dates (hide)'!AI322,0)</f>
        <v>0</v>
      </c>
      <c r="Y185" s="169">
        <f ca="1">'Reference dates (hide)'!AJ214+IF($T$76&lt;&gt;"No",'Reference dates (hide)'!AJ322,0)</f>
        <v>0</v>
      </c>
      <c r="Z185" s="169">
        <f ca="1">'Reference dates (hide)'!AK214+IF($T$76&lt;&gt;"No",'Reference dates (hide)'!AK322,0)</f>
        <v>0</v>
      </c>
      <c r="AA185" s="169">
        <f ca="1">'Reference dates (hide)'!AL214+IF($T$76&lt;&gt;"No",'Reference dates (hide)'!AL322,0)</f>
        <v>0</v>
      </c>
      <c r="AB185" s="169">
        <f ca="1">'Reference dates (hide)'!AM214+IF($T$76&lt;&gt;"No",'Reference dates (hide)'!AM322,0)</f>
        <v>0</v>
      </c>
      <c r="AC185" s="169">
        <f ca="1">'Reference dates (hide)'!AN214+IF($T$76&lt;&gt;"No",'Reference dates (hide)'!AN322,0)</f>
        <v>0</v>
      </c>
      <c r="AD185" s="169">
        <f ca="1">'Reference dates (hide)'!AO214+IF($T$76&lt;&gt;"No",'Reference dates (hide)'!AO322,0)</f>
        <v>0</v>
      </c>
      <c r="AE185" s="169">
        <f ca="1">'Reference dates (hide)'!AP214+IF($T$76&lt;&gt;"No",'Reference dates (hide)'!AP322,0)</f>
        <v>0</v>
      </c>
      <c r="AF185" s="169">
        <f ca="1">'Reference dates (hide)'!AQ214+IF($T$76&lt;&gt;"No",'Reference dates (hide)'!AQ322,0)</f>
        <v>0</v>
      </c>
      <c r="AG185" s="169">
        <f t="shared" ca="1" si="16"/>
        <v>0</v>
      </c>
    </row>
    <row r="186" spans="19:33" hidden="1" x14ac:dyDescent="0.25">
      <c r="S186" s="1"/>
      <c r="U186" s="8"/>
      <c r="V186" s="8"/>
      <c r="W186" s="8"/>
      <c r="X186" s="8"/>
      <c r="Y186" s="8"/>
      <c r="Z186" s="8"/>
      <c r="AA186" s="8"/>
      <c r="AB186" s="8"/>
      <c r="AC186" s="8"/>
      <c r="AD186" s="8"/>
      <c r="AE186" s="8"/>
      <c r="AF186" s="8"/>
      <c r="AG186" s="8"/>
    </row>
    <row r="187" spans="19:33" hidden="1" x14ac:dyDescent="0.25">
      <c r="S187" s="292" t="str">
        <f>'Data files'!A33</f>
        <v xml:space="preserve">18. </v>
      </c>
      <c r="T187" s="161" t="s">
        <v>815</v>
      </c>
      <c r="U187" s="169">
        <f ca="1">'Reference dates (hide)'!AF215+IF($T$76&lt;&gt;"No",'Reference dates (hide)'!AF323,0)</f>
        <v>0</v>
      </c>
      <c r="V187" s="169">
        <f ca="1">'Reference dates (hide)'!AG215+IF($T$76&lt;&gt;"No",'Reference dates (hide)'!AG323,0)</f>
        <v>0</v>
      </c>
      <c r="W187" s="169">
        <f ca="1">'Reference dates (hide)'!AH215+IF($T$76&lt;&gt;"No",'Reference dates (hide)'!AH323,0)</f>
        <v>0</v>
      </c>
      <c r="X187" s="169">
        <f ca="1">'Reference dates (hide)'!AI215+IF($T$76&lt;&gt;"No",'Reference dates (hide)'!AI323,0)</f>
        <v>0</v>
      </c>
      <c r="Y187" s="169">
        <f ca="1">'Reference dates (hide)'!AJ215+IF($T$76&lt;&gt;"No",'Reference dates (hide)'!AJ323,0)</f>
        <v>0</v>
      </c>
      <c r="Z187" s="169">
        <f ca="1">'Reference dates (hide)'!AK215+IF($T$76&lt;&gt;"No",'Reference dates (hide)'!AK323,0)</f>
        <v>0</v>
      </c>
      <c r="AA187" s="169">
        <f ca="1">'Reference dates (hide)'!AL215+IF($T$76&lt;&gt;"No",'Reference dates (hide)'!AL323,0)</f>
        <v>0</v>
      </c>
      <c r="AB187" s="169">
        <f ca="1">'Reference dates (hide)'!AM215+IF($T$76&lt;&gt;"No",'Reference dates (hide)'!AM323,0)</f>
        <v>0</v>
      </c>
      <c r="AC187" s="169">
        <f ca="1">'Reference dates (hide)'!AN215+IF($T$76&lt;&gt;"No",'Reference dates (hide)'!AN323,0)</f>
        <v>0</v>
      </c>
      <c r="AD187" s="169">
        <f ca="1">'Reference dates (hide)'!AO215+IF($T$76&lt;&gt;"No",'Reference dates (hide)'!AO323,0)</f>
        <v>0</v>
      </c>
      <c r="AE187" s="169">
        <f ca="1">'Reference dates (hide)'!AP215+IF($T$76&lt;&gt;"No",'Reference dates (hide)'!AP323,0)</f>
        <v>0</v>
      </c>
      <c r="AF187" s="169">
        <f ca="1">'Reference dates (hide)'!AQ215+IF($T$76&lt;&gt;"No",'Reference dates (hide)'!AQ323,0)</f>
        <v>0</v>
      </c>
      <c r="AG187" s="169">
        <f t="shared" ref="AG187" ca="1" si="23">SUM(U187:AF187)</f>
        <v>0</v>
      </c>
    </row>
    <row r="188" spans="19:33" hidden="1" x14ac:dyDescent="0.25">
      <c r="S188" s="292"/>
      <c r="T188" s="177" t="s">
        <v>1317</v>
      </c>
      <c r="U188" s="169">
        <f ca="1">'Reference dates (hide)'!AF216+IF($T$76&lt;&gt;"No",'Reference dates (hide)'!AF324,0)</f>
        <v>0</v>
      </c>
      <c r="V188" s="169">
        <f ca="1">'Reference dates (hide)'!AG216+IF($T$76&lt;&gt;"No",'Reference dates (hide)'!AG324,0)</f>
        <v>0</v>
      </c>
      <c r="W188" s="169">
        <f ca="1">'Reference dates (hide)'!AH216+IF($T$76&lt;&gt;"No",'Reference dates (hide)'!AH324,0)</f>
        <v>0</v>
      </c>
      <c r="X188" s="169">
        <f ca="1">'Reference dates (hide)'!AI216+IF($T$76&lt;&gt;"No",'Reference dates (hide)'!AI324,0)</f>
        <v>0</v>
      </c>
      <c r="Y188" s="169">
        <f ca="1">'Reference dates (hide)'!AJ216+IF($T$76&lt;&gt;"No",'Reference dates (hide)'!AJ324,0)</f>
        <v>0</v>
      </c>
      <c r="Z188" s="169">
        <f ca="1">'Reference dates (hide)'!AK216+IF($T$76&lt;&gt;"No",'Reference dates (hide)'!AK324,0)</f>
        <v>0</v>
      </c>
      <c r="AA188" s="169">
        <f ca="1">'Reference dates (hide)'!AL216+IF($T$76&lt;&gt;"No",'Reference dates (hide)'!AL324,0)</f>
        <v>0</v>
      </c>
      <c r="AB188" s="169">
        <f ca="1">'Reference dates (hide)'!AM216+IF($T$76&lt;&gt;"No",'Reference dates (hide)'!AM324,0)</f>
        <v>0</v>
      </c>
      <c r="AC188" s="169">
        <f ca="1">'Reference dates (hide)'!AN216+IF($T$76&lt;&gt;"No",'Reference dates (hide)'!AN324,0)</f>
        <v>0</v>
      </c>
      <c r="AD188" s="169">
        <f ca="1">'Reference dates (hide)'!AO216+IF($T$76&lt;&gt;"No",'Reference dates (hide)'!AO324,0)</f>
        <v>0</v>
      </c>
      <c r="AE188" s="169">
        <f ca="1">'Reference dates (hide)'!AP216+IF($T$76&lt;&gt;"No",'Reference dates (hide)'!AP324,0)</f>
        <v>0</v>
      </c>
      <c r="AF188" s="169">
        <f ca="1">'Reference dates (hide)'!AQ216+IF($T$76&lt;&gt;"No",'Reference dates (hide)'!AQ324,0)</f>
        <v>0</v>
      </c>
      <c r="AG188" s="169">
        <f t="shared" ca="1" si="16"/>
        <v>0</v>
      </c>
    </row>
    <row r="189" spans="19:33" hidden="1" x14ac:dyDescent="0.25">
      <c r="S189" s="292"/>
      <c r="T189" s="161" t="s">
        <v>818</v>
      </c>
      <c r="U189" s="169">
        <f ca="1">'Reference dates (hide)'!AF217+IF($T$76&lt;&gt;"No",'Reference dates (hide)'!AF325,0)</f>
        <v>0</v>
      </c>
      <c r="V189" s="169">
        <f ca="1">'Reference dates (hide)'!AG217+IF($T$76&lt;&gt;"No",'Reference dates (hide)'!AG325,0)</f>
        <v>0</v>
      </c>
      <c r="W189" s="169">
        <f ca="1">'Reference dates (hide)'!AH217+IF($T$76&lt;&gt;"No",'Reference dates (hide)'!AH325,0)</f>
        <v>0</v>
      </c>
      <c r="X189" s="169">
        <f ca="1">'Reference dates (hide)'!AI217+IF($T$76&lt;&gt;"No",'Reference dates (hide)'!AI325,0)</f>
        <v>0</v>
      </c>
      <c r="Y189" s="169">
        <f ca="1">'Reference dates (hide)'!AJ217+IF($T$76&lt;&gt;"No",'Reference dates (hide)'!AJ325,0)</f>
        <v>0</v>
      </c>
      <c r="Z189" s="169">
        <f ca="1">'Reference dates (hide)'!AK217+IF($T$76&lt;&gt;"No",'Reference dates (hide)'!AK325,0)</f>
        <v>0</v>
      </c>
      <c r="AA189" s="169">
        <f ca="1">'Reference dates (hide)'!AL217+IF($T$76&lt;&gt;"No",'Reference dates (hide)'!AL325,0)</f>
        <v>0</v>
      </c>
      <c r="AB189" s="169">
        <f ca="1">'Reference dates (hide)'!AM217+IF($T$76&lt;&gt;"No",'Reference dates (hide)'!AM325,0)</f>
        <v>0</v>
      </c>
      <c r="AC189" s="169">
        <f ca="1">'Reference dates (hide)'!AN217+IF($T$76&lt;&gt;"No",'Reference dates (hide)'!AN325,0)</f>
        <v>0</v>
      </c>
      <c r="AD189" s="169">
        <f ca="1">'Reference dates (hide)'!AO217+IF($T$76&lt;&gt;"No",'Reference dates (hide)'!AO325,0)</f>
        <v>0</v>
      </c>
      <c r="AE189" s="169">
        <f ca="1">'Reference dates (hide)'!AP217+IF($T$76&lt;&gt;"No",'Reference dates (hide)'!AP325,0)</f>
        <v>0</v>
      </c>
      <c r="AF189" s="169">
        <f ca="1">'Reference dates (hide)'!AQ217+IF($T$76&lt;&gt;"No",'Reference dates (hide)'!AQ325,0)</f>
        <v>0</v>
      </c>
      <c r="AG189" s="169">
        <f t="shared" ca="1" si="16"/>
        <v>0</v>
      </c>
    </row>
    <row r="190" spans="19:33" hidden="1" x14ac:dyDescent="0.25">
      <c r="S190" s="292"/>
      <c r="T190" s="177" t="s">
        <v>842</v>
      </c>
      <c r="U190" s="169">
        <f ca="1">'Reference dates (hide)'!AF218+IF($T$76&lt;&gt;"No",'Reference dates (hide)'!AF326,0)</f>
        <v>0</v>
      </c>
      <c r="V190" s="169">
        <f ca="1">'Reference dates (hide)'!AG218+IF($T$76&lt;&gt;"No",'Reference dates (hide)'!AG326,0)</f>
        <v>0</v>
      </c>
      <c r="W190" s="169">
        <f ca="1">'Reference dates (hide)'!AH218+IF($T$76&lt;&gt;"No",'Reference dates (hide)'!AH326,0)</f>
        <v>0</v>
      </c>
      <c r="X190" s="169">
        <f ca="1">'Reference dates (hide)'!AI218+IF($T$76&lt;&gt;"No",'Reference dates (hide)'!AI326,0)</f>
        <v>0</v>
      </c>
      <c r="Y190" s="169">
        <f ca="1">'Reference dates (hide)'!AJ218+IF($T$76&lt;&gt;"No",'Reference dates (hide)'!AJ326,0)</f>
        <v>0</v>
      </c>
      <c r="Z190" s="169">
        <f ca="1">'Reference dates (hide)'!AK218+IF($T$76&lt;&gt;"No",'Reference dates (hide)'!AK326,0)</f>
        <v>0</v>
      </c>
      <c r="AA190" s="169">
        <f ca="1">'Reference dates (hide)'!AL218+IF($T$76&lt;&gt;"No",'Reference dates (hide)'!AL326,0)</f>
        <v>0</v>
      </c>
      <c r="AB190" s="169">
        <f ca="1">'Reference dates (hide)'!AM218+IF($T$76&lt;&gt;"No",'Reference dates (hide)'!AM326,0)</f>
        <v>0</v>
      </c>
      <c r="AC190" s="169">
        <f ca="1">'Reference dates (hide)'!AN218+IF($T$76&lt;&gt;"No",'Reference dates (hide)'!AN326,0)</f>
        <v>0</v>
      </c>
      <c r="AD190" s="169">
        <f ca="1">'Reference dates (hide)'!AO218+IF($T$76&lt;&gt;"No",'Reference dates (hide)'!AO326,0)</f>
        <v>0</v>
      </c>
      <c r="AE190" s="169">
        <f ca="1">'Reference dates (hide)'!AP218+IF($T$76&lt;&gt;"No",'Reference dates (hide)'!AP326,0)</f>
        <v>0</v>
      </c>
      <c r="AF190" s="169">
        <f ca="1">'Reference dates (hide)'!AQ218+IF($T$76&lt;&gt;"No",'Reference dates (hide)'!AQ326,0)</f>
        <v>0</v>
      </c>
      <c r="AG190" s="169">
        <f t="shared" ca="1" si="16"/>
        <v>0</v>
      </c>
    </row>
    <row r="191" spans="19:33" hidden="1" x14ac:dyDescent="0.25">
      <c r="S191" s="292"/>
      <c r="T191" s="161" t="s">
        <v>839</v>
      </c>
      <c r="U191" s="169">
        <f ca="1">'Reference dates (hide)'!AF219+IF($T$76&lt;&gt;"No",'Reference dates (hide)'!AF327,0)</f>
        <v>0</v>
      </c>
      <c r="V191" s="169">
        <f ca="1">'Reference dates (hide)'!AG219+IF($T$76&lt;&gt;"No",'Reference dates (hide)'!AG327,0)</f>
        <v>0</v>
      </c>
      <c r="W191" s="169">
        <f ca="1">'Reference dates (hide)'!AH219+IF($T$76&lt;&gt;"No",'Reference dates (hide)'!AH327,0)</f>
        <v>0</v>
      </c>
      <c r="X191" s="169">
        <f ca="1">'Reference dates (hide)'!AI219+IF($T$76&lt;&gt;"No",'Reference dates (hide)'!AI327,0)</f>
        <v>0</v>
      </c>
      <c r="Y191" s="169">
        <f ca="1">'Reference dates (hide)'!AJ219+IF($T$76&lt;&gt;"No",'Reference dates (hide)'!AJ327,0)</f>
        <v>0</v>
      </c>
      <c r="Z191" s="169">
        <f ca="1">'Reference dates (hide)'!AK219+IF($T$76&lt;&gt;"No",'Reference dates (hide)'!AK327,0)</f>
        <v>0</v>
      </c>
      <c r="AA191" s="169">
        <f ca="1">'Reference dates (hide)'!AL219+IF($T$76&lt;&gt;"No",'Reference dates (hide)'!AL327,0)</f>
        <v>0</v>
      </c>
      <c r="AB191" s="169">
        <f ca="1">'Reference dates (hide)'!AM219+IF($T$76&lt;&gt;"No",'Reference dates (hide)'!AM327,0)</f>
        <v>0</v>
      </c>
      <c r="AC191" s="169">
        <f ca="1">'Reference dates (hide)'!AN219+IF($T$76&lt;&gt;"No",'Reference dates (hide)'!AN327,0)</f>
        <v>0</v>
      </c>
      <c r="AD191" s="169">
        <f ca="1">'Reference dates (hide)'!AO219+IF($T$76&lt;&gt;"No",'Reference dates (hide)'!AO327,0)</f>
        <v>0</v>
      </c>
      <c r="AE191" s="169">
        <f ca="1">'Reference dates (hide)'!AP219+IF($T$76&lt;&gt;"No",'Reference dates (hide)'!AP327,0)</f>
        <v>0</v>
      </c>
      <c r="AF191" s="169">
        <f ca="1">'Reference dates (hide)'!AQ219+IF($T$76&lt;&gt;"No",'Reference dates (hide)'!AQ327,0)</f>
        <v>0</v>
      </c>
      <c r="AG191" s="169">
        <f t="shared" ca="1" si="16"/>
        <v>0</v>
      </c>
    </row>
    <row r="192" spans="19:33" hidden="1" x14ac:dyDescent="0.25">
      <c r="S192" s="1"/>
      <c r="U192" s="8"/>
      <c r="V192" s="8"/>
      <c r="W192" s="8"/>
      <c r="X192" s="8"/>
      <c r="Y192" s="8"/>
      <c r="Z192" s="8"/>
      <c r="AA192" s="8"/>
      <c r="AB192" s="8"/>
      <c r="AC192" s="8"/>
      <c r="AD192" s="8"/>
      <c r="AE192" s="8"/>
      <c r="AF192" s="8"/>
      <c r="AG192" s="8"/>
    </row>
    <row r="193" spans="19:33" hidden="1" x14ac:dyDescent="0.25">
      <c r="S193" s="292" t="str">
        <f>'Data files'!A34</f>
        <v xml:space="preserve">19. </v>
      </c>
      <c r="T193" s="161" t="s">
        <v>815</v>
      </c>
      <c r="U193" s="169">
        <f ca="1">'Reference dates (hide)'!AF220+IF($T$76&lt;&gt;"No",'Reference dates (hide)'!AF328,0)</f>
        <v>0</v>
      </c>
      <c r="V193" s="169">
        <f ca="1">'Reference dates (hide)'!AG220+IF($T$76&lt;&gt;"No",'Reference dates (hide)'!AG328,0)</f>
        <v>0</v>
      </c>
      <c r="W193" s="169">
        <f ca="1">'Reference dates (hide)'!AH220+IF($T$76&lt;&gt;"No",'Reference dates (hide)'!AH328,0)</f>
        <v>0</v>
      </c>
      <c r="X193" s="169">
        <f ca="1">'Reference dates (hide)'!AI220+IF($T$76&lt;&gt;"No",'Reference dates (hide)'!AI328,0)</f>
        <v>0</v>
      </c>
      <c r="Y193" s="169">
        <f ca="1">'Reference dates (hide)'!AJ220+IF($T$76&lt;&gt;"No",'Reference dates (hide)'!AJ328,0)</f>
        <v>0</v>
      </c>
      <c r="Z193" s="169">
        <f ca="1">'Reference dates (hide)'!AK220+IF($T$76&lt;&gt;"No",'Reference dates (hide)'!AK328,0)</f>
        <v>0</v>
      </c>
      <c r="AA193" s="169">
        <f ca="1">'Reference dates (hide)'!AL220+IF($T$76&lt;&gt;"No",'Reference dates (hide)'!AL328,0)</f>
        <v>0</v>
      </c>
      <c r="AB193" s="169">
        <f ca="1">'Reference dates (hide)'!AM220+IF($T$76&lt;&gt;"No",'Reference dates (hide)'!AM328,0)</f>
        <v>0</v>
      </c>
      <c r="AC193" s="169">
        <f ca="1">'Reference dates (hide)'!AN220+IF($T$76&lt;&gt;"No",'Reference dates (hide)'!AN328,0)</f>
        <v>0</v>
      </c>
      <c r="AD193" s="169">
        <f ca="1">'Reference dates (hide)'!AO220+IF($T$76&lt;&gt;"No",'Reference dates (hide)'!AO328,0)</f>
        <v>0</v>
      </c>
      <c r="AE193" s="169">
        <f ca="1">'Reference dates (hide)'!AP220+IF($T$76&lt;&gt;"No",'Reference dates (hide)'!AP328,0)</f>
        <v>0</v>
      </c>
      <c r="AF193" s="169">
        <f ca="1">'Reference dates (hide)'!AQ220+IF($T$76&lt;&gt;"No",'Reference dates (hide)'!AQ328,0)</f>
        <v>0</v>
      </c>
      <c r="AG193" s="169">
        <f t="shared" ref="AG193" ca="1" si="24">SUM(U193:AF193)</f>
        <v>0</v>
      </c>
    </row>
    <row r="194" spans="19:33" hidden="1" x14ac:dyDescent="0.25">
      <c r="S194" s="292"/>
      <c r="T194" s="177" t="s">
        <v>1317</v>
      </c>
      <c r="U194" s="169">
        <f ca="1">'Reference dates (hide)'!AF221+IF($T$76&lt;&gt;"No",'Reference dates (hide)'!AF329,0)</f>
        <v>0</v>
      </c>
      <c r="V194" s="169">
        <f ca="1">'Reference dates (hide)'!AG221+IF($T$76&lt;&gt;"No",'Reference dates (hide)'!AG329,0)</f>
        <v>0</v>
      </c>
      <c r="W194" s="169">
        <f ca="1">'Reference dates (hide)'!AH221+IF($T$76&lt;&gt;"No",'Reference dates (hide)'!AH329,0)</f>
        <v>0</v>
      </c>
      <c r="X194" s="169">
        <f ca="1">'Reference dates (hide)'!AI221+IF($T$76&lt;&gt;"No",'Reference dates (hide)'!AI329,0)</f>
        <v>0</v>
      </c>
      <c r="Y194" s="169">
        <f ca="1">'Reference dates (hide)'!AJ221+IF($T$76&lt;&gt;"No",'Reference dates (hide)'!AJ329,0)</f>
        <v>0</v>
      </c>
      <c r="Z194" s="169">
        <f ca="1">'Reference dates (hide)'!AK221+IF($T$76&lt;&gt;"No",'Reference dates (hide)'!AK329,0)</f>
        <v>0</v>
      </c>
      <c r="AA194" s="169">
        <f ca="1">'Reference dates (hide)'!AL221+IF($T$76&lt;&gt;"No",'Reference dates (hide)'!AL329,0)</f>
        <v>0</v>
      </c>
      <c r="AB194" s="169">
        <f ca="1">'Reference dates (hide)'!AM221+IF($T$76&lt;&gt;"No",'Reference dates (hide)'!AM329,0)</f>
        <v>0</v>
      </c>
      <c r="AC194" s="169">
        <f ca="1">'Reference dates (hide)'!AN221+IF($T$76&lt;&gt;"No",'Reference dates (hide)'!AN329,0)</f>
        <v>0</v>
      </c>
      <c r="AD194" s="169">
        <f ca="1">'Reference dates (hide)'!AO221+IF($T$76&lt;&gt;"No",'Reference dates (hide)'!AO329,0)</f>
        <v>0</v>
      </c>
      <c r="AE194" s="169">
        <f ca="1">'Reference dates (hide)'!AP221+IF($T$76&lt;&gt;"No",'Reference dates (hide)'!AP329,0)</f>
        <v>0</v>
      </c>
      <c r="AF194" s="169">
        <f ca="1">'Reference dates (hide)'!AQ221+IF($T$76&lt;&gt;"No",'Reference dates (hide)'!AQ329,0)</f>
        <v>0</v>
      </c>
      <c r="AG194" s="169">
        <f t="shared" ca="1" si="16"/>
        <v>0</v>
      </c>
    </row>
    <row r="195" spans="19:33" hidden="1" x14ac:dyDescent="0.25">
      <c r="S195" s="292"/>
      <c r="T195" s="161" t="s">
        <v>818</v>
      </c>
      <c r="U195" s="169">
        <f ca="1">'Reference dates (hide)'!AF222+IF($T$76&lt;&gt;"No",'Reference dates (hide)'!AF330,0)</f>
        <v>0</v>
      </c>
      <c r="V195" s="169">
        <f ca="1">'Reference dates (hide)'!AG222+IF($T$76&lt;&gt;"No",'Reference dates (hide)'!AG330,0)</f>
        <v>0</v>
      </c>
      <c r="W195" s="169">
        <f ca="1">'Reference dates (hide)'!AH222+IF($T$76&lt;&gt;"No",'Reference dates (hide)'!AH330,0)</f>
        <v>0</v>
      </c>
      <c r="X195" s="169">
        <f ca="1">'Reference dates (hide)'!AI222+IF($T$76&lt;&gt;"No",'Reference dates (hide)'!AI330,0)</f>
        <v>0</v>
      </c>
      <c r="Y195" s="169">
        <f ca="1">'Reference dates (hide)'!AJ222+IF($T$76&lt;&gt;"No",'Reference dates (hide)'!AJ330,0)</f>
        <v>0</v>
      </c>
      <c r="Z195" s="169">
        <f ca="1">'Reference dates (hide)'!AK222+IF($T$76&lt;&gt;"No",'Reference dates (hide)'!AK330,0)</f>
        <v>0</v>
      </c>
      <c r="AA195" s="169">
        <f ca="1">'Reference dates (hide)'!AL222+IF($T$76&lt;&gt;"No",'Reference dates (hide)'!AL330,0)</f>
        <v>0</v>
      </c>
      <c r="AB195" s="169">
        <f ca="1">'Reference dates (hide)'!AM222+IF($T$76&lt;&gt;"No",'Reference dates (hide)'!AM330,0)</f>
        <v>0</v>
      </c>
      <c r="AC195" s="169">
        <f ca="1">'Reference dates (hide)'!AN222+IF($T$76&lt;&gt;"No",'Reference dates (hide)'!AN330,0)</f>
        <v>0</v>
      </c>
      <c r="AD195" s="169">
        <f ca="1">'Reference dates (hide)'!AO222+IF($T$76&lt;&gt;"No",'Reference dates (hide)'!AO330,0)</f>
        <v>0</v>
      </c>
      <c r="AE195" s="169">
        <f ca="1">'Reference dates (hide)'!AP222+IF($T$76&lt;&gt;"No",'Reference dates (hide)'!AP330,0)</f>
        <v>0</v>
      </c>
      <c r="AF195" s="169">
        <f ca="1">'Reference dates (hide)'!AQ222+IF($T$76&lt;&gt;"No",'Reference dates (hide)'!AQ330,0)</f>
        <v>0</v>
      </c>
      <c r="AG195" s="169">
        <f t="shared" ca="1" si="16"/>
        <v>0</v>
      </c>
    </row>
    <row r="196" spans="19:33" hidden="1" x14ac:dyDescent="0.25">
      <c r="S196" s="292"/>
      <c r="T196" s="177" t="s">
        <v>842</v>
      </c>
      <c r="U196" s="169">
        <f ca="1">'Reference dates (hide)'!AF223+IF($T$76&lt;&gt;"No",'Reference dates (hide)'!AF331,0)</f>
        <v>0</v>
      </c>
      <c r="V196" s="169">
        <f ca="1">'Reference dates (hide)'!AG223+IF($T$76&lt;&gt;"No",'Reference dates (hide)'!AG331,0)</f>
        <v>0</v>
      </c>
      <c r="W196" s="169">
        <f ca="1">'Reference dates (hide)'!AH223+IF($T$76&lt;&gt;"No",'Reference dates (hide)'!AH331,0)</f>
        <v>0</v>
      </c>
      <c r="X196" s="169">
        <f ca="1">'Reference dates (hide)'!AI223+IF($T$76&lt;&gt;"No",'Reference dates (hide)'!AI331,0)</f>
        <v>0</v>
      </c>
      <c r="Y196" s="169">
        <f ca="1">'Reference dates (hide)'!AJ223+IF($T$76&lt;&gt;"No",'Reference dates (hide)'!AJ331,0)</f>
        <v>0</v>
      </c>
      <c r="Z196" s="169">
        <f ca="1">'Reference dates (hide)'!AK223+IF($T$76&lt;&gt;"No",'Reference dates (hide)'!AK331,0)</f>
        <v>0</v>
      </c>
      <c r="AA196" s="169">
        <f ca="1">'Reference dates (hide)'!AL223+IF($T$76&lt;&gt;"No",'Reference dates (hide)'!AL331,0)</f>
        <v>0</v>
      </c>
      <c r="AB196" s="169">
        <f ca="1">'Reference dates (hide)'!AM223+IF($T$76&lt;&gt;"No",'Reference dates (hide)'!AM331,0)</f>
        <v>0</v>
      </c>
      <c r="AC196" s="169">
        <f ca="1">'Reference dates (hide)'!AN223+IF($T$76&lt;&gt;"No",'Reference dates (hide)'!AN331,0)</f>
        <v>0</v>
      </c>
      <c r="AD196" s="169">
        <f ca="1">'Reference dates (hide)'!AO223+IF($T$76&lt;&gt;"No",'Reference dates (hide)'!AO331,0)</f>
        <v>0</v>
      </c>
      <c r="AE196" s="169">
        <f ca="1">'Reference dates (hide)'!AP223+IF($T$76&lt;&gt;"No",'Reference dates (hide)'!AP331,0)</f>
        <v>0</v>
      </c>
      <c r="AF196" s="169">
        <f ca="1">'Reference dates (hide)'!AQ223+IF($T$76&lt;&gt;"No",'Reference dates (hide)'!AQ331,0)</f>
        <v>0</v>
      </c>
      <c r="AG196" s="169">
        <f t="shared" ca="1" si="16"/>
        <v>0</v>
      </c>
    </row>
    <row r="197" spans="19:33" hidden="1" x14ac:dyDescent="0.25">
      <c r="S197" s="292"/>
      <c r="T197" s="161" t="s">
        <v>839</v>
      </c>
      <c r="U197" s="169">
        <f ca="1">'Reference dates (hide)'!AF224+IF($T$76&lt;&gt;"No",'Reference dates (hide)'!AF332,0)</f>
        <v>0</v>
      </c>
      <c r="V197" s="169">
        <f ca="1">'Reference dates (hide)'!AG224+IF($T$76&lt;&gt;"No",'Reference dates (hide)'!AG332,0)</f>
        <v>0</v>
      </c>
      <c r="W197" s="169">
        <f ca="1">'Reference dates (hide)'!AH224+IF($T$76&lt;&gt;"No",'Reference dates (hide)'!AH332,0)</f>
        <v>0</v>
      </c>
      <c r="X197" s="169">
        <f ca="1">'Reference dates (hide)'!AI224+IF($T$76&lt;&gt;"No",'Reference dates (hide)'!AI332,0)</f>
        <v>0</v>
      </c>
      <c r="Y197" s="169">
        <f ca="1">'Reference dates (hide)'!AJ224+IF($T$76&lt;&gt;"No",'Reference dates (hide)'!AJ332,0)</f>
        <v>0</v>
      </c>
      <c r="Z197" s="169">
        <f ca="1">'Reference dates (hide)'!AK224+IF($T$76&lt;&gt;"No",'Reference dates (hide)'!AK332,0)</f>
        <v>0</v>
      </c>
      <c r="AA197" s="169">
        <f ca="1">'Reference dates (hide)'!AL224+IF($T$76&lt;&gt;"No",'Reference dates (hide)'!AL332,0)</f>
        <v>0</v>
      </c>
      <c r="AB197" s="169">
        <f ca="1">'Reference dates (hide)'!AM224+IF($T$76&lt;&gt;"No",'Reference dates (hide)'!AM332,0)</f>
        <v>0</v>
      </c>
      <c r="AC197" s="169">
        <f ca="1">'Reference dates (hide)'!AN224+IF($T$76&lt;&gt;"No",'Reference dates (hide)'!AN332,0)</f>
        <v>0</v>
      </c>
      <c r="AD197" s="169">
        <f ca="1">'Reference dates (hide)'!AO224+IF($T$76&lt;&gt;"No",'Reference dates (hide)'!AO332,0)</f>
        <v>0</v>
      </c>
      <c r="AE197" s="169">
        <f ca="1">'Reference dates (hide)'!AP224+IF($T$76&lt;&gt;"No",'Reference dates (hide)'!AP332,0)</f>
        <v>0</v>
      </c>
      <c r="AF197" s="169">
        <f ca="1">'Reference dates (hide)'!AQ224+IF($T$76&lt;&gt;"No",'Reference dates (hide)'!AQ332,0)</f>
        <v>0</v>
      </c>
      <c r="AG197" s="169">
        <f t="shared" ca="1" si="16"/>
        <v>0</v>
      </c>
    </row>
    <row r="198" spans="19:33" hidden="1" x14ac:dyDescent="0.25">
      <c r="S198" s="1"/>
      <c r="U198" s="8"/>
      <c r="V198" s="8"/>
      <c r="W198" s="8"/>
      <c r="X198" s="8"/>
      <c r="Y198" s="8"/>
      <c r="Z198" s="8"/>
      <c r="AA198" s="8"/>
      <c r="AB198" s="8"/>
      <c r="AC198" s="8"/>
      <c r="AD198" s="8"/>
      <c r="AE198" s="8"/>
      <c r="AF198" s="8"/>
      <c r="AG198" s="8"/>
    </row>
    <row r="199" spans="19:33" hidden="1" x14ac:dyDescent="0.25">
      <c r="S199" s="292" t="str">
        <f>'Data files'!A35</f>
        <v xml:space="preserve">20. </v>
      </c>
      <c r="T199" s="161" t="s">
        <v>815</v>
      </c>
      <c r="U199" s="222">
        <f ca="1">SUMIFS('Reference dates (hide)'!O$180:O$182,'Reference dates (hide)'!$L$180:$L$182,'Aggregate summary'!$T199)</f>
        <v>0</v>
      </c>
      <c r="V199" s="222">
        <f ca="1">SUMIFS('Reference dates (hide)'!P$180:P$182,'Reference dates (hide)'!$L$180:$L$182,'Aggregate summary'!$T199)</f>
        <v>0</v>
      </c>
      <c r="W199" s="222">
        <f ca="1">SUMIFS('Reference dates (hide)'!Q$180:Q$182,'Reference dates (hide)'!$L$180:$L$182,'Aggregate summary'!$T199)</f>
        <v>0</v>
      </c>
      <c r="X199" s="222">
        <f ca="1">SUMIFS('Reference dates (hide)'!R$180:R$182,'Reference dates (hide)'!$L$180:$L$182,'Aggregate summary'!$T199)</f>
        <v>0</v>
      </c>
      <c r="Y199" s="222">
        <f ca="1">SUMIFS('Reference dates (hide)'!S$180:S$182,'Reference dates (hide)'!$L$180:$L$182,'Aggregate summary'!$T199)</f>
        <v>0</v>
      </c>
      <c r="Z199" s="222">
        <f ca="1">SUMIFS('Reference dates (hide)'!T$180:T$182,'Reference dates (hide)'!$L$180:$L$182,'Aggregate summary'!$T199)</f>
        <v>0</v>
      </c>
      <c r="AA199" s="222">
        <f ca="1">SUMIFS('Reference dates (hide)'!U$180:U$182,'Reference dates (hide)'!$L$180:$L$182,'Aggregate summary'!$T199)</f>
        <v>0</v>
      </c>
      <c r="AB199" s="222">
        <f ca="1">SUMIFS('Reference dates (hide)'!V$180:V$182,'Reference dates (hide)'!$L$180:$L$182,'Aggregate summary'!$T199)</f>
        <v>0</v>
      </c>
      <c r="AC199" s="222">
        <f ca="1">SUMIFS('Reference dates (hide)'!W$180:W$182,'Reference dates (hide)'!$L$180:$L$182,'Aggregate summary'!$T199)</f>
        <v>0</v>
      </c>
      <c r="AD199" s="222">
        <f ca="1">SUMIFS('Reference dates (hide)'!X$180:X$182,'Reference dates (hide)'!$L$180:$L$182,'Aggregate summary'!$T199)</f>
        <v>0</v>
      </c>
      <c r="AE199" s="222">
        <f ca="1">SUMIFS('Reference dates (hide)'!Y$180:Y$182,'Reference dates (hide)'!$L$180:$L$182,'Aggregate summary'!$T199)</f>
        <v>0</v>
      </c>
      <c r="AF199" s="222">
        <f ca="1">SUMIFS('Reference dates (hide)'!Z$180:Z$182,'Reference dates (hide)'!$L$180:$L$182,'Aggregate summary'!$T199)</f>
        <v>0</v>
      </c>
      <c r="AG199" s="222">
        <f t="shared" ref="AG199" ca="1" si="25">SUM(U199:AF199)</f>
        <v>0</v>
      </c>
    </row>
    <row r="200" spans="19:33" hidden="1" x14ac:dyDescent="0.25">
      <c r="S200" s="292"/>
      <c r="T200" s="177" t="s">
        <v>1317</v>
      </c>
      <c r="U200" s="222">
        <f ca="1">SUMIFS('Reference dates (hide)'!O$180:O$182,'Reference dates (hide)'!$L$180:$L$182,'Aggregate summary'!$T200)</f>
        <v>0</v>
      </c>
      <c r="V200" s="222">
        <f ca="1">SUMIFS('Reference dates (hide)'!P$180:P$182,'Reference dates (hide)'!$L$180:$L$182,'Aggregate summary'!$T200)</f>
        <v>0</v>
      </c>
      <c r="W200" s="222">
        <f ca="1">SUMIFS('Reference dates (hide)'!Q$180:Q$182,'Reference dates (hide)'!$L$180:$L$182,'Aggregate summary'!$T200)</f>
        <v>0</v>
      </c>
      <c r="X200" s="222">
        <f ca="1">SUMIFS('Reference dates (hide)'!R$180:R$182,'Reference dates (hide)'!$L$180:$L$182,'Aggregate summary'!$T200)</f>
        <v>0</v>
      </c>
      <c r="Y200" s="222">
        <f ca="1">SUMIFS('Reference dates (hide)'!S$180:S$182,'Reference dates (hide)'!$L$180:$L$182,'Aggregate summary'!$T200)</f>
        <v>0</v>
      </c>
      <c r="Z200" s="222">
        <f ca="1">SUMIFS('Reference dates (hide)'!T$180:T$182,'Reference dates (hide)'!$L$180:$L$182,'Aggregate summary'!$T200)</f>
        <v>0</v>
      </c>
      <c r="AA200" s="222">
        <f ca="1">SUMIFS('Reference dates (hide)'!U$180:U$182,'Reference dates (hide)'!$L$180:$L$182,'Aggregate summary'!$T200)</f>
        <v>0</v>
      </c>
      <c r="AB200" s="222">
        <f ca="1">SUMIFS('Reference dates (hide)'!V$180:V$182,'Reference dates (hide)'!$L$180:$L$182,'Aggregate summary'!$T200)</f>
        <v>0</v>
      </c>
      <c r="AC200" s="222">
        <f ca="1">SUMIFS('Reference dates (hide)'!W$180:W$182,'Reference dates (hide)'!$L$180:$L$182,'Aggregate summary'!$T200)</f>
        <v>0</v>
      </c>
      <c r="AD200" s="222">
        <f ca="1">SUMIFS('Reference dates (hide)'!X$180:X$182,'Reference dates (hide)'!$L$180:$L$182,'Aggregate summary'!$T200)</f>
        <v>0</v>
      </c>
      <c r="AE200" s="222">
        <f ca="1">SUMIFS('Reference dates (hide)'!Y$180:Y$182,'Reference dates (hide)'!$L$180:$L$182,'Aggregate summary'!$T200)</f>
        <v>0</v>
      </c>
      <c r="AF200" s="222">
        <f ca="1">SUMIFS('Reference dates (hide)'!Z$180:Z$182,'Reference dates (hide)'!$L$180:$L$182,'Aggregate summary'!$T200)</f>
        <v>0</v>
      </c>
      <c r="AG200" s="222">
        <f t="shared" ca="1" si="16"/>
        <v>0</v>
      </c>
    </row>
    <row r="201" spans="19:33" hidden="1" x14ac:dyDescent="0.25">
      <c r="S201" s="292"/>
      <c r="T201" s="161" t="s">
        <v>818</v>
      </c>
      <c r="U201" s="222">
        <f ca="1">SUMIFS('Reference dates (hide)'!O$180:O$182,'Reference dates (hide)'!$L$180:$L$182,'Aggregate summary'!$T201)</f>
        <v>0</v>
      </c>
      <c r="V201" s="222">
        <f ca="1">SUMIFS('Reference dates (hide)'!P$180:P$182,'Reference dates (hide)'!$L$180:$L$182,'Aggregate summary'!$T201)</f>
        <v>0</v>
      </c>
      <c r="W201" s="222">
        <f ca="1">SUMIFS('Reference dates (hide)'!Q$180:Q$182,'Reference dates (hide)'!$L$180:$L$182,'Aggregate summary'!$T201)</f>
        <v>0</v>
      </c>
      <c r="X201" s="222">
        <f ca="1">SUMIFS('Reference dates (hide)'!R$180:R$182,'Reference dates (hide)'!$L$180:$L$182,'Aggregate summary'!$T201)</f>
        <v>0</v>
      </c>
      <c r="Y201" s="222">
        <f ca="1">SUMIFS('Reference dates (hide)'!S$180:S$182,'Reference dates (hide)'!$L$180:$L$182,'Aggregate summary'!$T201)</f>
        <v>0</v>
      </c>
      <c r="Z201" s="222">
        <f ca="1">SUMIFS('Reference dates (hide)'!T$180:T$182,'Reference dates (hide)'!$L$180:$L$182,'Aggregate summary'!$T201)</f>
        <v>0</v>
      </c>
      <c r="AA201" s="222">
        <f ca="1">SUMIFS('Reference dates (hide)'!U$180:U$182,'Reference dates (hide)'!$L$180:$L$182,'Aggregate summary'!$T201)</f>
        <v>0</v>
      </c>
      <c r="AB201" s="222">
        <f ca="1">SUMIFS('Reference dates (hide)'!V$180:V$182,'Reference dates (hide)'!$L$180:$L$182,'Aggregate summary'!$T201)</f>
        <v>0</v>
      </c>
      <c r="AC201" s="222">
        <f ca="1">SUMIFS('Reference dates (hide)'!W$180:W$182,'Reference dates (hide)'!$L$180:$L$182,'Aggregate summary'!$T201)</f>
        <v>0</v>
      </c>
      <c r="AD201" s="222">
        <f ca="1">SUMIFS('Reference dates (hide)'!X$180:X$182,'Reference dates (hide)'!$L$180:$L$182,'Aggregate summary'!$T201)</f>
        <v>0</v>
      </c>
      <c r="AE201" s="222">
        <f ca="1">SUMIFS('Reference dates (hide)'!Y$180:Y$182,'Reference dates (hide)'!$L$180:$L$182,'Aggregate summary'!$T201)</f>
        <v>0</v>
      </c>
      <c r="AF201" s="222">
        <f ca="1">SUMIFS('Reference dates (hide)'!Z$180:Z$182,'Reference dates (hide)'!$L$180:$L$182,'Aggregate summary'!$T201)</f>
        <v>0</v>
      </c>
      <c r="AG201" s="222">
        <f t="shared" ca="1" si="16"/>
        <v>0</v>
      </c>
    </row>
    <row r="202" spans="19:33" hidden="1" x14ac:dyDescent="0.25">
      <c r="S202" s="292"/>
      <c r="T202" s="177" t="s">
        <v>842</v>
      </c>
      <c r="U202" s="222">
        <f ca="1">SUMIFS('Reference dates (hide)'!O$180:O$182,'Reference dates (hide)'!$L$180:$L$182,'Aggregate summary'!$T202)</f>
        <v>0</v>
      </c>
      <c r="V202" s="222">
        <f ca="1">SUMIFS('Reference dates (hide)'!P$180:P$182,'Reference dates (hide)'!$L$180:$L$182,'Aggregate summary'!$T202)</f>
        <v>0</v>
      </c>
      <c r="W202" s="222">
        <f ca="1">SUMIFS('Reference dates (hide)'!Q$180:Q$182,'Reference dates (hide)'!$L$180:$L$182,'Aggregate summary'!$T202)</f>
        <v>0</v>
      </c>
      <c r="X202" s="222">
        <f ca="1">SUMIFS('Reference dates (hide)'!R$180:R$182,'Reference dates (hide)'!$L$180:$L$182,'Aggregate summary'!$T202)</f>
        <v>0</v>
      </c>
      <c r="Y202" s="222">
        <f ca="1">SUMIFS('Reference dates (hide)'!S$180:S$182,'Reference dates (hide)'!$L$180:$L$182,'Aggregate summary'!$T202)</f>
        <v>0</v>
      </c>
      <c r="Z202" s="222">
        <f ca="1">SUMIFS('Reference dates (hide)'!T$180:T$182,'Reference dates (hide)'!$L$180:$L$182,'Aggregate summary'!$T202)</f>
        <v>0</v>
      </c>
      <c r="AA202" s="222">
        <f ca="1">SUMIFS('Reference dates (hide)'!U$180:U$182,'Reference dates (hide)'!$L$180:$L$182,'Aggregate summary'!$T202)</f>
        <v>0</v>
      </c>
      <c r="AB202" s="222">
        <f ca="1">SUMIFS('Reference dates (hide)'!V$180:V$182,'Reference dates (hide)'!$L$180:$L$182,'Aggregate summary'!$T202)</f>
        <v>0</v>
      </c>
      <c r="AC202" s="222">
        <f ca="1">SUMIFS('Reference dates (hide)'!W$180:W$182,'Reference dates (hide)'!$L$180:$L$182,'Aggregate summary'!$T202)</f>
        <v>0</v>
      </c>
      <c r="AD202" s="222">
        <f ca="1">SUMIFS('Reference dates (hide)'!X$180:X$182,'Reference dates (hide)'!$L$180:$L$182,'Aggregate summary'!$T202)</f>
        <v>0</v>
      </c>
      <c r="AE202" s="222">
        <f ca="1">SUMIFS('Reference dates (hide)'!Y$180:Y$182,'Reference dates (hide)'!$L$180:$L$182,'Aggregate summary'!$T202)</f>
        <v>0</v>
      </c>
      <c r="AF202" s="222">
        <f ca="1">SUMIFS('Reference dates (hide)'!Z$180:Z$182,'Reference dates (hide)'!$L$180:$L$182,'Aggregate summary'!$T202)</f>
        <v>0</v>
      </c>
      <c r="AG202" s="222">
        <f t="shared" ca="1" si="16"/>
        <v>0</v>
      </c>
    </row>
    <row r="203" spans="19:33" hidden="1" x14ac:dyDescent="0.25">
      <c r="S203" s="292"/>
      <c r="T203" s="161" t="s">
        <v>839</v>
      </c>
      <c r="U203" s="222">
        <f ca="1">SUMIFS('Reference dates (hide)'!O$180:O$182,'Reference dates (hide)'!$L$180:$L$182,'Aggregate summary'!$T203)</f>
        <v>0</v>
      </c>
      <c r="V203" s="222">
        <f ca="1">SUMIFS('Reference dates (hide)'!P$180:P$182,'Reference dates (hide)'!$L$180:$L$182,'Aggregate summary'!$T203)</f>
        <v>0</v>
      </c>
      <c r="W203" s="222">
        <f ca="1">SUMIFS('Reference dates (hide)'!Q$180:Q$182,'Reference dates (hide)'!$L$180:$L$182,'Aggregate summary'!$T203)</f>
        <v>0</v>
      </c>
      <c r="X203" s="222">
        <f ca="1">SUMIFS('Reference dates (hide)'!R$180:R$182,'Reference dates (hide)'!$L$180:$L$182,'Aggregate summary'!$T203)</f>
        <v>0</v>
      </c>
      <c r="Y203" s="222">
        <f ca="1">SUMIFS('Reference dates (hide)'!S$180:S$182,'Reference dates (hide)'!$L$180:$L$182,'Aggregate summary'!$T203)</f>
        <v>0</v>
      </c>
      <c r="Z203" s="222">
        <f ca="1">SUMIFS('Reference dates (hide)'!T$180:T$182,'Reference dates (hide)'!$L$180:$L$182,'Aggregate summary'!$T203)</f>
        <v>0</v>
      </c>
      <c r="AA203" s="222">
        <f ca="1">SUMIFS('Reference dates (hide)'!U$180:U$182,'Reference dates (hide)'!$L$180:$L$182,'Aggregate summary'!$T203)</f>
        <v>0</v>
      </c>
      <c r="AB203" s="222">
        <f ca="1">SUMIFS('Reference dates (hide)'!V$180:V$182,'Reference dates (hide)'!$L$180:$L$182,'Aggregate summary'!$T203)</f>
        <v>0</v>
      </c>
      <c r="AC203" s="222">
        <f ca="1">SUMIFS('Reference dates (hide)'!W$180:W$182,'Reference dates (hide)'!$L$180:$L$182,'Aggregate summary'!$T203)</f>
        <v>0</v>
      </c>
      <c r="AD203" s="222">
        <f ca="1">SUMIFS('Reference dates (hide)'!X$180:X$182,'Reference dates (hide)'!$L$180:$L$182,'Aggregate summary'!$T203)</f>
        <v>0</v>
      </c>
      <c r="AE203" s="222">
        <f ca="1">SUMIFS('Reference dates (hide)'!Y$180:Y$182,'Reference dates (hide)'!$L$180:$L$182,'Aggregate summary'!$T203)</f>
        <v>0</v>
      </c>
      <c r="AF203" s="222">
        <f ca="1">SUMIFS('Reference dates (hide)'!Z$180:Z$182,'Reference dates (hide)'!$L$180:$L$182,'Aggregate summary'!$T203)</f>
        <v>0</v>
      </c>
      <c r="AG203" s="222">
        <f t="shared" ca="1" si="16"/>
        <v>0</v>
      </c>
    </row>
    <row r="204" spans="19:33" hidden="1" x14ac:dyDescent="0.25">
      <c r="S204" s="1"/>
      <c r="U204" s="8"/>
      <c r="V204" s="8"/>
      <c r="W204" s="8"/>
      <c r="X204" s="8"/>
      <c r="Y204" s="8"/>
      <c r="Z204" s="8"/>
      <c r="AA204" s="8"/>
      <c r="AB204" s="8"/>
      <c r="AC204" s="8"/>
      <c r="AD204" s="8"/>
      <c r="AE204" s="8"/>
      <c r="AF204" s="8"/>
      <c r="AG204" s="8"/>
    </row>
  </sheetData>
  <mergeCells count="35">
    <mergeCell ref="S199:S203"/>
    <mergeCell ref="E4:F4"/>
    <mergeCell ref="S169:S173"/>
    <mergeCell ref="S175:S179"/>
    <mergeCell ref="S181:S185"/>
    <mergeCell ref="S187:S191"/>
    <mergeCell ref="S193:S197"/>
    <mergeCell ref="S145:S149"/>
    <mergeCell ref="S151:S155"/>
    <mergeCell ref="S157:S161"/>
    <mergeCell ref="S163:S167"/>
    <mergeCell ref="S79:S83"/>
    <mergeCell ref="S85:S89"/>
    <mergeCell ref="S91:S95"/>
    <mergeCell ref="C4:D4"/>
    <mergeCell ref="E3:F3"/>
    <mergeCell ref="S97:S101"/>
    <mergeCell ref="S103:S107"/>
    <mergeCell ref="S139:S143"/>
    <mergeCell ref="S109:S113"/>
    <mergeCell ref="S115:S119"/>
    <mergeCell ref="S121:S125"/>
    <mergeCell ref="S127:S131"/>
    <mergeCell ref="S133:S137"/>
    <mergeCell ref="C10:C11"/>
    <mergeCell ref="C13:C14"/>
    <mergeCell ref="C16:C17"/>
    <mergeCell ref="C19:C20"/>
    <mergeCell ref="C22:C23"/>
    <mergeCell ref="AG77:AG78"/>
    <mergeCell ref="Q8:Q9"/>
    <mergeCell ref="H3:K4"/>
    <mergeCell ref="L3:L4"/>
    <mergeCell ref="T76:V76"/>
    <mergeCell ref="U3:V3"/>
  </mergeCells>
  <conditionalFormatting sqref="U77:AF77">
    <cfRule type="expression" dxfId="1" priority="8">
      <formula>IF(U77&lt;&gt;"",1,0)</formula>
    </cfRule>
  </conditionalFormatting>
  <conditionalFormatting sqref="E8:P8">
    <cfRule type="expression" dxfId="0" priority="1">
      <formula>IF(E$8&lt;&gt;"",1,0)</formula>
    </cfRule>
  </conditionalFormatting>
  <dataValidations count="4">
    <dataValidation type="list" allowBlank="1" showInputMessage="1" showErrorMessage="1" sqref="E4" xr:uid="{56F49031-6348-4A6C-B08F-007C7E8661DA}">
      <formula1>Range_Process_Select</formula1>
    </dataValidation>
    <dataValidation type="list" allowBlank="1" showInputMessage="1" showErrorMessage="1" sqref="E3 U3" xr:uid="{80159BB7-8506-4CFF-B43D-2148A458BF99}">
      <formula1>"POD, Process"</formula1>
    </dataValidation>
    <dataValidation type="list" allowBlank="1" showInputMessage="1" showErrorMessage="1" sqref="L3" xr:uid="{6B608E6D-FB30-4AE3-9CC2-7064D5BE6C99}">
      <formula1>"Yes, No"</formula1>
    </dataValidation>
    <dataValidation type="list" allowBlank="1" showInputMessage="1" showErrorMessage="1" sqref="T76" xr:uid="{4F559AF7-76CE-4136-9EFA-CAEE581A676B}">
      <formula1>"No, WL clearances (no downsream effects), WL Clearance + downstream effects"</formula1>
    </dataValidation>
  </dataValidation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8"/>
  <dimension ref="C2:D19"/>
  <sheetViews>
    <sheetView workbookViewId="0">
      <selection activeCell="O4" sqref="O4:R4"/>
    </sheetView>
  </sheetViews>
  <sheetFormatPr defaultRowHeight="13.8" x14ac:dyDescent="0.25"/>
  <cols>
    <col min="3" max="3" width="20.19921875" style="2" bestFit="1" customWidth="1"/>
    <col min="4" max="4" width="40.19921875" style="2" customWidth="1"/>
  </cols>
  <sheetData>
    <row r="2" spans="3:4" x14ac:dyDescent="0.25">
      <c r="C2" s="4" t="s">
        <v>1094</v>
      </c>
    </row>
    <row r="4" spans="3:4" x14ac:dyDescent="0.25">
      <c r="C4" s="55" t="s">
        <v>1044</v>
      </c>
      <c r="D4" s="55" t="s">
        <v>1045</v>
      </c>
    </row>
    <row r="5" spans="3:4" x14ac:dyDescent="0.25">
      <c r="C5" s="56" t="s">
        <v>852</v>
      </c>
      <c r="D5" s="56" t="s">
        <v>1046</v>
      </c>
    </row>
    <row r="6" spans="3:4" x14ac:dyDescent="0.25">
      <c r="C6" s="56" t="s">
        <v>853</v>
      </c>
      <c r="D6" s="56" t="s">
        <v>1047</v>
      </c>
    </row>
    <row r="7" spans="3:4" x14ac:dyDescent="0.25">
      <c r="C7" s="56" t="s">
        <v>854</v>
      </c>
      <c r="D7" s="56" t="s">
        <v>1048</v>
      </c>
    </row>
    <row r="8" spans="3:4" ht="27.6" x14ac:dyDescent="0.25">
      <c r="C8" s="56" t="s">
        <v>855</v>
      </c>
      <c r="D8" s="56" t="s">
        <v>1051</v>
      </c>
    </row>
    <row r="9" spans="3:4" ht="27.6" x14ac:dyDescent="0.25">
      <c r="C9" s="56" t="s">
        <v>856</v>
      </c>
      <c r="D9" s="56" t="s">
        <v>1049</v>
      </c>
    </row>
    <row r="10" spans="3:4" ht="41.4" x14ac:dyDescent="0.25">
      <c r="C10" s="56" t="s">
        <v>857</v>
      </c>
      <c r="D10" s="56" t="s">
        <v>1050</v>
      </c>
    </row>
    <row r="11" spans="3:4" ht="27.6" x14ac:dyDescent="0.25">
      <c r="C11" s="56" t="s">
        <v>858</v>
      </c>
      <c r="D11" s="56" t="s">
        <v>1052</v>
      </c>
    </row>
    <row r="12" spans="3:4" ht="41.4" x14ac:dyDescent="0.25">
      <c r="C12" s="56" t="s">
        <v>859</v>
      </c>
      <c r="D12" s="56" t="s">
        <v>1053</v>
      </c>
    </row>
    <row r="13" spans="3:4" x14ac:dyDescent="0.25">
      <c r="C13" s="56" t="s">
        <v>860</v>
      </c>
      <c r="D13" s="56" t="s">
        <v>1054</v>
      </c>
    </row>
    <row r="14" spans="3:4" x14ac:dyDescent="0.25">
      <c r="C14" s="56" t="s">
        <v>861</v>
      </c>
      <c r="D14" s="56" t="s">
        <v>1055</v>
      </c>
    </row>
    <row r="15" spans="3:4" x14ac:dyDescent="0.25">
      <c r="C15" s="56" t="s">
        <v>7</v>
      </c>
      <c r="D15" s="56" t="s">
        <v>1056</v>
      </c>
    </row>
    <row r="16" spans="3:4" x14ac:dyDescent="0.25">
      <c r="C16" s="56" t="s">
        <v>862</v>
      </c>
      <c r="D16" s="56" t="s">
        <v>1057</v>
      </c>
    </row>
    <row r="17" spans="3:4" x14ac:dyDescent="0.25">
      <c r="C17" s="56" t="s">
        <v>863</v>
      </c>
      <c r="D17" s="56" t="s">
        <v>1058</v>
      </c>
    </row>
    <row r="18" spans="3:4" x14ac:dyDescent="0.25">
      <c r="C18" s="56" t="s">
        <v>864</v>
      </c>
      <c r="D18" s="56" t="s">
        <v>1059</v>
      </c>
    </row>
    <row r="19" spans="3:4" ht="27.6" x14ac:dyDescent="0.25">
      <c r="C19" s="56" t="s">
        <v>865</v>
      </c>
      <c r="D19" s="56" t="s">
        <v>1060</v>
      </c>
    </row>
  </sheetData>
  <pageMargins left="0.7" right="0.7" top="0.75" bottom="0.75" header="0.3" footer="0.3"/>
  <pageSetup paperSize="9" orientation="portrait" horizontalDpi="90" verticalDpi="90"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4"/>
  <dimension ref="A1:AN119"/>
  <sheetViews>
    <sheetView topLeftCell="A90" zoomScale="85" zoomScaleNormal="85" workbookViewId="0">
      <selection activeCell="B110" sqref="B110:K110"/>
    </sheetView>
  </sheetViews>
  <sheetFormatPr defaultRowHeight="13.8" x14ac:dyDescent="0.25"/>
  <cols>
    <col min="1" max="1" width="27.69921875" bestFit="1" customWidth="1"/>
    <col min="2" max="2" width="16.8984375" style="6" customWidth="1"/>
    <col min="3" max="3" width="12.09765625" style="6" bestFit="1" customWidth="1"/>
    <col min="4" max="4" width="16.09765625" style="7" bestFit="1" customWidth="1"/>
    <col min="11" max="11" width="10.8984375" bestFit="1" customWidth="1"/>
    <col min="13" max="13" width="16.69921875" bestFit="1" customWidth="1"/>
    <col min="17" max="17" width="6.8984375" customWidth="1"/>
    <col min="26" max="26" width="11.8984375" bestFit="1" customWidth="1"/>
  </cols>
  <sheetData>
    <row r="1" spans="1:19" x14ac:dyDescent="0.25">
      <c r="A1" t="s">
        <v>930</v>
      </c>
      <c r="B1" s="6" t="s">
        <v>931</v>
      </c>
      <c r="C1" s="6" t="b">
        <f>ISERR(SUM(B25:M49))</f>
        <v>0</v>
      </c>
    </row>
    <row r="2" spans="1:19" x14ac:dyDescent="0.25">
      <c r="A2" t="s">
        <v>932</v>
      </c>
      <c r="B2"/>
    </row>
    <row r="3" spans="1:19" x14ac:dyDescent="0.25">
      <c r="B3" s="6" t="s">
        <v>933</v>
      </c>
      <c r="F3" t="s">
        <v>934</v>
      </c>
      <c r="J3" t="s">
        <v>935</v>
      </c>
    </row>
    <row r="4" spans="1:19" x14ac:dyDescent="0.25">
      <c r="B4" s="6" t="s">
        <v>936</v>
      </c>
      <c r="C4" s="6" t="s">
        <v>937</v>
      </c>
      <c r="D4" s="7" t="s">
        <v>1208</v>
      </c>
      <c r="F4" s="6" t="s">
        <v>936</v>
      </c>
      <c r="G4" s="6" t="s">
        <v>937</v>
      </c>
      <c r="H4" s="7" t="s">
        <v>1024</v>
      </c>
      <c r="J4" s="6" t="s">
        <v>936</v>
      </c>
      <c r="K4" s="6" t="s">
        <v>937</v>
      </c>
      <c r="L4" s="7" t="s">
        <v>1024</v>
      </c>
    </row>
    <row r="5" spans="1:19" x14ac:dyDescent="0.25">
      <c r="A5" t="s">
        <v>5</v>
      </c>
      <c r="B5">
        <v>445.7481459109307</v>
      </c>
      <c r="C5" s="6">
        <f>B5*52</f>
        <v>23178.903587368397</v>
      </c>
      <c r="D5" s="7">
        <f>IF($B$20=1,C5/$B$21,C5)</f>
        <v>626.74890818991469</v>
      </c>
      <c r="G5">
        <f>F5*$D5</f>
        <v>0</v>
      </c>
      <c r="H5">
        <f>G5/52</f>
        <v>0</v>
      </c>
      <c r="K5">
        <f>J5*D5</f>
        <v>0</v>
      </c>
      <c r="L5">
        <f>K5/52</f>
        <v>0</v>
      </c>
    </row>
    <row r="6" spans="1:19" x14ac:dyDescent="0.25">
      <c r="A6" t="s">
        <v>1209</v>
      </c>
      <c r="B6">
        <v>480.179577879237</v>
      </c>
      <c r="D6" s="7">
        <f>IF($B$20=1,B6/$B$21,B6)</f>
        <v>12.983876697900113</v>
      </c>
      <c r="G6">
        <f>F6*52</f>
        <v>0</v>
      </c>
      <c r="H6">
        <f>F6</f>
        <v>0</v>
      </c>
      <c r="K6">
        <f>J6*52</f>
        <v>0</v>
      </c>
      <c r="L6">
        <f>J6</f>
        <v>0</v>
      </c>
    </row>
    <row r="7" spans="1:19" x14ac:dyDescent="0.25">
      <c r="A7" t="s">
        <v>1210</v>
      </c>
      <c r="B7">
        <v>506.09872392791715</v>
      </c>
      <c r="D7" s="7">
        <f>IF($B$20=1,B7/$B$21,B7)</f>
        <v>13.684720740242048</v>
      </c>
    </row>
    <row r="8" spans="1:19" x14ac:dyDescent="0.25">
      <c r="A8" t="s">
        <v>9</v>
      </c>
      <c r="B8">
        <v>2.9999999999999992E-2</v>
      </c>
    </row>
    <row r="9" spans="1:19" x14ac:dyDescent="0.25">
      <c r="A9" t="s">
        <v>964</v>
      </c>
      <c r="B9">
        <v>0.20000000000000004</v>
      </c>
    </row>
    <row r="10" spans="1:19" x14ac:dyDescent="0.25">
      <c r="A10" t="s">
        <v>940</v>
      </c>
      <c r="B10">
        <v>1</v>
      </c>
      <c r="C10" s="6">
        <f xml:space="preserve"> NASR*NASRDC</f>
        <v>0.1134830082198503</v>
      </c>
      <c r="G10">
        <f xml:space="preserve"> FU_NASR*FU_NASRDC</f>
        <v>0</v>
      </c>
      <c r="K10">
        <f xml:space="preserve"> IP_NASR*IP_NASRDC</f>
        <v>0</v>
      </c>
    </row>
    <row r="11" spans="1:19" x14ac:dyDescent="0.25">
      <c r="A11" t="s">
        <v>965</v>
      </c>
      <c r="B11">
        <v>0.1134830082198503</v>
      </c>
    </row>
    <row r="12" spans="1:19" x14ac:dyDescent="0.25">
      <c r="A12" t="s">
        <v>859</v>
      </c>
      <c r="B12">
        <v>0.79999999999999993</v>
      </c>
    </row>
    <row r="13" spans="1:19" x14ac:dyDescent="0.25">
      <c r="A13" t="s">
        <v>941</v>
      </c>
      <c r="B13">
        <v>905.76923076923094</v>
      </c>
      <c r="D13" s="7">
        <f>IF($B$20=1,B13/$B$21,B13)</f>
        <v>24.491662183969879</v>
      </c>
      <c r="G13">
        <f>F13*52</f>
        <v>0</v>
      </c>
      <c r="H13" s="7">
        <f>IF($B$20=1,F13/$B$21,F13)</f>
        <v>0</v>
      </c>
      <c r="K13">
        <f>J13*52</f>
        <v>0</v>
      </c>
      <c r="L13" s="7">
        <f>IF($B$20=1,J13/$B$21,J13)</f>
        <v>0</v>
      </c>
    </row>
    <row r="14" spans="1:19" x14ac:dyDescent="0.25">
      <c r="A14" t="s">
        <v>1275</v>
      </c>
      <c r="B14">
        <v>905.76923076923094</v>
      </c>
      <c r="H14" s="7"/>
      <c r="L14" s="7"/>
    </row>
    <row r="15" spans="1:19" x14ac:dyDescent="0.25">
      <c r="A15" t="s">
        <v>1278</v>
      </c>
      <c r="B15">
        <v>126.92307692307706</v>
      </c>
      <c r="D15" s="7">
        <f>IF($B$20=1,B15/$B$21,B15)</f>
        <v>3.4319526627218968</v>
      </c>
      <c r="H15" s="7">
        <f>IF($B$20=1,F15/$B$21,F15)</f>
        <v>0</v>
      </c>
      <c r="L15" s="7">
        <f>IF($B$20=1,J15/$B$21,J15)</f>
        <v>0</v>
      </c>
    </row>
    <row r="16" spans="1:19" x14ac:dyDescent="0.25">
      <c r="A16" t="s">
        <v>861</v>
      </c>
      <c r="B16">
        <v>1574.0769230769231</v>
      </c>
      <c r="D16" s="7">
        <f>IF($B$20=1,B16/$B$21,B16)</f>
        <v>42.562452931683701</v>
      </c>
      <c r="H16" s="7">
        <f>IF($B$20=1,F16/$B$21,F16)</f>
        <v>0</v>
      </c>
      <c r="L16" s="7">
        <f>IF($B$20=1,J16/$B$21,J16)</f>
        <v>0</v>
      </c>
      <c r="S16" t="s">
        <v>1213</v>
      </c>
    </row>
    <row r="17" spans="1:20" x14ac:dyDescent="0.25">
      <c r="A17" t="s">
        <v>7</v>
      </c>
      <c r="B17">
        <v>2100</v>
      </c>
      <c r="D17" s="7">
        <f>IF($B$20=1,B17/$B$21,B17)</f>
        <v>56.78321678321678</v>
      </c>
      <c r="H17" s="7">
        <f>IF($B$20=1,F17/$B$21,F17)</f>
        <v>0</v>
      </c>
      <c r="L17" s="7">
        <f>IF($B$20=1,J17/$B$21,J17)</f>
        <v>0</v>
      </c>
      <c r="S17" t="s">
        <v>1159</v>
      </c>
    </row>
    <row r="18" spans="1:20" x14ac:dyDescent="0.25">
      <c r="A18" t="s">
        <v>1081</v>
      </c>
      <c r="B18">
        <v>1.0999999999999999E-2</v>
      </c>
      <c r="S18" t="s">
        <v>1187</v>
      </c>
    </row>
    <row r="19" spans="1:20" x14ac:dyDescent="0.25">
      <c r="A19" t="s">
        <v>863</v>
      </c>
      <c r="B19">
        <v>0</v>
      </c>
      <c r="S19" t="s">
        <v>1214</v>
      </c>
      <c r="T19" t="s">
        <v>1215</v>
      </c>
    </row>
    <row r="20" spans="1:20" x14ac:dyDescent="0.25">
      <c r="A20" t="s">
        <v>942</v>
      </c>
      <c r="B20">
        <v>1</v>
      </c>
      <c r="R20" t="s">
        <v>947</v>
      </c>
      <c r="S20" t="s">
        <v>984</v>
      </c>
      <c r="T20" t="s">
        <v>1216</v>
      </c>
    </row>
    <row r="21" spans="1:20" x14ac:dyDescent="0.25">
      <c r="A21" t="s">
        <v>943</v>
      </c>
      <c r="B21">
        <v>36.982758620689658</v>
      </c>
      <c r="D21" s="12"/>
      <c r="S21" t="s">
        <v>985</v>
      </c>
      <c r="T21" t="s">
        <v>1216</v>
      </c>
    </row>
    <row r="22" spans="1:20" x14ac:dyDescent="0.25">
      <c r="A22" t="s">
        <v>1400</v>
      </c>
      <c r="B22" s="6">
        <v>1</v>
      </c>
      <c r="H22">
        <f>F22*$D$5</f>
        <v>0</v>
      </c>
      <c r="L22">
        <f>J22*$D$5</f>
        <v>0</v>
      </c>
      <c r="S22" t="s">
        <v>1217</v>
      </c>
      <c r="T22" t="s">
        <v>1218</v>
      </c>
    </row>
    <row r="23" spans="1:20" x14ac:dyDescent="0.25">
      <c r="S23" t="s">
        <v>1219</v>
      </c>
      <c r="T23" t="s">
        <v>1218</v>
      </c>
    </row>
    <row r="24" spans="1:20" x14ac:dyDescent="0.25">
      <c r="D24" s="7" t="s">
        <v>1023</v>
      </c>
      <c r="F24" t="s">
        <v>901</v>
      </c>
      <c r="G24" t="s">
        <v>1022</v>
      </c>
      <c r="H24" s="7" t="s">
        <v>1023</v>
      </c>
      <c r="J24" t="s">
        <v>901</v>
      </c>
      <c r="K24" t="s">
        <v>1022</v>
      </c>
      <c r="L24" s="7" t="s">
        <v>1023</v>
      </c>
      <c r="R24" t="s">
        <v>941</v>
      </c>
      <c r="S24" t="s">
        <v>25</v>
      </c>
      <c r="T24" t="s">
        <v>1218</v>
      </c>
    </row>
    <row r="25" spans="1:20" x14ac:dyDescent="0.25">
      <c r="A25" t="s">
        <v>944</v>
      </c>
      <c r="B25" s="6">
        <f>IF(B17-B16&lt;0,0,B17-B16)</f>
        <v>525.92307692307691</v>
      </c>
      <c r="D25" s="6">
        <f>IF(D17-D16&lt;0,0,D17-D16)</f>
        <v>14.220763851533079</v>
      </c>
      <c r="F25" s="8">
        <f>F5*B25</f>
        <v>0</v>
      </c>
      <c r="G25" s="8">
        <v>0</v>
      </c>
      <c r="H25" s="8"/>
      <c r="I25" s="8"/>
      <c r="J25" s="8">
        <f>(J5*B25)+IF(J17-J16&lt;=0,0,J17-J16)</f>
        <v>0</v>
      </c>
      <c r="K25" s="8">
        <f>IF(J17-J16&lt;=0,0,J17-J16)</f>
        <v>0</v>
      </c>
      <c r="L25" s="8"/>
      <c r="S25" t="s">
        <v>1220</v>
      </c>
      <c r="T25" t="s">
        <v>1218</v>
      </c>
    </row>
    <row r="26" spans="1:20" x14ac:dyDescent="0.25">
      <c r="A26" t="s">
        <v>945</v>
      </c>
      <c r="B26" s="9">
        <f>(1-NASLDC)*NASL</f>
        <v>2.399999999999999E-2</v>
      </c>
      <c r="D26" s="11"/>
      <c r="F26" s="8">
        <f>FU_NASL*(1-FU_NASLDC)</f>
        <v>0</v>
      </c>
      <c r="G26" s="8"/>
      <c r="H26" s="8"/>
      <c r="I26" s="8"/>
      <c r="J26" s="8">
        <f>IP_NASL*(1-IP_NASLDC)</f>
        <v>0</v>
      </c>
      <c r="K26" s="8"/>
      <c r="L26" s="8"/>
      <c r="R26" t="s">
        <v>1221</v>
      </c>
      <c r="S26" t="s">
        <v>25</v>
      </c>
      <c r="T26" t="s">
        <v>1218</v>
      </c>
    </row>
    <row r="27" spans="1:20" x14ac:dyDescent="0.25">
      <c r="A27" t="s">
        <v>946</v>
      </c>
      <c r="B27" s="6">
        <f>NASR*(1-NASRDC)</f>
        <v>0.88651699178014964</v>
      </c>
      <c r="D27" s="11"/>
      <c r="F27" s="8">
        <f>FU_NASR*(1-FU_NASRDC)</f>
        <v>0</v>
      </c>
      <c r="G27" s="8"/>
      <c r="H27" s="8"/>
      <c r="I27" s="8"/>
      <c r="J27" s="8">
        <f>IP_NASR*(1-IP_NASRDC)</f>
        <v>0</v>
      </c>
      <c r="K27" s="8"/>
      <c r="L27" s="8"/>
      <c r="S27" t="s">
        <v>1220</v>
      </c>
      <c r="T27" t="s">
        <v>1218</v>
      </c>
    </row>
    <row r="28" spans="1:20" x14ac:dyDescent="0.25">
      <c r="D28" s="11"/>
      <c r="F28" s="8"/>
      <c r="G28" s="8"/>
      <c r="H28" s="8"/>
      <c r="I28" s="8"/>
      <c r="J28" s="8"/>
      <c r="K28" s="8"/>
      <c r="L28" s="8"/>
      <c r="R28" t="s">
        <v>1093</v>
      </c>
      <c r="S28" t="s">
        <v>984</v>
      </c>
      <c r="T28" t="s">
        <v>1216</v>
      </c>
    </row>
    <row r="29" spans="1:20" ht="14.4" x14ac:dyDescent="0.3">
      <c r="A29" s="10" t="s">
        <v>947</v>
      </c>
      <c r="D29" s="12"/>
      <c r="F29" s="8"/>
      <c r="G29" s="8"/>
      <c r="H29" s="8"/>
      <c r="I29" s="8"/>
      <c r="J29" s="8"/>
      <c r="K29" s="8"/>
      <c r="L29" s="8"/>
      <c r="S29" t="s">
        <v>985</v>
      </c>
      <c r="T29" t="s">
        <v>1216</v>
      </c>
    </row>
    <row r="30" spans="1:20" x14ac:dyDescent="0.25">
      <c r="A30" t="s">
        <v>948</v>
      </c>
      <c r="B30" s="6">
        <f>B5*(NASL+NASR+ROTT)</f>
        <v>464.02381989327881</v>
      </c>
      <c r="F30" s="8">
        <f>H5*(F8+F10+F18)</f>
        <v>0</v>
      </c>
      <c r="G30" s="8"/>
      <c r="H30" s="8"/>
      <c r="I30" s="8"/>
      <c r="J30" s="8">
        <f>L5*(J8+J10+J18)</f>
        <v>0</v>
      </c>
      <c r="K30" s="8"/>
      <c r="L30" s="8"/>
    </row>
    <row r="31" spans="1:20" x14ac:dyDescent="0.25">
      <c r="A31" t="s">
        <v>949</v>
      </c>
      <c r="B31" s="6">
        <f>B5*(B26+B27)</f>
        <v>405.86126090639982</v>
      </c>
      <c r="F31" s="8">
        <f>H5*(F26+F27)</f>
        <v>0</v>
      </c>
      <c r="G31" s="8"/>
      <c r="H31" s="8"/>
      <c r="I31" s="8"/>
      <c r="J31" s="8">
        <f>L5*(J26+J27)</f>
        <v>0</v>
      </c>
      <c r="K31" s="8"/>
      <c r="L31" s="8"/>
      <c r="R31" t="s">
        <v>941</v>
      </c>
      <c r="S31" t="s">
        <v>25</v>
      </c>
      <c r="T31" t="s">
        <v>1218</v>
      </c>
    </row>
    <row r="32" spans="1:20" x14ac:dyDescent="0.25">
      <c r="F32" s="8"/>
      <c r="G32" s="8"/>
      <c r="H32" s="8"/>
      <c r="I32" s="8"/>
      <c r="J32" s="8"/>
      <c r="K32" s="8"/>
      <c r="L32" s="8"/>
      <c r="S32" t="s">
        <v>1220</v>
      </c>
      <c r="T32" t="s">
        <v>1218</v>
      </c>
    </row>
    <row r="33" spans="1:20" x14ac:dyDescent="0.25">
      <c r="A33" t="s">
        <v>950</v>
      </c>
      <c r="B33" s="6">
        <f>B31-B30+B5</f>
        <v>387.58558692405171</v>
      </c>
      <c r="C33" s="6">
        <f>B33*52</f>
        <v>20154.45052005069</v>
      </c>
      <c r="D33" s="7">
        <f>IF($B$20=1,C33/$B$21,C33)</f>
        <v>544.96882525078786</v>
      </c>
      <c r="F33" s="8">
        <f>(F31-F30+H5)/52</f>
        <v>0</v>
      </c>
      <c r="G33" s="8"/>
      <c r="H33" s="8">
        <f>(F31-F30+H5)*52</f>
        <v>0</v>
      </c>
      <c r="I33" s="8"/>
      <c r="J33" s="8">
        <f>(J31-J30+L5)/52</f>
        <v>0</v>
      </c>
      <c r="K33" s="8"/>
      <c r="L33" s="8">
        <f>(J31-J30+L5)*52</f>
        <v>0</v>
      </c>
      <c r="R33" t="s">
        <v>1221</v>
      </c>
      <c r="S33" t="s">
        <v>25</v>
      </c>
      <c r="T33" t="s">
        <v>1218</v>
      </c>
    </row>
    <row r="34" spans="1:20" x14ac:dyDescent="0.25">
      <c r="F34" s="8"/>
      <c r="G34" s="8"/>
      <c r="H34" s="8"/>
      <c r="I34" s="8"/>
      <c r="J34" s="8"/>
      <c r="K34" s="8"/>
      <c r="L34" s="8"/>
      <c r="S34" t="s">
        <v>1220</v>
      </c>
      <c r="T34" t="s">
        <v>1218</v>
      </c>
    </row>
    <row r="35" spans="1:20" x14ac:dyDescent="0.25">
      <c r="F35" s="8"/>
      <c r="G35" s="8"/>
      <c r="H35" s="8"/>
      <c r="I35" s="8"/>
      <c r="J35" s="8"/>
      <c r="K35" s="8"/>
      <c r="L35" s="8"/>
      <c r="R35" t="s">
        <v>1093</v>
      </c>
      <c r="S35" t="s">
        <v>984</v>
      </c>
      <c r="T35" t="s">
        <v>1218</v>
      </c>
    </row>
    <row r="36" spans="1:20" ht="14.4" x14ac:dyDescent="0.3">
      <c r="A36" s="10" t="s">
        <v>951</v>
      </c>
      <c r="F36" s="8"/>
      <c r="G36" s="8"/>
      <c r="H36" s="8"/>
      <c r="I36" s="8"/>
      <c r="J36" s="8"/>
      <c r="K36" s="8"/>
      <c r="L36" s="8"/>
      <c r="S36" t="s">
        <v>985</v>
      </c>
      <c r="T36" t="s">
        <v>1218</v>
      </c>
    </row>
    <row r="37" spans="1:20" x14ac:dyDescent="0.25">
      <c r="A37" t="s">
        <v>948</v>
      </c>
      <c r="B37" s="6">
        <f>B13*(B8+B10+B18)</f>
        <v>942.90576923076935</v>
      </c>
      <c r="F37" s="8">
        <f>F13*(F8+F10)</f>
        <v>0</v>
      </c>
      <c r="G37" s="8"/>
      <c r="H37" s="8"/>
      <c r="I37" s="8"/>
      <c r="J37" s="8">
        <f>J13*(J8+J10)</f>
        <v>0</v>
      </c>
      <c r="K37" s="8"/>
      <c r="L37" s="8"/>
      <c r="S37" t="s">
        <v>1222</v>
      </c>
      <c r="T37" t="s">
        <v>1218</v>
      </c>
    </row>
    <row r="38" spans="1:20" x14ac:dyDescent="0.25">
      <c r="A38" t="s">
        <v>949</v>
      </c>
      <c r="B38" s="6">
        <f>B13*(B26+B27)</f>
        <v>824.7182752470203</v>
      </c>
      <c r="F38" s="8">
        <f>F13*(F26+F27)</f>
        <v>0</v>
      </c>
      <c r="G38" s="8"/>
      <c r="H38" s="8"/>
      <c r="I38" s="8"/>
      <c r="J38" s="8">
        <f>J13*(J26+J27)</f>
        <v>0</v>
      </c>
      <c r="K38" s="8"/>
      <c r="L38" s="8"/>
    </row>
    <row r="39" spans="1:20" x14ac:dyDescent="0.25">
      <c r="F39" s="8"/>
      <c r="G39" s="8"/>
      <c r="H39" s="8"/>
      <c r="I39" s="8"/>
      <c r="J39" s="8"/>
      <c r="K39" s="8"/>
      <c r="L39" s="8"/>
      <c r="R39" t="s">
        <v>1203</v>
      </c>
      <c r="T39" t="s">
        <v>1218</v>
      </c>
    </row>
    <row r="40" spans="1:20" x14ac:dyDescent="0.25">
      <c r="A40" t="s">
        <v>952</v>
      </c>
      <c r="B40" s="6">
        <f>B13+B38-B37</f>
        <v>787.58173678548189</v>
      </c>
      <c r="C40" s="6">
        <f>B40*52</f>
        <v>40954.250312845055</v>
      </c>
      <c r="D40" s="7">
        <f>IF($B$20=1,C40/$B$21,C40)</f>
        <v>1107.3876541468592</v>
      </c>
      <c r="F40" s="8">
        <f>F13+F38-F37</f>
        <v>0</v>
      </c>
      <c r="G40" s="8"/>
      <c r="H40" s="8">
        <f>F40*52</f>
        <v>0</v>
      </c>
      <c r="I40" s="8"/>
      <c r="J40" s="8">
        <f>J13+J38-J37</f>
        <v>0</v>
      </c>
      <c r="K40" s="8"/>
      <c r="L40" s="8">
        <f>J40*52</f>
        <v>0</v>
      </c>
    </row>
    <row r="41" spans="1:20" x14ac:dyDescent="0.25">
      <c r="F41" s="8"/>
      <c r="G41" s="8"/>
      <c r="H41" s="8"/>
      <c r="I41" s="8"/>
      <c r="J41" s="8"/>
      <c r="K41" s="8"/>
      <c r="L41" s="8"/>
    </row>
    <row r="42" spans="1:20" x14ac:dyDescent="0.25">
      <c r="F42" s="8"/>
      <c r="G42" s="8"/>
      <c r="H42" s="8"/>
      <c r="I42" s="8"/>
      <c r="J42" s="8"/>
      <c r="K42" s="8"/>
      <c r="L42" s="8"/>
    </row>
    <row r="43" spans="1:20" ht="14.4" x14ac:dyDescent="0.3">
      <c r="A43" s="10" t="s">
        <v>953</v>
      </c>
      <c r="F43" s="8"/>
      <c r="G43" s="8"/>
      <c r="H43" s="8"/>
      <c r="I43" s="8"/>
      <c r="J43" s="8"/>
      <c r="K43" s="8"/>
      <c r="L43" s="8"/>
    </row>
    <row r="44" spans="1:20" x14ac:dyDescent="0.25">
      <c r="A44" t="s">
        <v>954</v>
      </c>
      <c r="F44" s="8"/>
      <c r="G44" s="8"/>
      <c r="H44" s="8"/>
      <c r="I44" s="8"/>
      <c r="J44" s="8"/>
      <c r="K44" s="8"/>
      <c r="L44" s="8"/>
    </row>
    <row r="45" spans="1:20" x14ac:dyDescent="0.25">
      <c r="F45" s="8"/>
      <c r="G45" s="8"/>
      <c r="H45" s="8"/>
      <c r="I45" s="8"/>
      <c r="J45" s="8"/>
      <c r="K45" s="8"/>
      <c r="L45" s="8"/>
    </row>
    <row r="46" spans="1:20" x14ac:dyDescent="0.25">
      <c r="A46" t="s">
        <v>948</v>
      </c>
      <c r="B46" s="6">
        <f>B25*(B8+B10+B18)</f>
        <v>547.48592307692297</v>
      </c>
      <c r="F46" s="8">
        <f>F25*(F8+F10)</f>
        <v>0</v>
      </c>
      <c r="G46" s="8"/>
      <c r="H46" s="8"/>
      <c r="I46" s="8"/>
      <c r="J46" s="8">
        <f>J25*(J8+J10)</f>
        <v>0</v>
      </c>
      <c r="K46" s="8"/>
      <c r="L46" s="8"/>
    </row>
    <row r="47" spans="1:20" x14ac:dyDescent="0.25">
      <c r="A47" t="s">
        <v>949</v>
      </c>
      <c r="B47" s="6">
        <f>B25*(B26+B27)</f>
        <v>478.86189790776024</v>
      </c>
      <c r="F47" s="8">
        <f>F25*(F26+F27)</f>
        <v>0</v>
      </c>
      <c r="G47" s="8"/>
      <c r="H47" s="8"/>
      <c r="I47" s="8"/>
      <c r="J47" s="8">
        <f>J25*(J26+J27)</f>
        <v>0</v>
      </c>
      <c r="K47" s="8"/>
      <c r="L47" s="8"/>
    </row>
    <row r="48" spans="1:20" x14ac:dyDescent="0.25">
      <c r="F48" s="8" t="s">
        <v>901</v>
      </c>
      <c r="G48" s="8"/>
      <c r="H48" s="8"/>
      <c r="I48" s="8"/>
      <c r="J48" s="8" t="s">
        <v>901</v>
      </c>
      <c r="K48" s="8"/>
      <c r="L48" s="8"/>
    </row>
    <row r="49" spans="1:40" x14ac:dyDescent="0.25">
      <c r="A49" t="s">
        <v>955</v>
      </c>
      <c r="B49" s="6">
        <f>B25+B47-B46</f>
        <v>457.29905175391423</v>
      </c>
      <c r="C49" s="6">
        <f>B49</f>
        <v>457.29905175391423</v>
      </c>
      <c r="D49" s="7">
        <f>IF($B$20=1,C49/$B$21,C49)</f>
        <v>12.365195805000942</v>
      </c>
      <c r="F49" s="8">
        <f>F25+F47-F46</f>
        <v>0</v>
      </c>
      <c r="G49" s="8">
        <f>F49</f>
        <v>0</v>
      </c>
      <c r="H49" s="8">
        <f>IF($F$20=1,G49/$F$21,G49)</f>
        <v>0</v>
      </c>
      <c r="I49" s="8"/>
      <c r="J49" s="8">
        <f>J25+J47-J46</f>
        <v>0</v>
      </c>
      <c r="K49" s="8">
        <f>J49</f>
        <v>0</v>
      </c>
      <c r="L49" s="8">
        <f>IF($J$20=1,K49/$J$21,K49)</f>
        <v>0</v>
      </c>
    </row>
    <row r="50" spans="1:40" x14ac:dyDescent="0.25">
      <c r="F50" t="s">
        <v>1022</v>
      </c>
      <c r="J50" t="s">
        <v>1022</v>
      </c>
    </row>
    <row r="51" spans="1:40" x14ac:dyDescent="0.25">
      <c r="F51">
        <v>0</v>
      </c>
      <c r="H51">
        <v>0</v>
      </c>
      <c r="J51">
        <f>K25*(1+(J8*(1-J9))-(J8+J10+J18)+(J10*(1-J11)))</f>
        <v>0</v>
      </c>
      <c r="K51">
        <f>J51</f>
        <v>0</v>
      </c>
      <c r="L51" s="8">
        <f>IF($J$20=1,K51/$J$21,K51)</f>
        <v>0</v>
      </c>
    </row>
    <row r="52" spans="1:40" x14ac:dyDescent="0.25">
      <c r="A52" s="1" t="s">
        <v>956</v>
      </c>
    </row>
    <row r="53" spans="1:40" x14ac:dyDescent="0.25">
      <c r="A53" t="s">
        <v>1141</v>
      </c>
      <c r="B53" s="92" t="s">
        <v>1142</v>
      </c>
    </row>
    <row r="54" spans="1:40" x14ac:dyDescent="0.25">
      <c r="M54" t="s">
        <v>1207</v>
      </c>
      <c r="P54" t="s">
        <v>1016</v>
      </c>
      <c r="Q54">
        <f>(1-ROTT)*(1-(NASR*NASRDC) - (NASL*NASLDC))</f>
        <v>0.87083130487056803</v>
      </c>
      <c r="Z54">
        <f>1-(NASL*NASLDC)</f>
        <v>0.99399999999999999</v>
      </c>
    </row>
    <row r="55" spans="1:40" x14ac:dyDescent="0.25">
      <c r="A55" t="s">
        <v>1143</v>
      </c>
      <c r="B55" s="100">
        <f>'Reference dates (hide)'!B40</f>
        <v>43831</v>
      </c>
      <c r="C55" s="6" t="s">
        <v>1150</v>
      </c>
      <c r="G55" s="7"/>
      <c r="Q55" s="116" t="str">
        <f ca="1">IF(OFFSET('Control Sheet'!E$45,MID($A$1,6,LEN($A$1)-6),0,1,1)=0,"",OFFSET('Control Sheet'!E$45,MID($A$1,6,LEN($A$1)-6),0,1,1))</f>
        <v>New</v>
      </c>
      <c r="R55" s="116" t="str">
        <f ca="1">IF(OFFSET('Control Sheet'!F$45,MID($A$1,6,LEN($A$1)-6),0,1,1)=0,"",OFFSET('Control Sheet'!F$45,MID($A$1,6,LEN($A$1)-6),0,1,1))</f>
        <v/>
      </c>
      <c r="S55" s="116" t="str">
        <f ca="1">IF(OFFSET('Control Sheet'!G$45,MID($A$1,6,LEN($A$1)-6),0,1,1)=0,"",OFFSET('Control Sheet'!G$45,MID($A$1,6,LEN($A$1)-6),0,1,1))</f>
        <v/>
      </c>
      <c r="T55" s="118" t="str">
        <f ca="1">IF(OFFSET('Control Sheet'!I$45,MID($A$1,6,LEN($A$1)-6),0,1,1)="0","",OFFSET('Control Sheet'!I$45,MID($A$1,6,LEN($A$1)-6),0,1,1))</f>
        <v>New</v>
      </c>
      <c r="U55" s="118" t="str">
        <f ca="1">IF(OFFSET('Control Sheet'!J$45,MID($A$1,6,LEN($A$1)-6),0,1,1)=0,"",OFFSET('Control Sheet'!J$45,MID($A$1,6,LEN($A$1)-6),0,1,1))</f>
        <v/>
      </c>
      <c r="V55" s="118" t="str">
        <f ca="1">IF(OFFSET('Control Sheet'!K$45,MID($A$1,6,LEN($A$1)-6),0,1,1)=0,"",OFFSET('Control Sheet'!K$45,MID($A$1,6,LEN($A$1)-6),0,1,1))</f>
        <v/>
      </c>
    </row>
    <row r="56" spans="1:40" ht="14.4" x14ac:dyDescent="0.3">
      <c r="A56" t="s">
        <v>1202</v>
      </c>
      <c r="C56" s="6" t="s">
        <v>1204</v>
      </c>
      <c r="D56" s="6"/>
      <c r="E56" s="7"/>
      <c r="F56" t="s">
        <v>860</v>
      </c>
      <c r="N56" s="6"/>
      <c r="O56" s="6"/>
      <c r="P56" s="7"/>
      <c r="Q56" s="93" t="s">
        <v>1236</v>
      </c>
      <c r="R56" s="6"/>
      <c r="T56" s="107" t="s">
        <v>1093</v>
      </c>
      <c r="Z56" s="93" t="s">
        <v>1305</v>
      </c>
      <c r="AC56" s="108" t="s">
        <v>1276</v>
      </c>
      <c r="AF56" s="1" t="s">
        <v>1306</v>
      </c>
      <c r="AI56" t="s">
        <v>1275</v>
      </c>
      <c r="AL56" t="s">
        <v>1312</v>
      </c>
    </row>
    <row r="57" spans="1:40" x14ac:dyDescent="0.25">
      <c r="A57" s="1" t="s">
        <v>1144</v>
      </c>
      <c r="B57" s="1" t="s">
        <v>1151</v>
      </c>
      <c r="C57" s="94" t="s">
        <v>1203</v>
      </c>
      <c r="D57" s="94" t="s">
        <v>984</v>
      </c>
      <c r="E57" s="111" t="s">
        <v>985</v>
      </c>
      <c r="F57" s="1" t="s">
        <v>951</v>
      </c>
      <c r="G57" s="1" t="s">
        <v>1205</v>
      </c>
      <c r="H57" s="1" t="s">
        <v>1206</v>
      </c>
      <c r="I57" s="1" t="s">
        <v>25</v>
      </c>
      <c r="J57" s="1" t="s">
        <v>1220</v>
      </c>
      <c r="K57" s="1" t="s">
        <v>1266</v>
      </c>
      <c r="M57" s="1" t="s">
        <v>1144</v>
      </c>
      <c r="N57" s="94" t="s">
        <v>1159</v>
      </c>
      <c r="O57" s="94" t="s">
        <v>1151</v>
      </c>
      <c r="P57" s="7" t="s">
        <v>1201</v>
      </c>
      <c r="Q57" s="6" t="s">
        <v>1196</v>
      </c>
      <c r="R57" s="6" t="s">
        <v>1197</v>
      </c>
      <c r="S57" s="7" t="s">
        <v>1198</v>
      </c>
      <c r="T57" s="109" t="s">
        <v>1188</v>
      </c>
      <c r="U57" s="109" t="s">
        <v>1189</v>
      </c>
      <c r="V57" s="109" t="s">
        <v>1190</v>
      </c>
      <c r="W57" s="110" t="s">
        <v>1191</v>
      </c>
      <c r="X57" s="110" t="s">
        <v>1192</v>
      </c>
      <c r="Y57" s="110" t="s">
        <v>1193</v>
      </c>
      <c r="Z57" t="s">
        <v>1146</v>
      </c>
      <c r="AA57" t="s">
        <v>1147</v>
      </c>
      <c r="AB57" t="s">
        <v>1148</v>
      </c>
      <c r="AC57" t="s">
        <v>1146</v>
      </c>
      <c r="AD57" t="s">
        <v>1147</v>
      </c>
      <c r="AE57" t="s">
        <v>1148</v>
      </c>
      <c r="AF57" t="s">
        <v>1146</v>
      </c>
      <c r="AG57" t="s">
        <v>1147</v>
      </c>
      <c r="AH57" t="s">
        <v>1148</v>
      </c>
      <c r="AI57" t="s">
        <v>1146</v>
      </c>
      <c r="AJ57" t="s">
        <v>1147</v>
      </c>
      <c r="AK57" t="s">
        <v>1148</v>
      </c>
      <c r="AL57" t="s">
        <v>1146</v>
      </c>
      <c r="AM57" t="s">
        <v>1147</v>
      </c>
      <c r="AN57" t="s">
        <v>1148</v>
      </c>
    </row>
    <row r="58" spans="1:40" x14ac:dyDescent="0.25">
      <c r="A58">
        <v>43969</v>
      </c>
      <c r="B58">
        <v>21</v>
      </c>
      <c r="C58">
        <v>445.74814591093116</v>
      </c>
      <c r="D58">
        <v>4.8698438864795284</v>
      </c>
      <c r="E58">
        <v>4.942891544776721</v>
      </c>
      <c r="F58">
        <v>24.491662183969872</v>
      </c>
      <c r="G58">
        <v>0</v>
      </c>
      <c r="H58">
        <v>0</v>
      </c>
      <c r="I58">
        <v>21.059709521247981</v>
      </c>
      <c r="J58">
        <v>3.4319526627218933</v>
      </c>
      <c r="K58">
        <v>0</v>
      </c>
      <c r="M58" s="101">
        <f>IF(B55&lt;&gt;"",B55-WEEKDAY(B55,3),"")</f>
        <v>43829</v>
      </c>
      <c r="N58" s="99">
        <f>YEAR(M58)</f>
        <v>2019</v>
      </c>
      <c r="O58" s="8">
        <f>WEEKNUM(M58,21)</f>
        <v>1</v>
      </c>
      <c r="P58">
        <f ca="1">'Reference dates (hide)'!K43</f>
        <v>7.874015748031496E-3</v>
      </c>
      <c r="Q58">
        <f>VLOOKUP($O58,$B$58:$C$110,2,0)*$Q$54</f>
        <v>388.17143954725253</v>
      </c>
      <c r="T58">
        <f>VLOOKUP($O58,$B$58:$D$110,3,0)</f>
        <v>23.375250655101734</v>
      </c>
      <c r="W58">
        <f>VLOOKUP($O58,$B$58:$E$110,4,0)</f>
        <v>24.495314748992026</v>
      </c>
      <c r="Z58">
        <f ca="1">IF(ISNA(MATCH(M58,$A$58:$A$110,0)),$D$13*$P58*52,VLOOKUP($M58, $A$58:$F$110,6,0))*$Z$54</f>
        <v>9.9679136611420081</v>
      </c>
      <c r="AC58">
        <f ca="1">IF(ISNA(MATCH(M58,$A$58:$A$110,0)),$D$15*$P58*52,VLOOKUP($M58, $A$58:$J$110,10,0))*$Z$54</f>
        <v>1.3967777104784993</v>
      </c>
      <c r="AF58">
        <f ca="1">Z58-AC58</f>
        <v>8.5711359506635088</v>
      </c>
      <c r="AI58">
        <f>VLOOKUP($O58,$B$58:$F$110,5,0)</f>
        <v>24.491662183969872</v>
      </c>
      <c r="AL58">
        <f>VLOOKUP($O58,$B$58:$I$110,8,0)</f>
        <v>21.059709521247981</v>
      </c>
    </row>
    <row r="59" spans="1:40" x14ac:dyDescent="0.25">
      <c r="A59">
        <v>43976</v>
      </c>
      <c r="B59">
        <v>22</v>
      </c>
      <c r="C59">
        <v>445.74814591093116</v>
      </c>
      <c r="D59">
        <v>4.8698438864795284</v>
      </c>
      <c r="E59">
        <v>4.942891544776721</v>
      </c>
      <c r="F59">
        <v>24.491662183969872</v>
      </c>
      <c r="G59">
        <v>0</v>
      </c>
      <c r="H59">
        <v>0</v>
      </c>
      <c r="I59">
        <v>21.059709521247981</v>
      </c>
      <c r="J59">
        <v>3.4319526627218933</v>
      </c>
      <c r="K59">
        <v>0</v>
      </c>
      <c r="M59" s="101">
        <f>IF('Reference dates (hide)'!I44&lt;&gt;"",'Reference dates (hide)'!I44,"")</f>
        <v>43836</v>
      </c>
      <c r="N59" s="99">
        <f t="shared" ref="N59:N110" si="0">YEAR(M59)</f>
        <v>2020</v>
      </c>
      <c r="O59" s="8">
        <f t="shared" ref="O59:O110" si="1">WEEKNUM(M59,21)</f>
        <v>2</v>
      </c>
      <c r="P59">
        <f ca="1">'Reference dates (hide)'!K44</f>
        <v>1.968503937007874E-2</v>
      </c>
      <c r="Q59">
        <f t="shared" ref="Q59:Q110" si="2">VLOOKUP($O59,$B$58:$C$110,2,0)*$Q$54</f>
        <v>388.17143954725253</v>
      </c>
      <c r="T59">
        <f t="shared" ref="T59:T110" si="3">VLOOKUP($O59,$B$58:$D$110,3,0)</f>
        <v>29.219063318877168</v>
      </c>
      <c r="W59">
        <f t="shared" ref="W59:W110" si="4">VLOOKUP($O59,$B$58:$E$110,4,0)</f>
        <v>30.923508679145002</v>
      </c>
      <c r="Z59">
        <f t="shared" ref="Z59:Z110" ca="1" si="5">IF(ISNA(MATCH(M59,$A$58:$A$110,0)),$D$13*$P59*52,VLOOKUP($M59, $A$58:$F$110,6,0))*$Z$54</f>
        <v>24.919784152855019</v>
      </c>
      <c r="AC59">
        <f t="shared" ref="AC59:AC110" ca="1" si="6">IF(ISNA(MATCH(M59,$A$58:$A$110,0)),$D$15*$P59*52,VLOOKUP($M59, $A$58:$J$110,10,0))*$Z$54</f>
        <v>3.4919442761962478</v>
      </c>
      <c r="AF59">
        <f t="shared" ref="AF59:AF110" ca="1" si="7">Z59-AC59</f>
        <v>21.427839876658773</v>
      </c>
      <c r="AI59">
        <f t="shared" ref="AI59:AI110" si="8">VLOOKUP($O59,$B$58:$F$110,5,0)</f>
        <v>24.491662183969872</v>
      </c>
      <c r="AL59">
        <f t="shared" ref="AL59:AL110" si="9">VLOOKUP($O59,$B$58:$I$110,8,0)</f>
        <v>21.059709521247981</v>
      </c>
    </row>
    <row r="60" spans="1:40" x14ac:dyDescent="0.25">
      <c r="A60">
        <v>43983</v>
      </c>
      <c r="B60">
        <v>23</v>
      </c>
      <c r="C60">
        <v>445.74814591093116</v>
      </c>
      <c r="D60">
        <v>4.8698438864795284</v>
      </c>
      <c r="E60">
        <v>4.942891544776721</v>
      </c>
      <c r="F60">
        <v>24.491662183969872</v>
      </c>
      <c r="G60">
        <v>0</v>
      </c>
      <c r="H60">
        <v>0</v>
      </c>
      <c r="I60">
        <v>21.059709521247981</v>
      </c>
      <c r="J60">
        <v>3.4319526627218933</v>
      </c>
      <c r="K60">
        <v>0</v>
      </c>
      <c r="M60" s="101">
        <f>IF('Reference dates (hide)'!I45&lt;&gt;"",'Reference dates (hide)'!I45,"")</f>
        <v>43843</v>
      </c>
      <c r="N60" s="99">
        <f t="shared" si="0"/>
        <v>2020</v>
      </c>
      <c r="O60" s="8">
        <f t="shared" si="1"/>
        <v>3</v>
      </c>
      <c r="P60">
        <f ca="1">'Reference dates (hide)'!K45</f>
        <v>1.968503937007874E-2</v>
      </c>
      <c r="Q60">
        <f t="shared" si="2"/>
        <v>388.17143954725253</v>
      </c>
      <c r="T60">
        <f t="shared" si="3"/>
        <v>26.053664792665479</v>
      </c>
      <c r="W60">
        <f t="shared" si="4"/>
        <v>27.441570300312144</v>
      </c>
      <c r="Z60">
        <f t="shared" ca="1" si="5"/>
        <v>24.919784152855019</v>
      </c>
      <c r="AC60">
        <f t="shared" ca="1" si="6"/>
        <v>3.4919442761962478</v>
      </c>
      <c r="AF60">
        <f t="shared" ca="1" si="7"/>
        <v>21.427839876658773</v>
      </c>
      <c r="AI60">
        <f t="shared" si="8"/>
        <v>24.491662183969872</v>
      </c>
      <c r="AL60">
        <f t="shared" si="9"/>
        <v>21.059709521247981</v>
      </c>
    </row>
    <row r="61" spans="1:40" x14ac:dyDescent="0.25">
      <c r="A61">
        <v>43990</v>
      </c>
      <c r="B61">
        <v>24</v>
      </c>
      <c r="C61">
        <v>445.74814591093116</v>
      </c>
      <c r="D61">
        <v>4.8698438864795284</v>
      </c>
      <c r="E61">
        <v>4.942891544776721</v>
      </c>
      <c r="F61">
        <v>24.491662183969872</v>
      </c>
      <c r="G61">
        <v>0</v>
      </c>
      <c r="H61">
        <v>0</v>
      </c>
      <c r="I61">
        <v>21.059709521247981</v>
      </c>
      <c r="J61">
        <v>3.4319526627218933</v>
      </c>
      <c r="K61">
        <v>0</v>
      </c>
      <c r="M61" s="101">
        <f>IF('Reference dates (hide)'!I46&lt;&gt;"",'Reference dates (hide)'!I46,"")</f>
        <v>43850</v>
      </c>
      <c r="N61" s="99">
        <f t="shared" si="0"/>
        <v>2020</v>
      </c>
      <c r="O61" s="8">
        <f t="shared" si="1"/>
        <v>4</v>
      </c>
      <c r="P61">
        <f ca="1">'Reference dates (hide)'!K46</f>
        <v>1.968503937007874E-2</v>
      </c>
      <c r="Q61">
        <f t="shared" si="2"/>
        <v>388.17143954725253</v>
      </c>
      <c r="T61">
        <f t="shared" si="3"/>
        <v>26.784141375637407</v>
      </c>
      <c r="W61">
        <f t="shared" si="4"/>
        <v>28.245094541581263</v>
      </c>
      <c r="Z61">
        <f t="shared" ca="1" si="5"/>
        <v>24.919784152855019</v>
      </c>
      <c r="AC61">
        <f t="shared" ca="1" si="6"/>
        <v>3.4919442761962478</v>
      </c>
      <c r="AF61">
        <f t="shared" ca="1" si="7"/>
        <v>21.427839876658773</v>
      </c>
      <c r="AI61">
        <f t="shared" si="8"/>
        <v>24.491662183969872</v>
      </c>
      <c r="AL61">
        <f t="shared" si="9"/>
        <v>21.059709521247981</v>
      </c>
    </row>
    <row r="62" spans="1:40" x14ac:dyDescent="0.25">
      <c r="A62">
        <v>43997</v>
      </c>
      <c r="B62">
        <v>25</v>
      </c>
      <c r="C62">
        <v>445.74814591093116</v>
      </c>
      <c r="D62">
        <v>4.8698438864795284</v>
      </c>
      <c r="E62">
        <v>4.942891544776721</v>
      </c>
      <c r="F62">
        <v>24.491662183969872</v>
      </c>
      <c r="G62">
        <v>0</v>
      </c>
      <c r="H62">
        <v>0</v>
      </c>
      <c r="I62">
        <v>21.059709521247981</v>
      </c>
      <c r="J62">
        <v>3.4319526627218933</v>
      </c>
      <c r="K62">
        <v>0</v>
      </c>
      <c r="M62" s="101">
        <f>IF('Reference dates (hide)'!I47&lt;&gt;"",'Reference dates (hide)'!I47,"")</f>
        <v>43857</v>
      </c>
      <c r="N62" s="99">
        <f t="shared" si="0"/>
        <v>2020</v>
      </c>
      <c r="O62" s="8">
        <f t="shared" si="1"/>
        <v>5</v>
      </c>
      <c r="P62">
        <f ca="1">'Reference dates (hide)'!K47</f>
        <v>1.968503937007874E-2</v>
      </c>
      <c r="Q62">
        <f t="shared" si="2"/>
        <v>388.17143954725253</v>
      </c>
      <c r="T62">
        <f t="shared" si="3"/>
        <v>12.418101910522797</v>
      </c>
      <c r="W62">
        <f t="shared" si="4"/>
        <v>13.659912101575076</v>
      </c>
      <c r="Z62">
        <f t="shared" ca="1" si="5"/>
        <v>24.919784152855019</v>
      </c>
      <c r="AC62">
        <f t="shared" ca="1" si="6"/>
        <v>3.4919442761962478</v>
      </c>
      <c r="AF62">
        <f t="shared" ca="1" si="7"/>
        <v>21.427839876658773</v>
      </c>
      <c r="AI62">
        <f t="shared" si="8"/>
        <v>24.491662183969872</v>
      </c>
      <c r="AL62">
        <f t="shared" si="9"/>
        <v>21.059709521247981</v>
      </c>
    </row>
    <row r="63" spans="1:40" x14ac:dyDescent="0.25">
      <c r="A63">
        <v>44004</v>
      </c>
      <c r="B63">
        <v>26</v>
      </c>
      <c r="C63">
        <v>445.74814591093116</v>
      </c>
      <c r="D63">
        <v>4.8698438864795284</v>
      </c>
      <c r="E63">
        <v>4.942891544776721</v>
      </c>
      <c r="F63">
        <v>24.491662183969872</v>
      </c>
      <c r="G63">
        <v>0</v>
      </c>
      <c r="H63">
        <v>0</v>
      </c>
      <c r="I63">
        <v>21.059709521247981</v>
      </c>
      <c r="J63">
        <v>3.4319526627218933</v>
      </c>
      <c r="K63">
        <v>0</v>
      </c>
      <c r="M63" s="101">
        <f>IF('Reference dates (hide)'!I48&lt;&gt;"",'Reference dates (hide)'!I48,"")</f>
        <v>43864</v>
      </c>
      <c r="N63" s="99">
        <f t="shared" si="0"/>
        <v>2020</v>
      </c>
      <c r="O63" s="8">
        <f t="shared" si="1"/>
        <v>6</v>
      </c>
      <c r="P63">
        <f ca="1">'Reference dates (hide)'!K48</f>
        <v>1.968503937007874E-2</v>
      </c>
      <c r="Q63">
        <f t="shared" si="2"/>
        <v>388.17143954725253</v>
      </c>
      <c r="T63">
        <f t="shared" si="3"/>
        <v>7.3047658297192921</v>
      </c>
      <c r="W63">
        <f t="shared" si="4"/>
        <v>8.0352424126912219</v>
      </c>
      <c r="Z63">
        <f t="shared" ca="1" si="5"/>
        <v>24.919784152855019</v>
      </c>
      <c r="AC63">
        <f t="shared" ca="1" si="6"/>
        <v>3.4919442761962478</v>
      </c>
      <c r="AF63">
        <f t="shared" ca="1" si="7"/>
        <v>21.427839876658773</v>
      </c>
      <c r="AI63">
        <f t="shared" si="8"/>
        <v>24.491662183969872</v>
      </c>
      <c r="AL63">
        <f t="shared" si="9"/>
        <v>21.059709521247981</v>
      </c>
    </row>
    <row r="64" spans="1:40" x14ac:dyDescent="0.25">
      <c r="A64">
        <v>44011</v>
      </c>
      <c r="B64">
        <v>27</v>
      </c>
      <c r="C64">
        <v>445.74814591093116</v>
      </c>
      <c r="D64">
        <v>4.8698438864795284</v>
      </c>
      <c r="E64">
        <v>4.942891544776721</v>
      </c>
      <c r="F64">
        <v>24.491662183969872</v>
      </c>
      <c r="G64">
        <v>0</v>
      </c>
      <c r="H64">
        <v>0</v>
      </c>
      <c r="I64">
        <v>21.059709521247981</v>
      </c>
      <c r="J64">
        <v>3.4319526627218933</v>
      </c>
      <c r="K64">
        <v>0</v>
      </c>
      <c r="M64" s="101">
        <f>IF('Reference dates (hide)'!I49&lt;&gt;"",'Reference dates (hide)'!I49,"")</f>
        <v>43871</v>
      </c>
      <c r="N64" s="99">
        <f t="shared" si="0"/>
        <v>2020</v>
      </c>
      <c r="O64" s="8">
        <f t="shared" si="1"/>
        <v>7</v>
      </c>
      <c r="P64">
        <f ca="1">'Reference dates (hide)'!K49</f>
        <v>1.968503937007874E-2</v>
      </c>
      <c r="Q64">
        <f t="shared" si="2"/>
        <v>388.17143954725253</v>
      </c>
      <c r="T64">
        <f t="shared" si="3"/>
        <v>18.748898962946186</v>
      </c>
      <c r="W64">
        <f t="shared" si="4"/>
        <v>20.623788859240804</v>
      </c>
      <c r="Z64">
        <f t="shared" ca="1" si="5"/>
        <v>24.919784152855019</v>
      </c>
      <c r="AC64">
        <f t="shared" ca="1" si="6"/>
        <v>3.4919442761962478</v>
      </c>
      <c r="AF64">
        <f t="shared" ca="1" si="7"/>
        <v>21.427839876658773</v>
      </c>
      <c r="AI64">
        <f t="shared" si="8"/>
        <v>24.491662183969872</v>
      </c>
      <c r="AL64">
        <f t="shared" si="9"/>
        <v>21.059709521247981</v>
      </c>
    </row>
    <row r="65" spans="1:38" x14ac:dyDescent="0.25">
      <c r="A65">
        <v>44018</v>
      </c>
      <c r="B65">
        <v>28</v>
      </c>
      <c r="C65">
        <v>445.74814591093116</v>
      </c>
      <c r="D65">
        <v>5.3324790556950834</v>
      </c>
      <c r="E65">
        <v>5.405526713992276</v>
      </c>
      <c r="F65">
        <v>24.491662183969872</v>
      </c>
      <c r="G65">
        <v>0</v>
      </c>
      <c r="H65">
        <v>0</v>
      </c>
      <c r="I65">
        <v>21.059709521247981</v>
      </c>
      <c r="J65">
        <v>3.4319526627218933</v>
      </c>
      <c r="K65">
        <v>0</v>
      </c>
      <c r="M65" s="101">
        <f>IF('Reference dates (hide)'!I50&lt;&gt;"",'Reference dates (hide)'!I50,"")</f>
        <v>43878</v>
      </c>
      <c r="N65" s="99">
        <f t="shared" si="0"/>
        <v>2020</v>
      </c>
      <c r="O65" s="8">
        <f t="shared" si="1"/>
        <v>8</v>
      </c>
      <c r="P65">
        <f ca="1">'Reference dates (hide)'!K50</f>
        <v>1.968503937007874E-2</v>
      </c>
      <c r="Q65">
        <f t="shared" si="2"/>
        <v>388.17143954725253</v>
      </c>
      <c r="T65">
        <f t="shared" si="3"/>
        <v>12.418101910522797</v>
      </c>
      <c r="W65">
        <f t="shared" si="4"/>
        <v>13.659912101575076</v>
      </c>
      <c r="Z65">
        <f t="shared" ca="1" si="5"/>
        <v>24.919784152855019</v>
      </c>
      <c r="AC65">
        <f t="shared" ca="1" si="6"/>
        <v>3.4919442761962478</v>
      </c>
      <c r="AF65">
        <f t="shared" ca="1" si="7"/>
        <v>21.427839876658773</v>
      </c>
      <c r="AI65">
        <f t="shared" si="8"/>
        <v>24.491662183969872</v>
      </c>
      <c r="AL65">
        <f t="shared" si="9"/>
        <v>21.059709521247981</v>
      </c>
    </row>
    <row r="66" spans="1:38" x14ac:dyDescent="0.25">
      <c r="A66">
        <v>44025</v>
      </c>
      <c r="B66">
        <v>29</v>
      </c>
      <c r="C66">
        <v>445.74814591093116</v>
      </c>
      <c r="D66">
        <v>5.7951142249106393</v>
      </c>
      <c r="E66">
        <v>5.8681618832078319</v>
      </c>
      <c r="F66">
        <v>24.491662183969872</v>
      </c>
      <c r="G66">
        <v>0</v>
      </c>
      <c r="H66">
        <v>0</v>
      </c>
      <c r="I66">
        <v>21.059709521247981</v>
      </c>
      <c r="J66">
        <v>3.4319526627218933</v>
      </c>
      <c r="K66">
        <v>0</v>
      </c>
      <c r="M66" s="101">
        <f>IF('Reference dates (hide)'!I51&lt;&gt;"",'Reference dates (hide)'!I51,"")</f>
        <v>43885</v>
      </c>
      <c r="N66" s="99">
        <f t="shared" si="0"/>
        <v>2020</v>
      </c>
      <c r="O66" s="8">
        <f t="shared" si="1"/>
        <v>9</v>
      </c>
      <c r="P66">
        <f ca="1">'Reference dates (hide)'!K51</f>
        <v>1.968503937007874E-2</v>
      </c>
      <c r="Q66">
        <f t="shared" si="2"/>
        <v>388.17143954725253</v>
      </c>
      <c r="T66">
        <f t="shared" si="3"/>
        <v>10.71365655025496</v>
      </c>
      <c r="W66">
        <f t="shared" si="4"/>
        <v>11.785022205280459</v>
      </c>
      <c r="Z66">
        <f t="shared" ca="1" si="5"/>
        <v>24.919784152855019</v>
      </c>
      <c r="AC66">
        <f t="shared" ca="1" si="6"/>
        <v>3.4919442761962478</v>
      </c>
      <c r="AF66">
        <f t="shared" ca="1" si="7"/>
        <v>21.427839876658773</v>
      </c>
      <c r="AI66">
        <f t="shared" si="8"/>
        <v>24.491662183969872</v>
      </c>
      <c r="AL66">
        <f t="shared" si="9"/>
        <v>21.059709521247981</v>
      </c>
    </row>
    <row r="67" spans="1:38" x14ac:dyDescent="0.25">
      <c r="A67">
        <v>44032</v>
      </c>
      <c r="B67">
        <v>30</v>
      </c>
      <c r="C67">
        <v>445.74814591093116</v>
      </c>
      <c r="D67">
        <v>6.2577493941261935</v>
      </c>
      <c r="E67">
        <v>6.3307970524233861</v>
      </c>
      <c r="F67">
        <v>24.491662183969872</v>
      </c>
      <c r="G67">
        <v>0</v>
      </c>
      <c r="H67">
        <v>0</v>
      </c>
      <c r="I67">
        <v>21.059709521247981</v>
      </c>
      <c r="J67">
        <v>3.4319526627218933</v>
      </c>
      <c r="K67">
        <v>0</v>
      </c>
      <c r="M67" s="101">
        <f>IF('Reference dates (hide)'!I52&lt;&gt;"",'Reference dates (hide)'!I52,"")</f>
        <v>43892</v>
      </c>
      <c r="N67" s="99">
        <f t="shared" si="0"/>
        <v>2020</v>
      </c>
      <c r="O67" s="8">
        <f t="shared" si="1"/>
        <v>10</v>
      </c>
      <c r="P67">
        <f ca="1">'Reference dates (hide)'!K52</f>
        <v>1.968503937007874E-2</v>
      </c>
      <c r="Q67">
        <f t="shared" si="2"/>
        <v>388.17143954725253</v>
      </c>
      <c r="T67">
        <f t="shared" si="3"/>
        <v>15.826992631058468</v>
      </c>
      <c r="W67">
        <f t="shared" si="4"/>
        <v>17.409691894164315</v>
      </c>
      <c r="Z67">
        <f t="shared" ca="1" si="5"/>
        <v>24.919784152855019</v>
      </c>
      <c r="AC67">
        <f t="shared" ca="1" si="6"/>
        <v>3.4919442761962478</v>
      </c>
      <c r="AF67">
        <f t="shared" ca="1" si="7"/>
        <v>21.427839876658773</v>
      </c>
      <c r="AI67">
        <f t="shared" si="8"/>
        <v>24.491662183969872</v>
      </c>
      <c r="AL67">
        <f t="shared" si="9"/>
        <v>21.059709521247981</v>
      </c>
    </row>
    <row r="68" spans="1:38" x14ac:dyDescent="0.25">
      <c r="A68">
        <v>44039</v>
      </c>
      <c r="B68">
        <v>31</v>
      </c>
      <c r="C68">
        <v>445.74814591093116</v>
      </c>
      <c r="D68">
        <v>6.7203845633417485</v>
      </c>
      <c r="E68">
        <v>6.7934322216389411</v>
      </c>
      <c r="F68">
        <v>24.491662183969872</v>
      </c>
      <c r="G68">
        <v>0</v>
      </c>
      <c r="H68">
        <v>0</v>
      </c>
      <c r="I68">
        <v>21.059709521247981</v>
      </c>
      <c r="J68">
        <v>3.4319526627218933</v>
      </c>
      <c r="K68">
        <v>0</v>
      </c>
      <c r="M68" s="101">
        <f>IF('Reference dates (hide)'!I53&lt;&gt;"",'Reference dates (hide)'!I53,"")</f>
        <v>43899</v>
      </c>
      <c r="N68" s="99">
        <f t="shared" si="0"/>
        <v>2020</v>
      </c>
      <c r="O68" s="8">
        <f t="shared" si="1"/>
        <v>11</v>
      </c>
      <c r="P68">
        <f ca="1">'Reference dates (hide)'!K53</f>
        <v>1.968503937007874E-2</v>
      </c>
      <c r="Q68">
        <f t="shared" si="2"/>
        <v>388.17143954725253</v>
      </c>
      <c r="T68">
        <f t="shared" si="3"/>
        <v>15.096516048086537</v>
      </c>
      <c r="W68">
        <f t="shared" si="4"/>
        <v>16.606167652895191</v>
      </c>
      <c r="Z68">
        <f t="shared" ca="1" si="5"/>
        <v>24.919784152855019</v>
      </c>
      <c r="AC68">
        <f t="shared" ca="1" si="6"/>
        <v>3.4919442761962478</v>
      </c>
      <c r="AF68">
        <f t="shared" ca="1" si="7"/>
        <v>21.427839876658773</v>
      </c>
      <c r="AI68">
        <f t="shared" si="8"/>
        <v>24.491662183969872</v>
      </c>
      <c r="AL68">
        <f t="shared" si="9"/>
        <v>21.059709521247981</v>
      </c>
    </row>
    <row r="69" spans="1:38" x14ac:dyDescent="0.25">
      <c r="A69">
        <v>44046</v>
      </c>
      <c r="B69">
        <v>32</v>
      </c>
      <c r="C69">
        <v>445.74814591093116</v>
      </c>
      <c r="D69">
        <v>7.1830197325573035</v>
      </c>
      <c r="E69">
        <v>7.2560673908544961</v>
      </c>
      <c r="F69">
        <v>24.491662183969872</v>
      </c>
      <c r="G69">
        <v>0</v>
      </c>
      <c r="H69">
        <v>0</v>
      </c>
      <c r="I69">
        <v>21.059709521247981</v>
      </c>
      <c r="J69">
        <v>3.4319526627218933</v>
      </c>
      <c r="K69">
        <v>0</v>
      </c>
      <c r="M69" s="101">
        <f>IF('Reference dates (hide)'!I54&lt;&gt;"",'Reference dates (hide)'!I54,"")</f>
        <v>43906</v>
      </c>
      <c r="N69" s="99">
        <f t="shared" si="0"/>
        <v>2020</v>
      </c>
      <c r="O69" s="8">
        <f t="shared" si="1"/>
        <v>12</v>
      </c>
      <c r="P69">
        <f ca="1">'Reference dates (hide)'!K54</f>
        <v>1.968503937007874E-2</v>
      </c>
      <c r="Q69">
        <f t="shared" si="2"/>
        <v>388.17143954725253</v>
      </c>
      <c r="T69">
        <f t="shared" si="3"/>
        <v>7.7917502183672465</v>
      </c>
      <c r="W69">
        <f t="shared" si="4"/>
        <v>8.5709252402039695</v>
      </c>
      <c r="Z69">
        <f t="shared" ca="1" si="5"/>
        <v>24.919784152855019</v>
      </c>
      <c r="AC69">
        <f t="shared" ca="1" si="6"/>
        <v>3.4919442761962478</v>
      </c>
      <c r="AF69">
        <f t="shared" ca="1" si="7"/>
        <v>21.427839876658773</v>
      </c>
      <c r="AI69">
        <f t="shared" si="8"/>
        <v>24.491662183969872</v>
      </c>
      <c r="AL69">
        <f t="shared" si="9"/>
        <v>21.059709521247981</v>
      </c>
    </row>
    <row r="70" spans="1:38" x14ac:dyDescent="0.25">
      <c r="A70">
        <v>44053</v>
      </c>
      <c r="B70">
        <v>33</v>
      </c>
      <c r="C70">
        <v>445.74814591093116</v>
      </c>
      <c r="D70">
        <v>7.6456549017728594</v>
      </c>
      <c r="E70">
        <v>7.7187025600700521</v>
      </c>
      <c r="F70">
        <v>24.491662183969872</v>
      </c>
      <c r="G70">
        <v>0</v>
      </c>
      <c r="H70">
        <v>0</v>
      </c>
      <c r="I70">
        <v>21.059709521247981</v>
      </c>
      <c r="J70">
        <v>3.4319526627218933</v>
      </c>
      <c r="K70">
        <v>0</v>
      </c>
      <c r="M70" s="101">
        <f>IF('Reference dates (hide)'!I55&lt;&gt;"",'Reference dates (hide)'!I55,"")</f>
        <v>43913</v>
      </c>
      <c r="N70" s="99">
        <f t="shared" si="0"/>
        <v>2020</v>
      </c>
      <c r="O70" s="8">
        <f t="shared" si="1"/>
        <v>13</v>
      </c>
      <c r="P70">
        <f ca="1">'Reference dates (hide)'!K55</f>
        <v>1.968503937007874E-2</v>
      </c>
      <c r="Q70">
        <f t="shared" si="2"/>
        <v>388.17143954725253</v>
      </c>
      <c r="T70">
        <f t="shared" si="3"/>
        <v>10.957148744578939</v>
      </c>
      <c r="W70">
        <f t="shared" si="4"/>
        <v>12.052863619036833</v>
      </c>
      <c r="Z70">
        <f t="shared" ca="1" si="5"/>
        <v>24.919784152855019</v>
      </c>
      <c r="AC70">
        <f t="shared" ca="1" si="6"/>
        <v>3.4919442761962478</v>
      </c>
      <c r="AF70">
        <f t="shared" ca="1" si="7"/>
        <v>21.427839876658773</v>
      </c>
      <c r="AI70">
        <f t="shared" si="8"/>
        <v>24.491662183969872</v>
      </c>
      <c r="AL70">
        <f t="shared" si="9"/>
        <v>21.059709521247981</v>
      </c>
    </row>
    <row r="71" spans="1:38" x14ac:dyDescent="0.25">
      <c r="A71">
        <v>44060</v>
      </c>
      <c r="B71">
        <v>34</v>
      </c>
      <c r="C71">
        <v>445.74814591093116</v>
      </c>
      <c r="D71">
        <v>8.1082900709884154</v>
      </c>
      <c r="E71">
        <v>8.1813377292856053</v>
      </c>
      <c r="F71">
        <v>24.491662183969872</v>
      </c>
      <c r="G71">
        <v>0</v>
      </c>
      <c r="H71">
        <v>0</v>
      </c>
      <c r="I71">
        <v>21.059709521247981</v>
      </c>
      <c r="J71">
        <v>3.4319526627218933</v>
      </c>
      <c r="K71">
        <v>0</v>
      </c>
      <c r="M71" s="101">
        <f>IF('Reference dates (hide)'!I56&lt;&gt;"",'Reference dates (hide)'!I56,"")</f>
        <v>43920</v>
      </c>
      <c r="N71" s="99">
        <f t="shared" si="0"/>
        <v>2020</v>
      </c>
      <c r="O71" s="8">
        <f t="shared" si="1"/>
        <v>14</v>
      </c>
      <c r="P71">
        <f ca="1">'Reference dates (hide)'!K56</f>
        <v>1.968503937007874E-2</v>
      </c>
      <c r="Q71">
        <f t="shared" si="2"/>
        <v>388.17143954725253</v>
      </c>
      <c r="T71">
        <f t="shared" si="3"/>
        <v>11.687625327550867</v>
      </c>
      <c r="W71">
        <f t="shared" si="4"/>
        <v>12.856387860305956</v>
      </c>
      <c r="Z71">
        <f t="shared" ca="1" si="5"/>
        <v>24.919784152855019</v>
      </c>
      <c r="AC71">
        <f t="shared" ca="1" si="6"/>
        <v>3.4919442761962478</v>
      </c>
      <c r="AF71">
        <f t="shared" ca="1" si="7"/>
        <v>21.427839876658773</v>
      </c>
      <c r="AI71">
        <f t="shared" si="8"/>
        <v>24.491662183969872</v>
      </c>
      <c r="AL71">
        <f t="shared" si="9"/>
        <v>21.059709521247981</v>
      </c>
    </row>
    <row r="72" spans="1:38" x14ac:dyDescent="0.25">
      <c r="A72">
        <v>44067</v>
      </c>
      <c r="B72">
        <v>35</v>
      </c>
      <c r="C72">
        <v>445.74814591093116</v>
      </c>
      <c r="D72">
        <v>8.5709252402039695</v>
      </c>
      <c r="E72">
        <v>8.6439728985011612</v>
      </c>
      <c r="F72">
        <v>24.491662183969872</v>
      </c>
      <c r="G72">
        <v>0</v>
      </c>
      <c r="H72">
        <v>0</v>
      </c>
      <c r="I72">
        <v>21.059709521247981</v>
      </c>
      <c r="J72">
        <v>3.4319526627218933</v>
      </c>
      <c r="K72">
        <v>0</v>
      </c>
      <c r="M72" s="101">
        <f>IF('Reference dates (hide)'!I57&lt;&gt;"",'Reference dates (hide)'!I57,"")</f>
        <v>43927</v>
      </c>
      <c r="N72" s="99">
        <f t="shared" si="0"/>
        <v>2020</v>
      </c>
      <c r="O72" s="8">
        <f t="shared" si="1"/>
        <v>15</v>
      </c>
      <c r="P72">
        <f ca="1">'Reference dates (hide)'!K57</f>
        <v>1.5748031496062992E-2</v>
      </c>
      <c r="Q72">
        <f t="shared" si="2"/>
        <v>388.17143954725253</v>
      </c>
      <c r="T72">
        <f t="shared" si="3"/>
        <v>19.235883351594133</v>
      </c>
      <c r="W72">
        <f t="shared" si="4"/>
        <v>21.159471686753555</v>
      </c>
      <c r="Z72">
        <f t="shared" ca="1" si="5"/>
        <v>19.935827322284016</v>
      </c>
      <c r="AC72">
        <f t="shared" ca="1" si="6"/>
        <v>2.7935554209569986</v>
      </c>
      <c r="AF72">
        <f t="shared" ca="1" si="7"/>
        <v>17.142271901327018</v>
      </c>
      <c r="AI72">
        <f t="shared" si="8"/>
        <v>24.491662183969872</v>
      </c>
      <c r="AL72">
        <f t="shared" si="9"/>
        <v>21.059709521247981</v>
      </c>
    </row>
    <row r="73" spans="1:38" x14ac:dyDescent="0.25">
      <c r="A73">
        <v>44074</v>
      </c>
      <c r="B73">
        <v>36</v>
      </c>
      <c r="C73">
        <v>445.74814591093116</v>
      </c>
      <c r="D73">
        <v>9.0335604094195254</v>
      </c>
      <c r="E73">
        <v>9.1066080677167189</v>
      </c>
      <c r="F73">
        <v>24.491662183969872</v>
      </c>
      <c r="G73">
        <v>0</v>
      </c>
      <c r="H73">
        <v>0</v>
      </c>
      <c r="I73">
        <v>21.059709521247981</v>
      </c>
      <c r="J73">
        <v>3.4319526627218933</v>
      </c>
      <c r="K73">
        <v>0</v>
      </c>
      <c r="M73" s="101">
        <f>IF('Reference dates (hide)'!I58&lt;&gt;"",'Reference dates (hide)'!I58,"")</f>
        <v>43934</v>
      </c>
      <c r="N73" s="99">
        <f t="shared" si="0"/>
        <v>2020</v>
      </c>
      <c r="O73" s="8">
        <f t="shared" si="1"/>
        <v>16</v>
      </c>
      <c r="P73">
        <f ca="1">'Reference dates (hide)'!K58</f>
        <v>1.5748031496062992E-2</v>
      </c>
      <c r="Q73">
        <f t="shared" si="2"/>
        <v>388.17143954725253</v>
      </c>
      <c r="T73">
        <f t="shared" si="3"/>
        <v>8.0352424126912219</v>
      </c>
      <c r="W73">
        <f t="shared" si="4"/>
        <v>8.8387666539603451</v>
      </c>
      <c r="Z73">
        <f t="shared" ca="1" si="5"/>
        <v>19.935827322284016</v>
      </c>
      <c r="AC73">
        <f t="shared" ca="1" si="6"/>
        <v>2.7935554209569986</v>
      </c>
      <c r="AF73">
        <f t="shared" ca="1" si="7"/>
        <v>17.142271901327018</v>
      </c>
      <c r="AI73">
        <f t="shared" si="8"/>
        <v>24.491662183969872</v>
      </c>
      <c r="AL73">
        <f t="shared" si="9"/>
        <v>21.059709521247981</v>
      </c>
    </row>
    <row r="74" spans="1:38" x14ac:dyDescent="0.25">
      <c r="A74">
        <v>44081</v>
      </c>
      <c r="B74">
        <v>37</v>
      </c>
      <c r="C74">
        <v>445.74814591093116</v>
      </c>
      <c r="D74">
        <v>9.4961955786350796</v>
      </c>
      <c r="E74">
        <v>9.5692432369322731</v>
      </c>
      <c r="F74">
        <v>24.491662183969872</v>
      </c>
      <c r="G74">
        <v>0</v>
      </c>
      <c r="H74">
        <v>0</v>
      </c>
      <c r="I74">
        <v>21.059709521247981</v>
      </c>
      <c r="J74">
        <v>3.4319526627218933</v>
      </c>
      <c r="K74">
        <v>0</v>
      </c>
      <c r="M74" s="101">
        <f>IF('Reference dates (hide)'!I59&lt;&gt;"",'Reference dates (hide)'!I59,"")</f>
        <v>43941</v>
      </c>
      <c r="N74" s="99">
        <f t="shared" si="0"/>
        <v>2020</v>
      </c>
      <c r="O74" s="8">
        <f t="shared" si="1"/>
        <v>17</v>
      </c>
      <c r="P74">
        <f ca="1">'Reference dates (hide)'!K59</f>
        <v>1.968503937007874E-2</v>
      </c>
      <c r="Q74">
        <f t="shared" si="2"/>
        <v>388.17143954725253</v>
      </c>
      <c r="T74">
        <f t="shared" si="3"/>
        <v>14.366039465114607</v>
      </c>
      <c r="W74">
        <f t="shared" si="4"/>
        <v>15.802643411626068</v>
      </c>
      <c r="Z74">
        <f t="shared" ca="1" si="5"/>
        <v>24.919784152855019</v>
      </c>
      <c r="AC74">
        <f t="shared" ca="1" si="6"/>
        <v>3.4919442761962478</v>
      </c>
      <c r="AF74">
        <f t="shared" ca="1" si="7"/>
        <v>21.427839876658773</v>
      </c>
      <c r="AI74">
        <f t="shared" si="8"/>
        <v>24.491662183969872</v>
      </c>
      <c r="AL74">
        <f t="shared" si="9"/>
        <v>21.059709521247981</v>
      </c>
    </row>
    <row r="75" spans="1:38" x14ac:dyDescent="0.25">
      <c r="A75">
        <v>44088</v>
      </c>
      <c r="B75">
        <v>38</v>
      </c>
      <c r="C75">
        <v>445.74814591093116</v>
      </c>
      <c r="D75">
        <v>9.9588307478506355</v>
      </c>
      <c r="E75">
        <v>10.031878406147829</v>
      </c>
      <c r="F75">
        <v>24.491662183969872</v>
      </c>
      <c r="G75">
        <v>0</v>
      </c>
      <c r="H75">
        <v>0</v>
      </c>
      <c r="I75">
        <v>21.059709521247981</v>
      </c>
      <c r="J75">
        <v>3.4319526627218933</v>
      </c>
      <c r="K75">
        <v>0</v>
      </c>
      <c r="M75" s="101">
        <f>IF('Reference dates (hide)'!I60&lt;&gt;"",'Reference dates (hide)'!I60,"")</f>
        <v>43948</v>
      </c>
      <c r="N75" s="99">
        <f t="shared" si="0"/>
        <v>2020</v>
      </c>
      <c r="O75" s="8">
        <f t="shared" si="1"/>
        <v>18</v>
      </c>
      <c r="P75">
        <f ca="1">'Reference dates (hide)'!K60</f>
        <v>1.968503937007874E-2</v>
      </c>
      <c r="Q75">
        <f t="shared" si="2"/>
        <v>388.17143954725253</v>
      </c>
      <c r="T75">
        <f t="shared" si="3"/>
        <v>10.226672161607009</v>
      </c>
      <c r="W75">
        <f t="shared" si="4"/>
        <v>11.249339377767711</v>
      </c>
      <c r="Z75">
        <f t="shared" ca="1" si="5"/>
        <v>24.919784152855019</v>
      </c>
      <c r="AC75">
        <f t="shared" ca="1" si="6"/>
        <v>3.4919442761962478</v>
      </c>
      <c r="AF75">
        <f t="shared" ca="1" si="7"/>
        <v>21.427839876658773</v>
      </c>
      <c r="AI75">
        <f t="shared" si="8"/>
        <v>24.491662183969872</v>
      </c>
      <c r="AL75">
        <f t="shared" si="9"/>
        <v>21.059709521247981</v>
      </c>
    </row>
    <row r="76" spans="1:38" x14ac:dyDescent="0.25">
      <c r="A76">
        <v>44095</v>
      </c>
      <c r="B76">
        <v>39</v>
      </c>
      <c r="C76">
        <v>445.74814591093116</v>
      </c>
      <c r="D76">
        <v>10.42146591706619</v>
      </c>
      <c r="E76">
        <v>10.494513575363385</v>
      </c>
      <c r="F76">
        <v>24.491662183969872</v>
      </c>
      <c r="G76">
        <v>0</v>
      </c>
      <c r="H76">
        <v>0</v>
      </c>
      <c r="I76">
        <v>21.059709521247981</v>
      </c>
      <c r="J76">
        <v>3.4319526627218933</v>
      </c>
      <c r="K76">
        <v>0</v>
      </c>
      <c r="M76" s="101">
        <f>IF('Reference dates (hide)'!I61&lt;&gt;"",'Reference dates (hide)'!I61,"")</f>
        <v>43955</v>
      </c>
      <c r="N76" s="99">
        <f t="shared" si="0"/>
        <v>2020</v>
      </c>
      <c r="O76" s="8">
        <f t="shared" si="1"/>
        <v>19</v>
      </c>
      <c r="P76">
        <f ca="1">'Reference dates (hide)'!K61</f>
        <v>1.5748031496062992E-2</v>
      </c>
      <c r="Q76">
        <f t="shared" si="2"/>
        <v>388.17143954725253</v>
      </c>
      <c r="T76">
        <f t="shared" si="3"/>
        <v>18.992391157270159</v>
      </c>
      <c r="W76">
        <f t="shared" si="4"/>
        <v>20.89163027299718</v>
      </c>
      <c r="Z76">
        <f t="shared" ca="1" si="5"/>
        <v>19.935827322284016</v>
      </c>
      <c r="AC76">
        <f t="shared" ca="1" si="6"/>
        <v>2.7935554209569986</v>
      </c>
      <c r="AF76">
        <f t="shared" ca="1" si="7"/>
        <v>17.142271901327018</v>
      </c>
      <c r="AI76">
        <f t="shared" si="8"/>
        <v>24.491662183969872</v>
      </c>
      <c r="AL76">
        <f t="shared" si="9"/>
        <v>21.059709521247981</v>
      </c>
    </row>
    <row r="77" spans="1:38" x14ac:dyDescent="0.25">
      <c r="A77">
        <v>44102</v>
      </c>
      <c r="B77">
        <v>40</v>
      </c>
      <c r="C77">
        <v>445.74814591093116</v>
      </c>
      <c r="D77">
        <v>10.884101086281744</v>
      </c>
      <c r="E77">
        <v>10.957148744578939</v>
      </c>
      <c r="F77">
        <v>24.491662183969872</v>
      </c>
      <c r="G77">
        <v>0</v>
      </c>
      <c r="H77">
        <v>0</v>
      </c>
      <c r="I77">
        <v>21.059709521247981</v>
      </c>
      <c r="J77">
        <v>3.4319526627218933</v>
      </c>
      <c r="K77">
        <v>0</v>
      </c>
      <c r="M77" s="101">
        <f>IF('Reference dates (hide)'!I62&lt;&gt;"",'Reference dates (hide)'!I62,"")</f>
        <v>43962</v>
      </c>
      <c r="N77" s="99">
        <f t="shared" si="0"/>
        <v>2020</v>
      </c>
      <c r="O77" s="8">
        <f t="shared" si="1"/>
        <v>20</v>
      </c>
      <c r="P77">
        <f ca="1">'Reference dates (hide)'!K62</f>
        <v>1.968503937007874E-2</v>
      </c>
      <c r="Q77">
        <f t="shared" si="2"/>
        <v>388.17143954725253</v>
      </c>
      <c r="T77">
        <f t="shared" si="3"/>
        <v>18.992391157270159</v>
      </c>
      <c r="W77">
        <f t="shared" si="4"/>
        <v>20.89163027299718</v>
      </c>
      <c r="Z77">
        <f t="shared" ca="1" si="5"/>
        <v>24.919784152855019</v>
      </c>
      <c r="AC77">
        <f t="shared" ca="1" si="6"/>
        <v>3.4919442761962478</v>
      </c>
      <c r="AF77">
        <f t="shared" ca="1" si="7"/>
        <v>21.427839876658773</v>
      </c>
      <c r="AI77">
        <f t="shared" si="8"/>
        <v>24.491662183969872</v>
      </c>
      <c r="AL77">
        <f t="shared" si="9"/>
        <v>21.059709521247981</v>
      </c>
    </row>
    <row r="78" spans="1:38" x14ac:dyDescent="0.25">
      <c r="A78">
        <v>44109</v>
      </c>
      <c r="B78">
        <v>41</v>
      </c>
      <c r="C78">
        <v>445.74814591093116</v>
      </c>
      <c r="D78">
        <v>11.346736255497301</v>
      </c>
      <c r="E78">
        <v>11.419783913794495</v>
      </c>
      <c r="F78">
        <v>24.491662183969872</v>
      </c>
      <c r="G78">
        <v>0</v>
      </c>
      <c r="H78">
        <v>0</v>
      </c>
      <c r="I78">
        <v>21.059709521247981</v>
      </c>
      <c r="J78">
        <v>3.4319526627218933</v>
      </c>
      <c r="K78">
        <v>0</v>
      </c>
      <c r="M78" s="101">
        <f>IF('Reference dates (hide)'!I63&lt;&gt;"",'Reference dates (hide)'!I63,"")</f>
        <v>43969</v>
      </c>
      <c r="N78" s="99">
        <f t="shared" si="0"/>
        <v>2020</v>
      </c>
      <c r="O78" s="8">
        <f t="shared" si="1"/>
        <v>21</v>
      </c>
      <c r="P78">
        <f ca="1">'Reference dates (hide)'!K63</f>
        <v>1.968503937007874E-2</v>
      </c>
      <c r="Q78">
        <f t="shared" si="2"/>
        <v>388.17143954725253</v>
      </c>
      <c r="T78">
        <f t="shared" si="3"/>
        <v>4.8698438864795284</v>
      </c>
      <c r="W78">
        <f t="shared" si="4"/>
        <v>4.942891544776721</v>
      </c>
      <c r="Z78">
        <f t="shared" si="5"/>
        <v>24.344712210866053</v>
      </c>
      <c r="AC78">
        <f t="shared" si="6"/>
        <v>3.4113609467455617</v>
      </c>
      <c r="AF78">
        <f t="shared" si="7"/>
        <v>20.933351264120493</v>
      </c>
      <c r="AI78">
        <f t="shared" si="8"/>
        <v>24.491662183969872</v>
      </c>
      <c r="AL78">
        <f t="shared" si="9"/>
        <v>21.059709521247981</v>
      </c>
    </row>
    <row r="79" spans="1:38" x14ac:dyDescent="0.25">
      <c r="A79">
        <v>44116</v>
      </c>
      <c r="B79">
        <v>42</v>
      </c>
      <c r="C79">
        <v>445.74814591093116</v>
      </c>
      <c r="D79">
        <v>11.809371424712856</v>
      </c>
      <c r="E79">
        <v>11.882419083010049</v>
      </c>
      <c r="F79">
        <v>24.491662183969872</v>
      </c>
      <c r="G79">
        <v>0</v>
      </c>
      <c r="H79">
        <v>0</v>
      </c>
      <c r="I79">
        <v>21.059709521247981</v>
      </c>
      <c r="J79">
        <v>3.4319526627218933</v>
      </c>
      <c r="K79">
        <v>0</v>
      </c>
      <c r="M79" s="101">
        <f>IF('Reference dates (hide)'!I64&lt;&gt;"",'Reference dates (hide)'!I64,"")</f>
        <v>43976</v>
      </c>
      <c r="N79" s="99">
        <f t="shared" si="0"/>
        <v>2020</v>
      </c>
      <c r="O79" s="8">
        <f t="shared" si="1"/>
        <v>22</v>
      </c>
      <c r="P79">
        <f ca="1">'Reference dates (hide)'!K64</f>
        <v>1.5748031496062992E-2</v>
      </c>
      <c r="Q79">
        <f t="shared" si="2"/>
        <v>388.17143954725253</v>
      </c>
      <c r="T79">
        <f t="shared" si="3"/>
        <v>4.8698438864795284</v>
      </c>
      <c r="W79">
        <f t="shared" si="4"/>
        <v>4.942891544776721</v>
      </c>
      <c r="Z79">
        <f t="shared" si="5"/>
        <v>24.344712210866053</v>
      </c>
      <c r="AC79">
        <f t="shared" si="6"/>
        <v>3.4113609467455617</v>
      </c>
      <c r="AF79">
        <f t="shared" si="7"/>
        <v>20.933351264120493</v>
      </c>
      <c r="AI79">
        <f t="shared" si="8"/>
        <v>24.491662183969872</v>
      </c>
      <c r="AL79">
        <f t="shared" si="9"/>
        <v>21.059709521247981</v>
      </c>
    </row>
    <row r="80" spans="1:38" x14ac:dyDescent="0.25">
      <c r="A80">
        <v>44123</v>
      </c>
      <c r="B80">
        <v>43</v>
      </c>
      <c r="C80">
        <v>445.74814591093116</v>
      </c>
      <c r="D80">
        <v>12.272006593928412</v>
      </c>
      <c r="E80">
        <v>12.345054252225603</v>
      </c>
      <c r="F80">
        <v>24.491662183969872</v>
      </c>
      <c r="G80">
        <v>0</v>
      </c>
      <c r="H80">
        <v>0</v>
      </c>
      <c r="I80">
        <v>21.059709521247981</v>
      </c>
      <c r="J80">
        <v>3.4319526627218933</v>
      </c>
      <c r="K80">
        <v>0</v>
      </c>
      <c r="M80" s="101">
        <f>IF('Reference dates (hide)'!I65&lt;&gt;"",'Reference dates (hide)'!I65,"")</f>
        <v>43983</v>
      </c>
      <c r="N80" s="99">
        <f t="shared" si="0"/>
        <v>2020</v>
      </c>
      <c r="O80" s="8">
        <f t="shared" si="1"/>
        <v>23</v>
      </c>
      <c r="P80">
        <f ca="1">'Reference dates (hide)'!K65</f>
        <v>1.968503937007874E-2</v>
      </c>
      <c r="Q80">
        <f t="shared" si="2"/>
        <v>388.17143954725253</v>
      </c>
      <c r="T80">
        <f t="shared" si="3"/>
        <v>4.8698438864795284</v>
      </c>
      <c r="W80">
        <f t="shared" si="4"/>
        <v>4.942891544776721</v>
      </c>
      <c r="Z80">
        <f t="shared" si="5"/>
        <v>24.344712210866053</v>
      </c>
      <c r="AC80">
        <f t="shared" si="6"/>
        <v>3.4113609467455617</v>
      </c>
      <c r="AF80">
        <f t="shared" si="7"/>
        <v>20.933351264120493</v>
      </c>
      <c r="AI80">
        <f t="shared" si="8"/>
        <v>24.491662183969872</v>
      </c>
      <c r="AL80">
        <f t="shared" si="9"/>
        <v>21.059709521247981</v>
      </c>
    </row>
    <row r="81" spans="1:38" x14ac:dyDescent="0.25">
      <c r="A81">
        <v>44130</v>
      </c>
      <c r="B81">
        <v>44</v>
      </c>
      <c r="C81">
        <v>445.74814591093116</v>
      </c>
      <c r="D81">
        <v>12.734641763143966</v>
      </c>
      <c r="E81">
        <v>12.807689421441157</v>
      </c>
      <c r="F81">
        <v>24.491662183969872</v>
      </c>
      <c r="G81">
        <v>0</v>
      </c>
      <c r="H81">
        <v>0</v>
      </c>
      <c r="I81">
        <v>21.059709521247981</v>
      </c>
      <c r="J81">
        <v>3.4319526627218933</v>
      </c>
      <c r="K81">
        <v>0</v>
      </c>
      <c r="M81" s="101">
        <f>IF('Reference dates (hide)'!I66&lt;&gt;"",'Reference dates (hide)'!I66,"")</f>
        <v>43990</v>
      </c>
      <c r="N81" s="99">
        <f t="shared" si="0"/>
        <v>2020</v>
      </c>
      <c r="O81" s="8">
        <f t="shared" si="1"/>
        <v>24</v>
      </c>
      <c r="P81">
        <f ca="1">'Reference dates (hide)'!K66</f>
        <v>1.968503937007874E-2</v>
      </c>
      <c r="Q81">
        <f t="shared" si="2"/>
        <v>388.17143954725253</v>
      </c>
      <c r="T81">
        <f t="shared" si="3"/>
        <v>4.8698438864795284</v>
      </c>
      <c r="W81">
        <f t="shared" si="4"/>
        <v>4.942891544776721</v>
      </c>
      <c r="Z81">
        <f t="shared" si="5"/>
        <v>24.344712210866053</v>
      </c>
      <c r="AC81">
        <f t="shared" si="6"/>
        <v>3.4113609467455617</v>
      </c>
      <c r="AF81">
        <f t="shared" si="7"/>
        <v>20.933351264120493</v>
      </c>
      <c r="AI81">
        <f t="shared" si="8"/>
        <v>24.491662183969872</v>
      </c>
      <c r="AL81">
        <f t="shared" si="9"/>
        <v>21.059709521247981</v>
      </c>
    </row>
    <row r="82" spans="1:38" x14ac:dyDescent="0.25">
      <c r="A82">
        <v>44137</v>
      </c>
      <c r="B82">
        <v>45</v>
      </c>
      <c r="C82">
        <v>445.74814591093116</v>
      </c>
      <c r="D82">
        <v>13.197276932359522</v>
      </c>
      <c r="E82">
        <v>13.270324590656713</v>
      </c>
      <c r="F82">
        <v>24.491662183969872</v>
      </c>
      <c r="G82">
        <v>0</v>
      </c>
      <c r="H82">
        <v>0</v>
      </c>
      <c r="I82">
        <v>21.059709521247981</v>
      </c>
      <c r="J82">
        <v>3.4319526627218933</v>
      </c>
      <c r="K82">
        <v>0</v>
      </c>
      <c r="M82" s="101">
        <f>IF('Reference dates (hide)'!I67&lt;&gt;"",'Reference dates (hide)'!I67,"")</f>
        <v>43997</v>
      </c>
      <c r="N82" s="99">
        <f t="shared" si="0"/>
        <v>2020</v>
      </c>
      <c r="O82" s="8">
        <f t="shared" si="1"/>
        <v>25</v>
      </c>
      <c r="P82">
        <f ca="1">'Reference dates (hide)'!K67</f>
        <v>1.968503937007874E-2</v>
      </c>
      <c r="Q82">
        <f t="shared" si="2"/>
        <v>388.17143954725253</v>
      </c>
      <c r="T82">
        <f t="shared" si="3"/>
        <v>4.8698438864795284</v>
      </c>
      <c r="W82">
        <f t="shared" si="4"/>
        <v>4.942891544776721</v>
      </c>
      <c r="Z82">
        <f t="shared" si="5"/>
        <v>24.344712210866053</v>
      </c>
      <c r="AC82">
        <f t="shared" si="6"/>
        <v>3.4113609467455617</v>
      </c>
      <c r="AF82">
        <f t="shared" si="7"/>
        <v>20.933351264120493</v>
      </c>
      <c r="AI82">
        <f t="shared" si="8"/>
        <v>24.491662183969872</v>
      </c>
      <c r="AL82">
        <f t="shared" si="9"/>
        <v>21.059709521247981</v>
      </c>
    </row>
    <row r="83" spans="1:38" x14ac:dyDescent="0.25">
      <c r="A83">
        <v>44144</v>
      </c>
      <c r="B83">
        <v>46</v>
      </c>
      <c r="C83">
        <v>445.74814591093116</v>
      </c>
      <c r="D83">
        <v>13.659912101575076</v>
      </c>
      <c r="E83">
        <v>13.732959759872271</v>
      </c>
      <c r="F83">
        <v>24.491662183969872</v>
      </c>
      <c r="G83">
        <v>0</v>
      </c>
      <c r="H83">
        <v>0</v>
      </c>
      <c r="I83">
        <v>21.059709521247981</v>
      </c>
      <c r="J83">
        <v>3.4319526627218933</v>
      </c>
      <c r="K83">
        <v>0</v>
      </c>
      <c r="M83" s="101">
        <f>IF('Reference dates (hide)'!I68&lt;&gt;"",'Reference dates (hide)'!I68,"")</f>
        <v>44004</v>
      </c>
      <c r="N83" s="99">
        <f t="shared" si="0"/>
        <v>2020</v>
      </c>
      <c r="O83" s="8">
        <f t="shared" si="1"/>
        <v>26</v>
      </c>
      <c r="P83">
        <f ca="1">'Reference dates (hide)'!K68</f>
        <v>1.968503937007874E-2</v>
      </c>
      <c r="Q83">
        <f t="shared" si="2"/>
        <v>388.17143954725253</v>
      </c>
      <c r="T83">
        <f t="shared" si="3"/>
        <v>4.8698438864795284</v>
      </c>
      <c r="W83">
        <f t="shared" si="4"/>
        <v>4.942891544776721</v>
      </c>
      <c r="Z83">
        <f t="shared" si="5"/>
        <v>24.344712210866053</v>
      </c>
      <c r="AC83">
        <f t="shared" si="6"/>
        <v>3.4113609467455617</v>
      </c>
      <c r="AF83">
        <f t="shared" si="7"/>
        <v>20.933351264120493</v>
      </c>
      <c r="AI83">
        <f t="shared" si="8"/>
        <v>24.491662183969872</v>
      </c>
      <c r="AL83">
        <f t="shared" si="9"/>
        <v>21.059709521247981</v>
      </c>
    </row>
    <row r="84" spans="1:38" x14ac:dyDescent="0.25">
      <c r="A84">
        <v>44151</v>
      </c>
      <c r="B84">
        <v>47</v>
      </c>
      <c r="C84">
        <v>445.74814591093116</v>
      </c>
      <c r="D84">
        <v>14.122547270790632</v>
      </c>
      <c r="E84">
        <v>14.195594929087825</v>
      </c>
      <c r="F84">
        <v>24.491662183969872</v>
      </c>
      <c r="G84">
        <v>0</v>
      </c>
      <c r="H84">
        <v>0</v>
      </c>
      <c r="I84">
        <v>21.059709521247981</v>
      </c>
      <c r="J84">
        <v>3.4319526627218933</v>
      </c>
      <c r="K84">
        <v>0</v>
      </c>
      <c r="M84" s="101">
        <f>IF('Reference dates (hide)'!I69&lt;&gt;"",'Reference dates (hide)'!I69,"")</f>
        <v>44011</v>
      </c>
      <c r="N84" s="99">
        <f t="shared" si="0"/>
        <v>2020</v>
      </c>
      <c r="O84" s="8">
        <f t="shared" si="1"/>
        <v>27</v>
      </c>
      <c r="P84">
        <f ca="1">'Reference dates (hide)'!K69</f>
        <v>1.968503937007874E-2</v>
      </c>
      <c r="Q84">
        <f t="shared" si="2"/>
        <v>388.17143954725253</v>
      </c>
      <c r="T84">
        <f t="shared" si="3"/>
        <v>4.8698438864795284</v>
      </c>
      <c r="W84">
        <f t="shared" si="4"/>
        <v>4.942891544776721</v>
      </c>
      <c r="Z84">
        <f t="shared" si="5"/>
        <v>24.344712210866053</v>
      </c>
      <c r="AC84">
        <f t="shared" si="6"/>
        <v>3.4113609467455617</v>
      </c>
      <c r="AF84">
        <f t="shared" si="7"/>
        <v>20.933351264120493</v>
      </c>
      <c r="AI84">
        <f t="shared" si="8"/>
        <v>24.491662183969872</v>
      </c>
      <c r="AL84">
        <f t="shared" si="9"/>
        <v>21.059709521247981</v>
      </c>
    </row>
    <row r="85" spans="1:38" x14ac:dyDescent="0.25">
      <c r="A85">
        <v>44158</v>
      </c>
      <c r="B85">
        <v>48</v>
      </c>
      <c r="C85">
        <v>445.74814591093116</v>
      </c>
      <c r="D85">
        <v>19.235883351594133</v>
      </c>
      <c r="E85">
        <v>19.942010715133669</v>
      </c>
      <c r="F85">
        <v>24.491662183969872</v>
      </c>
      <c r="G85">
        <v>0</v>
      </c>
      <c r="H85">
        <v>0</v>
      </c>
      <c r="I85">
        <v>21.059709521247981</v>
      </c>
      <c r="J85">
        <v>3.4319526627218933</v>
      </c>
      <c r="K85">
        <v>0</v>
      </c>
      <c r="M85" s="101">
        <f>IF('Reference dates (hide)'!I70&lt;&gt;"",'Reference dates (hide)'!I70,"")</f>
        <v>44018</v>
      </c>
      <c r="N85" s="99">
        <f t="shared" si="0"/>
        <v>2020</v>
      </c>
      <c r="O85" s="8">
        <f t="shared" si="1"/>
        <v>28</v>
      </c>
      <c r="P85">
        <f ca="1">'Reference dates (hide)'!K70</f>
        <v>1.968503937007874E-2</v>
      </c>
      <c r="Q85">
        <f t="shared" si="2"/>
        <v>388.17143954725253</v>
      </c>
      <c r="T85">
        <f t="shared" si="3"/>
        <v>5.3324790556950834</v>
      </c>
      <c r="W85">
        <f t="shared" si="4"/>
        <v>5.405526713992276</v>
      </c>
      <c r="Z85">
        <f t="shared" si="5"/>
        <v>24.344712210866053</v>
      </c>
      <c r="AC85">
        <f t="shared" si="6"/>
        <v>3.4113609467455617</v>
      </c>
      <c r="AF85">
        <f t="shared" si="7"/>
        <v>20.933351264120493</v>
      </c>
      <c r="AI85">
        <f t="shared" si="8"/>
        <v>24.491662183969872</v>
      </c>
      <c r="AL85">
        <f t="shared" si="9"/>
        <v>21.059709521247981</v>
      </c>
    </row>
    <row r="86" spans="1:38" x14ac:dyDescent="0.25">
      <c r="A86">
        <v>44165</v>
      </c>
      <c r="B86">
        <v>49</v>
      </c>
      <c r="C86">
        <v>445.74814591093116</v>
      </c>
      <c r="D86">
        <v>25.079696015369571</v>
      </c>
      <c r="E86">
        <v>26.370204645286645</v>
      </c>
      <c r="F86">
        <v>24.491662183969872</v>
      </c>
      <c r="G86">
        <v>0</v>
      </c>
      <c r="H86">
        <v>0</v>
      </c>
      <c r="I86">
        <v>21.059709521247981</v>
      </c>
      <c r="J86">
        <v>3.4319526627218933</v>
      </c>
      <c r="K86">
        <v>0</v>
      </c>
      <c r="M86" s="101">
        <f>IF('Reference dates (hide)'!I71&lt;&gt;"",'Reference dates (hide)'!I71,"")</f>
        <v>44025</v>
      </c>
      <c r="N86" s="99">
        <f t="shared" si="0"/>
        <v>2020</v>
      </c>
      <c r="O86" s="8">
        <f t="shared" si="1"/>
        <v>29</v>
      </c>
      <c r="P86">
        <f ca="1">'Reference dates (hide)'!K71</f>
        <v>1.968503937007874E-2</v>
      </c>
      <c r="Q86">
        <f t="shared" si="2"/>
        <v>388.17143954725253</v>
      </c>
      <c r="T86">
        <f t="shared" si="3"/>
        <v>5.7951142249106393</v>
      </c>
      <c r="W86">
        <f t="shared" si="4"/>
        <v>5.8681618832078319</v>
      </c>
      <c r="Z86">
        <f t="shared" si="5"/>
        <v>24.344712210866053</v>
      </c>
      <c r="AC86">
        <f t="shared" si="6"/>
        <v>3.4113609467455617</v>
      </c>
      <c r="AF86">
        <f t="shared" si="7"/>
        <v>20.933351264120493</v>
      </c>
      <c r="AI86">
        <f t="shared" si="8"/>
        <v>24.491662183969872</v>
      </c>
      <c r="AL86">
        <f t="shared" si="9"/>
        <v>21.059709521247981</v>
      </c>
    </row>
    <row r="87" spans="1:38" x14ac:dyDescent="0.25">
      <c r="A87">
        <v>44172</v>
      </c>
      <c r="B87">
        <v>50</v>
      </c>
      <c r="C87">
        <v>445.74814591093116</v>
      </c>
      <c r="D87">
        <v>19.966359934566068</v>
      </c>
      <c r="E87">
        <v>20.745534956402793</v>
      </c>
      <c r="F87">
        <v>24.491662183969872</v>
      </c>
      <c r="G87">
        <v>0</v>
      </c>
      <c r="H87">
        <v>0</v>
      </c>
      <c r="I87">
        <v>21.059709521247981</v>
      </c>
      <c r="J87">
        <v>3.4319526627218933</v>
      </c>
      <c r="K87">
        <v>0</v>
      </c>
      <c r="M87" s="101">
        <f>IF('Reference dates (hide)'!I72&lt;&gt;"",'Reference dates (hide)'!I72,"")</f>
        <v>44032</v>
      </c>
      <c r="N87" s="99">
        <f t="shared" si="0"/>
        <v>2020</v>
      </c>
      <c r="O87" s="8">
        <f t="shared" si="1"/>
        <v>30</v>
      </c>
      <c r="P87">
        <f ca="1">'Reference dates (hide)'!K72</f>
        <v>1.968503937007874E-2</v>
      </c>
      <c r="Q87">
        <f t="shared" si="2"/>
        <v>388.17143954725253</v>
      </c>
      <c r="T87">
        <f t="shared" si="3"/>
        <v>6.2577493941261935</v>
      </c>
      <c r="W87">
        <f t="shared" si="4"/>
        <v>6.3307970524233861</v>
      </c>
      <c r="Z87">
        <f t="shared" si="5"/>
        <v>24.344712210866053</v>
      </c>
      <c r="AC87">
        <f t="shared" si="6"/>
        <v>3.4113609467455617</v>
      </c>
      <c r="AF87">
        <f t="shared" si="7"/>
        <v>20.933351264120493</v>
      </c>
      <c r="AI87">
        <f t="shared" si="8"/>
        <v>24.491662183969872</v>
      </c>
      <c r="AL87">
        <f t="shared" si="9"/>
        <v>21.059709521247981</v>
      </c>
    </row>
    <row r="88" spans="1:38" x14ac:dyDescent="0.25">
      <c r="A88">
        <v>44179</v>
      </c>
      <c r="B88">
        <v>51</v>
      </c>
      <c r="C88">
        <v>445.74814591093116</v>
      </c>
      <c r="D88">
        <v>29.949539901849096</v>
      </c>
      <c r="E88">
        <v>31.727032920414125</v>
      </c>
      <c r="F88">
        <v>24.491662183969872</v>
      </c>
      <c r="G88">
        <v>0</v>
      </c>
      <c r="H88">
        <v>0</v>
      </c>
      <c r="I88">
        <v>21.059709521247981</v>
      </c>
      <c r="J88">
        <v>3.4319526627218933</v>
      </c>
      <c r="K88">
        <v>0</v>
      </c>
      <c r="M88" s="101">
        <f>IF('Reference dates (hide)'!I73&lt;&gt;"",'Reference dates (hide)'!I73,"")</f>
        <v>44039</v>
      </c>
      <c r="N88" s="99">
        <f t="shared" si="0"/>
        <v>2020</v>
      </c>
      <c r="O88" s="8">
        <f t="shared" si="1"/>
        <v>31</v>
      </c>
      <c r="P88">
        <f ca="1">'Reference dates (hide)'!K73</f>
        <v>1.968503937007874E-2</v>
      </c>
      <c r="Q88">
        <f t="shared" si="2"/>
        <v>388.17143954725253</v>
      </c>
      <c r="T88">
        <f t="shared" si="3"/>
        <v>6.7203845633417485</v>
      </c>
      <c r="W88">
        <f t="shared" si="4"/>
        <v>6.7934322216389411</v>
      </c>
      <c r="Z88">
        <f t="shared" si="5"/>
        <v>24.344712210866053</v>
      </c>
      <c r="AC88">
        <f t="shared" si="6"/>
        <v>3.4113609467455617</v>
      </c>
      <c r="AF88">
        <f t="shared" si="7"/>
        <v>20.933351264120493</v>
      </c>
      <c r="AI88">
        <f t="shared" si="8"/>
        <v>24.491662183969872</v>
      </c>
      <c r="AL88">
        <f t="shared" si="9"/>
        <v>21.059709521247981</v>
      </c>
    </row>
    <row r="89" spans="1:38" x14ac:dyDescent="0.25">
      <c r="A89">
        <v>44186</v>
      </c>
      <c r="B89">
        <v>52</v>
      </c>
      <c r="C89">
        <v>445.74814591093116</v>
      </c>
      <c r="D89">
        <v>26.297156986989453</v>
      </c>
      <c r="E89">
        <v>27.709411714068516</v>
      </c>
      <c r="F89">
        <v>24.491662183969872</v>
      </c>
      <c r="G89">
        <v>0</v>
      </c>
      <c r="H89">
        <v>0</v>
      </c>
      <c r="I89">
        <v>21.059709521247981</v>
      </c>
      <c r="J89">
        <v>3.4319526627218933</v>
      </c>
      <c r="K89">
        <v>0</v>
      </c>
      <c r="M89" s="101">
        <f>IF('Reference dates (hide)'!I74&lt;&gt;"",'Reference dates (hide)'!I74,"")</f>
        <v>44046</v>
      </c>
      <c r="N89" s="99">
        <f t="shared" si="0"/>
        <v>2020</v>
      </c>
      <c r="O89" s="8">
        <f t="shared" si="1"/>
        <v>32</v>
      </c>
      <c r="P89">
        <f ca="1">'Reference dates (hide)'!K74</f>
        <v>1.968503937007874E-2</v>
      </c>
      <c r="Q89">
        <f t="shared" si="2"/>
        <v>388.17143954725253</v>
      </c>
      <c r="T89">
        <f t="shared" si="3"/>
        <v>7.1830197325573035</v>
      </c>
      <c r="W89">
        <f t="shared" si="4"/>
        <v>7.2560673908544961</v>
      </c>
      <c r="Z89">
        <f t="shared" si="5"/>
        <v>24.344712210866053</v>
      </c>
      <c r="AC89">
        <f t="shared" si="6"/>
        <v>3.4113609467455617</v>
      </c>
      <c r="AF89">
        <f t="shared" si="7"/>
        <v>20.933351264120493</v>
      </c>
      <c r="AI89">
        <f t="shared" si="8"/>
        <v>24.491662183969872</v>
      </c>
      <c r="AL89">
        <f t="shared" si="9"/>
        <v>21.059709521247981</v>
      </c>
    </row>
    <row r="90" spans="1:38" x14ac:dyDescent="0.25">
      <c r="A90">
        <v>44193</v>
      </c>
      <c r="B90">
        <v>53</v>
      </c>
      <c r="C90">
        <v>445.74814591093116</v>
      </c>
      <c r="D90">
        <v>26.297156986989453</v>
      </c>
      <c r="E90">
        <v>27.709411714068516</v>
      </c>
      <c r="F90">
        <v>24.491662183969872</v>
      </c>
      <c r="G90">
        <v>0</v>
      </c>
      <c r="H90">
        <v>0</v>
      </c>
      <c r="I90">
        <v>21.059709521247981</v>
      </c>
      <c r="J90">
        <v>3.4319526627218933</v>
      </c>
      <c r="K90">
        <v>0</v>
      </c>
      <c r="M90" s="101">
        <f>IF('Reference dates (hide)'!I75&lt;&gt;"",'Reference dates (hide)'!I75,"")</f>
        <v>44053</v>
      </c>
      <c r="N90" s="99">
        <f t="shared" si="0"/>
        <v>2020</v>
      </c>
      <c r="O90" s="8">
        <f t="shared" si="1"/>
        <v>33</v>
      </c>
      <c r="P90">
        <f ca="1">'Reference dates (hide)'!K75</f>
        <v>1.968503937007874E-2</v>
      </c>
      <c r="Q90">
        <f t="shared" si="2"/>
        <v>388.17143954725253</v>
      </c>
      <c r="T90">
        <f t="shared" si="3"/>
        <v>7.6456549017728594</v>
      </c>
      <c r="W90">
        <f t="shared" si="4"/>
        <v>7.7187025600700521</v>
      </c>
      <c r="Z90">
        <f t="shared" si="5"/>
        <v>24.344712210866053</v>
      </c>
      <c r="AC90">
        <f t="shared" si="6"/>
        <v>3.4113609467455617</v>
      </c>
      <c r="AF90">
        <f t="shared" si="7"/>
        <v>20.933351264120493</v>
      </c>
      <c r="AI90">
        <f t="shared" si="8"/>
        <v>24.491662183969872</v>
      </c>
      <c r="AL90">
        <f t="shared" si="9"/>
        <v>21.059709521247981</v>
      </c>
    </row>
    <row r="91" spans="1:38" x14ac:dyDescent="0.25">
      <c r="A91">
        <v>44200</v>
      </c>
      <c r="B91">
        <v>1</v>
      </c>
      <c r="C91">
        <v>445.74814591093116</v>
      </c>
      <c r="D91">
        <v>23.375250655101734</v>
      </c>
      <c r="E91">
        <v>24.495314748992026</v>
      </c>
      <c r="F91">
        <v>24.491662183969872</v>
      </c>
      <c r="G91">
        <v>0</v>
      </c>
      <c r="H91">
        <v>0</v>
      </c>
      <c r="I91">
        <v>21.059709521247981</v>
      </c>
      <c r="J91">
        <v>3.4319526627218933</v>
      </c>
      <c r="K91">
        <v>0</v>
      </c>
      <c r="M91" s="101">
        <f>IF('Reference dates (hide)'!I76&lt;&gt;"",'Reference dates (hide)'!I76,"")</f>
        <v>44060</v>
      </c>
      <c r="N91" s="99">
        <f t="shared" si="0"/>
        <v>2020</v>
      </c>
      <c r="O91" s="8">
        <f t="shared" si="1"/>
        <v>34</v>
      </c>
      <c r="P91">
        <f ca="1">'Reference dates (hide)'!K76</f>
        <v>1.968503937007874E-2</v>
      </c>
      <c r="Q91">
        <f t="shared" si="2"/>
        <v>388.17143954725253</v>
      </c>
      <c r="T91">
        <f t="shared" si="3"/>
        <v>8.1082900709884154</v>
      </c>
      <c r="W91">
        <f t="shared" si="4"/>
        <v>8.1813377292856053</v>
      </c>
      <c r="Z91">
        <f t="shared" si="5"/>
        <v>24.344712210866053</v>
      </c>
      <c r="AC91">
        <f t="shared" si="6"/>
        <v>3.4113609467455617</v>
      </c>
      <c r="AF91">
        <f t="shared" si="7"/>
        <v>20.933351264120493</v>
      </c>
      <c r="AI91">
        <f t="shared" si="8"/>
        <v>24.491662183969872</v>
      </c>
      <c r="AL91">
        <f t="shared" si="9"/>
        <v>21.059709521247981</v>
      </c>
    </row>
    <row r="92" spans="1:38" x14ac:dyDescent="0.25">
      <c r="A92">
        <v>44207</v>
      </c>
      <c r="B92">
        <v>2</v>
      </c>
      <c r="C92">
        <v>445.74814591093116</v>
      </c>
      <c r="D92">
        <v>29.219063318877168</v>
      </c>
      <c r="E92">
        <v>30.923508679145002</v>
      </c>
      <c r="F92">
        <v>24.491662183969872</v>
      </c>
      <c r="G92">
        <v>0</v>
      </c>
      <c r="H92">
        <v>0</v>
      </c>
      <c r="I92">
        <v>21.059709521247981</v>
      </c>
      <c r="J92">
        <v>3.4319526627218933</v>
      </c>
      <c r="K92">
        <v>0</v>
      </c>
      <c r="M92" s="101">
        <f>IF('Reference dates (hide)'!I77&lt;&gt;"",'Reference dates (hide)'!I77,"")</f>
        <v>44067</v>
      </c>
      <c r="N92" s="99">
        <f t="shared" si="0"/>
        <v>2020</v>
      </c>
      <c r="O92" s="8">
        <f t="shared" si="1"/>
        <v>35</v>
      </c>
      <c r="P92">
        <f ca="1">'Reference dates (hide)'!K77</f>
        <v>1.968503937007874E-2</v>
      </c>
      <c r="Q92">
        <f t="shared" si="2"/>
        <v>388.17143954725253</v>
      </c>
      <c r="T92">
        <f t="shared" si="3"/>
        <v>8.5709252402039695</v>
      </c>
      <c r="W92">
        <f t="shared" si="4"/>
        <v>8.6439728985011612</v>
      </c>
      <c r="Z92">
        <f t="shared" si="5"/>
        <v>24.344712210866053</v>
      </c>
      <c r="AC92">
        <f t="shared" si="6"/>
        <v>3.4113609467455617</v>
      </c>
      <c r="AF92">
        <f t="shared" si="7"/>
        <v>20.933351264120493</v>
      </c>
      <c r="AI92">
        <f t="shared" si="8"/>
        <v>24.491662183969872</v>
      </c>
      <c r="AL92">
        <f t="shared" si="9"/>
        <v>21.059709521247981</v>
      </c>
    </row>
    <row r="93" spans="1:38" x14ac:dyDescent="0.25">
      <c r="A93">
        <v>44214</v>
      </c>
      <c r="B93">
        <v>3</v>
      </c>
      <c r="C93">
        <v>445.74814591093116</v>
      </c>
      <c r="D93">
        <v>26.053664792665479</v>
      </c>
      <c r="E93">
        <v>27.441570300312144</v>
      </c>
      <c r="F93">
        <v>24.491662183969872</v>
      </c>
      <c r="G93">
        <v>0</v>
      </c>
      <c r="H93">
        <v>0</v>
      </c>
      <c r="I93">
        <v>21.059709521247981</v>
      </c>
      <c r="J93">
        <v>3.4319526627218933</v>
      </c>
      <c r="K93">
        <v>0</v>
      </c>
      <c r="M93" s="101">
        <f>IF('Reference dates (hide)'!I78&lt;&gt;"",'Reference dates (hide)'!I78,"")</f>
        <v>44074</v>
      </c>
      <c r="N93" s="99">
        <f t="shared" si="0"/>
        <v>2020</v>
      </c>
      <c r="O93" s="8">
        <f t="shared" si="1"/>
        <v>36</v>
      </c>
      <c r="P93">
        <f ca="1">'Reference dates (hide)'!K78</f>
        <v>1.5748031496062992E-2</v>
      </c>
      <c r="Q93">
        <f t="shared" si="2"/>
        <v>388.17143954725253</v>
      </c>
      <c r="T93">
        <f t="shared" si="3"/>
        <v>9.0335604094195254</v>
      </c>
      <c r="W93">
        <f t="shared" si="4"/>
        <v>9.1066080677167189</v>
      </c>
      <c r="Z93">
        <f t="shared" si="5"/>
        <v>24.344712210866053</v>
      </c>
      <c r="AC93">
        <f t="shared" si="6"/>
        <v>3.4113609467455617</v>
      </c>
      <c r="AF93">
        <f t="shared" si="7"/>
        <v>20.933351264120493</v>
      </c>
      <c r="AI93">
        <f t="shared" si="8"/>
        <v>24.491662183969872</v>
      </c>
      <c r="AL93">
        <f t="shared" si="9"/>
        <v>21.059709521247981</v>
      </c>
    </row>
    <row r="94" spans="1:38" x14ac:dyDescent="0.25">
      <c r="A94">
        <v>44221</v>
      </c>
      <c r="B94">
        <v>4</v>
      </c>
      <c r="C94">
        <v>445.74814591093116</v>
      </c>
      <c r="D94">
        <v>26.784141375637407</v>
      </c>
      <c r="E94">
        <v>28.245094541581263</v>
      </c>
      <c r="F94">
        <v>24.491662183969872</v>
      </c>
      <c r="G94">
        <v>0</v>
      </c>
      <c r="H94">
        <v>0</v>
      </c>
      <c r="I94">
        <v>21.059709521247981</v>
      </c>
      <c r="J94">
        <v>3.4319526627218933</v>
      </c>
      <c r="K94">
        <v>0</v>
      </c>
      <c r="M94" s="101">
        <f>IF('Reference dates (hide)'!I79&lt;&gt;"",'Reference dates (hide)'!I79,"")</f>
        <v>44081</v>
      </c>
      <c r="N94" s="99">
        <f t="shared" si="0"/>
        <v>2020</v>
      </c>
      <c r="O94" s="8">
        <f t="shared" si="1"/>
        <v>37</v>
      </c>
      <c r="P94">
        <f ca="1">'Reference dates (hide)'!K79</f>
        <v>1.968503937007874E-2</v>
      </c>
      <c r="Q94">
        <f t="shared" si="2"/>
        <v>388.17143954725253</v>
      </c>
      <c r="T94">
        <f t="shared" si="3"/>
        <v>9.4961955786350796</v>
      </c>
      <c r="W94">
        <f t="shared" si="4"/>
        <v>9.5692432369322731</v>
      </c>
      <c r="Z94">
        <f t="shared" si="5"/>
        <v>24.344712210866053</v>
      </c>
      <c r="AC94">
        <f t="shared" si="6"/>
        <v>3.4113609467455617</v>
      </c>
      <c r="AF94">
        <f t="shared" si="7"/>
        <v>20.933351264120493</v>
      </c>
      <c r="AI94">
        <f t="shared" si="8"/>
        <v>24.491662183969872</v>
      </c>
      <c r="AL94">
        <f t="shared" si="9"/>
        <v>21.059709521247981</v>
      </c>
    </row>
    <row r="95" spans="1:38" x14ac:dyDescent="0.25">
      <c r="A95">
        <v>44228</v>
      </c>
      <c r="B95">
        <v>5</v>
      </c>
      <c r="C95">
        <v>445.74814591093116</v>
      </c>
      <c r="D95">
        <v>12.418101910522797</v>
      </c>
      <c r="E95">
        <v>13.659912101575076</v>
      </c>
      <c r="F95">
        <v>24.491662183969872</v>
      </c>
      <c r="G95">
        <v>0</v>
      </c>
      <c r="H95">
        <v>0</v>
      </c>
      <c r="I95">
        <v>21.059709521247981</v>
      </c>
      <c r="J95">
        <v>3.4319526627218933</v>
      </c>
      <c r="K95">
        <v>0</v>
      </c>
      <c r="M95" s="101">
        <f>IF('Reference dates (hide)'!I80&lt;&gt;"",'Reference dates (hide)'!I80,"")</f>
        <v>44088</v>
      </c>
      <c r="N95" s="99">
        <f t="shared" si="0"/>
        <v>2020</v>
      </c>
      <c r="O95" s="8">
        <f t="shared" si="1"/>
        <v>38</v>
      </c>
      <c r="P95">
        <f ca="1">'Reference dates (hide)'!K80</f>
        <v>1.968503937007874E-2</v>
      </c>
      <c r="Q95">
        <f t="shared" si="2"/>
        <v>388.17143954725253</v>
      </c>
      <c r="T95">
        <f t="shared" si="3"/>
        <v>9.9588307478506355</v>
      </c>
      <c r="W95">
        <f t="shared" si="4"/>
        <v>10.031878406147829</v>
      </c>
      <c r="Z95">
        <f t="shared" si="5"/>
        <v>24.344712210866053</v>
      </c>
      <c r="AC95">
        <f t="shared" si="6"/>
        <v>3.4113609467455617</v>
      </c>
      <c r="AF95">
        <f t="shared" si="7"/>
        <v>20.933351264120493</v>
      </c>
      <c r="AI95">
        <f t="shared" si="8"/>
        <v>24.491662183969872</v>
      </c>
      <c r="AL95">
        <f t="shared" si="9"/>
        <v>21.059709521247981</v>
      </c>
    </row>
    <row r="96" spans="1:38" x14ac:dyDescent="0.25">
      <c r="A96">
        <v>44235</v>
      </c>
      <c r="B96">
        <v>6</v>
      </c>
      <c r="C96">
        <v>445.74814591093116</v>
      </c>
      <c r="D96">
        <v>7.3047658297192921</v>
      </c>
      <c r="E96">
        <v>8.0352424126912219</v>
      </c>
      <c r="F96">
        <v>24.491662183969872</v>
      </c>
      <c r="G96">
        <v>0</v>
      </c>
      <c r="H96">
        <v>0</v>
      </c>
      <c r="I96">
        <v>21.059709521247981</v>
      </c>
      <c r="J96">
        <v>3.4319526627218933</v>
      </c>
      <c r="K96">
        <v>0</v>
      </c>
      <c r="M96" s="101">
        <f>IF('Reference dates (hide)'!I81&lt;&gt;"",'Reference dates (hide)'!I81,"")</f>
        <v>44095</v>
      </c>
      <c r="N96" s="99">
        <f t="shared" si="0"/>
        <v>2020</v>
      </c>
      <c r="O96" s="8">
        <f t="shared" si="1"/>
        <v>39</v>
      </c>
      <c r="P96">
        <f ca="1">'Reference dates (hide)'!K81</f>
        <v>1.968503937007874E-2</v>
      </c>
      <c r="Q96">
        <f t="shared" si="2"/>
        <v>388.17143954725253</v>
      </c>
      <c r="T96">
        <f t="shared" si="3"/>
        <v>10.42146591706619</v>
      </c>
      <c r="W96">
        <f t="shared" si="4"/>
        <v>10.494513575363385</v>
      </c>
      <c r="Z96">
        <f t="shared" si="5"/>
        <v>24.344712210866053</v>
      </c>
      <c r="AC96">
        <f t="shared" si="6"/>
        <v>3.4113609467455617</v>
      </c>
      <c r="AF96">
        <f t="shared" si="7"/>
        <v>20.933351264120493</v>
      </c>
      <c r="AI96">
        <f t="shared" si="8"/>
        <v>24.491662183969872</v>
      </c>
      <c r="AL96">
        <f t="shared" si="9"/>
        <v>21.059709521247981</v>
      </c>
    </row>
    <row r="97" spans="1:38" x14ac:dyDescent="0.25">
      <c r="A97">
        <v>44242</v>
      </c>
      <c r="B97">
        <v>7</v>
      </c>
      <c r="C97">
        <v>445.74814591093116</v>
      </c>
      <c r="D97">
        <v>18.748898962946186</v>
      </c>
      <c r="E97">
        <v>20.623788859240804</v>
      </c>
      <c r="F97">
        <v>24.491662183969872</v>
      </c>
      <c r="G97">
        <v>0</v>
      </c>
      <c r="H97">
        <v>0</v>
      </c>
      <c r="I97">
        <v>21.059709521247981</v>
      </c>
      <c r="J97">
        <v>3.4319526627218933</v>
      </c>
      <c r="K97">
        <v>0</v>
      </c>
      <c r="M97" s="101">
        <f>IF('Reference dates (hide)'!I82&lt;&gt;"",'Reference dates (hide)'!I82,"")</f>
        <v>44102</v>
      </c>
      <c r="N97" s="99">
        <f t="shared" si="0"/>
        <v>2020</v>
      </c>
      <c r="O97" s="8">
        <f t="shared" si="1"/>
        <v>40</v>
      </c>
      <c r="P97">
        <f ca="1">'Reference dates (hide)'!K82</f>
        <v>1.968503937007874E-2</v>
      </c>
      <c r="Q97">
        <f t="shared" si="2"/>
        <v>388.17143954725253</v>
      </c>
      <c r="T97">
        <f t="shared" si="3"/>
        <v>10.884101086281744</v>
      </c>
      <c r="W97">
        <f t="shared" si="4"/>
        <v>10.957148744578939</v>
      </c>
      <c r="Z97">
        <f t="shared" si="5"/>
        <v>24.344712210866053</v>
      </c>
      <c r="AC97">
        <f t="shared" si="6"/>
        <v>3.4113609467455617</v>
      </c>
      <c r="AF97">
        <f t="shared" si="7"/>
        <v>20.933351264120493</v>
      </c>
      <c r="AI97">
        <f t="shared" si="8"/>
        <v>24.491662183969872</v>
      </c>
      <c r="AL97">
        <f t="shared" si="9"/>
        <v>21.059709521247981</v>
      </c>
    </row>
    <row r="98" spans="1:38" x14ac:dyDescent="0.25">
      <c r="A98">
        <v>44249</v>
      </c>
      <c r="B98">
        <v>8</v>
      </c>
      <c r="C98">
        <v>445.74814591093116</v>
      </c>
      <c r="D98">
        <v>12.418101910522797</v>
      </c>
      <c r="E98">
        <v>13.659912101575076</v>
      </c>
      <c r="F98">
        <v>24.491662183969872</v>
      </c>
      <c r="G98">
        <v>0</v>
      </c>
      <c r="H98">
        <v>0</v>
      </c>
      <c r="I98">
        <v>21.059709521247981</v>
      </c>
      <c r="J98">
        <v>3.4319526627218933</v>
      </c>
      <c r="K98">
        <v>0</v>
      </c>
      <c r="M98" s="101">
        <f>IF('Reference dates (hide)'!I83&lt;&gt;"",'Reference dates (hide)'!I83,"")</f>
        <v>44109</v>
      </c>
      <c r="N98" s="99">
        <f t="shared" si="0"/>
        <v>2020</v>
      </c>
      <c r="O98" s="8">
        <f t="shared" si="1"/>
        <v>41</v>
      </c>
      <c r="P98">
        <f ca="1">'Reference dates (hide)'!K83</f>
        <v>1.968503937007874E-2</v>
      </c>
      <c r="Q98">
        <f t="shared" si="2"/>
        <v>388.17143954725253</v>
      </c>
      <c r="T98">
        <f t="shared" si="3"/>
        <v>11.346736255497301</v>
      </c>
      <c r="W98">
        <f t="shared" si="4"/>
        <v>11.419783913794495</v>
      </c>
      <c r="Z98">
        <f t="shared" si="5"/>
        <v>24.344712210866053</v>
      </c>
      <c r="AC98">
        <f t="shared" si="6"/>
        <v>3.4113609467455617</v>
      </c>
      <c r="AF98">
        <f t="shared" si="7"/>
        <v>20.933351264120493</v>
      </c>
      <c r="AI98">
        <f t="shared" si="8"/>
        <v>24.491662183969872</v>
      </c>
      <c r="AL98">
        <f t="shared" si="9"/>
        <v>21.059709521247981</v>
      </c>
    </row>
    <row r="99" spans="1:38" x14ac:dyDescent="0.25">
      <c r="A99">
        <v>44256</v>
      </c>
      <c r="B99">
        <v>9</v>
      </c>
      <c r="C99">
        <v>445.74814591093116</v>
      </c>
      <c r="D99">
        <v>10.71365655025496</v>
      </c>
      <c r="E99">
        <v>11.785022205280459</v>
      </c>
      <c r="F99">
        <v>24.491662183969872</v>
      </c>
      <c r="G99">
        <v>0</v>
      </c>
      <c r="H99">
        <v>0</v>
      </c>
      <c r="I99">
        <v>21.059709521247981</v>
      </c>
      <c r="J99">
        <v>3.4319526627218933</v>
      </c>
      <c r="K99">
        <v>0</v>
      </c>
      <c r="M99" s="101">
        <f>IF('Reference dates (hide)'!I84&lt;&gt;"",'Reference dates (hide)'!I84,"")</f>
        <v>44116</v>
      </c>
      <c r="N99" s="99">
        <f t="shared" si="0"/>
        <v>2020</v>
      </c>
      <c r="O99" s="8">
        <f t="shared" si="1"/>
        <v>42</v>
      </c>
      <c r="P99">
        <f ca="1">'Reference dates (hide)'!K84</f>
        <v>1.968503937007874E-2</v>
      </c>
      <c r="Q99">
        <f t="shared" si="2"/>
        <v>388.17143954725253</v>
      </c>
      <c r="T99">
        <f t="shared" si="3"/>
        <v>11.809371424712856</v>
      </c>
      <c r="W99">
        <f t="shared" si="4"/>
        <v>11.882419083010049</v>
      </c>
      <c r="Z99">
        <f t="shared" si="5"/>
        <v>24.344712210866053</v>
      </c>
      <c r="AC99">
        <f t="shared" si="6"/>
        <v>3.4113609467455617</v>
      </c>
      <c r="AF99">
        <f t="shared" si="7"/>
        <v>20.933351264120493</v>
      </c>
      <c r="AI99">
        <f t="shared" si="8"/>
        <v>24.491662183969872</v>
      </c>
      <c r="AL99">
        <f t="shared" si="9"/>
        <v>21.059709521247981</v>
      </c>
    </row>
    <row r="100" spans="1:38" x14ac:dyDescent="0.25">
      <c r="A100">
        <v>44263</v>
      </c>
      <c r="B100">
        <v>10</v>
      </c>
      <c r="C100">
        <v>445.74814591093116</v>
      </c>
      <c r="D100">
        <v>15.826992631058468</v>
      </c>
      <c r="E100">
        <v>17.409691894164315</v>
      </c>
      <c r="F100">
        <v>24.491662183969872</v>
      </c>
      <c r="G100">
        <v>0</v>
      </c>
      <c r="H100">
        <v>0</v>
      </c>
      <c r="I100">
        <v>21.059709521247981</v>
      </c>
      <c r="J100">
        <v>3.4319526627218933</v>
      </c>
      <c r="K100">
        <v>0</v>
      </c>
      <c r="M100" s="101">
        <f>IF('Reference dates (hide)'!I85&lt;&gt;"",'Reference dates (hide)'!I85,"")</f>
        <v>44123</v>
      </c>
      <c r="N100" s="99">
        <f t="shared" si="0"/>
        <v>2020</v>
      </c>
      <c r="O100" s="8">
        <f t="shared" si="1"/>
        <v>43</v>
      </c>
      <c r="P100">
        <f ca="1">'Reference dates (hide)'!K85</f>
        <v>1.968503937007874E-2</v>
      </c>
      <c r="Q100">
        <f t="shared" si="2"/>
        <v>388.17143954725253</v>
      </c>
      <c r="T100">
        <f t="shared" si="3"/>
        <v>12.272006593928412</v>
      </c>
      <c r="W100">
        <f t="shared" si="4"/>
        <v>12.345054252225603</v>
      </c>
      <c r="Z100">
        <f t="shared" si="5"/>
        <v>24.344712210866053</v>
      </c>
      <c r="AC100">
        <f t="shared" si="6"/>
        <v>3.4113609467455617</v>
      </c>
      <c r="AF100">
        <f t="shared" si="7"/>
        <v>20.933351264120493</v>
      </c>
      <c r="AI100">
        <f t="shared" si="8"/>
        <v>24.491662183969872</v>
      </c>
      <c r="AL100">
        <f t="shared" si="9"/>
        <v>21.059709521247981</v>
      </c>
    </row>
    <row r="101" spans="1:38" x14ac:dyDescent="0.25">
      <c r="A101">
        <v>44270</v>
      </c>
      <c r="B101">
        <v>11</v>
      </c>
      <c r="C101">
        <v>445.74814591093116</v>
      </c>
      <c r="D101">
        <v>15.096516048086537</v>
      </c>
      <c r="E101">
        <v>16.606167652895191</v>
      </c>
      <c r="F101">
        <v>24.491662183969872</v>
      </c>
      <c r="G101">
        <v>0</v>
      </c>
      <c r="H101">
        <v>0</v>
      </c>
      <c r="I101">
        <v>21.059709521247981</v>
      </c>
      <c r="J101">
        <v>3.4319526627218933</v>
      </c>
      <c r="K101">
        <v>0</v>
      </c>
      <c r="M101" s="101">
        <f>IF('Reference dates (hide)'!I86&lt;&gt;"",'Reference dates (hide)'!I86,"")</f>
        <v>44130</v>
      </c>
      <c r="N101" s="99">
        <f t="shared" si="0"/>
        <v>2020</v>
      </c>
      <c r="O101" s="8">
        <f t="shared" si="1"/>
        <v>44</v>
      </c>
      <c r="P101">
        <f ca="1">'Reference dates (hide)'!K86</f>
        <v>1.968503937007874E-2</v>
      </c>
      <c r="Q101">
        <f t="shared" si="2"/>
        <v>388.17143954725253</v>
      </c>
      <c r="T101">
        <f t="shared" si="3"/>
        <v>12.734641763143966</v>
      </c>
      <c r="W101">
        <f t="shared" si="4"/>
        <v>12.807689421441157</v>
      </c>
      <c r="Z101">
        <f t="shared" si="5"/>
        <v>24.344712210866053</v>
      </c>
      <c r="AC101">
        <f t="shared" si="6"/>
        <v>3.4113609467455617</v>
      </c>
      <c r="AF101">
        <f t="shared" si="7"/>
        <v>20.933351264120493</v>
      </c>
      <c r="AI101">
        <f t="shared" si="8"/>
        <v>24.491662183969872</v>
      </c>
      <c r="AL101">
        <f t="shared" si="9"/>
        <v>21.059709521247981</v>
      </c>
    </row>
    <row r="102" spans="1:38" x14ac:dyDescent="0.25">
      <c r="A102">
        <v>44277</v>
      </c>
      <c r="B102">
        <v>12</v>
      </c>
      <c r="C102">
        <v>445.74814591093116</v>
      </c>
      <c r="D102">
        <v>7.7917502183672465</v>
      </c>
      <c r="E102">
        <v>8.5709252402039695</v>
      </c>
      <c r="F102">
        <v>24.491662183969872</v>
      </c>
      <c r="G102">
        <v>0</v>
      </c>
      <c r="H102">
        <v>0</v>
      </c>
      <c r="I102">
        <v>21.059709521247981</v>
      </c>
      <c r="J102">
        <v>3.4319526627218933</v>
      </c>
      <c r="K102">
        <v>0</v>
      </c>
      <c r="M102" s="101">
        <f>IF('Reference dates (hide)'!I87&lt;&gt;"",'Reference dates (hide)'!I87,"")</f>
        <v>44137</v>
      </c>
      <c r="N102" s="99">
        <f t="shared" si="0"/>
        <v>2020</v>
      </c>
      <c r="O102" s="8">
        <f t="shared" si="1"/>
        <v>45</v>
      </c>
      <c r="P102">
        <f ca="1">'Reference dates (hide)'!K87</f>
        <v>1.968503937007874E-2</v>
      </c>
      <c r="Q102">
        <f t="shared" si="2"/>
        <v>388.17143954725253</v>
      </c>
      <c r="T102">
        <f t="shared" si="3"/>
        <v>13.197276932359522</v>
      </c>
      <c r="W102">
        <f t="shared" si="4"/>
        <v>13.270324590656713</v>
      </c>
      <c r="Z102">
        <f t="shared" si="5"/>
        <v>24.344712210866053</v>
      </c>
      <c r="AC102">
        <f t="shared" si="6"/>
        <v>3.4113609467455617</v>
      </c>
      <c r="AF102">
        <f t="shared" si="7"/>
        <v>20.933351264120493</v>
      </c>
      <c r="AI102">
        <f t="shared" si="8"/>
        <v>24.491662183969872</v>
      </c>
      <c r="AL102">
        <f t="shared" si="9"/>
        <v>21.059709521247981</v>
      </c>
    </row>
    <row r="103" spans="1:38" x14ac:dyDescent="0.25">
      <c r="A103">
        <v>44284</v>
      </c>
      <c r="B103">
        <v>13</v>
      </c>
      <c r="C103">
        <v>445.74814591093116</v>
      </c>
      <c r="D103">
        <v>10.957148744578939</v>
      </c>
      <c r="E103">
        <v>12.052863619036833</v>
      </c>
      <c r="F103">
        <v>24.491662183969872</v>
      </c>
      <c r="G103">
        <v>0</v>
      </c>
      <c r="H103">
        <v>0</v>
      </c>
      <c r="I103">
        <v>21.059709521247981</v>
      </c>
      <c r="J103">
        <v>3.4319526627218933</v>
      </c>
      <c r="K103">
        <v>0</v>
      </c>
      <c r="M103" s="101">
        <f>IF('Reference dates (hide)'!I88&lt;&gt;"",'Reference dates (hide)'!I88,"")</f>
        <v>44144</v>
      </c>
      <c r="N103" s="99">
        <f t="shared" si="0"/>
        <v>2020</v>
      </c>
      <c r="O103" s="8">
        <f t="shared" si="1"/>
        <v>46</v>
      </c>
      <c r="P103">
        <f ca="1">'Reference dates (hide)'!K88</f>
        <v>1.968503937007874E-2</v>
      </c>
      <c r="Q103">
        <f t="shared" si="2"/>
        <v>388.17143954725253</v>
      </c>
      <c r="T103">
        <f t="shared" si="3"/>
        <v>13.659912101575076</v>
      </c>
      <c r="W103">
        <f t="shared" si="4"/>
        <v>13.732959759872271</v>
      </c>
      <c r="Z103">
        <f t="shared" si="5"/>
        <v>24.344712210866053</v>
      </c>
      <c r="AC103">
        <f t="shared" si="6"/>
        <v>3.4113609467455617</v>
      </c>
      <c r="AF103">
        <f t="shared" si="7"/>
        <v>20.933351264120493</v>
      </c>
      <c r="AI103">
        <f t="shared" si="8"/>
        <v>24.491662183969872</v>
      </c>
      <c r="AL103">
        <f t="shared" si="9"/>
        <v>21.059709521247981</v>
      </c>
    </row>
    <row r="104" spans="1:38" x14ac:dyDescent="0.25">
      <c r="A104">
        <v>44291</v>
      </c>
      <c r="B104">
        <v>14</v>
      </c>
      <c r="C104">
        <v>445.74814591093116</v>
      </c>
      <c r="D104">
        <v>11.687625327550867</v>
      </c>
      <c r="E104">
        <v>12.856387860305956</v>
      </c>
      <c r="F104">
        <v>24.491662183969872</v>
      </c>
      <c r="G104">
        <v>0</v>
      </c>
      <c r="H104">
        <v>0</v>
      </c>
      <c r="I104">
        <v>21.059709521247981</v>
      </c>
      <c r="J104">
        <v>3.4319526627218933</v>
      </c>
      <c r="K104">
        <v>0</v>
      </c>
      <c r="M104" s="101">
        <f>IF('Reference dates (hide)'!I89&lt;&gt;"",'Reference dates (hide)'!I89,"")</f>
        <v>44151</v>
      </c>
      <c r="N104" s="99">
        <f t="shared" si="0"/>
        <v>2020</v>
      </c>
      <c r="O104" s="8">
        <f t="shared" si="1"/>
        <v>47</v>
      </c>
      <c r="P104">
        <f ca="1">'Reference dates (hide)'!K89</f>
        <v>1.968503937007874E-2</v>
      </c>
      <c r="Q104">
        <f t="shared" si="2"/>
        <v>388.17143954725253</v>
      </c>
      <c r="T104">
        <f t="shared" si="3"/>
        <v>14.122547270790632</v>
      </c>
      <c r="W104">
        <f t="shared" si="4"/>
        <v>14.195594929087825</v>
      </c>
      <c r="Z104">
        <f t="shared" si="5"/>
        <v>24.344712210866053</v>
      </c>
      <c r="AC104">
        <f t="shared" si="6"/>
        <v>3.4113609467455617</v>
      </c>
      <c r="AF104">
        <f t="shared" si="7"/>
        <v>20.933351264120493</v>
      </c>
      <c r="AI104">
        <f t="shared" si="8"/>
        <v>24.491662183969872</v>
      </c>
      <c r="AL104">
        <f t="shared" si="9"/>
        <v>21.059709521247981</v>
      </c>
    </row>
    <row r="105" spans="1:38" x14ac:dyDescent="0.25">
      <c r="A105">
        <v>44298</v>
      </c>
      <c r="B105">
        <v>15</v>
      </c>
      <c r="C105">
        <v>445.74814591093116</v>
      </c>
      <c r="D105">
        <v>19.235883351594133</v>
      </c>
      <c r="E105">
        <v>21.159471686753555</v>
      </c>
      <c r="F105">
        <v>24.491662183969872</v>
      </c>
      <c r="G105">
        <v>0</v>
      </c>
      <c r="H105">
        <v>0</v>
      </c>
      <c r="I105">
        <v>21.059709521247981</v>
      </c>
      <c r="J105">
        <v>3.4319526627218933</v>
      </c>
      <c r="K105">
        <v>0</v>
      </c>
      <c r="M105" s="101">
        <f>IF('Reference dates (hide)'!I90&lt;&gt;"",'Reference dates (hide)'!I90,"")</f>
        <v>44158</v>
      </c>
      <c r="N105" s="99">
        <f t="shared" si="0"/>
        <v>2020</v>
      </c>
      <c r="O105" s="8">
        <f t="shared" si="1"/>
        <v>48</v>
      </c>
      <c r="P105">
        <f ca="1">'Reference dates (hide)'!K90</f>
        <v>1.968503937007874E-2</v>
      </c>
      <c r="Q105">
        <f t="shared" si="2"/>
        <v>388.17143954725253</v>
      </c>
      <c r="T105">
        <f t="shared" si="3"/>
        <v>19.235883351594133</v>
      </c>
      <c r="W105">
        <f t="shared" si="4"/>
        <v>19.942010715133669</v>
      </c>
      <c r="Z105">
        <f t="shared" si="5"/>
        <v>24.344712210866053</v>
      </c>
      <c r="AC105">
        <f t="shared" si="6"/>
        <v>3.4113609467455617</v>
      </c>
      <c r="AF105">
        <f t="shared" si="7"/>
        <v>20.933351264120493</v>
      </c>
      <c r="AI105">
        <f t="shared" si="8"/>
        <v>24.491662183969872</v>
      </c>
      <c r="AL105">
        <f t="shared" si="9"/>
        <v>21.059709521247981</v>
      </c>
    </row>
    <row r="106" spans="1:38" x14ac:dyDescent="0.25">
      <c r="A106">
        <v>44305</v>
      </c>
      <c r="B106">
        <v>16</v>
      </c>
      <c r="C106">
        <v>445.74814591093116</v>
      </c>
      <c r="D106">
        <v>8.0352424126912219</v>
      </c>
      <c r="E106">
        <v>8.8387666539603451</v>
      </c>
      <c r="F106">
        <v>24.491662183969872</v>
      </c>
      <c r="G106">
        <v>0</v>
      </c>
      <c r="H106">
        <v>0</v>
      </c>
      <c r="I106">
        <v>21.059709521247981</v>
      </c>
      <c r="J106">
        <v>3.4319526627218933</v>
      </c>
      <c r="K106">
        <v>0</v>
      </c>
      <c r="M106" s="101">
        <f>IF('Reference dates (hide)'!I91&lt;&gt;"",'Reference dates (hide)'!I91,"")</f>
        <v>44165</v>
      </c>
      <c r="N106" s="99">
        <f t="shared" si="0"/>
        <v>2020</v>
      </c>
      <c r="O106" s="8">
        <f t="shared" si="1"/>
        <v>49</v>
      </c>
      <c r="P106">
        <f ca="1">'Reference dates (hide)'!K91</f>
        <v>1.968503937007874E-2</v>
      </c>
      <c r="Q106">
        <f t="shared" si="2"/>
        <v>388.17143954725253</v>
      </c>
      <c r="T106">
        <f t="shared" si="3"/>
        <v>25.079696015369571</v>
      </c>
      <c r="W106">
        <f t="shared" si="4"/>
        <v>26.370204645286645</v>
      </c>
      <c r="Z106">
        <f t="shared" si="5"/>
        <v>24.344712210866053</v>
      </c>
      <c r="AC106">
        <f t="shared" si="6"/>
        <v>3.4113609467455617</v>
      </c>
      <c r="AF106">
        <f t="shared" si="7"/>
        <v>20.933351264120493</v>
      </c>
      <c r="AI106">
        <f t="shared" si="8"/>
        <v>24.491662183969872</v>
      </c>
      <c r="AL106">
        <f t="shared" si="9"/>
        <v>21.059709521247981</v>
      </c>
    </row>
    <row r="107" spans="1:38" x14ac:dyDescent="0.25">
      <c r="A107">
        <v>44312</v>
      </c>
      <c r="B107">
        <v>17</v>
      </c>
      <c r="C107">
        <v>445.74814591093116</v>
      </c>
      <c r="D107">
        <v>14.366039465114607</v>
      </c>
      <c r="E107">
        <v>15.802643411626068</v>
      </c>
      <c r="F107">
        <v>24.491662183969872</v>
      </c>
      <c r="G107">
        <v>0</v>
      </c>
      <c r="H107">
        <v>0</v>
      </c>
      <c r="I107">
        <v>21.059709521247981</v>
      </c>
      <c r="J107">
        <v>3.4319526627218933</v>
      </c>
      <c r="K107">
        <v>0</v>
      </c>
      <c r="M107" s="101">
        <f>IF('Reference dates (hide)'!I92&lt;&gt;"",'Reference dates (hide)'!I92,"")</f>
        <v>44172</v>
      </c>
      <c r="N107" s="99">
        <f t="shared" si="0"/>
        <v>2020</v>
      </c>
      <c r="O107" s="8">
        <f t="shared" si="1"/>
        <v>50</v>
      </c>
      <c r="P107">
        <f ca="1">'Reference dates (hide)'!K92</f>
        <v>1.968503937007874E-2</v>
      </c>
      <c r="Q107">
        <f t="shared" si="2"/>
        <v>388.17143954725253</v>
      </c>
      <c r="T107">
        <f t="shared" si="3"/>
        <v>19.966359934566068</v>
      </c>
      <c r="W107">
        <f t="shared" si="4"/>
        <v>20.745534956402793</v>
      </c>
      <c r="Z107">
        <f t="shared" si="5"/>
        <v>24.344712210866053</v>
      </c>
      <c r="AC107">
        <f t="shared" si="6"/>
        <v>3.4113609467455617</v>
      </c>
      <c r="AF107">
        <f t="shared" si="7"/>
        <v>20.933351264120493</v>
      </c>
      <c r="AI107">
        <f t="shared" si="8"/>
        <v>24.491662183969872</v>
      </c>
      <c r="AL107">
        <f t="shared" si="9"/>
        <v>21.059709521247981</v>
      </c>
    </row>
    <row r="108" spans="1:38" x14ac:dyDescent="0.25">
      <c r="A108">
        <v>44319</v>
      </c>
      <c r="B108">
        <v>18</v>
      </c>
      <c r="C108">
        <v>445.74814591093116</v>
      </c>
      <c r="D108">
        <v>10.226672161607009</v>
      </c>
      <c r="E108">
        <v>11.249339377767711</v>
      </c>
      <c r="F108">
        <v>24.491662183969872</v>
      </c>
      <c r="G108">
        <v>0</v>
      </c>
      <c r="H108">
        <v>0</v>
      </c>
      <c r="I108">
        <v>21.059709521247981</v>
      </c>
      <c r="J108">
        <v>3.4319526627218933</v>
      </c>
      <c r="K108">
        <v>0</v>
      </c>
      <c r="M108" s="101">
        <f>IF('Reference dates (hide)'!I93&lt;&gt;"",'Reference dates (hide)'!I93,"")</f>
        <v>44179</v>
      </c>
      <c r="N108" s="99">
        <f t="shared" si="0"/>
        <v>2020</v>
      </c>
      <c r="O108" s="8">
        <f t="shared" si="1"/>
        <v>51</v>
      </c>
      <c r="P108">
        <f ca="1">'Reference dates (hide)'!K93</f>
        <v>1.968503937007874E-2</v>
      </c>
      <c r="Q108">
        <f t="shared" si="2"/>
        <v>388.17143954725253</v>
      </c>
      <c r="T108">
        <f t="shared" si="3"/>
        <v>29.949539901849096</v>
      </c>
      <c r="W108">
        <f t="shared" si="4"/>
        <v>31.727032920414125</v>
      </c>
      <c r="Z108">
        <f t="shared" si="5"/>
        <v>24.344712210866053</v>
      </c>
      <c r="AC108">
        <f t="shared" si="6"/>
        <v>3.4113609467455617</v>
      </c>
      <c r="AF108">
        <f t="shared" si="7"/>
        <v>20.933351264120493</v>
      </c>
      <c r="AI108">
        <f t="shared" si="8"/>
        <v>24.491662183969872</v>
      </c>
      <c r="AL108">
        <f t="shared" si="9"/>
        <v>21.059709521247981</v>
      </c>
    </row>
    <row r="109" spans="1:38" x14ac:dyDescent="0.25">
      <c r="A109">
        <v>44326</v>
      </c>
      <c r="B109">
        <v>19</v>
      </c>
      <c r="C109">
        <v>445.74814591093116</v>
      </c>
      <c r="D109">
        <v>18.992391157270159</v>
      </c>
      <c r="E109">
        <v>20.89163027299718</v>
      </c>
      <c r="F109">
        <v>24.491662183969872</v>
      </c>
      <c r="G109">
        <v>0</v>
      </c>
      <c r="H109">
        <v>0</v>
      </c>
      <c r="I109">
        <v>21.059709521247981</v>
      </c>
      <c r="J109">
        <v>3.4319526627218933</v>
      </c>
      <c r="K109">
        <v>0</v>
      </c>
      <c r="M109" s="101">
        <f>IF('Reference dates (hide)'!I94&lt;&gt;"",'Reference dates (hide)'!I94,"")</f>
        <v>44186</v>
      </c>
      <c r="N109" s="99">
        <f t="shared" si="0"/>
        <v>2020</v>
      </c>
      <c r="O109" s="8">
        <f t="shared" si="1"/>
        <v>52</v>
      </c>
      <c r="P109">
        <f ca="1">'Reference dates (hide)'!K94</f>
        <v>1.5748031496062992E-2</v>
      </c>
      <c r="Q109">
        <f t="shared" si="2"/>
        <v>388.17143954725253</v>
      </c>
      <c r="T109">
        <f t="shared" si="3"/>
        <v>26.297156986989453</v>
      </c>
      <c r="W109">
        <f t="shared" si="4"/>
        <v>27.709411714068516</v>
      </c>
      <c r="Z109">
        <f t="shared" si="5"/>
        <v>24.344712210866053</v>
      </c>
      <c r="AC109">
        <f t="shared" si="6"/>
        <v>3.4113609467455617</v>
      </c>
      <c r="AF109">
        <f t="shared" si="7"/>
        <v>20.933351264120493</v>
      </c>
      <c r="AI109">
        <f t="shared" si="8"/>
        <v>24.491662183969872</v>
      </c>
      <c r="AL109">
        <f t="shared" si="9"/>
        <v>21.059709521247981</v>
      </c>
    </row>
    <row r="110" spans="1:38" x14ac:dyDescent="0.25">
      <c r="A110">
        <v>44333</v>
      </c>
      <c r="B110">
        <v>20</v>
      </c>
      <c r="C110">
        <v>445.74814591093116</v>
      </c>
      <c r="D110">
        <v>18.992391157270159</v>
      </c>
      <c r="E110">
        <v>20.89163027299718</v>
      </c>
      <c r="F110">
        <v>24.491662183969872</v>
      </c>
      <c r="G110">
        <v>0</v>
      </c>
      <c r="H110">
        <v>0</v>
      </c>
      <c r="I110">
        <v>21.059709521247981</v>
      </c>
      <c r="J110">
        <v>3.4319526627218933</v>
      </c>
      <c r="K110">
        <v>0</v>
      </c>
      <c r="M110" s="101">
        <f>IF('Reference dates (hide)'!I95&lt;&gt;"",'Reference dates (hide)'!I95,"")</f>
        <v>44193</v>
      </c>
      <c r="N110" s="99">
        <f t="shared" si="0"/>
        <v>2020</v>
      </c>
      <c r="O110" s="8">
        <f t="shared" si="1"/>
        <v>53</v>
      </c>
      <c r="P110">
        <f ca="1">'Reference dates (hide)'!K95</f>
        <v>1.1811023622047244E-2</v>
      </c>
      <c r="Q110">
        <f t="shared" si="2"/>
        <v>388.17143954725253</v>
      </c>
      <c r="T110">
        <f t="shared" si="3"/>
        <v>26.297156986989453</v>
      </c>
      <c r="W110">
        <f t="shared" si="4"/>
        <v>27.709411714068516</v>
      </c>
      <c r="Z110">
        <f t="shared" si="5"/>
        <v>24.344712210866053</v>
      </c>
      <c r="AC110">
        <f t="shared" si="6"/>
        <v>3.4113609467455617</v>
      </c>
      <c r="AF110">
        <f t="shared" si="7"/>
        <v>20.933351264120493</v>
      </c>
      <c r="AI110">
        <f t="shared" si="8"/>
        <v>24.491662183969872</v>
      </c>
      <c r="AL110">
        <f t="shared" si="9"/>
        <v>21.059709521247981</v>
      </c>
    </row>
    <row r="111" spans="1:38" x14ac:dyDescent="0.25">
      <c r="M111">
        <f ca="1">MAX(T58:AB110)</f>
        <v>31.727032920414125</v>
      </c>
    </row>
    <row r="118" spans="26:26" x14ac:dyDescent="0.25">
      <c r="Z118" s="121"/>
    </row>
    <row r="119" spans="26:26" x14ac:dyDescent="0.25">
      <c r="Z119" s="121"/>
    </row>
  </sheetData>
  <pageMargins left="0.7" right="0.7" top="0.75" bottom="0.75" header="0.3" footer="0.3"/>
  <pageSetup paperSize="9" orientation="portrait"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5"/>
  <dimension ref="A1:AN119"/>
  <sheetViews>
    <sheetView zoomScale="85" zoomScaleNormal="85" workbookViewId="0">
      <selection activeCell="A22" sqref="A22"/>
    </sheetView>
  </sheetViews>
  <sheetFormatPr defaultRowHeight="13.8" x14ac:dyDescent="0.25"/>
  <cols>
    <col min="1" max="1" width="27.69921875" bestFit="1" customWidth="1"/>
    <col min="2" max="2" width="16.8984375" style="6" customWidth="1"/>
    <col min="3" max="3" width="12.09765625" style="6" bestFit="1" customWidth="1"/>
    <col min="4" max="4" width="16.09765625" style="7" bestFit="1" customWidth="1"/>
    <col min="11" max="11" width="10.8984375" bestFit="1" customWidth="1"/>
    <col min="13" max="13" width="16.69921875" bestFit="1" customWidth="1"/>
    <col min="17" max="17" width="7.69921875" customWidth="1"/>
    <col min="26" max="26" width="11.8984375" bestFit="1" customWidth="1"/>
  </cols>
  <sheetData>
    <row r="1" spans="1:19" x14ac:dyDescent="0.25">
      <c r="A1" t="s">
        <v>1061</v>
      </c>
      <c r="B1" s="6" t="s">
        <v>931</v>
      </c>
      <c r="C1" s="6" t="b">
        <f>ISERR(SUM(B25:M49))</f>
        <v>0</v>
      </c>
    </row>
    <row r="2" spans="1:19" x14ac:dyDescent="0.25">
      <c r="A2" t="s">
        <v>932</v>
      </c>
      <c r="B2"/>
    </row>
    <row r="3" spans="1:19" x14ac:dyDescent="0.25">
      <c r="B3" s="6" t="s">
        <v>933</v>
      </c>
      <c r="F3" t="s">
        <v>934</v>
      </c>
      <c r="J3" t="s">
        <v>935</v>
      </c>
    </row>
    <row r="4" spans="1:19" x14ac:dyDescent="0.25">
      <c r="B4" s="6" t="s">
        <v>936</v>
      </c>
      <c r="C4" s="6" t="s">
        <v>937</v>
      </c>
      <c r="D4" s="7" t="s">
        <v>1208</v>
      </c>
      <c r="F4" s="6" t="s">
        <v>936</v>
      </c>
      <c r="G4" s="6" t="s">
        <v>937</v>
      </c>
      <c r="H4" s="7" t="s">
        <v>1024</v>
      </c>
      <c r="J4" s="6" t="s">
        <v>936</v>
      </c>
      <c r="K4" s="6" t="s">
        <v>937</v>
      </c>
      <c r="L4" s="7" t="s">
        <v>1024</v>
      </c>
    </row>
    <row r="5" spans="1:19" x14ac:dyDescent="0.25">
      <c r="A5" t="s">
        <v>5</v>
      </c>
      <c r="B5"/>
      <c r="C5" s="6">
        <f>B5*52</f>
        <v>0</v>
      </c>
      <c r="D5" s="7">
        <f>IF($B$20=1,C5/$B$21,C5)</f>
        <v>0</v>
      </c>
      <c r="G5">
        <f>F5*$D5</f>
        <v>0</v>
      </c>
      <c r="H5">
        <f>G5/52</f>
        <v>0</v>
      </c>
      <c r="K5">
        <f>J5*D5</f>
        <v>0</v>
      </c>
      <c r="L5">
        <f>K5/52</f>
        <v>0</v>
      </c>
    </row>
    <row r="6" spans="1:19" x14ac:dyDescent="0.25">
      <c r="A6" t="s">
        <v>1209</v>
      </c>
      <c r="B6"/>
      <c r="D6" s="7">
        <f>IF($B$20=1,B6/$B$21,B6)</f>
        <v>0</v>
      </c>
      <c r="G6">
        <f>F6*52</f>
        <v>0</v>
      </c>
      <c r="H6">
        <f>F6</f>
        <v>0</v>
      </c>
      <c r="K6">
        <f>J6*52</f>
        <v>0</v>
      </c>
      <c r="L6">
        <f>J6</f>
        <v>0</v>
      </c>
    </row>
    <row r="7" spans="1:19" x14ac:dyDescent="0.25">
      <c r="A7" t="s">
        <v>1210</v>
      </c>
      <c r="B7"/>
      <c r="D7" s="7">
        <f>IF($B$20=1,B7/$B$21,B7)</f>
        <v>0</v>
      </c>
    </row>
    <row r="8" spans="1:19" x14ac:dyDescent="0.25">
      <c r="A8" t="s">
        <v>9</v>
      </c>
      <c r="B8"/>
    </row>
    <row r="9" spans="1:19" x14ac:dyDescent="0.25">
      <c r="A9" t="s">
        <v>964</v>
      </c>
      <c r="B9"/>
    </row>
    <row r="10" spans="1:19" x14ac:dyDescent="0.25">
      <c r="A10" t="s">
        <v>940</v>
      </c>
      <c r="B10"/>
      <c r="C10" s="6">
        <f xml:space="preserve"> NASR*NASRDC</f>
        <v>0</v>
      </c>
      <c r="G10">
        <f xml:space="preserve"> FU_NASR*FU_NASRDC</f>
        <v>0</v>
      </c>
      <c r="K10">
        <f xml:space="preserve"> IP_NASR*IP_NASRDC</f>
        <v>0</v>
      </c>
    </row>
    <row r="11" spans="1:19" x14ac:dyDescent="0.25">
      <c r="A11" t="s">
        <v>965</v>
      </c>
      <c r="B11"/>
    </row>
    <row r="12" spans="1:19" x14ac:dyDescent="0.25">
      <c r="A12" t="s">
        <v>859</v>
      </c>
      <c r="B12"/>
    </row>
    <row r="13" spans="1:19" x14ac:dyDescent="0.25">
      <c r="A13" t="s">
        <v>941</v>
      </c>
      <c r="B13"/>
      <c r="D13" s="7">
        <f>IF($B$20=1,B13/$B$21,B13)</f>
        <v>0</v>
      </c>
      <c r="G13">
        <f>F13*52</f>
        <v>0</v>
      </c>
      <c r="H13" s="7">
        <f>IF($B$20=1,F13/$B$21,F13)</f>
        <v>0</v>
      </c>
      <c r="K13">
        <f>J13*52</f>
        <v>0</v>
      </c>
      <c r="L13" s="7">
        <f>IF($B$20=1,J13/$B$21,J13)</f>
        <v>0</v>
      </c>
    </row>
    <row r="14" spans="1:19" x14ac:dyDescent="0.25">
      <c r="A14" t="s">
        <v>1275</v>
      </c>
      <c r="B14"/>
      <c r="H14" s="7"/>
      <c r="L14" s="7"/>
    </row>
    <row r="15" spans="1:19" x14ac:dyDescent="0.25">
      <c r="A15" t="s">
        <v>1278</v>
      </c>
      <c r="B15"/>
      <c r="D15" s="7">
        <f>IF($B$20=1,B15/$B$21,B15)</f>
        <v>0</v>
      </c>
      <c r="H15" s="7">
        <f>IF($B$20=1,F15/$B$21,F15)</f>
        <v>0</v>
      </c>
      <c r="L15" s="7">
        <f>IF($B$20=1,J15/$B$21,J15)</f>
        <v>0</v>
      </c>
    </row>
    <row r="16" spans="1:19" x14ac:dyDescent="0.25">
      <c r="A16" t="s">
        <v>861</v>
      </c>
      <c r="B16"/>
      <c r="D16" s="7">
        <f>IF($B$20=1,B16/$B$21,B16)</f>
        <v>0</v>
      </c>
      <c r="H16" s="7">
        <f>IF($B$20=1,F16/$B$21,F16)</f>
        <v>0</v>
      </c>
      <c r="L16" s="7">
        <f>IF($B$20=1,J16/$B$21,J16)</f>
        <v>0</v>
      </c>
      <c r="S16" t="s">
        <v>1213</v>
      </c>
    </row>
    <row r="17" spans="1:20" x14ac:dyDescent="0.25">
      <c r="A17" t="s">
        <v>7</v>
      </c>
      <c r="B17"/>
      <c r="D17" s="7">
        <f>IF($B$20=1,B17/$B$21,B17)</f>
        <v>0</v>
      </c>
      <c r="H17" s="7">
        <f>IF($B$20=1,F17/$B$21,F17)</f>
        <v>0</v>
      </c>
      <c r="L17" s="7">
        <f>IF($B$20=1,J17/$B$21,J17)</f>
        <v>0</v>
      </c>
      <c r="S17" t="s">
        <v>1159</v>
      </c>
    </row>
    <row r="18" spans="1:20" x14ac:dyDescent="0.25">
      <c r="A18" t="s">
        <v>1081</v>
      </c>
      <c r="B18"/>
      <c r="S18" t="s">
        <v>1187</v>
      </c>
    </row>
    <row r="19" spans="1:20" x14ac:dyDescent="0.25">
      <c r="A19" t="s">
        <v>863</v>
      </c>
      <c r="B19"/>
      <c r="S19" t="s">
        <v>1214</v>
      </c>
      <c r="T19" t="s">
        <v>1215</v>
      </c>
    </row>
    <row r="20" spans="1:20" x14ac:dyDescent="0.25">
      <c r="A20" t="s">
        <v>942</v>
      </c>
      <c r="B20"/>
      <c r="R20" t="s">
        <v>947</v>
      </c>
      <c r="S20" t="s">
        <v>984</v>
      </c>
      <c r="T20" t="s">
        <v>1216</v>
      </c>
    </row>
    <row r="21" spans="1:20" x14ac:dyDescent="0.25">
      <c r="A21" t="s">
        <v>943</v>
      </c>
      <c r="B21"/>
      <c r="D21" s="12"/>
      <c r="S21" t="s">
        <v>985</v>
      </c>
      <c r="T21" t="s">
        <v>1216</v>
      </c>
    </row>
    <row r="22" spans="1:20" x14ac:dyDescent="0.25">
      <c r="A22" t="s">
        <v>1400</v>
      </c>
      <c r="B22">
        <v>1</v>
      </c>
      <c r="H22">
        <f>F22*$D$5</f>
        <v>0</v>
      </c>
      <c r="L22">
        <f>J22*$D$5</f>
        <v>0</v>
      </c>
      <c r="S22" t="s">
        <v>1217</v>
      </c>
      <c r="T22" t="s">
        <v>1218</v>
      </c>
    </row>
    <row r="23" spans="1:20" x14ac:dyDescent="0.25">
      <c r="S23" t="s">
        <v>1219</v>
      </c>
      <c r="T23" t="s">
        <v>1218</v>
      </c>
    </row>
    <row r="24" spans="1:20" x14ac:dyDescent="0.25">
      <c r="D24" s="7" t="s">
        <v>1023</v>
      </c>
      <c r="F24" t="s">
        <v>901</v>
      </c>
      <c r="G24" t="s">
        <v>1022</v>
      </c>
      <c r="H24" s="7" t="s">
        <v>1023</v>
      </c>
      <c r="J24" t="s">
        <v>901</v>
      </c>
      <c r="K24" t="s">
        <v>1022</v>
      </c>
      <c r="L24" s="7" t="s">
        <v>1023</v>
      </c>
      <c r="R24" t="s">
        <v>941</v>
      </c>
      <c r="S24" t="s">
        <v>25</v>
      </c>
      <c r="T24" t="s">
        <v>1218</v>
      </c>
    </row>
    <row r="25" spans="1:20" x14ac:dyDescent="0.25">
      <c r="A25" t="s">
        <v>944</v>
      </c>
      <c r="B25" s="6">
        <f>IF(B17-B16&lt;0,0,B17-B16)</f>
        <v>0</v>
      </c>
      <c r="D25" s="6">
        <f>IF(D17-D16&lt;0,0,D17-D16)</f>
        <v>0</v>
      </c>
      <c r="F25" s="8">
        <f>F5*B25</f>
        <v>0</v>
      </c>
      <c r="G25" s="8">
        <v>0</v>
      </c>
      <c r="H25" s="8"/>
      <c r="I25" s="8"/>
      <c r="J25" s="8">
        <f>(J5*B25)+IF(J17-J16&lt;=0,0,J17-J16)</f>
        <v>0</v>
      </c>
      <c r="K25" s="8">
        <f>IF(J17-J16&lt;=0,0,J17-J16)</f>
        <v>0</v>
      </c>
      <c r="L25" s="8"/>
      <c r="S25" t="s">
        <v>1220</v>
      </c>
      <c r="T25" t="s">
        <v>1218</v>
      </c>
    </row>
    <row r="26" spans="1:20" x14ac:dyDescent="0.25">
      <c r="A26" t="s">
        <v>945</v>
      </c>
      <c r="B26" s="9">
        <f>(1-NASLDC)*NASL</f>
        <v>0</v>
      </c>
      <c r="D26" s="11"/>
      <c r="F26" s="8">
        <f>FU_NASL*(1-FU_NASLDC)</f>
        <v>0</v>
      </c>
      <c r="G26" s="8"/>
      <c r="H26" s="8"/>
      <c r="I26" s="8"/>
      <c r="J26" s="8">
        <f>IP_NASL*(1-IP_NASLDC)</f>
        <v>0</v>
      </c>
      <c r="K26" s="8"/>
      <c r="L26" s="8"/>
      <c r="R26" t="s">
        <v>1221</v>
      </c>
      <c r="S26" t="s">
        <v>25</v>
      </c>
      <c r="T26" t="s">
        <v>1218</v>
      </c>
    </row>
    <row r="27" spans="1:20" x14ac:dyDescent="0.25">
      <c r="A27" t="s">
        <v>946</v>
      </c>
      <c r="B27" s="6">
        <f>NASR*(1-NASRDC)</f>
        <v>0</v>
      </c>
      <c r="D27" s="11"/>
      <c r="F27" s="8">
        <f>FU_NASR*(1-FU_NASRDC)</f>
        <v>0</v>
      </c>
      <c r="G27" s="8"/>
      <c r="H27" s="8"/>
      <c r="I27" s="8"/>
      <c r="J27" s="8">
        <f>IP_NASR*(1-IP_NASRDC)</f>
        <v>0</v>
      </c>
      <c r="K27" s="8"/>
      <c r="L27" s="8"/>
      <c r="S27" t="s">
        <v>1220</v>
      </c>
      <c r="T27" t="s">
        <v>1218</v>
      </c>
    </row>
    <row r="28" spans="1:20" x14ac:dyDescent="0.25">
      <c r="D28" s="11"/>
      <c r="F28" s="8"/>
      <c r="G28" s="8"/>
      <c r="H28" s="8"/>
      <c r="I28" s="8"/>
      <c r="J28" s="8"/>
      <c r="K28" s="8"/>
      <c r="L28" s="8"/>
      <c r="R28" t="s">
        <v>1093</v>
      </c>
      <c r="S28" t="s">
        <v>984</v>
      </c>
      <c r="T28" t="s">
        <v>1216</v>
      </c>
    </row>
    <row r="29" spans="1:20" ht="14.4" x14ac:dyDescent="0.3">
      <c r="A29" s="10" t="s">
        <v>947</v>
      </c>
      <c r="D29" s="12"/>
      <c r="F29" s="8"/>
      <c r="G29" s="8"/>
      <c r="H29" s="8"/>
      <c r="I29" s="8"/>
      <c r="J29" s="8"/>
      <c r="K29" s="8"/>
      <c r="L29" s="8"/>
      <c r="S29" t="s">
        <v>985</v>
      </c>
      <c r="T29" t="s">
        <v>1216</v>
      </c>
    </row>
    <row r="30" spans="1:20" x14ac:dyDescent="0.25">
      <c r="A30" t="s">
        <v>948</v>
      </c>
      <c r="B30" s="6">
        <f>B5*(NASL+NASR+ROTT)</f>
        <v>0</v>
      </c>
      <c r="F30" s="8">
        <f>H5*(F8+F10+F18)</f>
        <v>0</v>
      </c>
      <c r="G30" s="8"/>
      <c r="H30" s="8"/>
      <c r="I30" s="8"/>
      <c r="J30" s="8">
        <f>L5*(J8+J10+J18)</f>
        <v>0</v>
      </c>
      <c r="K30" s="8"/>
      <c r="L30" s="8"/>
    </row>
    <row r="31" spans="1:20" x14ac:dyDescent="0.25">
      <c r="A31" t="s">
        <v>949</v>
      </c>
      <c r="B31" s="6">
        <f>B5*(B26+B27)</f>
        <v>0</v>
      </c>
      <c r="F31" s="8">
        <f>H5*(F26+F27)</f>
        <v>0</v>
      </c>
      <c r="G31" s="8"/>
      <c r="H31" s="8"/>
      <c r="I31" s="8"/>
      <c r="J31" s="8">
        <f>L5*(J26+J27)</f>
        <v>0</v>
      </c>
      <c r="K31" s="8"/>
      <c r="L31" s="8"/>
      <c r="R31" t="s">
        <v>941</v>
      </c>
      <c r="S31" t="s">
        <v>25</v>
      </c>
      <c r="T31" t="s">
        <v>1218</v>
      </c>
    </row>
    <row r="32" spans="1:20" x14ac:dyDescent="0.25">
      <c r="F32" s="8"/>
      <c r="G32" s="8"/>
      <c r="H32" s="8"/>
      <c r="I32" s="8"/>
      <c r="J32" s="8"/>
      <c r="K32" s="8"/>
      <c r="L32" s="8"/>
      <c r="S32" t="s">
        <v>1220</v>
      </c>
      <c r="T32" t="s">
        <v>1218</v>
      </c>
    </row>
    <row r="33" spans="1:20" x14ac:dyDescent="0.25">
      <c r="A33" t="s">
        <v>950</v>
      </c>
      <c r="B33" s="6">
        <f>B31-B30+B5</f>
        <v>0</v>
      </c>
      <c r="C33" s="6">
        <f>B33*52</f>
        <v>0</v>
      </c>
      <c r="D33" s="7">
        <f>IF($B$20=1,C33/$B$21,C33)</f>
        <v>0</v>
      </c>
      <c r="F33" s="8">
        <f>(F31-F30+H5)/52</f>
        <v>0</v>
      </c>
      <c r="G33" s="8"/>
      <c r="H33" s="8">
        <f>(F31-F30+H5)*52</f>
        <v>0</v>
      </c>
      <c r="I33" s="8"/>
      <c r="J33" s="8">
        <f>(J31-J30+L5)/52</f>
        <v>0</v>
      </c>
      <c r="K33" s="8"/>
      <c r="L33" s="8">
        <f>(J31-J30+L5)*52</f>
        <v>0</v>
      </c>
      <c r="R33" t="s">
        <v>1221</v>
      </c>
      <c r="S33" t="s">
        <v>25</v>
      </c>
      <c r="T33" t="s">
        <v>1218</v>
      </c>
    </row>
    <row r="34" spans="1:20" x14ac:dyDescent="0.25">
      <c r="F34" s="8"/>
      <c r="G34" s="8"/>
      <c r="H34" s="8"/>
      <c r="I34" s="8"/>
      <c r="J34" s="8"/>
      <c r="K34" s="8"/>
      <c r="L34" s="8"/>
      <c r="S34" t="s">
        <v>1220</v>
      </c>
      <c r="T34" t="s">
        <v>1218</v>
      </c>
    </row>
    <row r="35" spans="1:20" x14ac:dyDescent="0.25">
      <c r="F35" s="8"/>
      <c r="G35" s="8"/>
      <c r="H35" s="8"/>
      <c r="I35" s="8"/>
      <c r="J35" s="8"/>
      <c r="K35" s="8"/>
      <c r="L35" s="8"/>
      <c r="R35" t="s">
        <v>1093</v>
      </c>
      <c r="S35" t="s">
        <v>984</v>
      </c>
      <c r="T35" t="s">
        <v>1218</v>
      </c>
    </row>
    <row r="36" spans="1:20" ht="14.4" x14ac:dyDescent="0.3">
      <c r="A36" s="10" t="s">
        <v>951</v>
      </c>
      <c r="F36" s="8"/>
      <c r="G36" s="8"/>
      <c r="H36" s="8"/>
      <c r="I36" s="8"/>
      <c r="J36" s="8"/>
      <c r="K36" s="8"/>
      <c r="L36" s="8"/>
      <c r="S36" t="s">
        <v>985</v>
      </c>
      <c r="T36" t="s">
        <v>1218</v>
      </c>
    </row>
    <row r="37" spans="1:20" x14ac:dyDescent="0.25">
      <c r="A37" t="s">
        <v>948</v>
      </c>
      <c r="B37" s="6">
        <f>B13*(B8+B10+B18)</f>
        <v>0</v>
      </c>
      <c r="F37" s="8">
        <f>F13*(F8+F10)</f>
        <v>0</v>
      </c>
      <c r="G37" s="8"/>
      <c r="H37" s="8"/>
      <c r="I37" s="8"/>
      <c r="J37" s="8">
        <f>J13*(J8+J10)</f>
        <v>0</v>
      </c>
      <c r="K37" s="8"/>
      <c r="L37" s="8"/>
      <c r="S37" t="s">
        <v>1222</v>
      </c>
      <c r="T37" t="s">
        <v>1218</v>
      </c>
    </row>
    <row r="38" spans="1:20" x14ac:dyDescent="0.25">
      <c r="A38" t="s">
        <v>949</v>
      </c>
      <c r="B38" s="6">
        <f>B13*(B26+B27)</f>
        <v>0</v>
      </c>
      <c r="F38" s="8">
        <f>F13*(F26+F27)</f>
        <v>0</v>
      </c>
      <c r="G38" s="8"/>
      <c r="H38" s="8"/>
      <c r="I38" s="8"/>
      <c r="J38" s="8">
        <f>J13*(J26+J27)</f>
        <v>0</v>
      </c>
      <c r="K38" s="8"/>
      <c r="L38" s="8"/>
    </row>
    <row r="39" spans="1:20" x14ac:dyDescent="0.25">
      <c r="F39" s="8"/>
      <c r="G39" s="8"/>
      <c r="H39" s="8"/>
      <c r="I39" s="8"/>
      <c r="J39" s="8"/>
      <c r="K39" s="8"/>
      <c r="L39" s="8"/>
      <c r="R39" t="s">
        <v>1203</v>
      </c>
      <c r="T39" t="s">
        <v>1218</v>
      </c>
    </row>
    <row r="40" spans="1:20" x14ac:dyDescent="0.25">
      <c r="A40" t="s">
        <v>952</v>
      </c>
      <c r="B40" s="6">
        <f>B13+B38-B37</f>
        <v>0</v>
      </c>
      <c r="C40" s="6">
        <f>B40*52</f>
        <v>0</v>
      </c>
      <c r="D40" s="7">
        <f>IF($B$20=1,C40/$B$21,C40)</f>
        <v>0</v>
      </c>
      <c r="F40" s="8">
        <f>F13+F38-F37</f>
        <v>0</v>
      </c>
      <c r="G40" s="8"/>
      <c r="H40" s="8">
        <f>F40*52</f>
        <v>0</v>
      </c>
      <c r="I40" s="8"/>
      <c r="J40" s="8">
        <f>J13+J38-J37</f>
        <v>0</v>
      </c>
      <c r="K40" s="8"/>
      <c r="L40" s="8">
        <f>J40*52</f>
        <v>0</v>
      </c>
    </row>
    <row r="41" spans="1:20" x14ac:dyDescent="0.25">
      <c r="F41" s="8"/>
      <c r="G41" s="8"/>
      <c r="H41" s="8"/>
      <c r="I41" s="8"/>
      <c r="J41" s="8"/>
      <c r="K41" s="8"/>
      <c r="L41" s="8"/>
    </row>
    <row r="42" spans="1:20" x14ac:dyDescent="0.25">
      <c r="F42" s="8"/>
      <c r="G42" s="8"/>
      <c r="H42" s="8"/>
      <c r="I42" s="8"/>
      <c r="J42" s="8"/>
      <c r="K42" s="8"/>
      <c r="L42" s="8"/>
    </row>
    <row r="43" spans="1:20" ht="14.4" x14ac:dyDescent="0.3">
      <c r="A43" s="10" t="s">
        <v>953</v>
      </c>
      <c r="F43" s="8"/>
      <c r="G43" s="8"/>
      <c r="H43" s="8"/>
      <c r="I43" s="8"/>
      <c r="J43" s="8"/>
      <c r="K43" s="8"/>
      <c r="L43" s="8"/>
    </row>
    <row r="44" spans="1:20" x14ac:dyDescent="0.25">
      <c r="A44" t="s">
        <v>954</v>
      </c>
      <c r="F44" s="8"/>
      <c r="G44" s="8"/>
      <c r="H44" s="8"/>
      <c r="I44" s="8"/>
      <c r="J44" s="8"/>
      <c r="K44" s="8"/>
      <c r="L44" s="8"/>
    </row>
    <row r="45" spans="1:20" x14ac:dyDescent="0.25">
      <c r="F45" s="8"/>
      <c r="G45" s="8"/>
      <c r="H45" s="8"/>
      <c r="I45" s="8"/>
      <c r="J45" s="8"/>
      <c r="K45" s="8"/>
      <c r="L45" s="8"/>
    </row>
    <row r="46" spans="1:20" x14ac:dyDescent="0.25">
      <c r="A46" t="s">
        <v>948</v>
      </c>
      <c r="B46" s="6">
        <f>B25*(B8+B10+B18)</f>
        <v>0</v>
      </c>
      <c r="F46" s="8">
        <f>F25*(F8+F10)</f>
        <v>0</v>
      </c>
      <c r="G46" s="8"/>
      <c r="H46" s="8"/>
      <c r="I46" s="8"/>
      <c r="J46" s="8">
        <f>J25*(J8+J10)</f>
        <v>0</v>
      </c>
      <c r="K46" s="8"/>
      <c r="L46" s="8"/>
    </row>
    <row r="47" spans="1:20" x14ac:dyDescent="0.25">
      <c r="A47" t="s">
        <v>949</v>
      </c>
      <c r="B47" s="6">
        <f>B25*(B26+B27)</f>
        <v>0</v>
      </c>
      <c r="F47" s="8">
        <f>F25*(F26+F27)</f>
        <v>0</v>
      </c>
      <c r="G47" s="8"/>
      <c r="H47" s="8"/>
      <c r="I47" s="8"/>
      <c r="J47" s="8">
        <f>J25*(J26+J27)</f>
        <v>0</v>
      </c>
      <c r="K47" s="8"/>
      <c r="L47" s="8"/>
    </row>
    <row r="48" spans="1:20" x14ac:dyDescent="0.25">
      <c r="F48" s="8" t="s">
        <v>901</v>
      </c>
      <c r="G48" s="8"/>
      <c r="H48" s="8"/>
      <c r="I48" s="8"/>
      <c r="J48" s="8" t="s">
        <v>901</v>
      </c>
      <c r="K48" s="8"/>
      <c r="L48" s="8"/>
    </row>
    <row r="49" spans="1:40" x14ac:dyDescent="0.25">
      <c r="A49" t="s">
        <v>955</v>
      </c>
      <c r="B49" s="6">
        <f>B25+B47-B46</f>
        <v>0</v>
      </c>
      <c r="C49" s="6">
        <f>B49</f>
        <v>0</v>
      </c>
      <c r="D49" s="7">
        <f>IF($B$20=1,C49/$B$21,C49)</f>
        <v>0</v>
      </c>
      <c r="F49" s="8">
        <f>F25+F47-F46</f>
        <v>0</v>
      </c>
      <c r="G49" s="8">
        <f>F49</f>
        <v>0</v>
      </c>
      <c r="H49" s="8">
        <f>IF($F$20=1,G49/$F$21,G49)</f>
        <v>0</v>
      </c>
      <c r="I49" s="8"/>
      <c r="J49" s="8">
        <f>J25+J47-J46</f>
        <v>0</v>
      </c>
      <c r="K49" s="8">
        <f>J49</f>
        <v>0</v>
      </c>
      <c r="L49" s="8">
        <f>IF($J$20=1,K49/$J$21,K49)</f>
        <v>0</v>
      </c>
    </row>
    <row r="50" spans="1:40" x14ac:dyDescent="0.25">
      <c r="F50" t="s">
        <v>1022</v>
      </c>
      <c r="J50" t="s">
        <v>1022</v>
      </c>
    </row>
    <row r="51" spans="1:40" x14ac:dyDescent="0.25">
      <c r="F51">
        <v>0</v>
      </c>
      <c r="H51">
        <v>0</v>
      </c>
      <c r="J51">
        <f>K25*(1+(J8*(1-J9))-(J8+J10+J18)+(J10*(1-J11)))</f>
        <v>0</v>
      </c>
      <c r="K51">
        <f>J51</f>
        <v>0</v>
      </c>
      <c r="L51" s="8">
        <f>IF($J$20=1,K51/$J$21,K51)</f>
        <v>0</v>
      </c>
    </row>
    <row r="52" spans="1:40" x14ac:dyDescent="0.25">
      <c r="A52" s="1" t="s">
        <v>956</v>
      </c>
      <c r="M52" t="s">
        <v>1016</v>
      </c>
      <c r="Z52">
        <f>1-(NASL*NASLDC)</f>
        <v>1</v>
      </c>
    </row>
    <row r="53" spans="1:40" x14ac:dyDescent="0.25">
      <c r="A53" t="s">
        <v>1141</v>
      </c>
      <c r="B53" s="92" t="s">
        <v>1142</v>
      </c>
    </row>
    <row r="54" spans="1:40" x14ac:dyDescent="0.25">
      <c r="M54" t="s">
        <v>1207</v>
      </c>
      <c r="Q54">
        <f>(1-ROTT)*(1-(NASR*NASRDC) - (NASL*NASLDC))</f>
        <v>1</v>
      </c>
      <c r="Z54">
        <f>1-(NASL*NASLDC)</f>
        <v>1</v>
      </c>
    </row>
    <row r="55" spans="1:40" x14ac:dyDescent="0.25">
      <c r="A55" t="s">
        <v>1143</v>
      </c>
      <c r="B55" s="100">
        <f>'Reference dates (hide)'!B40</f>
        <v>43831</v>
      </c>
      <c r="C55" s="6" t="s">
        <v>1150</v>
      </c>
      <c r="G55" s="7"/>
      <c r="Q55" s="116" t="str">
        <f ca="1">IF(OFFSET('Control Sheet'!E$45,MID($A$1,6,LEN($A$1)-6),0,1,1)=0,"",OFFSET('Control Sheet'!E$45,MID($A$1,6,LEN($A$1)-6),0,1,1))</f>
        <v/>
      </c>
      <c r="R55" s="116" t="str">
        <f ca="1">IF(OFFSET('Control Sheet'!F$45,MID($A$1,6,LEN($A$1)-6),0,1,1)=0,"",OFFSET('Control Sheet'!F$45,MID($A$1,6,LEN($A$1)-6),0,1,1))</f>
        <v/>
      </c>
      <c r="S55" s="116" t="str">
        <f ca="1">IF(OFFSET('Control Sheet'!G$45,MID($A$1,6,LEN($A$1)-6),0,1,1)=0,"",OFFSET('Control Sheet'!G$45,MID($A$1,6,LEN($A$1)-6),0,1,1))</f>
        <v/>
      </c>
      <c r="T55" s="118" t="str">
        <f ca="1">IF(OFFSET('Control Sheet'!I$45,MID($A$1,6,LEN($A$1)-6),0,1,1)="0","",OFFSET('Control Sheet'!I$45,MID($A$1,6,LEN($A$1)-6),0,1,1))</f>
        <v/>
      </c>
      <c r="U55" s="118" t="str">
        <f ca="1">IF(OFFSET('Control Sheet'!J$45,MID($A$1,6,LEN($A$1)-6),0,1,1)=0,"",OFFSET('Control Sheet'!J$45,MID($A$1,6,LEN($A$1)-6),0,1,1))</f>
        <v/>
      </c>
      <c r="V55" s="118" t="str">
        <f ca="1">IF(OFFSET('Control Sheet'!K$45,MID($A$1,6,LEN($A$1)-6),0,1,1)=0,"",OFFSET('Control Sheet'!K$45,MID($A$1,6,LEN($A$1)-6),0,1,1))</f>
        <v/>
      </c>
    </row>
    <row r="56" spans="1:40" ht="14.4" x14ac:dyDescent="0.3">
      <c r="A56" t="s">
        <v>1202</v>
      </c>
      <c r="C56" s="6" t="s">
        <v>1204</v>
      </c>
      <c r="D56" s="6"/>
      <c r="E56" s="7"/>
      <c r="F56" t="s">
        <v>860</v>
      </c>
      <c r="N56" s="6"/>
      <c r="O56" s="6"/>
      <c r="P56" s="7"/>
      <c r="Q56" s="93" t="s">
        <v>1236</v>
      </c>
      <c r="R56" s="6"/>
      <c r="T56" s="107" t="s">
        <v>1093</v>
      </c>
      <c r="Z56" s="93" t="s">
        <v>1212</v>
      </c>
      <c r="AC56" s="108" t="s">
        <v>1276</v>
      </c>
      <c r="AF56" s="1" t="s">
        <v>1306</v>
      </c>
      <c r="AI56" t="s">
        <v>1275</v>
      </c>
      <c r="AL56" t="s">
        <v>1312</v>
      </c>
    </row>
    <row r="57" spans="1:40" x14ac:dyDescent="0.25">
      <c r="A57" s="1" t="s">
        <v>1144</v>
      </c>
      <c r="B57" s="1" t="s">
        <v>1151</v>
      </c>
      <c r="C57" s="94" t="s">
        <v>1203</v>
      </c>
      <c r="D57" s="94" t="s">
        <v>984</v>
      </c>
      <c r="E57" s="111" t="s">
        <v>985</v>
      </c>
      <c r="F57" s="1" t="s">
        <v>951</v>
      </c>
      <c r="G57" s="1" t="s">
        <v>1205</v>
      </c>
      <c r="H57" s="1" t="s">
        <v>1206</v>
      </c>
      <c r="I57" s="1" t="s">
        <v>25</v>
      </c>
      <c r="J57" s="1" t="s">
        <v>1220</v>
      </c>
      <c r="K57" s="1" t="s">
        <v>1266</v>
      </c>
      <c r="M57" s="1" t="s">
        <v>1144</v>
      </c>
      <c r="N57" s="94" t="s">
        <v>1159</v>
      </c>
      <c r="O57" s="94" t="s">
        <v>1151</v>
      </c>
      <c r="P57" s="7" t="s">
        <v>1201</v>
      </c>
      <c r="Q57" s="6" t="s">
        <v>1196</v>
      </c>
      <c r="R57" s="6" t="s">
        <v>1197</v>
      </c>
      <c r="S57" s="7" t="s">
        <v>1198</v>
      </c>
      <c r="T57" s="109" t="s">
        <v>1188</v>
      </c>
      <c r="U57" s="109" t="s">
        <v>1189</v>
      </c>
      <c r="V57" s="109" t="s">
        <v>1190</v>
      </c>
      <c r="W57" s="110" t="s">
        <v>1191</v>
      </c>
      <c r="X57" s="110" t="s">
        <v>1192</v>
      </c>
      <c r="Y57" s="110" t="s">
        <v>1193</v>
      </c>
      <c r="Z57" s="57">
        <v>1</v>
      </c>
      <c r="AA57">
        <v>2</v>
      </c>
      <c r="AB57">
        <v>3</v>
      </c>
      <c r="AC57" t="s">
        <v>1146</v>
      </c>
      <c r="AD57" t="s">
        <v>1147</v>
      </c>
      <c r="AE57" t="s">
        <v>1148</v>
      </c>
      <c r="AF57" t="s">
        <v>1146</v>
      </c>
      <c r="AG57" t="s">
        <v>1147</v>
      </c>
      <c r="AH57" t="s">
        <v>1148</v>
      </c>
      <c r="AI57" t="s">
        <v>1146</v>
      </c>
      <c r="AJ57" t="s">
        <v>1147</v>
      </c>
      <c r="AK57" t="s">
        <v>1148</v>
      </c>
      <c r="AL57" t="s">
        <v>1146</v>
      </c>
      <c r="AM57" t="s">
        <v>1147</v>
      </c>
      <c r="AN57" t="s">
        <v>1148</v>
      </c>
    </row>
    <row r="58" spans="1:40" x14ac:dyDescent="0.25">
      <c r="B58"/>
      <c r="C58"/>
      <c r="D58"/>
      <c r="M58" s="101">
        <f>IF(B55&lt;&gt;"",B55-WEEKDAY(B55,3),"")</f>
        <v>43829</v>
      </c>
      <c r="N58" s="99">
        <f>YEAR(M58)</f>
        <v>2019</v>
      </c>
      <c r="O58" s="8">
        <f>WEEKNUM(M58,21)</f>
        <v>1</v>
      </c>
      <c r="P58">
        <f ca="1">'Reference dates (hide)'!K43</f>
        <v>7.874015748031496E-3</v>
      </c>
      <c r="AI58" s="7"/>
      <c r="AL58" s="7"/>
    </row>
    <row r="59" spans="1:40" x14ac:dyDescent="0.25">
      <c r="B59"/>
      <c r="C59"/>
      <c r="D59"/>
      <c r="M59" s="101">
        <f>IF('Reference dates (hide)'!I44&lt;&gt;"",'Reference dates (hide)'!I44,"")</f>
        <v>43836</v>
      </c>
      <c r="N59" s="99">
        <f t="shared" ref="N59:N110" si="0">YEAR(M59)</f>
        <v>2020</v>
      </c>
      <c r="O59" s="8">
        <f t="shared" ref="O59:O110" si="1">WEEKNUM(M59,21)</f>
        <v>2</v>
      </c>
      <c r="P59">
        <f ca="1">'Reference dates (hide)'!K44</f>
        <v>1.968503937007874E-2</v>
      </c>
      <c r="AI59" s="7"/>
      <c r="AL59" s="7"/>
    </row>
    <row r="60" spans="1:40" x14ac:dyDescent="0.25">
      <c r="B60"/>
      <c r="C60"/>
      <c r="D60"/>
      <c r="M60" s="101">
        <f>IF('Reference dates (hide)'!I45&lt;&gt;"",'Reference dates (hide)'!I45,"")</f>
        <v>43843</v>
      </c>
      <c r="N60" s="99">
        <f t="shared" si="0"/>
        <v>2020</v>
      </c>
      <c r="O60" s="8">
        <f t="shared" si="1"/>
        <v>3</v>
      </c>
      <c r="P60">
        <f ca="1">'Reference dates (hide)'!K45</f>
        <v>1.968503937007874E-2</v>
      </c>
      <c r="AI60" s="7"/>
      <c r="AL60" s="7"/>
    </row>
    <row r="61" spans="1:40" x14ac:dyDescent="0.25">
      <c r="B61"/>
      <c r="C61"/>
      <c r="D61"/>
      <c r="M61" s="101">
        <f>IF('Reference dates (hide)'!I46&lt;&gt;"",'Reference dates (hide)'!I46,"")</f>
        <v>43850</v>
      </c>
      <c r="N61" s="99">
        <f t="shared" si="0"/>
        <v>2020</v>
      </c>
      <c r="O61" s="8">
        <f t="shared" si="1"/>
        <v>4</v>
      </c>
      <c r="P61">
        <f ca="1">'Reference dates (hide)'!K46</f>
        <v>1.968503937007874E-2</v>
      </c>
      <c r="AI61" s="7"/>
      <c r="AL61" s="7"/>
    </row>
    <row r="62" spans="1:40" x14ac:dyDescent="0.25">
      <c r="B62"/>
      <c r="C62"/>
      <c r="D62"/>
      <c r="M62" s="101">
        <f>IF('Reference dates (hide)'!I47&lt;&gt;"",'Reference dates (hide)'!I47,"")</f>
        <v>43857</v>
      </c>
      <c r="N62" s="99">
        <f t="shared" si="0"/>
        <v>2020</v>
      </c>
      <c r="O62" s="8">
        <f t="shared" si="1"/>
        <v>5</v>
      </c>
      <c r="P62">
        <f ca="1">'Reference dates (hide)'!K47</f>
        <v>1.968503937007874E-2</v>
      </c>
      <c r="AI62" s="7"/>
      <c r="AL62" s="7"/>
    </row>
    <row r="63" spans="1:40" x14ac:dyDescent="0.25">
      <c r="B63"/>
      <c r="C63"/>
      <c r="D63"/>
      <c r="M63" s="101">
        <f>IF('Reference dates (hide)'!I48&lt;&gt;"",'Reference dates (hide)'!I48,"")</f>
        <v>43864</v>
      </c>
      <c r="N63" s="99">
        <f t="shared" si="0"/>
        <v>2020</v>
      </c>
      <c r="O63" s="8">
        <f t="shared" si="1"/>
        <v>6</v>
      </c>
      <c r="P63">
        <f ca="1">'Reference dates (hide)'!K48</f>
        <v>1.968503937007874E-2</v>
      </c>
      <c r="AI63" s="7"/>
      <c r="AL63" s="7"/>
    </row>
    <row r="64" spans="1:40" x14ac:dyDescent="0.25">
      <c r="B64"/>
      <c r="C64"/>
      <c r="D64"/>
      <c r="M64" s="101">
        <f>IF('Reference dates (hide)'!I49&lt;&gt;"",'Reference dates (hide)'!I49,"")</f>
        <v>43871</v>
      </c>
      <c r="N64" s="99">
        <f t="shared" si="0"/>
        <v>2020</v>
      </c>
      <c r="O64" s="8">
        <f t="shared" si="1"/>
        <v>7</v>
      </c>
      <c r="P64">
        <f ca="1">'Reference dates (hide)'!K49</f>
        <v>1.968503937007874E-2</v>
      </c>
      <c r="AI64" s="7"/>
      <c r="AL64" s="7"/>
    </row>
    <row r="65" spans="2:38" x14ac:dyDescent="0.25">
      <c r="B65"/>
      <c r="C65"/>
      <c r="D65"/>
      <c r="M65" s="101">
        <f>IF('Reference dates (hide)'!I50&lt;&gt;"",'Reference dates (hide)'!I50,"")</f>
        <v>43878</v>
      </c>
      <c r="N65" s="99">
        <f t="shared" si="0"/>
        <v>2020</v>
      </c>
      <c r="O65" s="8">
        <f t="shared" si="1"/>
        <v>8</v>
      </c>
      <c r="P65">
        <f ca="1">'Reference dates (hide)'!K50</f>
        <v>1.968503937007874E-2</v>
      </c>
      <c r="AI65" s="7"/>
      <c r="AL65" s="7"/>
    </row>
    <row r="66" spans="2:38" x14ac:dyDescent="0.25">
      <c r="B66"/>
      <c r="C66"/>
      <c r="D66"/>
      <c r="M66" s="101">
        <f>IF('Reference dates (hide)'!I51&lt;&gt;"",'Reference dates (hide)'!I51,"")</f>
        <v>43885</v>
      </c>
      <c r="N66" s="99">
        <f t="shared" si="0"/>
        <v>2020</v>
      </c>
      <c r="O66" s="8">
        <f t="shared" si="1"/>
        <v>9</v>
      </c>
      <c r="P66">
        <f ca="1">'Reference dates (hide)'!K51</f>
        <v>1.968503937007874E-2</v>
      </c>
      <c r="AI66" s="7"/>
      <c r="AL66" s="7"/>
    </row>
    <row r="67" spans="2:38" x14ac:dyDescent="0.25">
      <c r="B67"/>
      <c r="C67"/>
      <c r="D67"/>
      <c r="M67" s="101">
        <f>IF('Reference dates (hide)'!I52&lt;&gt;"",'Reference dates (hide)'!I52,"")</f>
        <v>43892</v>
      </c>
      <c r="N67" s="99">
        <f t="shared" si="0"/>
        <v>2020</v>
      </c>
      <c r="O67" s="8">
        <f t="shared" si="1"/>
        <v>10</v>
      </c>
      <c r="P67">
        <f ca="1">'Reference dates (hide)'!K52</f>
        <v>1.968503937007874E-2</v>
      </c>
      <c r="AI67" s="7"/>
      <c r="AL67" s="7"/>
    </row>
    <row r="68" spans="2:38" x14ac:dyDescent="0.25">
      <c r="B68"/>
      <c r="C68"/>
      <c r="D68"/>
      <c r="M68" s="101">
        <f>IF('Reference dates (hide)'!I53&lt;&gt;"",'Reference dates (hide)'!I53,"")</f>
        <v>43899</v>
      </c>
      <c r="N68" s="99">
        <f t="shared" si="0"/>
        <v>2020</v>
      </c>
      <c r="O68" s="8">
        <f t="shared" si="1"/>
        <v>11</v>
      </c>
      <c r="P68">
        <f ca="1">'Reference dates (hide)'!K53</f>
        <v>1.968503937007874E-2</v>
      </c>
      <c r="AI68" s="7"/>
      <c r="AL68" s="7"/>
    </row>
    <row r="69" spans="2:38" x14ac:dyDescent="0.25">
      <c r="B69"/>
      <c r="C69"/>
      <c r="D69"/>
      <c r="M69" s="101">
        <f>IF('Reference dates (hide)'!I54&lt;&gt;"",'Reference dates (hide)'!I54,"")</f>
        <v>43906</v>
      </c>
      <c r="N69" s="99">
        <f t="shared" si="0"/>
        <v>2020</v>
      </c>
      <c r="O69" s="8">
        <f t="shared" si="1"/>
        <v>12</v>
      </c>
      <c r="P69">
        <f ca="1">'Reference dates (hide)'!K54</f>
        <v>1.968503937007874E-2</v>
      </c>
      <c r="AI69" s="7"/>
      <c r="AL69" s="7"/>
    </row>
    <row r="70" spans="2:38" x14ac:dyDescent="0.25">
      <c r="B70"/>
      <c r="C70"/>
      <c r="D70"/>
      <c r="M70" s="101">
        <f>IF('Reference dates (hide)'!I55&lt;&gt;"",'Reference dates (hide)'!I55,"")</f>
        <v>43913</v>
      </c>
      <c r="N70" s="99">
        <f t="shared" si="0"/>
        <v>2020</v>
      </c>
      <c r="O70" s="8">
        <f t="shared" si="1"/>
        <v>13</v>
      </c>
      <c r="P70">
        <f ca="1">'Reference dates (hide)'!K55</f>
        <v>1.968503937007874E-2</v>
      </c>
      <c r="AI70" s="7"/>
      <c r="AL70" s="7"/>
    </row>
    <row r="71" spans="2:38" x14ac:dyDescent="0.25">
      <c r="B71"/>
      <c r="C71"/>
      <c r="D71"/>
      <c r="M71" s="101">
        <f>IF('Reference dates (hide)'!I56&lt;&gt;"",'Reference dates (hide)'!I56,"")</f>
        <v>43920</v>
      </c>
      <c r="N71" s="99">
        <f t="shared" si="0"/>
        <v>2020</v>
      </c>
      <c r="O71" s="8">
        <f t="shared" si="1"/>
        <v>14</v>
      </c>
      <c r="P71">
        <f ca="1">'Reference dates (hide)'!K56</f>
        <v>1.968503937007874E-2</v>
      </c>
      <c r="AI71" s="7"/>
      <c r="AL71" s="7"/>
    </row>
    <row r="72" spans="2:38" x14ac:dyDescent="0.25">
      <c r="B72"/>
      <c r="C72"/>
      <c r="D72"/>
      <c r="M72" s="101">
        <f>IF('Reference dates (hide)'!I57&lt;&gt;"",'Reference dates (hide)'!I57,"")</f>
        <v>43927</v>
      </c>
      <c r="N72" s="99">
        <f t="shared" si="0"/>
        <v>2020</v>
      </c>
      <c r="O72" s="8">
        <f t="shared" si="1"/>
        <v>15</v>
      </c>
      <c r="P72">
        <f ca="1">'Reference dates (hide)'!K57</f>
        <v>1.5748031496062992E-2</v>
      </c>
      <c r="AI72" s="7"/>
      <c r="AL72" s="7"/>
    </row>
    <row r="73" spans="2:38" x14ac:dyDescent="0.25">
      <c r="B73"/>
      <c r="C73"/>
      <c r="D73"/>
      <c r="M73" s="101">
        <f>IF('Reference dates (hide)'!I58&lt;&gt;"",'Reference dates (hide)'!I58,"")</f>
        <v>43934</v>
      </c>
      <c r="N73" s="99">
        <f t="shared" si="0"/>
        <v>2020</v>
      </c>
      <c r="O73" s="8">
        <f t="shared" si="1"/>
        <v>16</v>
      </c>
      <c r="P73">
        <f ca="1">'Reference dates (hide)'!K58</f>
        <v>1.5748031496062992E-2</v>
      </c>
      <c r="AI73" s="7"/>
      <c r="AL73" s="7"/>
    </row>
    <row r="74" spans="2:38" x14ac:dyDescent="0.25">
      <c r="B74"/>
      <c r="C74"/>
      <c r="D74"/>
      <c r="M74" s="101">
        <f>IF('Reference dates (hide)'!I59&lt;&gt;"",'Reference dates (hide)'!I59,"")</f>
        <v>43941</v>
      </c>
      <c r="N74" s="99">
        <f t="shared" si="0"/>
        <v>2020</v>
      </c>
      <c r="O74" s="8">
        <f t="shared" si="1"/>
        <v>17</v>
      </c>
      <c r="P74">
        <f ca="1">'Reference dates (hide)'!K59</f>
        <v>1.968503937007874E-2</v>
      </c>
      <c r="AI74" s="7"/>
      <c r="AL74" s="7"/>
    </row>
    <row r="75" spans="2:38" x14ac:dyDescent="0.25">
      <c r="B75"/>
      <c r="C75"/>
      <c r="D75"/>
      <c r="M75" s="101">
        <f>IF('Reference dates (hide)'!I60&lt;&gt;"",'Reference dates (hide)'!I60,"")</f>
        <v>43948</v>
      </c>
      <c r="N75" s="99">
        <f t="shared" si="0"/>
        <v>2020</v>
      </c>
      <c r="O75" s="8">
        <f t="shared" si="1"/>
        <v>18</v>
      </c>
      <c r="P75">
        <f ca="1">'Reference dates (hide)'!K60</f>
        <v>1.968503937007874E-2</v>
      </c>
      <c r="AI75" s="7"/>
      <c r="AL75" s="7"/>
    </row>
    <row r="76" spans="2:38" x14ac:dyDescent="0.25">
      <c r="B76"/>
      <c r="C76"/>
      <c r="D76"/>
      <c r="M76" s="101">
        <f>IF('Reference dates (hide)'!I61&lt;&gt;"",'Reference dates (hide)'!I61,"")</f>
        <v>43955</v>
      </c>
      <c r="N76" s="99">
        <f t="shared" si="0"/>
        <v>2020</v>
      </c>
      <c r="O76" s="8">
        <f t="shared" si="1"/>
        <v>19</v>
      </c>
      <c r="P76">
        <f ca="1">'Reference dates (hide)'!K61</f>
        <v>1.5748031496062992E-2</v>
      </c>
      <c r="AI76" s="7"/>
      <c r="AL76" s="7"/>
    </row>
    <row r="77" spans="2:38" x14ac:dyDescent="0.25">
      <c r="B77"/>
      <c r="C77"/>
      <c r="D77"/>
      <c r="M77" s="101">
        <f>IF('Reference dates (hide)'!I62&lt;&gt;"",'Reference dates (hide)'!I62,"")</f>
        <v>43962</v>
      </c>
      <c r="N77" s="99">
        <f t="shared" si="0"/>
        <v>2020</v>
      </c>
      <c r="O77" s="8">
        <f t="shared" si="1"/>
        <v>20</v>
      </c>
      <c r="P77">
        <f ca="1">'Reference dates (hide)'!K62</f>
        <v>1.968503937007874E-2</v>
      </c>
      <c r="AI77" s="7"/>
      <c r="AL77" s="7"/>
    </row>
    <row r="78" spans="2:38" x14ac:dyDescent="0.25">
      <c r="B78"/>
      <c r="C78"/>
      <c r="D78"/>
      <c r="M78" s="101">
        <f>IF('Reference dates (hide)'!I63&lt;&gt;"",'Reference dates (hide)'!I63,"")</f>
        <v>43969</v>
      </c>
      <c r="N78" s="99">
        <f t="shared" si="0"/>
        <v>2020</v>
      </c>
      <c r="O78" s="8">
        <f t="shared" si="1"/>
        <v>21</v>
      </c>
      <c r="P78">
        <f ca="1">'Reference dates (hide)'!K63</f>
        <v>1.968503937007874E-2</v>
      </c>
      <c r="AI78" s="7"/>
      <c r="AL78" s="7"/>
    </row>
    <row r="79" spans="2:38" x14ac:dyDescent="0.25">
      <c r="B79"/>
      <c r="C79"/>
      <c r="D79"/>
      <c r="M79" s="101">
        <f>IF('Reference dates (hide)'!I64&lt;&gt;"",'Reference dates (hide)'!I64,"")</f>
        <v>43976</v>
      </c>
      <c r="N79" s="99">
        <f t="shared" si="0"/>
        <v>2020</v>
      </c>
      <c r="O79" s="8">
        <f t="shared" si="1"/>
        <v>22</v>
      </c>
      <c r="P79">
        <f ca="1">'Reference dates (hide)'!K64</f>
        <v>1.5748031496062992E-2</v>
      </c>
      <c r="AI79" s="7"/>
      <c r="AL79" s="7"/>
    </row>
    <row r="80" spans="2:38" x14ac:dyDescent="0.25">
      <c r="B80"/>
      <c r="C80"/>
      <c r="D80"/>
      <c r="M80" s="101">
        <f>IF('Reference dates (hide)'!I65&lt;&gt;"",'Reference dates (hide)'!I65,"")</f>
        <v>43983</v>
      </c>
      <c r="N80" s="99">
        <f t="shared" si="0"/>
        <v>2020</v>
      </c>
      <c r="O80" s="8">
        <f t="shared" si="1"/>
        <v>23</v>
      </c>
      <c r="P80">
        <f ca="1">'Reference dates (hide)'!K65</f>
        <v>1.968503937007874E-2</v>
      </c>
      <c r="AI80" s="7"/>
      <c r="AL80" s="7"/>
    </row>
    <row r="81" spans="2:38" x14ac:dyDescent="0.25">
      <c r="B81"/>
      <c r="C81"/>
      <c r="D81"/>
      <c r="M81" s="101">
        <f>IF('Reference dates (hide)'!I66&lt;&gt;"",'Reference dates (hide)'!I66,"")</f>
        <v>43990</v>
      </c>
      <c r="N81" s="99">
        <f t="shared" si="0"/>
        <v>2020</v>
      </c>
      <c r="O81" s="8">
        <f t="shared" si="1"/>
        <v>24</v>
      </c>
      <c r="P81">
        <f ca="1">'Reference dates (hide)'!K66</f>
        <v>1.968503937007874E-2</v>
      </c>
      <c r="AI81" s="7"/>
      <c r="AL81" s="7"/>
    </row>
    <row r="82" spans="2:38" x14ac:dyDescent="0.25">
      <c r="B82"/>
      <c r="C82"/>
      <c r="D82"/>
      <c r="M82" s="101">
        <f>IF('Reference dates (hide)'!I67&lt;&gt;"",'Reference dates (hide)'!I67,"")</f>
        <v>43997</v>
      </c>
      <c r="N82" s="99">
        <f t="shared" si="0"/>
        <v>2020</v>
      </c>
      <c r="O82" s="8">
        <f t="shared" si="1"/>
        <v>25</v>
      </c>
      <c r="P82">
        <f ca="1">'Reference dates (hide)'!K67</f>
        <v>1.968503937007874E-2</v>
      </c>
      <c r="AI82" s="7"/>
      <c r="AL82" s="7"/>
    </row>
    <row r="83" spans="2:38" x14ac:dyDescent="0.25">
      <c r="B83"/>
      <c r="C83"/>
      <c r="D83"/>
      <c r="M83" s="101">
        <f>IF('Reference dates (hide)'!I68&lt;&gt;"",'Reference dates (hide)'!I68,"")</f>
        <v>44004</v>
      </c>
      <c r="N83" s="99">
        <f t="shared" si="0"/>
        <v>2020</v>
      </c>
      <c r="O83" s="8">
        <f t="shared" si="1"/>
        <v>26</v>
      </c>
      <c r="P83">
        <f ca="1">'Reference dates (hide)'!K68</f>
        <v>1.968503937007874E-2</v>
      </c>
      <c r="AI83" s="7"/>
      <c r="AL83" s="7"/>
    </row>
    <row r="84" spans="2:38" x14ac:dyDescent="0.25">
      <c r="B84"/>
      <c r="C84"/>
      <c r="D84"/>
      <c r="M84" s="101">
        <f>IF('Reference dates (hide)'!I69&lt;&gt;"",'Reference dates (hide)'!I69,"")</f>
        <v>44011</v>
      </c>
      <c r="N84" s="99">
        <f t="shared" si="0"/>
        <v>2020</v>
      </c>
      <c r="O84" s="8">
        <f t="shared" si="1"/>
        <v>27</v>
      </c>
      <c r="P84">
        <f ca="1">'Reference dates (hide)'!K69</f>
        <v>1.968503937007874E-2</v>
      </c>
      <c r="AI84" s="7"/>
      <c r="AL84" s="7"/>
    </row>
    <row r="85" spans="2:38" x14ac:dyDescent="0.25">
      <c r="B85"/>
      <c r="C85"/>
      <c r="D85"/>
      <c r="M85" s="101">
        <f>IF('Reference dates (hide)'!I70&lt;&gt;"",'Reference dates (hide)'!I70,"")</f>
        <v>44018</v>
      </c>
      <c r="N85" s="99">
        <f t="shared" si="0"/>
        <v>2020</v>
      </c>
      <c r="O85" s="8">
        <f t="shared" si="1"/>
        <v>28</v>
      </c>
      <c r="P85">
        <f ca="1">'Reference dates (hide)'!K70</f>
        <v>1.968503937007874E-2</v>
      </c>
      <c r="AI85" s="7"/>
      <c r="AL85" s="7"/>
    </row>
    <row r="86" spans="2:38" x14ac:dyDescent="0.25">
      <c r="B86"/>
      <c r="C86"/>
      <c r="D86"/>
      <c r="M86" s="101">
        <f>IF('Reference dates (hide)'!I71&lt;&gt;"",'Reference dates (hide)'!I71,"")</f>
        <v>44025</v>
      </c>
      <c r="N86" s="99">
        <f t="shared" si="0"/>
        <v>2020</v>
      </c>
      <c r="O86" s="8">
        <f t="shared" si="1"/>
        <v>29</v>
      </c>
      <c r="P86">
        <f ca="1">'Reference dates (hide)'!K71</f>
        <v>1.968503937007874E-2</v>
      </c>
      <c r="AI86" s="7"/>
      <c r="AL86" s="7"/>
    </row>
    <row r="87" spans="2:38" x14ac:dyDescent="0.25">
      <c r="B87"/>
      <c r="C87"/>
      <c r="D87"/>
      <c r="M87" s="101">
        <f>IF('Reference dates (hide)'!I72&lt;&gt;"",'Reference dates (hide)'!I72,"")</f>
        <v>44032</v>
      </c>
      <c r="N87" s="99">
        <f t="shared" si="0"/>
        <v>2020</v>
      </c>
      <c r="O87" s="8">
        <f t="shared" si="1"/>
        <v>30</v>
      </c>
      <c r="P87">
        <f ca="1">'Reference dates (hide)'!K72</f>
        <v>1.968503937007874E-2</v>
      </c>
      <c r="AI87" s="7"/>
      <c r="AL87" s="7"/>
    </row>
    <row r="88" spans="2:38" x14ac:dyDescent="0.25">
      <c r="B88"/>
      <c r="C88"/>
      <c r="D88"/>
      <c r="M88" s="101">
        <f>IF('Reference dates (hide)'!I73&lt;&gt;"",'Reference dates (hide)'!I73,"")</f>
        <v>44039</v>
      </c>
      <c r="N88" s="99">
        <f t="shared" si="0"/>
        <v>2020</v>
      </c>
      <c r="O88" s="8">
        <f t="shared" si="1"/>
        <v>31</v>
      </c>
      <c r="P88">
        <f ca="1">'Reference dates (hide)'!K73</f>
        <v>1.968503937007874E-2</v>
      </c>
      <c r="AI88" s="7"/>
      <c r="AL88" s="7"/>
    </row>
    <row r="89" spans="2:38" x14ac:dyDescent="0.25">
      <c r="B89"/>
      <c r="C89"/>
      <c r="D89"/>
      <c r="M89" s="101">
        <f>IF('Reference dates (hide)'!I74&lt;&gt;"",'Reference dates (hide)'!I74,"")</f>
        <v>44046</v>
      </c>
      <c r="N89" s="99">
        <f t="shared" si="0"/>
        <v>2020</v>
      </c>
      <c r="O89" s="8">
        <f t="shared" si="1"/>
        <v>32</v>
      </c>
      <c r="P89">
        <f ca="1">'Reference dates (hide)'!K74</f>
        <v>1.968503937007874E-2</v>
      </c>
      <c r="AI89" s="7"/>
      <c r="AL89" s="7"/>
    </row>
    <row r="90" spans="2:38" x14ac:dyDescent="0.25">
      <c r="B90"/>
      <c r="C90"/>
      <c r="D90"/>
      <c r="M90" s="101">
        <f>IF('Reference dates (hide)'!I75&lt;&gt;"",'Reference dates (hide)'!I75,"")</f>
        <v>44053</v>
      </c>
      <c r="N90" s="99">
        <f t="shared" si="0"/>
        <v>2020</v>
      </c>
      <c r="O90" s="8">
        <f t="shared" si="1"/>
        <v>33</v>
      </c>
      <c r="P90">
        <f ca="1">'Reference dates (hide)'!K75</f>
        <v>1.968503937007874E-2</v>
      </c>
      <c r="AI90" s="7"/>
      <c r="AL90" s="7"/>
    </row>
    <row r="91" spans="2:38" x14ac:dyDescent="0.25">
      <c r="B91"/>
      <c r="C91"/>
      <c r="D91"/>
      <c r="M91" s="101">
        <f>IF('Reference dates (hide)'!I76&lt;&gt;"",'Reference dates (hide)'!I76,"")</f>
        <v>44060</v>
      </c>
      <c r="N91" s="99">
        <f t="shared" si="0"/>
        <v>2020</v>
      </c>
      <c r="O91" s="8">
        <f t="shared" si="1"/>
        <v>34</v>
      </c>
      <c r="P91">
        <f ca="1">'Reference dates (hide)'!K76</f>
        <v>1.968503937007874E-2</v>
      </c>
      <c r="AI91" s="7"/>
      <c r="AL91" s="7"/>
    </row>
    <row r="92" spans="2:38" x14ac:dyDescent="0.25">
      <c r="B92"/>
      <c r="C92"/>
      <c r="D92"/>
      <c r="M92" s="101">
        <f>IF('Reference dates (hide)'!I77&lt;&gt;"",'Reference dates (hide)'!I77,"")</f>
        <v>44067</v>
      </c>
      <c r="N92" s="99">
        <f t="shared" si="0"/>
        <v>2020</v>
      </c>
      <c r="O92" s="8">
        <f t="shared" si="1"/>
        <v>35</v>
      </c>
      <c r="P92">
        <f ca="1">'Reference dates (hide)'!K77</f>
        <v>1.968503937007874E-2</v>
      </c>
      <c r="AI92" s="7"/>
      <c r="AL92" s="7"/>
    </row>
    <row r="93" spans="2:38" x14ac:dyDescent="0.25">
      <c r="B93"/>
      <c r="C93"/>
      <c r="D93"/>
      <c r="M93" s="101">
        <f>IF('Reference dates (hide)'!I78&lt;&gt;"",'Reference dates (hide)'!I78,"")</f>
        <v>44074</v>
      </c>
      <c r="N93" s="99">
        <f t="shared" si="0"/>
        <v>2020</v>
      </c>
      <c r="O93" s="8">
        <f t="shared" si="1"/>
        <v>36</v>
      </c>
      <c r="P93">
        <f ca="1">'Reference dates (hide)'!K78</f>
        <v>1.5748031496062992E-2</v>
      </c>
      <c r="AI93" s="7"/>
      <c r="AL93" s="7"/>
    </row>
    <row r="94" spans="2:38" x14ac:dyDescent="0.25">
      <c r="B94"/>
      <c r="C94"/>
      <c r="D94"/>
      <c r="M94" s="101">
        <f>IF('Reference dates (hide)'!I79&lt;&gt;"",'Reference dates (hide)'!I79,"")</f>
        <v>44081</v>
      </c>
      <c r="N94" s="99">
        <f t="shared" si="0"/>
        <v>2020</v>
      </c>
      <c r="O94" s="8">
        <f t="shared" si="1"/>
        <v>37</v>
      </c>
      <c r="P94">
        <f ca="1">'Reference dates (hide)'!K79</f>
        <v>1.968503937007874E-2</v>
      </c>
      <c r="AI94" s="7"/>
      <c r="AL94" s="7"/>
    </row>
    <row r="95" spans="2:38" x14ac:dyDescent="0.25">
      <c r="B95"/>
      <c r="C95"/>
      <c r="D95"/>
      <c r="M95" s="101">
        <f>IF('Reference dates (hide)'!I80&lt;&gt;"",'Reference dates (hide)'!I80,"")</f>
        <v>44088</v>
      </c>
      <c r="N95" s="99">
        <f t="shared" si="0"/>
        <v>2020</v>
      </c>
      <c r="O95" s="8">
        <f t="shared" si="1"/>
        <v>38</v>
      </c>
      <c r="P95">
        <f ca="1">'Reference dates (hide)'!K80</f>
        <v>1.968503937007874E-2</v>
      </c>
      <c r="AI95" s="7"/>
      <c r="AL95" s="7"/>
    </row>
    <row r="96" spans="2:38" x14ac:dyDescent="0.25">
      <c r="B96"/>
      <c r="C96"/>
      <c r="D96"/>
      <c r="M96" s="101">
        <f>IF('Reference dates (hide)'!I81&lt;&gt;"",'Reference dates (hide)'!I81,"")</f>
        <v>44095</v>
      </c>
      <c r="N96" s="99">
        <f t="shared" si="0"/>
        <v>2020</v>
      </c>
      <c r="O96" s="8">
        <f t="shared" si="1"/>
        <v>39</v>
      </c>
      <c r="P96">
        <f ca="1">'Reference dates (hide)'!K81</f>
        <v>1.968503937007874E-2</v>
      </c>
      <c r="AI96" s="7"/>
      <c r="AL96" s="7"/>
    </row>
    <row r="97" spans="2:38" x14ac:dyDescent="0.25">
      <c r="B97"/>
      <c r="C97"/>
      <c r="D97"/>
      <c r="M97" s="101">
        <f>IF('Reference dates (hide)'!I82&lt;&gt;"",'Reference dates (hide)'!I82,"")</f>
        <v>44102</v>
      </c>
      <c r="N97" s="99">
        <f t="shared" si="0"/>
        <v>2020</v>
      </c>
      <c r="O97" s="8">
        <f t="shared" si="1"/>
        <v>40</v>
      </c>
      <c r="P97">
        <f ca="1">'Reference dates (hide)'!K82</f>
        <v>1.968503937007874E-2</v>
      </c>
      <c r="AI97" s="7"/>
      <c r="AL97" s="7"/>
    </row>
    <row r="98" spans="2:38" x14ac:dyDescent="0.25">
      <c r="B98"/>
      <c r="C98"/>
      <c r="D98"/>
      <c r="M98" s="101">
        <f>IF('Reference dates (hide)'!I83&lt;&gt;"",'Reference dates (hide)'!I83,"")</f>
        <v>44109</v>
      </c>
      <c r="N98" s="99">
        <f t="shared" si="0"/>
        <v>2020</v>
      </c>
      <c r="O98" s="8">
        <f t="shared" si="1"/>
        <v>41</v>
      </c>
      <c r="P98">
        <f ca="1">'Reference dates (hide)'!K83</f>
        <v>1.968503937007874E-2</v>
      </c>
      <c r="AI98" s="7"/>
      <c r="AL98" s="7"/>
    </row>
    <row r="99" spans="2:38" x14ac:dyDescent="0.25">
      <c r="B99"/>
      <c r="C99"/>
      <c r="D99"/>
      <c r="M99" s="101">
        <f>IF('Reference dates (hide)'!I84&lt;&gt;"",'Reference dates (hide)'!I84,"")</f>
        <v>44116</v>
      </c>
      <c r="N99" s="99">
        <f t="shared" si="0"/>
        <v>2020</v>
      </c>
      <c r="O99" s="8">
        <f t="shared" si="1"/>
        <v>42</v>
      </c>
      <c r="P99">
        <f ca="1">'Reference dates (hide)'!K84</f>
        <v>1.968503937007874E-2</v>
      </c>
      <c r="AI99" s="7"/>
      <c r="AL99" s="7"/>
    </row>
    <row r="100" spans="2:38" x14ac:dyDescent="0.25">
      <c r="B100"/>
      <c r="C100"/>
      <c r="D100"/>
      <c r="M100" s="101">
        <f>IF('Reference dates (hide)'!I85&lt;&gt;"",'Reference dates (hide)'!I85,"")</f>
        <v>44123</v>
      </c>
      <c r="N100" s="99">
        <f t="shared" si="0"/>
        <v>2020</v>
      </c>
      <c r="O100" s="8">
        <f t="shared" si="1"/>
        <v>43</v>
      </c>
      <c r="P100">
        <f ca="1">'Reference dates (hide)'!K85</f>
        <v>1.968503937007874E-2</v>
      </c>
      <c r="AI100" s="7"/>
      <c r="AL100" s="7"/>
    </row>
    <row r="101" spans="2:38" x14ac:dyDescent="0.25">
      <c r="B101"/>
      <c r="C101"/>
      <c r="D101"/>
      <c r="M101" s="101">
        <f>IF('Reference dates (hide)'!I86&lt;&gt;"",'Reference dates (hide)'!I86,"")</f>
        <v>44130</v>
      </c>
      <c r="N101" s="99">
        <f t="shared" si="0"/>
        <v>2020</v>
      </c>
      <c r="O101" s="8">
        <f t="shared" si="1"/>
        <v>44</v>
      </c>
      <c r="P101">
        <f ca="1">'Reference dates (hide)'!K86</f>
        <v>1.968503937007874E-2</v>
      </c>
      <c r="AI101" s="7"/>
      <c r="AL101" s="7"/>
    </row>
    <row r="102" spans="2:38" x14ac:dyDescent="0.25">
      <c r="B102"/>
      <c r="C102"/>
      <c r="D102"/>
      <c r="M102" s="101">
        <f>IF('Reference dates (hide)'!I87&lt;&gt;"",'Reference dates (hide)'!I87,"")</f>
        <v>44137</v>
      </c>
      <c r="N102" s="99">
        <f t="shared" si="0"/>
        <v>2020</v>
      </c>
      <c r="O102" s="8">
        <f t="shared" si="1"/>
        <v>45</v>
      </c>
      <c r="P102">
        <f ca="1">'Reference dates (hide)'!K87</f>
        <v>1.968503937007874E-2</v>
      </c>
      <c r="AI102" s="7"/>
      <c r="AL102" s="7"/>
    </row>
    <row r="103" spans="2:38" x14ac:dyDescent="0.25">
      <c r="B103"/>
      <c r="C103"/>
      <c r="D103"/>
      <c r="M103" s="101">
        <f>IF('Reference dates (hide)'!I88&lt;&gt;"",'Reference dates (hide)'!I88,"")</f>
        <v>44144</v>
      </c>
      <c r="N103" s="99">
        <f t="shared" si="0"/>
        <v>2020</v>
      </c>
      <c r="O103" s="8">
        <f t="shared" si="1"/>
        <v>46</v>
      </c>
      <c r="P103">
        <f ca="1">'Reference dates (hide)'!K88</f>
        <v>1.968503937007874E-2</v>
      </c>
      <c r="AI103" s="7"/>
      <c r="AL103" s="7"/>
    </row>
    <row r="104" spans="2:38" x14ac:dyDescent="0.25">
      <c r="B104"/>
      <c r="C104"/>
      <c r="D104"/>
      <c r="M104" s="101">
        <f>IF('Reference dates (hide)'!I89&lt;&gt;"",'Reference dates (hide)'!I89,"")</f>
        <v>44151</v>
      </c>
      <c r="N104" s="99">
        <f t="shared" si="0"/>
        <v>2020</v>
      </c>
      <c r="O104" s="8">
        <f t="shared" si="1"/>
        <v>47</v>
      </c>
      <c r="P104">
        <f ca="1">'Reference dates (hide)'!K89</f>
        <v>1.968503937007874E-2</v>
      </c>
      <c r="AI104" s="7"/>
      <c r="AL104" s="7"/>
    </row>
    <row r="105" spans="2:38" x14ac:dyDescent="0.25">
      <c r="B105"/>
      <c r="C105"/>
      <c r="D105"/>
      <c r="M105" s="101">
        <f>IF('Reference dates (hide)'!I90&lt;&gt;"",'Reference dates (hide)'!I90,"")</f>
        <v>44158</v>
      </c>
      <c r="N105" s="99">
        <f t="shared" si="0"/>
        <v>2020</v>
      </c>
      <c r="O105" s="8">
        <f t="shared" si="1"/>
        <v>48</v>
      </c>
      <c r="P105">
        <f ca="1">'Reference dates (hide)'!K90</f>
        <v>1.968503937007874E-2</v>
      </c>
      <c r="AI105" s="7"/>
      <c r="AL105" s="7"/>
    </row>
    <row r="106" spans="2:38" x14ac:dyDescent="0.25">
      <c r="B106"/>
      <c r="C106"/>
      <c r="D106"/>
      <c r="M106" s="101">
        <f>IF('Reference dates (hide)'!I91&lt;&gt;"",'Reference dates (hide)'!I91,"")</f>
        <v>44165</v>
      </c>
      <c r="N106" s="99">
        <f t="shared" si="0"/>
        <v>2020</v>
      </c>
      <c r="O106" s="8">
        <f t="shared" si="1"/>
        <v>49</v>
      </c>
      <c r="P106">
        <f ca="1">'Reference dates (hide)'!K91</f>
        <v>1.968503937007874E-2</v>
      </c>
      <c r="AI106" s="7"/>
      <c r="AL106" s="7"/>
    </row>
    <row r="107" spans="2:38" x14ac:dyDescent="0.25">
      <c r="B107"/>
      <c r="C107"/>
      <c r="D107"/>
      <c r="M107" s="101">
        <f>IF('Reference dates (hide)'!I92&lt;&gt;"",'Reference dates (hide)'!I92,"")</f>
        <v>44172</v>
      </c>
      <c r="N107" s="99">
        <f t="shared" si="0"/>
        <v>2020</v>
      </c>
      <c r="O107" s="8">
        <f t="shared" si="1"/>
        <v>50</v>
      </c>
      <c r="P107">
        <f ca="1">'Reference dates (hide)'!K92</f>
        <v>1.968503937007874E-2</v>
      </c>
      <c r="AI107" s="7"/>
      <c r="AL107" s="7"/>
    </row>
    <row r="108" spans="2:38" x14ac:dyDescent="0.25">
      <c r="B108"/>
      <c r="C108"/>
      <c r="D108"/>
      <c r="M108" s="101">
        <f>IF('Reference dates (hide)'!I93&lt;&gt;"",'Reference dates (hide)'!I93,"")</f>
        <v>44179</v>
      </c>
      <c r="N108" s="99">
        <f t="shared" si="0"/>
        <v>2020</v>
      </c>
      <c r="O108" s="8">
        <f t="shared" si="1"/>
        <v>51</v>
      </c>
      <c r="P108">
        <f ca="1">'Reference dates (hide)'!K93</f>
        <v>1.968503937007874E-2</v>
      </c>
      <c r="AI108" s="7"/>
      <c r="AL108" s="7"/>
    </row>
    <row r="109" spans="2:38" x14ac:dyDescent="0.25">
      <c r="B109"/>
      <c r="C109"/>
      <c r="D109"/>
      <c r="M109" s="101">
        <f>IF('Reference dates (hide)'!I94&lt;&gt;"",'Reference dates (hide)'!I94,"")</f>
        <v>44186</v>
      </c>
      <c r="N109" s="99">
        <f t="shared" si="0"/>
        <v>2020</v>
      </c>
      <c r="O109" s="8">
        <f t="shared" si="1"/>
        <v>52</v>
      </c>
      <c r="P109">
        <f ca="1">'Reference dates (hide)'!K94</f>
        <v>1.5748031496062992E-2</v>
      </c>
      <c r="AI109" s="7"/>
      <c r="AL109" s="7"/>
    </row>
    <row r="110" spans="2:38" x14ac:dyDescent="0.25">
      <c r="B110"/>
      <c r="C110"/>
      <c r="D110"/>
      <c r="M110" s="101">
        <f>IF('Reference dates (hide)'!I95&lt;&gt;"",'Reference dates (hide)'!I95,"")</f>
        <v>44193</v>
      </c>
      <c r="N110" s="99">
        <f t="shared" si="0"/>
        <v>2020</v>
      </c>
      <c r="O110" s="8">
        <f t="shared" si="1"/>
        <v>53</v>
      </c>
      <c r="P110">
        <f ca="1">'Reference dates (hide)'!K95</f>
        <v>1.1811023622047244E-2</v>
      </c>
      <c r="AI110" s="7"/>
      <c r="AL110" s="7"/>
    </row>
    <row r="111" spans="2:38" x14ac:dyDescent="0.25">
      <c r="M111">
        <f>MAX(T58:AB110)</f>
        <v>0</v>
      </c>
    </row>
    <row r="118" spans="26:26" x14ac:dyDescent="0.25">
      <c r="Z118" s="121"/>
    </row>
    <row r="119" spans="26:26" x14ac:dyDescent="0.25">
      <c r="Z119" s="121"/>
    </row>
  </sheetData>
  <dataConsolidate link="1"/>
  <pageMargins left="0.7" right="0.7" top="0.75" bottom="0.75" header="0.3" footer="0.3"/>
  <pageSetup paperSize="9" orientation="portrait"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
  <dimension ref="A1:AN119"/>
  <sheetViews>
    <sheetView zoomScaleNormal="100" workbookViewId="0">
      <selection activeCell="A22" sqref="A22"/>
    </sheetView>
  </sheetViews>
  <sheetFormatPr defaultRowHeight="13.8" x14ac:dyDescent="0.25"/>
  <cols>
    <col min="1" max="1" width="27.69921875" bestFit="1" customWidth="1"/>
    <col min="2" max="2" width="16.8984375" style="6" customWidth="1"/>
    <col min="3" max="3" width="12.09765625" style="6" bestFit="1" customWidth="1"/>
    <col min="4" max="4" width="16.09765625" style="7" bestFit="1" customWidth="1"/>
    <col min="11" max="11" width="10.8984375" bestFit="1" customWidth="1"/>
    <col min="13" max="13" width="16.69921875" bestFit="1" customWidth="1"/>
    <col min="17" max="17" width="6.8984375" customWidth="1"/>
    <col min="26" max="26" width="11.8984375" bestFit="1" customWidth="1"/>
  </cols>
  <sheetData>
    <row r="1" spans="1:19" x14ac:dyDescent="0.25">
      <c r="A1" t="s">
        <v>1062</v>
      </c>
      <c r="B1" s="6" t="s">
        <v>931</v>
      </c>
      <c r="C1" s="6" t="b">
        <f>ISERR(SUM(B25:M49))</f>
        <v>0</v>
      </c>
    </row>
    <row r="2" spans="1:19" x14ac:dyDescent="0.25">
      <c r="A2" t="s">
        <v>932</v>
      </c>
      <c r="B2"/>
    </row>
    <row r="3" spans="1:19" x14ac:dyDescent="0.25">
      <c r="B3" s="6" t="s">
        <v>933</v>
      </c>
      <c r="F3" t="s">
        <v>934</v>
      </c>
      <c r="J3" t="s">
        <v>935</v>
      </c>
    </row>
    <row r="4" spans="1:19" x14ac:dyDescent="0.25">
      <c r="B4" s="6" t="s">
        <v>936</v>
      </c>
      <c r="C4" s="6" t="s">
        <v>937</v>
      </c>
      <c r="D4" s="7" t="s">
        <v>1208</v>
      </c>
      <c r="F4" s="6" t="s">
        <v>936</v>
      </c>
      <c r="G4" s="6" t="s">
        <v>937</v>
      </c>
      <c r="H4" s="7" t="s">
        <v>1024</v>
      </c>
      <c r="J4" s="6" t="s">
        <v>936</v>
      </c>
      <c r="K4" s="6" t="s">
        <v>937</v>
      </c>
      <c r="L4" s="7" t="s">
        <v>1024</v>
      </c>
    </row>
    <row r="5" spans="1:19" x14ac:dyDescent="0.25">
      <c r="A5" t="s">
        <v>5</v>
      </c>
      <c r="B5"/>
      <c r="C5" s="6">
        <f>B5*52</f>
        <v>0</v>
      </c>
      <c r="D5" s="7">
        <f>IF($B$20=1,C5/$B$21,C5)</f>
        <v>0</v>
      </c>
      <c r="G5">
        <f>F5*$D5</f>
        <v>0</v>
      </c>
      <c r="H5">
        <f>G5/52</f>
        <v>0</v>
      </c>
      <c r="K5">
        <f>J5*D5</f>
        <v>0</v>
      </c>
      <c r="L5">
        <f>K5/52</f>
        <v>0</v>
      </c>
    </row>
    <row r="6" spans="1:19" x14ac:dyDescent="0.25">
      <c r="A6" t="s">
        <v>1209</v>
      </c>
      <c r="B6"/>
      <c r="D6" s="7">
        <f>IF($B$20=1,B6/$B$21,B6)</f>
        <v>0</v>
      </c>
      <c r="G6">
        <f>F6*52</f>
        <v>0</v>
      </c>
      <c r="H6">
        <f>F6</f>
        <v>0</v>
      </c>
      <c r="K6">
        <f>J6*52</f>
        <v>0</v>
      </c>
      <c r="L6">
        <f>J6</f>
        <v>0</v>
      </c>
    </row>
    <row r="7" spans="1:19" x14ac:dyDescent="0.25">
      <c r="A7" t="s">
        <v>1210</v>
      </c>
      <c r="B7"/>
      <c r="D7" s="7">
        <f>IF($B$20=1,B7/$B$21,B7)</f>
        <v>0</v>
      </c>
    </row>
    <row r="8" spans="1:19" x14ac:dyDescent="0.25">
      <c r="A8" t="s">
        <v>9</v>
      </c>
      <c r="B8"/>
    </row>
    <row r="9" spans="1:19" x14ac:dyDescent="0.25">
      <c r="A9" t="s">
        <v>964</v>
      </c>
      <c r="B9"/>
    </row>
    <row r="10" spans="1:19" x14ac:dyDescent="0.25">
      <c r="A10" t="s">
        <v>940</v>
      </c>
      <c r="B10"/>
      <c r="C10" s="6">
        <f xml:space="preserve"> NASR*NASRDC</f>
        <v>0</v>
      </c>
      <c r="G10">
        <f xml:space="preserve"> FU_NASR*FU_NASRDC</f>
        <v>0</v>
      </c>
      <c r="K10">
        <f xml:space="preserve"> IP_NASR*IP_NASRDC</f>
        <v>0</v>
      </c>
    </row>
    <row r="11" spans="1:19" x14ac:dyDescent="0.25">
      <c r="A11" t="s">
        <v>965</v>
      </c>
      <c r="B11"/>
    </row>
    <row r="12" spans="1:19" x14ac:dyDescent="0.25">
      <c r="A12" t="s">
        <v>859</v>
      </c>
      <c r="B12"/>
    </row>
    <row r="13" spans="1:19" x14ac:dyDescent="0.25">
      <c r="A13" t="s">
        <v>941</v>
      </c>
      <c r="B13"/>
      <c r="D13" s="7">
        <f>IF($B$20=1,B13/$B$21,B13)</f>
        <v>0</v>
      </c>
      <c r="G13">
        <f>F13*52</f>
        <v>0</v>
      </c>
      <c r="H13" s="7">
        <f>IF($B$20=1,F13/$B$21,F13)</f>
        <v>0</v>
      </c>
      <c r="I13" s="7"/>
      <c r="K13">
        <f>J13*52</f>
        <v>0</v>
      </c>
      <c r="L13" s="7">
        <f>IF($B$20=1,J13/$B$21,J13)</f>
        <v>0</v>
      </c>
    </row>
    <row r="14" spans="1:19" x14ac:dyDescent="0.25">
      <c r="A14" t="s">
        <v>1275</v>
      </c>
      <c r="B14"/>
      <c r="H14" s="7"/>
      <c r="I14" s="7"/>
      <c r="L14" s="7"/>
    </row>
    <row r="15" spans="1:19" x14ac:dyDescent="0.25">
      <c r="A15" t="s">
        <v>1278</v>
      </c>
      <c r="B15"/>
      <c r="D15" s="7">
        <f>IF($B$20=1,B15/$B$21,B15)</f>
        <v>0</v>
      </c>
      <c r="H15" s="7">
        <f>IF($B$20=1,F15/$B$21,F15)</f>
        <v>0</v>
      </c>
      <c r="I15" s="7"/>
      <c r="L15" s="7">
        <f>IF($B$20=1,J15/$B$21,J15)</f>
        <v>0</v>
      </c>
    </row>
    <row r="16" spans="1:19" x14ac:dyDescent="0.25">
      <c r="A16" t="s">
        <v>861</v>
      </c>
      <c r="B16"/>
      <c r="D16" s="7">
        <f>IF($B$20=1,B16/$B$21,B16)</f>
        <v>0</v>
      </c>
      <c r="H16" s="7">
        <f>IF($B$20=1,F16/$B$21,F16)</f>
        <v>0</v>
      </c>
      <c r="I16" s="7"/>
      <c r="L16" s="7">
        <f>IF($B$20=1,J16/$B$21,J16)</f>
        <v>0</v>
      </c>
      <c r="S16" t="s">
        <v>1213</v>
      </c>
    </row>
    <row r="17" spans="1:20" x14ac:dyDescent="0.25">
      <c r="A17" t="s">
        <v>7</v>
      </c>
      <c r="B17"/>
      <c r="D17" s="7">
        <f>IF($B$20=1,B17/$B$21,B17)</f>
        <v>0</v>
      </c>
      <c r="H17" s="7">
        <f>IF($B$20=1,F17/$B$21,F17)</f>
        <v>0</v>
      </c>
      <c r="I17" s="7"/>
      <c r="L17" s="7">
        <f>IF($B$20=1,J17/$B$21,J17)</f>
        <v>0</v>
      </c>
      <c r="S17" t="s">
        <v>1159</v>
      </c>
    </row>
    <row r="18" spans="1:20" x14ac:dyDescent="0.25">
      <c r="A18" t="s">
        <v>1081</v>
      </c>
      <c r="B18"/>
      <c r="S18" t="s">
        <v>1187</v>
      </c>
    </row>
    <row r="19" spans="1:20" x14ac:dyDescent="0.25">
      <c r="A19" t="s">
        <v>863</v>
      </c>
      <c r="B19"/>
      <c r="S19" t="s">
        <v>1214</v>
      </c>
      <c r="T19" t="s">
        <v>1215</v>
      </c>
    </row>
    <row r="20" spans="1:20" x14ac:dyDescent="0.25">
      <c r="A20" t="s">
        <v>942</v>
      </c>
      <c r="B20"/>
      <c r="R20" t="s">
        <v>947</v>
      </c>
      <c r="S20" t="s">
        <v>984</v>
      </c>
      <c r="T20" t="s">
        <v>1216</v>
      </c>
    </row>
    <row r="21" spans="1:20" x14ac:dyDescent="0.25">
      <c r="A21" t="s">
        <v>943</v>
      </c>
      <c r="B21"/>
      <c r="D21" s="12"/>
      <c r="S21" t="s">
        <v>985</v>
      </c>
      <c r="T21" t="s">
        <v>1216</v>
      </c>
    </row>
    <row r="22" spans="1:20" x14ac:dyDescent="0.25">
      <c r="A22" t="s">
        <v>1400</v>
      </c>
      <c r="B22" s="6">
        <v>1</v>
      </c>
      <c r="H22">
        <f>F22*$D$5</f>
        <v>0</v>
      </c>
      <c r="L22">
        <f>J22*$D$5</f>
        <v>0</v>
      </c>
      <c r="S22" t="s">
        <v>1217</v>
      </c>
      <c r="T22" t="s">
        <v>1218</v>
      </c>
    </row>
    <row r="23" spans="1:20" x14ac:dyDescent="0.25">
      <c r="S23" t="s">
        <v>1219</v>
      </c>
      <c r="T23" t="s">
        <v>1218</v>
      </c>
    </row>
    <row r="24" spans="1:20" x14ac:dyDescent="0.25">
      <c r="D24" s="7" t="s">
        <v>1023</v>
      </c>
      <c r="F24" t="s">
        <v>901</v>
      </c>
      <c r="G24" t="s">
        <v>1022</v>
      </c>
      <c r="H24" s="7" t="s">
        <v>1023</v>
      </c>
      <c r="J24" t="s">
        <v>901</v>
      </c>
      <c r="K24" t="s">
        <v>1022</v>
      </c>
      <c r="L24" s="7" t="s">
        <v>1023</v>
      </c>
      <c r="R24" t="s">
        <v>941</v>
      </c>
      <c r="S24" t="s">
        <v>25</v>
      </c>
      <c r="T24" t="s">
        <v>1218</v>
      </c>
    </row>
    <row r="25" spans="1:20" x14ac:dyDescent="0.25">
      <c r="A25" t="s">
        <v>944</v>
      </c>
      <c r="B25" s="6">
        <f>IF(B17-B16&lt;0,0,B17-B16)</f>
        <v>0</v>
      </c>
      <c r="D25" s="6">
        <f>IF(D17-D16&lt;0,0,D17-D16)</f>
        <v>0</v>
      </c>
      <c r="F25" s="8">
        <f>F5*B25</f>
        <v>0</v>
      </c>
      <c r="G25" s="8">
        <v>0</v>
      </c>
      <c r="H25" s="8"/>
      <c r="I25" s="8"/>
      <c r="J25" s="8">
        <f>(J5*B25)+IF(J17-J16&lt;=0,0,J17-J16)</f>
        <v>0</v>
      </c>
      <c r="K25" s="8">
        <f>IF(J17-J16&lt;=0,0,J17-J16)</f>
        <v>0</v>
      </c>
      <c r="L25" s="8"/>
      <c r="S25" t="s">
        <v>1220</v>
      </c>
      <c r="T25" t="s">
        <v>1218</v>
      </c>
    </row>
    <row r="26" spans="1:20" x14ac:dyDescent="0.25">
      <c r="A26" t="s">
        <v>945</v>
      </c>
      <c r="B26" s="9">
        <f>(1-NASLDC)*NASL</f>
        <v>0</v>
      </c>
      <c r="D26" s="11"/>
      <c r="F26" s="8">
        <f>FU_NASL*(1-FU_NASLDC)</f>
        <v>0</v>
      </c>
      <c r="G26" s="8"/>
      <c r="H26" s="8"/>
      <c r="I26" s="8"/>
      <c r="J26" s="8">
        <f>IP_NASL*(1-IP_NASLDC)</f>
        <v>0</v>
      </c>
      <c r="K26" s="8"/>
      <c r="L26" s="8"/>
      <c r="R26" t="s">
        <v>1221</v>
      </c>
      <c r="S26" t="s">
        <v>25</v>
      </c>
      <c r="T26" t="s">
        <v>1218</v>
      </c>
    </row>
    <row r="27" spans="1:20" x14ac:dyDescent="0.25">
      <c r="A27" t="s">
        <v>946</v>
      </c>
      <c r="B27" s="6">
        <f>NASR*(1-NASRDC)</f>
        <v>0</v>
      </c>
      <c r="D27" s="11"/>
      <c r="F27" s="8">
        <f>FU_NASR*(1-FU_NASRDC)</f>
        <v>0</v>
      </c>
      <c r="G27" s="8"/>
      <c r="H27" s="8"/>
      <c r="I27" s="8"/>
      <c r="J27" s="8">
        <f>IP_NASR*(1-IP_NASRDC)</f>
        <v>0</v>
      </c>
      <c r="K27" s="8"/>
      <c r="L27" s="8"/>
      <c r="S27" t="s">
        <v>1220</v>
      </c>
      <c r="T27" t="s">
        <v>1218</v>
      </c>
    </row>
    <row r="28" spans="1:20" x14ac:dyDescent="0.25">
      <c r="D28" s="11"/>
      <c r="F28" s="8"/>
      <c r="G28" s="8"/>
      <c r="H28" s="8"/>
      <c r="I28" s="8"/>
      <c r="J28" s="8"/>
      <c r="K28" s="8"/>
      <c r="L28" s="8"/>
      <c r="R28" t="s">
        <v>1093</v>
      </c>
      <c r="S28" t="s">
        <v>984</v>
      </c>
      <c r="T28" t="s">
        <v>1216</v>
      </c>
    </row>
    <row r="29" spans="1:20" ht="14.4" x14ac:dyDescent="0.3">
      <c r="A29" s="10" t="s">
        <v>947</v>
      </c>
      <c r="D29" s="12"/>
      <c r="F29" s="8"/>
      <c r="G29" s="8"/>
      <c r="H29" s="8"/>
      <c r="I29" s="8"/>
      <c r="J29" s="8"/>
      <c r="K29" s="8"/>
      <c r="L29" s="8"/>
      <c r="S29" t="s">
        <v>985</v>
      </c>
      <c r="T29" t="s">
        <v>1216</v>
      </c>
    </row>
    <row r="30" spans="1:20" x14ac:dyDescent="0.25">
      <c r="A30" t="s">
        <v>948</v>
      </c>
      <c r="B30" s="6">
        <f>B5*(NASL+NASR+ROTT)</f>
        <v>0</v>
      </c>
      <c r="F30" s="8">
        <f>H5*(F8+F10+F18)</f>
        <v>0</v>
      </c>
      <c r="G30" s="8"/>
      <c r="H30" s="8"/>
      <c r="I30" s="8"/>
      <c r="J30" s="8">
        <f>L5*(J8+J10+J18)</f>
        <v>0</v>
      </c>
      <c r="K30" s="8"/>
      <c r="L30" s="8"/>
    </row>
    <row r="31" spans="1:20" x14ac:dyDescent="0.25">
      <c r="A31" t="s">
        <v>949</v>
      </c>
      <c r="B31" s="6">
        <f>B5*(B26+B27)</f>
        <v>0</v>
      </c>
      <c r="F31" s="8">
        <f>H5*(F26+F27)</f>
        <v>0</v>
      </c>
      <c r="G31" s="8"/>
      <c r="H31" s="8"/>
      <c r="I31" s="8"/>
      <c r="J31" s="8">
        <f>L5*(J26+J27)</f>
        <v>0</v>
      </c>
      <c r="K31" s="8"/>
      <c r="L31" s="8"/>
      <c r="R31" t="s">
        <v>941</v>
      </c>
      <c r="S31" t="s">
        <v>25</v>
      </c>
      <c r="T31" t="s">
        <v>1218</v>
      </c>
    </row>
    <row r="32" spans="1:20" x14ac:dyDescent="0.25">
      <c r="F32" s="8"/>
      <c r="G32" s="8"/>
      <c r="H32" s="8"/>
      <c r="I32" s="8"/>
      <c r="J32" s="8"/>
      <c r="K32" s="8"/>
      <c r="L32" s="8"/>
      <c r="S32" t="s">
        <v>1220</v>
      </c>
      <c r="T32" t="s">
        <v>1218</v>
      </c>
    </row>
    <row r="33" spans="1:20" x14ac:dyDescent="0.25">
      <c r="A33" t="s">
        <v>950</v>
      </c>
      <c r="B33" s="6">
        <f>B31-B30+B5</f>
        <v>0</v>
      </c>
      <c r="C33" s="6">
        <f>B33*52</f>
        <v>0</v>
      </c>
      <c r="D33" s="7">
        <f>IF($B$20=1,C33/$B$21,C33)</f>
        <v>0</v>
      </c>
      <c r="F33" s="8">
        <f>(F31-F30+H5)/52</f>
        <v>0</v>
      </c>
      <c r="G33" s="8"/>
      <c r="H33" s="8">
        <f>(F31-F30+H5)*52</f>
        <v>0</v>
      </c>
      <c r="I33" s="8"/>
      <c r="J33" s="8">
        <f>(J31-J30+L5)/52</f>
        <v>0</v>
      </c>
      <c r="K33" s="8"/>
      <c r="L33" s="8">
        <f>(J31-J30+L5)*52</f>
        <v>0</v>
      </c>
      <c r="R33" t="s">
        <v>1221</v>
      </c>
      <c r="S33" t="s">
        <v>25</v>
      </c>
      <c r="T33" t="s">
        <v>1218</v>
      </c>
    </row>
    <row r="34" spans="1:20" x14ac:dyDescent="0.25">
      <c r="F34" s="8"/>
      <c r="G34" s="8"/>
      <c r="H34" s="8"/>
      <c r="I34" s="8"/>
      <c r="J34" s="8"/>
      <c r="K34" s="8"/>
      <c r="L34" s="8"/>
      <c r="S34" t="s">
        <v>1220</v>
      </c>
      <c r="T34" t="s">
        <v>1218</v>
      </c>
    </row>
    <row r="35" spans="1:20" x14ac:dyDescent="0.25">
      <c r="F35" s="8"/>
      <c r="G35" s="8"/>
      <c r="H35" s="8"/>
      <c r="I35" s="8"/>
      <c r="J35" s="8"/>
      <c r="K35" s="8"/>
      <c r="L35" s="8"/>
      <c r="R35" t="s">
        <v>1093</v>
      </c>
      <c r="S35" t="s">
        <v>984</v>
      </c>
      <c r="T35" t="s">
        <v>1218</v>
      </c>
    </row>
    <row r="36" spans="1:20" ht="14.4" x14ac:dyDescent="0.3">
      <c r="A36" s="10" t="s">
        <v>951</v>
      </c>
      <c r="F36" s="8"/>
      <c r="G36" s="8"/>
      <c r="H36" s="8"/>
      <c r="I36" s="8"/>
      <c r="J36" s="8"/>
      <c r="K36" s="8"/>
      <c r="L36" s="8"/>
      <c r="S36" t="s">
        <v>985</v>
      </c>
      <c r="T36" t="s">
        <v>1218</v>
      </c>
    </row>
    <row r="37" spans="1:20" x14ac:dyDescent="0.25">
      <c r="A37" t="s">
        <v>948</v>
      </c>
      <c r="B37" s="6">
        <f>B13*(B8+B10+B18)</f>
        <v>0</v>
      </c>
      <c r="F37" s="8">
        <f>F13*(F8+F10)</f>
        <v>0</v>
      </c>
      <c r="G37" s="8"/>
      <c r="H37" s="8"/>
      <c r="I37" s="8"/>
      <c r="J37" s="8">
        <f>J13*(J8+J10)</f>
        <v>0</v>
      </c>
      <c r="K37" s="8"/>
      <c r="L37" s="8"/>
      <c r="S37" t="s">
        <v>1222</v>
      </c>
      <c r="T37" t="s">
        <v>1218</v>
      </c>
    </row>
    <row r="38" spans="1:20" x14ac:dyDescent="0.25">
      <c r="A38" t="s">
        <v>949</v>
      </c>
      <c r="B38" s="6">
        <f>B13*(B26+B27)</f>
        <v>0</v>
      </c>
      <c r="F38" s="8">
        <f>F13*(F26+F27)</f>
        <v>0</v>
      </c>
      <c r="G38" s="8"/>
      <c r="H38" s="8"/>
      <c r="I38" s="8"/>
      <c r="J38" s="8">
        <f>J13*(J26+J27)</f>
        <v>0</v>
      </c>
      <c r="K38" s="8"/>
      <c r="L38" s="8"/>
    </row>
    <row r="39" spans="1:20" x14ac:dyDescent="0.25">
      <c r="F39" s="8"/>
      <c r="G39" s="8"/>
      <c r="H39" s="8"/>
      <c r="I39" s="8"/>
      <c r="J39" s="8"/>
      <c r="K39" s="8"/>
      <c r="L39" s="8"/>
      <c r="R39" t="s">
        <v>1203</v>
      </c>
      <c r="T39" t="s">
        <v>1218</v>
      </c>
    </row>
    <row r="40" spans="1:20" x14ac:dyDescent="0.25">
      <c r="A40" t="s">
        <v>952</v>
      </c>
      <c r="B40" s="6">
        <f>B13+B38-B37</f>
        <v>0</v>
      </c>
      <c r="C40" s="6">
        <f>B40*52</f>
        <v>0</v>
      </c>
      <c r="D40" s="7">
        <f>IF($B$20=1,C40/$B$21,C40)</f>
        <v>0</v>
      </c>
      <c r="F40" s="8">
        <f>F13+F38-F37</f>
        <v>0</v>
      </c>
      <c r="G40" s="8"/>
      <c r="H40" s="8">
        <f>F40*52</f>
        <v>0</v>
      </c>
      <c r="I40" s="8"/>
      <c r="J40" s="8">
        <f>J13+J38-J37</f>
        <v>0</v>
      </c>
      <c r="K40" s="8"/>
      <c r="L40" s="8">
        <f>J40*52</f>
        <v>0</v>
      </c>
    </row>
    <row r="41" spans="1:20" x14ac:dyDescent="0.25">
      <c r="F41" s="8"/>
      <c r="G41" s="8"/>
      <c r="H41" s="8"/>
      <c r="I41" s="8"/>
      <c r="J41" s="8"/>
      <c r="K41" s="8"/>
      <c r="L41" s="8"/>
    </row>
    <row r="42" spans="1:20" x14ac:dyDescent="0.25">
      <c r="F42" s="8"/>
      <c r="G42" s="8"/>
      <c r="H42" s="8"/>
      <c r="I42" s="8"/>
      <c r="J42" s="8"/>
      <c r="K42" s="8"/>
      <c r="L42" s="8"/>
    </row>
    <row r="43" spans="1:20" ht="14.4" x14ac:dyDescent="0.3">
      <c r="A43" s="10" t="s">
        <v>953</v>
      </c>
      <c r="F43" s="8"/>
      <c r="G43" s="8"/>
      <c r="H43" s="8"/>
      <c r="I43" s="8"/>
      <c r="J43" s="8"/>
      <c r="K43" s="8"/>
      <c r="L43" s="8"/>
    </row>
    <row r="44" spans="1:20" x14ac:dyDescent="0.25">
      <c r="A44" t="s">
        <v>954</v>
      </c>
      <c r="F44" s="8"/>
      <c r="G44" s="8"/>
      <c r="H44" s="8"/>
      <c r="I44" s="8"/>
      <c r="J44" s="8"/>
      <c r="K44" s="8"/>
      <c r="L44" s="8"/>
    </row>
    <row r="45" spans="1:20" x14ac:dyDescent="0.25">
      <c r="F45" s="8"/>
      <c r="G45" s="8"/>
      <c r="H45" s="8"/>
      <c r="I45" s="8"/>
      <c r="J45" s="8"/>
      <c r="K45" s="8"/>
      <c r="L45" s="8"/>
    </row>
    <row r="46" spans="1:20" x14ac:dyDescent="0.25">
      <c r="A46" t="s">
        <v>948</v>
      </c>
      <c r="B46" s="6">
        <f>B25*(B8+B10+B18)</f>
        <v>0</v>
      </c>
      <c r="F46" s="8">
        <f>F25*(F8+F10)</f>
        <v>0</v>
      </c>
      <c r="G46" s="8"/>
      <c r="H46" s="8"/>
      <c r="I46" s="8"/>
      <c r="J46" s="8">
        <f>J25*(J8+J10)</f>
        <v>0</v>
      </c>
      <c r="K46" s="8"/>
      <c r="L46" s="8"/>
    </row>
    <row r="47" spans="1:20" x14ac:dyDescent="0.25">
      <c r="A47" t="s">
        <v>949</v>
      </c>
      <c r="B47" s="6">
        <f>B25*(B26+B27)</f>
        <v>0</v>
      </c>
      <c r="F47" s="8">
        <f>F25*(F26+F27)</f>
        <v>0</v>
      </c>
      <c r="G47" s="8"/>
      <c r="H47" s="8"/>
      <c r="I47" s="8"/>
      <c r="J47" s="8">
        <f>J25*(J26+J27)</f>
        <v>0</v>
      </c>
      <c r="K47" s="8"/>
      <c r="L47" s="8"/>
    </row>
    <row r="48" spans="1:20" x14ac:dyDescent="0.25">
      <c r="F48" s="8" t="s">
        <v>901</v>
      </c>
      <c r="G48" s="8"/>
      <c r="H48" s="8"/>
      <c r="I48" s="8"/>
      <c r="J48" s="8" t="s">
        <v>901</v>
      </c>
      <c r="K48" s="8"/>
      <c r="L48" s="8"/>
    </row>
    <row r="49" spans="1:40" x14ac:dyDescent="0.25">
      <c r="A49" t="s">
        <v>955</v>
      </c>
      <c r="B49" s="6">
        <f>B25+B47-B46</f>
        <v>0</v>
      </c>
      <c r="C49" s="6">
        <f>B49</f>
        <v>0</v>
      </c>
      <c r="D49" s="7">
        <f>IF($B$20=1,C49/$B$21,C49)</f>
        <v>0</v>
      </c>
      <c r="F49" s="8">
        <f>F25+F47-F46</f>
        <v>0</v>
      </c>
      <c r="G49" s="8">
        <f>F49</f>
        <v>0</v>
      </c>
      <c r="H49" s="8">
        <f>IF($F$20=1,G49/$F$21,G49)</f>
        <v>0</v>
      </c>
      <c r="I49" s="8"/>
      <c r="J49" s="8">
        <f>J25+J47-J46</f>
        <v>0</v>
      </c>
      <c r="K49" s="8">
        <f>J49</f>
        <v>0</v>
      </c>
      <c r="L49" s="8">
        <f>IF($J$20=1,K49/$J$21,K49)</f>
        <v>0</v>
      </c>
    </row>
    <row r="50" spans="1:40" x14ac:dyDescent="0.25">
      <c r="F50" t="s">
        <v>1022</v>
      </c>
      <c r="J50" t="s">
        <v>1022</v>
      </c>
    </row>
    <row r="51" spans="1:40" x14ac:dyDescent="0.25">
      <c r="F51">
        <v>0</v>
      </c>
      <c r="H51">
        <v>0</v>
      </c>
      <c r="J51">
        <f>K25*(1+(J8*(1-J9))-(J8+J10+J18)+(J10*(1-J11)))</f>
        <v>0</v>
      </c>
      <c r="K51">
        <f>J51</f>
        <v>0</v>
      </c>
      <c r="L51" s="8">
        <f>IF($J$20=1,K51/$J$21,K51)</f>
        <v>0</v>
      </c>
    </row>
    <row r="52" spans="1:40" x14ac:dyDescent="0.25">
      <c r="A52" s="1" t="s">
        <v>956</v>
      </c>
      <c r="M52" t="s">
        <v>1016</v>
      </c>
      <c r="Z52">
        <f>1-(NASL*NASLDC)</f>
        <v>1</v>
      </c>
    </row>
    <row r="53" spans="1:40" x14ac:dyDescent="0.25">
      <c r="A53" t="s">
        <v>1141</v>
      </c>
      <c r="B53" s="92" t="s">
        <v>1142</v>
      </c>
    </row>
    <row r="54" spans="1:40" x14ac:dyDescent="0.25">
      <c r="M54" t="s">
        <v>1207</v>
      </c>
      <c r="Q54">
        <f>(1-ROTT)*(1-(NASR*NASRDC) - (NASL*NASLDC))</f>
        <v>1</v>
      </c>
      <c r="R54">
        <f>(1-FU_ROTT)*(1-(FU_NASR*FU_NASRDC) - (FU_NASL*FU_NASLDC))</f>
        <v>1</v>
      </c>
      <c r="S54">
        <f>(1-IP_ROTT)*(1-(IP_NASR*IP_NASRDC) - (IP_NASL*IP_NASLDC))</f>
        <v>1</v>
      </c>
      <c r="Z54">
        <f>1-(NASL*NASLDC)</f>
        <v>1</v>
      </c>
      <c r="AA54">
        <f>1-(FU_NASL*FU_NASLDC)</f>
        <v>1</v>
      </c>
      <c r="AB54">
        <f>1-(IP_NASL*IP_NASLDC)</f>
        <v>1</v>
      </c>
    </row>
    <row r="55" spans="1:40" x14ac:dyDescent="0.25">
      <c r="A55" t="s">
        <v>1143</v>
      </c>
      <c r="B55" s="100">
        <f>'Reference dates (hide)'!B40</f>
        <v>43831</v>
      </c>
      <c r="C55" s="6" t="s">
        <v>1150</v>
      </c>
      <c r="G55" s="7"/>
      <c r="Q55" s="116" t="str">
        <f ca="1">IF(OFFSET('Control Sheet'!E$45,MID($A$1,6,LEN($A$1)-6),0,1,1)=0,"",OFFSET('Control Sheet'!E$45,MID($A$1,6,LEN($A$1)-6),0,1,1))</f>
        <v/>
      </c>
      <c r="R55" s="116" t="str">
        <f ca="1">IF(OFFSET('Control Sheet'!F$45,MID($A$1,6,LEN($A$1)-6),0,1,1)=0,"",OFFSET('Control Sheet'!F$45,MID($A$1,6,LEN($A$1)-6),0,1,1))</f>
        <v/>
      </c>
      <c r="S55" s="116" t="str">
        <f ca="1">IF(OFFSET('Control Sheet'!G$45,MID($A$1,6,LEN($A$1)-6),0,1,1)=0,"",OFFSET('Control Sheet'!G$45,MID($A$1,6,LEN($A$1)-6),0,1,1))</f>
        <v/>
      </c>
      <c r="T55" s="118" t="str">
        <f ca="1">IF(OFFSET('Control Sheet'!I$45,MID($A$1,6,LEN($A$1)-6),0,1,1)="0","",OFFSET('Control Sheet'!I$45,MID($A$1,6,LEN($A$1)-6),0,1,1))</f>
        <v/>
      </c>
      <c r="U55" s="118" t="str">
        <f ca="1">IF(OFFSET('Control Sheet'!J$45,MID($A$1,6,LEN($A$1)-6),0,1,1)=0,"",OFFSET('Control Sheet'!J$45,MID($A$1,6,LEN($A$1)-6),0,1,1))</f>
        <v/>
      </c>
      <c r="V55" s="118" t="str">
        <f ca="1">IF(OFFSET('Control Sheet'!K$45,MID($A$1,6,LEN($A$1)-6),0,1,1)=0,"",OFFSET('Control Sheet'!K$45,MID($A$1,6,LEN($A$1)-6),0,1,1))</f>
        <v/>
      </c>
    </row>
    <row r="56" spans="1:40" ht="14.4" x14ac:dyDescent="0.3">
      <c r="A56" t="s">
        <v>1202</v>
      </c>
      <c r="C56" s="6" t="s">
        <v>1204</v>
      </c>
      <c r="D56" s="6"/>
      <c r="E56" s="7"/>
      <c r="F56" t="s">
        <v>860</v>
      </c>
      <c r="N56" s="6"/>
      <c r="O56" s="6"/>
      <c r="P56" s="7"/>
      <c r="Q56" s="93" t="s">
        <v>1236</v>
      </c>
      <c r="R56" s="6"/>
      <c r="T56" s="107" t="s">
        <v>1093</v>
      </c>
      <c r="Z56" s="93" t="s">
        <v>1212</v>
      </c>
      <c r="AC56" s="108" t="s">
        <v>1276</v>
      </c>
      <c r="AF56" s="1" t="s">
        <v>1306</v>
      </c>
      <c r="AI56" t="s">
        <v>1275</v>
      </c>
      <c r="AL56" t="s">
        <v>1312</v>
      </c>
    </row>
    <row r="57" spans="1:40" x14ac:dyDescent="0.25">
      <c r="A57" s="1" t="s">
        <v>1144</v>
      </c>
      <c r="B57" s="1" t="s">
        <v>1151</v>
      </c>
      <c r="C57" s="94" t="s">
        <v>1203</v>
      </c>
      <c r="D57" s="94" t="s">
        <v>984</v>
      </c>
      <c r="E57" s="111" t="s">
        <v>985</v>
      </c>
      <c r="F57" s="1" t="s">
        <v>951</v>
      </c>
      <c r="G57" s="1" t="s">
        <v>1205</v>
      </c>
      <c r="H57" s="1" t="s">
        <v>1206</v>
      </c>
      <c r="I57" s="1" t="s">
        <v>25</v>
      </c>
      <c r="J57" s="1" t="s">
        <v>1220</v>
      </c>
      <c r="K57" s="1" t="s">
        <v>1266</v>
      </c>
      <c r="M57" s="1" t="s">
        <v>1144</v>
      </c>
      <c r="N57" s="94" t="s">
        <v>1159</v>
      </c>
      <c r="O57" s="94" t="s">
        <v>1151</v>
      </c>
      <c r="P57" s="7" t="s">
        <v>1201</v>
      </c>
      <c r="Q57" s="6" t="s">
        <v>1196</v>
      </c>
      <c r="R57" s="6" t="s">
        <v>1197</v>
      </c>
      <c r="S57" s="7" t="s">
        <v>1198</v>
      </c>
      <c r="T57" s="109" t="s">
        <v>1188</v>
      </c>
      <c r="U57" s="109" t="s">
        <v>1189</v>
      </c>
      <c r="V57" s="109" t="s">
        <v>1190</v>
      </c>
      <c r="W57" s="110" t="s">
        <v>1191</v>
      </c>
      <c r="X57" s="110" t="s">
        <v>1192</v>
      </c>
      <c r="Y57" s="110" t="s">
        <v>1193</v>
      </c>
      <c r="Z57" s="57">
        <v>1</v>
      </c>
      <c r="AA57">
        <v>2</v>
      </c>
      <c r="AB57">
        <v>3</v>
      </c>
      <c r="AC57" t="s">
        <v>1146</v>
      </c>
      <c r="AD57" t="s">
        <v>1147</v>
      </c>
      <c r="AE57" t="s">
        <v>1148</v>
      </c>
      <c r="AF57" t="s">
        <v>1146</v>
      </c>
      <c r="AG57" t="s">
        <v>1147</v>
      </c>
      <c r="AH57" t="s">
        <v>1148</v>
      </c>
      <c r="AI57" t="s">
        <v>1146</v>
      </c>
      <c r="AJ57" t="s">
        <v>1147</v>
      </c>
      <c r="AK57" t="s">
        <v>1148</v>
      </c>
      <c r="AL57" t="s">
        <v>1146</v>
      </c>
      <c r="AM57" t="s">
        <v>1147</v>
      </c>
      <c r="AN57" t="s">
        <v>1148</v>
      </c>
    </row>
    <row r="58" spans="1:40" x14ac:dyDescent="0.25">
      <c r="B58"/>
      <c r="C58"/>
      <c r="D58"/>
      <c r="M58" s="101">
        <f>IF(B55&lt;&gt;"",B55-WEEKDAY(B55,3),"")</f>
        <v>43829</v>
      </c>
      <c r="N58" s="99">
        <f>YEAR(M58)</f>
        <v>2019</v>
      </c>
      <c r="O58" s="8">
        <f>WEEKNUM(M58,21)</f>
        <v>1</v>
      </c>
      <c r="P58">
        <f ca="1">'Reference dates (hide)'!K43</f>
        <v>7.874015748031496E-3</v>
      </c>
      <c r="AI58" s="7"/>
      <c r="AJ58" s="7"/>
      <c r="AK58" s="7"/>
      <c r="AL58" s="7"/>
      <c r="AM58" s="7"/>
      <c r="AN58" s="7"/>
    </row>
    <row r="59" spans="1:40" x14ac:dyDescent="0.25">
      <c r="B59"/>
      <c r="C59"/>
      <c r="D59"/>
      <c r="M59" s="101">
        <f>IF('Reference dates (hide)'!I44&lt;&gt;"",'Reference dates (hide)'!I44,"")</f>
        <v>43836</v>
      </c>
      <c r="N59" s="99">
        <f t="shared" ref="N59:N110" si="0">YEAR(M59)</f>
        <v>2020</v>
      </c>
      <c r="O59" s="8">
        <f t="shared" ref="O59:O110" si="1">WEEKNUM(M59,21)</f>
        <v>2</v>
      </c>
      <c r="P59">
        <f ca="1">'Reference dates (hide)'!K44</f>
        <v>1.968503937007874E-2</v>
      </c>
      <c r="AI59" s="7"/>
      <c r="AJ59" s="7"/>
      <c r="AK59" s="7"/>
      <c r="AL59" s="7"/>
      <c r="AM59" s="7"/>
      <c r="AN59" s="7"/>
    </row>
    <row r="60" spans="1:40" x14ac:dyDescent="0.25">
      <c r="B60"/>
      <c r="C60"/>
      <c r="D60"/>
      <c r="M60" s="101">
        <f>IF('Reference dates (hide)'!I45&lt;&gt;"",'Reference dates (hide)'!I45,"")</f>
        <v>43843</v>
      </c>
      <c r="N60" s="99">
        <f t="shared" si="0"/>
        <v>2020</v>
      </c>
      <c r="O60" s="8">
        <f t="shared" si="1"/>
        <v>3</v>
      </c>
      <c r="P60">
        <f ca="1">'Reference dates (hide)'!K45</f>
        <v>1.968503937007874E-2</v>
      </c>
      <c r="AI60" s="7"/>
      <c r="AJ60" s="7"/>
      <c r="AK60" s="7"/>
      <c r="AL60" s="7"/>
      <c r="AM60" s="7"/>
      <c r="AN60" s="7"/>
    </row>
    <row r="61" spans="1:40" x14ac:dyDescent="0.25">
      <c r="B61"/>
      <c r="C61"/>
      <c r="D61"/>
      <c r="M61" s="101">
        <f>IF('Reference dates (hide)'!I46&lt;&gt;"",'Reference dates (hide)'!I46,"")</f>
        <v>43850</v>
      </c>
      <c r="N61" s="99">
        <f t="shared" si="0"/>
        <v>2020</v>
      </c>
      <c r="O61" s="8">
        <f t="shared" si="1"/>
        <v>4</v>
      </c>
      <c r="P61">
        <f ca="1">'Reference dates (hide)'!K46</f>
        <v>1.968503937007874E-2</v>
      </c>
      <c r="AI61" s="7"/>
      <c r="AJ61" s="7"/>
      <c r="AK61" s="7"/>
      <c r="AL61" s="7"/>
      <c r="AM61" s="7"/>
      <c r="AN61" s="7"/>
    </row>
    <row r="62" spans="1:40" x14ac:dyDescent="0.25">
      <c r="B62"/>
      <c r="C62"/>
      <c r="D62"/>
      <c r="M62" s="101">
        <f>IF('Reference dates (hide)'!I47&lt;&gt;"",'Reference dates (hide)'!I47,"")</f>
        <v>43857</v>
      </c>
      <c r="N62" s="99">
        <f t="shared" si="0"/>
        <v>2020</v>
      </c>
      <c r="O62" s="8">
        <f t="shared" si="1"/>
        <v>5</v>
      </c>
      <c r="P62">
        <f ca="1">'Reference dates (hide)'!K47</f>
        <v>1.968503937007874E-2</v>
      </c>
      <c r="AI62" s="7"/>
      <c r="AJ62" s="7"/>
      <c r="AK62" s="7"/>
      <c r="AL62" s="7"/>
      <c r="AM62" s="7"/>
      <c r="AN62" s="7"/>
    </row>
    <row r="63" spans="1:40" x14ac:dyDescent="0.25">
      <c r="B63"/>
      <c r="C63"/>
      <c r="D63"/>
      <c r="M63" s="101">
        <f>IF('Reference dates (hide)'!I48&lt;&gt;"",'Reference dates (hide)'!I48,"")</f>
        <v>43864</v>
      </c>
      <c r="N63" s="99">
        <f t="shared" si="0"/>
        <v>2020</v>
      </c>
      <c r="O63" s="8">
        <f t="shared" si="1"/>
        <v>6</v>
      </c>
      <c r="P63">
        <f ca="1">'Reference dates (hide)'!K48</f>
        <v>1.968503937007874E-2</v>
      </c>
      <c r="AI63" s="7"/>
      <c r="AJ63" s="7"/>
      <c r="AK63" s="7"/>
      <c r="AL63" s="7"/>
      <c r="AM63" s="7"/>
      <c r="AN63" s="7"/>
    </row>
    <row r="64" spans="1:40" x14ac:dyDescent="0.25">
      <c r="B64"/>
      <c r="C64"/>
      <c r="D64"/>
      <c r="M64" s="101">
        <f>IF('Reference dates (hide)'!I49&lt;&gt;"",'Reference dates (hide)'!I49,"")</f>
        <v>43871</v>
      </c>
      <c r="N64" s="99">
        <f t="shared" si="0"/>
        <v>2020</v>
      </c>
      <c r="O64" s="8">
        <f t="shared" si="1"/>
        <v>7</v>
      </c>
      <c r="P64">
        <f ca="1">'Reference dates (hide)'!K49</f>
        <v>1.968503937007874E-2</v>
      </c>
      <c r="AI64" s="7"/>
      <c r="AJ64" s="7"/>
      <c r="AK64" s="7"/>
      <c r="AL64" s="7"/>
      <c r="AM64" s="7"/>
      <c r="AN64" s="7"/>
    </row>
    <row r="65" spans="2:40" x14ac:dyDescent="0.25">
      <c r="B65"/>
      <c r="C65"/>
      <c r="D65"/>
      <c r="M65" s="101">
        <f>IF('Reference dates (hide)'!I50&lt;&gt;"",'Reference dates (hide)'!I50,"")</f>
        <v>43878</v>
      </c>
      <c r="N65" s="99">
        <f t="shared" si="0"/>
        <v>2020</v>
      </c>
      <c r="O65" s="8">
        <f t="shared" si="1"/>
        <v>8</v>
      </c>
      <c r="P65">
        <f ca="1">'Reference dates (hide)'!K50</f>
        <v>1.968503937007874E-2</v>
      </c>
      <c r="AI65" s="7"/>
      <c r="AJ65" s="7"/>
      <c r="AK65" s="7"/>
      <c r="AL65" s="7"/>
      <c r="AM65" s="7"/>
      <c r="AN65" s="7"/>
    </row>
    <row r="66" spans="2:40" x14ac:dyDescent="0.25">
      <c r="B66"/>
      <c r="C66"/>
      <c r="D66"/>
      <c r="M66" s="101">
        <f>IF('Reference dates (hide)'!I51&lt;&gt;"",'Reference dates (hide)'!I51,"")</f>
        <v>43885</v>
      </c>
      <c r="N66" s="99">
        <f t="shared" si="0"/>
        <v>2020</v>
      </c>
      <c r="O66" s="8">
        <f t="shared" si="1"/>
        <v>9</v>
      </c>
      <c r="P66">
        <f ca="1">'Reference dates (hide)'!K51</f>
        <v>1.968503937007874E-2</v>
      </c>
      <c r="AI66" s="7"/>
      <c r="AJ66" s="7"/>
      <c r="AK66" s="7"/>
      <c r="AL66" s="7"/>
      <c r="AM66" s="7"/>
      <c r="AN66" s="7"/>
    </row>
    <row r="67" spans="2:40" x14ac:dyDescent="0.25">
      <c r="B67"/>
      <c r="C67"/>
      <c r="D67"/>
      <c r="M67" s="101">
        <f>IF('Reference dates (hide)'!I52&lt;&gt;"",'Reference dates (hide)'!I52,"")</f>
        <v>43892</v>
      </c>
      <c r="N67" s="99">
        <f t="shared" si="0"/>
        <v>2020</v>
      </c>
      <c r="O67" s="8">
        <f t="shared" si="1"/>
        <v>10</v>
      </c>
      <c r="P67">
        <f ca="1">'Reference dates (hide)'!K52</f>
        <v>1.968503937007874E-2</v>
      </c>
      <c r="AI67" s="7"/>
      <c r="AJ67" s="7"/>
      <c r="AK67" s="7"/>
      <c r="AL67" s="7"/>
      <c r="AM67" s="7"/>
      <c r="AN67" s="7"/>
    </row>
    <row r="68" spans="2:40" x14ac:dyDescent="0.25">
      <c r="B68"/>
      <c r="C68"/>
      <c r="D68"/>
      <c r="M68" s="101">
        <f>IF('Reference dates (hide)'!I53&lt;&gt;"",'Reference dates (hide)'!I53,"")</f>
        <v>43899</v>
      </c>
      <c r="N68" s="99">
        <f t="shared" si="0"/>
        <v>2020</v>
      </c>
      <c r="O68" s="8">
        <f t="shared" si="1"/>
        <v>11</v>
      </c>
      <c r="P68">
        <f ca="1">'Reference dates (hide)'!K53</f>
        <v>1.968503937007874E-2</v>
      </c>
      <c r="AI68" s="7"/>
      <c r="AJ68" s="7"/>
      <c r="AK68" s="7"/>
      <c r="AL68" s="7"/>
      <c r="AM68" s="7"/>
      <c r="AN68" s="7"/>
    </row>
    <row r="69" spans="2:40" x14ac:dyDescent="0.25">
      <c r="B69"/>
      <c r="C69"/>
      <c r="D69"/>
      <c r="M69" s="101">
        <f>IF('Reference dates (hide)'!I54&lt;&gt;"",'Reference dates (hide)'!I54,"")</f>
        <v>43906</v>
      </c>
      <c r="N69" s="99">
        <f t="shared" si="0"/>
        <v>2020</v>
      </c>
      <c r="O69" s="8">
        <f t="shared" si="1"/>
        <v>12</v>
      </c>
      <c r="P69">
        <f ca="1">'Reference dates (hide)'!K54</f>
        <v>1.968503937007874E-2</v>
      </c>
      <c r="AI69" s="7"/>
      <c r="AJ69" s="7"/>
      <c r="AK69" s="7"/>
      <c r="AL69" s="7"/>
      <c r="AM69" s="7"/>
      <c r="AN69" s="7"/>
    </row>
    <row r="70" spans="2:40" x14ac:dyDescent="0.25">
      <c r="B70"/>
      <c r="C70"/>
      <c r="D70"/>
      <c r="M70" s="101">
        <f>IF('Reference dates (hide)'!I55&lt;&gt;"",'Reference dates (hide)'!I55,"")</f>
        <v>43913</v>
      </c>
      <c r="N70" s="99">
        <f t="shared" si="0"/>
        <v>2020</v>
      </c>
      <c r="O70" s="8">
        <f t="shared" si="1"/>
        <v>13</v>
      </c>
      <c r="P70">
        <f ca="1">'Reference dates (hide)'!K55</f>
        <v>1.968503937007874E-2</v>
      </c>
      <c r="AI70" s="7"/>
      <c r="AJ70" s="7"/>
      <c r="AK70" s="7"/>
      <c r="AL70" s="7"/>
      <c r="AM70" s="7"/>
      <c r="AN70" s="7"/>
    </row>
    <row r="71" spans="2:40" x14ac:dyDescent="0.25">
      <c r="B71"/>
      <c r="C71"/>
      <c r="D71"/>
      <c r="M71" s="101">
        <f>IF('Reference dates (hide)'!I56&lt;&gt;"",'Reference dates (hide)'!I56,"")</f>
        <v>43920</v>
      </c>
      <c r="N71" s="99">
        <f t="shared" si="0"/>
        <v>2020</v>
      </c>
      <c r="O71" s="8">
        <f t="shared" si="1"/>
        <v>14</v>
      </c>
      <c r="P71">
        <f ca="1">'Reference dates (hide)'!K56</f>
        <v>1.968503937007874E-2</v>
      </c>
      <c r="AI71" s="7"/>
      <c r="AJ71" s="7"/>
      <c r="AK71" s="7"/>
      <c r="AL71" s="7"/>
      <c r="AM71" s="7"/>
      <c r="AN71" s="7"/>
    </row>
    <row r="72" spans="2:40" x14ac:dyDescent="0.25">
      <c r="B72"/>
      <c r="C72"/>
      <c r="D72"/>
      <c r="M72" s="101">
        <f>IF('Reference dates (hide)'!I57&lt;&gt;"",'Reference dates (hide)'!I57,"")</f>
        <v>43927</v>
      </c>
      <c r="N72" s="99">
        <f t="shared" si="0"/>
        <v>2020</v>
      </c>
      <c r="O72" s="8">
        <f t="shared" si="1"/>
        <v>15</v>
      </c>
      <c r="P72">
        <f ca="1">'Reference dates (hide)'!K57</f>
        <v>1.5748031496062992E-2</v>
      </c>
      <c r="AI72" s="7"/>
      <c r="AJ72" s="7"/>
      <c r="AK72" s="7"/>
      <c r="AL72" s="7"/>
      <c r="AM72" s="7"/>
      <c r="AN72" s="7"/>
    </row>
    <row r="73" spans="2:40" x14ac:dyDescent="0.25">
      <c r="B73"/>
      <c r="C73"/>
      <c r="D73"/>
      <c r="M73" s="101">
        <f>IF('Reference dates (hide)'!I58&lt;&gt;"",'Reference dates (hide)'!I58,"")</f>
        <v>43934</v>
      </c>
      <c r="N73" s="99">
        <f t="shared" si="0"/>
        <v>2020</v>
      </c>
      <c r="O73" s="8">
        <f t="shared" si="1"/>
        <v>16</v>
      </c>
      <c r="P73">
        <f ca="1">'Reference dates (hide)'!K58</f>
        <v>1.5748031496062992E-2</v>
      </c>
      <c r="AI73" s="7"/>
      <c r="AJ73" s="7"/>
      <c r="AK73" s="7"/>
      <c r="AL73" s="7"/>
      <c r="AM73" s="7"/>
      <c r="AN73" s="7"/>
    </row>
    <row r="74" spans="2:40" x14ac:dyDescent="0.25">
      <c r="B74"/>
      <c r="C74"/>
      <c r="D74"/>
      <c r="M74" s="101">
        <f>IF('Reference dates (hide)'!I59&lt;&gt;"",'Reference dates (hide)'!I59,"")</f>
        <v>43941</v>
      </c>
      <c r="N74" s="99">
        <f t="shared" si="0"/>
        <v>2020</v>
      </c>
      <c r="O74" s="8">
        <f t="shared" si="1"/>
        <v>17</v>
      </c>
      <c r="P74">
        <f ca="1">'Reference dates (hide)'!K59</f>
        <v>1.968503937007874E-2</v>
      </c>
      <c r="AI74" s="7"/>
      <c r="AJ74" s="7"/>
      <c r="AK74" s="7"/>
      <c r="AL74" s="7"/>
      <c r="AM74" s="7"/>
      <c r="AN74" s="7"/>
    </row>
    <row r="75" spans="2:40" x14ac:dyDescent="0.25">
      <c r="B75"/>
      <c r="C75"/>
      <c r="D75"/>
      <c r="M75" s="101">
        <f>IF('Reference dates (hide)'!I60&lt;&gt;"",'Reference dates (hide)'!I60,"")</f>
        <v>43948</v>
      </c>
      <c r="N75" s="99">
        <f t="shared" si="0"/>
        <v>2020</v>
      </c>
      <c r="O75" s="8">
        <f t="shared" si="1"/>
        <v>18</v>
      </c>
      <c r="P75">
        <f ca="1">'Reference dates (hide)'!K60</f>
        <v>1.968503937007874E-2</v>
      </c>
      <c r="AI75" s="7"/>
      <c r="AJ75" s="7"/>
      <c r="AK75" s="7"/>
      <c r="AL75" s="7"/>
      <c r="AM75" s="7"/>
      <c r="AN75" s="7"/>
    </row>
    <row r="76" spans="2:40" x14ac:dyDescent="0.25">
      <c r="B76"/>
      <c r="C76"/>
      <c r="D76"/>
      <c r="M76" s="101">
        <f>IF('Reference dates (hide)'!I61&lt;&gt;"",'Reference dates (hide)'!I61,"")</f>
        <v>43955</v>
      </c>
      <c r="N76" s="99">
        <f t="shared" si="0"/>
        <v>2020</v>
      </c>
      <c r="O76" s="8">
        <f t="shared" si="1"/>
        <v>19</v>
      </c>
      <c r="P76">
        <f ca="1">'Reference dates (hide)'!K61</f>
        <v>1.5748031496062992E-2</v>
      </c>
      <c r="AI76" s="7"/>
      <c r="AJ76" s="7"/>
      <c r="AK76" s="7"/>
      <c r="AL76" s="7"/>
      <c r="AM76" s="7"/>
      <c r="AN76" s="7"/>
    </row>
    <row r="77" spans="2:40" x14ac:dyDescent="0.25">
      <c r="B77"/>
      <c r="C77"/>
      <c r="D77"/>
      <c r="M77" s="101">
        <f>IF('Reference dates (hide)'!I62&lt;&gt;"",'Reference dates (hide)'!I62,"")</f>
        <v>43962</v>
      </c>
      <c r="N77" s="99">
        <f t="shared" si="0"/>
        <v>2020</v>
      </c>
      <c r="O77" s="8">
        <f t="shared" si="1"/>
        <v>20</v>
      </c>
      <c r="P77">
        <f ca="1">'Reference dates (hide)'!K62</f>
        <v>1.968503937007874E-2</v>
      </c>
      <c r="AI77" s="7"/>
      <c r="AJ77" s="7"/>
      <c r="AK77" s="7"/>
      <c r="AL77" s="7"/>
      <c r="AM77" s="7"/>
      <c r="AN77" s="7"/>
    </row>
    <row r="78" spans="2:40" x14ac:dyDescent="0.25">
      <c r="B78"/>
      <c r="C78"/>
      <c r="D78"/>
      <c r="M78" s="101">
        <f>IF('Reference dates (hide)'!I63&lt;&gt;"",'Reference dates (hide)'!I63,"")</f>
        <v>43969</v>
      </c>
      <c r="N78" s="99">
        <f t="shared" si="0"/>
        <v>2020</v>
      </c>
      <c r="O78" s="8">
        <f t="shared" si="1"/>
        <v>21</v>
      </c>
      <c r="P78">
        <f ca="1">'Reference dates (hide)'!K63</f>
        <v>1.968503937007874E-2</v>
      </c>
      <c r="AI78" s="7"/>
      <c r="AJ78" s="7"/>
      <c r="AK78" s="7"/>
      <c r="AL78" s="7"/>
      <c r="AM78" s="7"/>
      <c r="AN78" s="7"/>
    </row>
    <row r="79" spans="2:40" x14ac:dyDescent="0.25">
      <c r="B79"/>
      <c r="C79"/>
      <c r="D79"/>
      <c r="M79" s="101">
        <f>IF('Reference dates (hide)'!I64&lt;&gt;"",'Reference dates (hide)'!I64,"")</f>
        <v>43976</v>
      </c>
      <c r="N79" s="99">
        <f t="shared" si="0"/>
        <v>2020</v>
      </c>
      <c r="O79" s="8">
        <f t="shared" si="1"/>
        <v>22</v>
      </c>
      <c r="P79">
        <f ca="1">'Reference dates (hide)'!K64</f>
        <v>1.5748031496062992E-2</v>
      </c>
      <c r="AI79" s="7"/>
      <c r="AJ79" s="7"/>
      <c r="AK79" s="7"/>
      <c r="AL79" s="7"/>
      <c r="AM79" s="7"/>
      <c r="AN79" s="7"/>
    </row>
    <row r="80" spans="2:40" x14ac:dyDescent="0.25">
      <c r="B80"/>
      <c r="C80"/>
      <c r="D80"/>
      <c r="M80" s="101">
        <f>IF('Reference dates (hide)'!I65&lt;&gt;"",'Reference dates (hide)'!I65,"")</f>
        <v>43983</v>
      </c>
      <c r="N80" s="99">
        <f t="shared" si="0"/>
        <v>2020</v>
      </c>
      <c r="O80" s="8">
        <f t="shared" si="1"/>
        <v>23</v>
      </c>
      <c r="P80">
        <f ca="1">'Reference dates (hide)'!K65</f>
        <v>1.968503937007874E-2</v>
      </c>
      <c r="AI80" s="7"/>
      <c r="AJ80" s="7"/>
      <c r="AK80" s="7"/>
      <c r="AL80" s="7"/>
      <c r="AM80" s="7"/>
      <c r="AN80" s="7"/>
    </row>
    <row r="81" spans="2:40" x14ac:dyDescent="0.25">
      <c r="B81"/>
      <c r="C81"/>
      <c r="D81"/>
      <c r="M81" s="101">
        <f>IF('Reference dates (hide)'!I66&lt;&gt;"",'Reference dates (hide)'!I66,"")</f>
        <v>43990</v>
      </c>
      <c r="N81" s="99">
        <f t="shared" si="0"/>
        <v>2020</v>
      </c>
      <c r="O81" s="8">
        <f t="shared" si="1"/>
        <v>24</v>
      </c>
      <c r="P81">
        <f ca="1">'Reference dates (hide)'!K66</f>
        <v>1.968503937007874E-2</v>
      </c>
      <c r="AI81" s="7"/>
      <c r="AJ81" s="7"/>
      <c r="AK81" s="7"/>
      <c r="AL81" s="7"/>
      <c r="AM81" s="7"/>
      <c r="AN81" s="7"/>
    </row>
    <row r="82" spans="2:40" x14ac:dyDescent="0.25">
      <c r="B82"/>
      <c r="C82"/>
      <c r="D82"/>
      <c r="M82" s="101">
        <f>IF('Reference dates (hide)'!I67&lt;&gt;"",'Reference dates (hide)'!I67,"")</f>
        <v>43997</v>
      </c>
      <c r="N82" s="99">
        <f t="shared" si="0"/>
        <v>2020</v>
      </c>
      <c r="O82" s="8">
        <f t="shared" si="1"/>
        <v>25</v>
      </c>
      <c r="P82">
        <f ca="1">'Reference dates (hide)'!K67</f>
        <v>1.968503937007874E-2</v>
      </c>
      <c r="AI82" s="7"/>
      <c r="AJ82" s="7"/>
      <c r="AK82" s="7"/>
      <c r="AL82" s="7"/>
      <c r="AM82" s="7"/>
      <c r="AN82" s="7"/>
    </row>
    <row r="83" spans="2:40" x14ac:dyDescent="0.25">
      <c r="B83"/>
      <c r="C83"/>
      <c r="D83"/>
      <c r="M83" s="101">
        <f>IF('Reference dates (hide)'!I68&lt;&gt;"",'Reference dates (hide)'!I68,"")</f>
        <v>44004</v>
      </c>
      <c r="N83" s="99">
        <f t="shared" si="0"/>
        <v>2020</v>
      </c>
      <c r="O83" s="8">
        <f t="shared" si="1"/>
        <v>26</v>
      </c>
      <c r="P83">
        <f ca="1">'Reference dates (hide)'!K68</f>
        <v>1.968503937007874E-2</v>
      </c>
      <c r="AI83" s="7"/>
      <c r="AJ83" s="7"/>
      <c r="AK83" s="7"/>
      <c r="AL83" s="7"/>
      <c r="AM83" s="7"/>
      <c r="AN83" s="7"/>
    </row>
    <row r="84" spans="2:40" x14ac:dyDescent="0.25">
      <c r="B84"/>
      <c r="C84"/>
      <c r="D84"/>
      <c r="M84" s="101">
        <f>IF('Reference dates (hide)'!I69&lt;&gt;"",'Reference dates (hide)'!I69,"")</f>
        <v>44011</v>
      </c>
      <c r="N84" s="99">
        <f t="shared" si="0"/>
        <v>2020</v>
      </c>
      <c r="O84" s="8">
        <f t="shared" si="1"/>
        <v>27</v>
      </c>
      <c r="P84">
        <f ca="1">'Reference dates (hide)'!K69</f>
        <v>1.968503937007874E-2</v>
      </c>
      <c r="AI84" s="7"/>
      <c r="AJ84" s="7"/>
      <c r="AK84" s="7"/>
      <c r="AL84" s="7"/>
      <c r="AM84" s="7"/>
      <c r="AN84" s="7"/>
    </row>
    <row r="85" spans="2:40" x14ac:dyDescent="0.25">
      <c r="B85"/>
      <c r="C85"/>
      <c r="D85"/>
      <c r="M85" s="101">
        <f>IF('Reference dates (hide)'!I70&lt;&gt;"",'Reference dates (hide)'!I70,"")</f>
        <v>44018</v>
      </c>
      <c r="N85" s="99">
        <f t="shared" si="0"/>
        <v>2020</v>
      </c>
      <c r="O85" s="8">
        <f t="shared" si="1"/>
        <v>28</v>
      </c>
      <c r="P85">
        <f ca="1">'Reference dates (hide)'!K70</f>
        <v>1.968503937007874E-2</v>
      </c>
      <c r="AI85" s="7"/>
      <c r="AJ85" s="7"/>
      <c r="AK85" s="7"/>
      <c r="AL85" s="7"/>
      <c r="AM85" s="7"/>
      <c r="AN85" s="7"/>
    </row>
    <row r="86" spans="2:40" x14ac:dyDescent="0.25">
      <c r="B86"/>
      <c r="C86"/>
      <c r="D86"/>
      <c r="M86" s="101">
        <f>IF('Reference dates (hide)'!I71&lt;&gt;"",'Reference dates (hide)'!I71,"")</f>
        <v>44025</v>
      </c>
      <c r="N86" s="99">
        <f t="shared" si="0"/>
        <v>2020</v>
      </c>
      <c r="O86" s="8">
        <f t="shared" si="1"/>
        <v>29</v>
      </c>
      <c r="P86">
        <f ca="1">'Reference dates (hide)'!K71</f>
        <v>1.968503937007874E-2</v>
      </c>
      <c r="AI86" s="7"/>
      <c r="AJ86" s="7"/>
      <c r="AK86" s="7"/>
      <c r="AL86" s="7"/>
      <c r="AM86" s="7"/>
      <c r="AN86" s="7"/>
    </row>
    <row r="87" spans="2:40" x14ac:dyDescent="0.25">
      <c r="B87"/>
      <c r="C87"/>
      <c r="D87"/>
      <c r="M87" s="101">
        <f>IF('Reference dates (hide)'!I72&lt;&gt;"",'Reference dates (hide)'!I72,"")</f>
        <v>44032</v>
      </c>
      <c r="N87" s="99">
        <f t="shared" si="0"/>
        <v>2020</v>
      </c>
      <c r="O87" s="8">
        <f t="shared" si="1"/>
        <v>30</v>
      </c>
      <c r="P87">
        <f ca="1">'Reference dates (hide)'!K72</f>
        <v>1.968503937007874E-2</v>
      </c>
      <c r="AI87" s="7"/>
      <c r="AJ87" s="7"/>
      <c r="AK87" s="7"/>
      <c r="AL87" s="7"/>
      <c r="AM87" s="7"/>
      <c r="AN87" s="7"/>
    </row>
    <row r="88" spans="2:40" x14ac:dyDescent="0.25">
      <c r="B88"/>
      <c r="C88"/>
      <c r="D88"/>
      <c r="M88" s="101">
        <f>IF('Reference dates (hide)'!I73&lt;&gt;"",'Reference dates (hide)'!I73,"")</f>
        <v>44039</v>
      </c>
      <c r="N88" s="99">
        <f t="shared" si="0"/>
        <v>2020</v>
      </c>
      <c r="O88" s="8">
        <f t="shared" si="1"/>
        <v>31</v>
      </c>
      <c r="P88">
        <f ca="1">'Reference dates (hide)'!K73</f>
        <v>1.968503937007874E-2</v>
      </c>
      <c r="AI88" s="7"/>
      <c r="AJ88" s="7"/>
      <c r="AK88" s="7"/>
      <c r="AL88" s="7"/>
      <c r="AM88" s="7"/>
      <c r="AN88" s="7"/>
    </row>
    <row r="89" spans="2:40" x14ac:dyDescent="0.25">
      <c r="B89"/>
      <c r="C89"/>
      <c r="D89"/>
      <c r="M89" s="101">
        <f>IF('Reference dates (hide)'!I74&lt;&gt;"",'Reference dates (hide)'!I74,"")</f>
        <v>44046</v>
      </c>
      <c r="N89" s="99">
        <f t="shared" si="0"/>
        <v>2020</v>
      </c>
      <c r="O89" s="8">
        <f t="shared" si="1"/>
        <v>32</v>
      </c>
      <c r="P89">
        <f ca="1">'Reference dates (hide)'!K74</f>
        <v>1.968503937007874E-2</v>
      </c>
      <c r="AI89" s="7"/>
      <c r="AJ89" s="7"/>
      <c r="AK89" s="7"/>
      <c r="AL89" s="7"/>
      <c r="AM89" s="7"/>
      <c r="AN89" s="7"/>
    </row>
    <row r="90" spans="2:40" x14ac:dyDescent="0.25">
      <c r="B90"/>
      <c r="C90"/>
      <c r="D90"/>
      <c r="M90" s="101">
        <f>IF('Reference dates (hide)'!I75&lt;&gt;"",'Reference dates (hide)'!I75,"")</f>
        <v>44053</v>
      </c>
      <c r="N90" s="99">
        <f t="shared" si="0"/>
        <v>2020</v>
      </c>
      <c r="O90" s="8">
        <f t="shared" si="1"/>
        <v>33</v>
      </c>
      <c r="P90">
        <f ca="1">'Reference dates (hide)'!K75</f>
        <v>1.968503937007874E-2</v>
      </c>
      <c r="AI90" s="7"/>
      <c r="AJ90" s="7"/>
      <c r="AK90" s="7"/>
      <c r="AL90" s="7"/>
      <c r="AM90" s="7"/>
      <c r="AN90" s="7"/>
    </row>
    <row r="91" spans="2:40" x14ac:dyDescent="0.25">
      <c r="B91"/>
      <c r="C91"/>
      <c r="D91"/>
      <c r="M91" s="101">
        <f>IF('Reference dates (hide)'!I76&lt;&gt;"",'Reference dates (hide)'!I76,"")</f>
        <v>44060</v>
      </c>
      <c r="N91" s="99">
        <f t="shared" si="0"/>
        <v>2020</v>
      </c>
      <c r="O91" s="8">
        <f t="shared" si="1"/>
        <v>34</v>
      </c>
      <c r="P91">
        <f ca="1">'Reference dates (hide)'!K76</f>
        <v>1.968503937007874E-2</v>
      </c>
      <c r="AI91" s="7"/>
      <c r="AJ91" s="7"/>
      <c r="AK91" s="7"/>
      <c r="AL91" s="7"/>
      <c r="AM91" s="7"/>
      <c r="AN91" s="7"/>
    </row>
    <row r="92" spans="2:40" x14ac:dyDescent="0.25">
      <c r="B92"/>
      <c r="C92"/>
      <c r="D92"/>
      <c r="M92" s="101">
        <f>IF('Reference dates (hide)'!I77&lt;&gt;"",'Reference dates (hide)'!I77,"")</f>
        <v>44067</v>
      </c>
      <c r="N92" s="99">
        <f t="shared" si="0"/>
        <v>2020</v>
      </c>
      <c r="O92" s="8">
        <f t="shared" si="1"/>
        <v>35</v>
      </c>
      <c r="P92">
        <f ca="1">'Reference dates (hide)'!K77</f>
        <v>1.968503937007874E-2</v>
      </c>
      <c r="AI92" s="7"/>
      <c r="AJ92" s="7"/>
      <c r="AK92" s="7"/>
      <c r="AL92" s="7"/>
      <c r="AM92" s="7"/>
      <c r="AN92" s="7"/>
    </row>
    <row r="93" spans="2:40" x14ac:dyDescent="0.25">
      <c r="B93"/>
      <c r="C93"/>
      <c r="D93"/>
      <c r="M93" s="101">
        <f>IF('Reference dates (hide)'!I78&lt;&gt;"",'Reference dates (hide)'!I78,"")</f>
        <v>44074</v>
      </c>
      <c r="N93" s="99">
        <f t="shared" si="0"/>
        <v>2020</v>
      </c>
      <c r="O93" s="8">
        <f t="shared" si="1"/>
        <v>36</v>
      </c>
      <c r="P93">
        <f ca="1">'Reference dates (hide)'!K78</f>
        <v>1.5748031496062992E-2</v>
      </c>
      <c r="AI93" s="7"/>
      <c r="AJ93" s="7"/>
      <c r="AK93" s="7"/>
      <c r="AL93" s="7"/>
      <c r="AM93" s="7"/>
      <c r="AN93" s="7"/>
    </row>
    <row r="94" spans="2:40" x14ac:dyDescent="0.25">
      <c r="B94"/>
      <c r="C94"/>
      <c r="D94"/>
      <c r="M94" s="101">
        <f>IF('Reference dates (hide)'!I79&lt;&gt;"",'Reference dates (hide)'!I79,"")</f>
        <v>44081</v>
      </c>
      <c r="N94" s="99">
        <f t="shared" si="0"/>
        <v>2020</v>
      </c>
      <c r="O94" s="8">
        <f t="shared" si="1"/>
        <v>37</v>
      </c>
      <c r="P94">
        <f ca="1">'Reference dates (hide)'!K79</f>
        <v>1.968503937007874E-2</v>
      </c>
      <c r="AI94" s="7"/>
      <c r="AJ94" s="7"/>
      <c r="AK94" s="7"/>
      <c r="AL94" s="7"/>
      <c r="AM94" s="7"/>
      <c r="AN94" s="7"/>
    </row>
    <row r="95" spans="2:40" x14ac:dyDescent="0.25">
      <c r="B95"/>
      <c r="C95"/>
      <c r="D95"/>
      <c r="M95" s="101">
        <f>IF('Reference dates (hide)'!I80&lt;&gt;"",'Reference dates (hide)'!I80,"")</f>
        <v>44088</v>
      </c>
      <c r="N95" s="99">
        <f t="shared" si="0"/>
        <v>2020</v>
      </c>
      <c r="O95" s="8">
        <f t="shared" si="1"/>
        <v>38</v>
      </c>
      <c r="P95">
        <f ca="1">'Reference dates (hide)'!K80</f>
        <v>1.968503937007874E-2</v>
      </c>
      <c r="AI95" s="7"/>
      <c r="AJ95" s="7"/>
      <c r="AK95" s="7"/>
      <c r="AL95" s="7"/>
      <c r="AM95" s="7"/>
      <c r="AN95" s="7"/>
    </row>
    <row r="96" spans="2:40" x14ac:dyDescent="0.25">
      <c r="B96"/>
      <c r="C96"/>
      <c r="D96"/>
      <c r="M96" s="101">
        <f>IF('Reference dates (hide)'!I81&lt;&gt;"",'Reference dates (hide)'!I81,"")</f>
        <v>44095</v>
      </c>
      <c r="N96" s="99">
        <f t="shared" si="0"/>
        <v>2020</v>
      </c>
      <c r="O96" s="8">
        <f t="shared" si="1"/>
        <v>39</v>
      </c>
      <c r="P96">
        <f ca="1">'Reference dates (hide)'!K81</f>
        <v>1.968503937007874E-2</v>
      </c>
      <c r="AI96" s="7"/>
      <c r="AJ96" s="7"/>
      <c r="AK96" s="7"/>
      <c r="AL96" s="7"/>
      <c r="AM96" s="7"/>
      <c r="AN96" s="7"/>
    </row>
    <row r="97" spans="2:40" x14ac:dyDescent="0.25">
      <c r="B97"/>
      <c r="C97"/>
      <c r="D97"/>
      <c r="M97" s="101">
        <f>IF('Reference dates (hide)'!I82&lt;&gt;"",'Reference dates (hide)'!I82,"")</f>
        <v>44102</v>
      </c>
      <c r="N97" s="99">
        <f t="shared" si="0"/>
        <v>2020</v>
      </c>
      <c r="O97" s="8">
        <f t="shared" si="1"/>
        <v>40</v>
      </c>
      <c r="P97">
        <f ca="1">'Reference dates (hide)'!K82</f>
        <v>1.968503937007874E-2</v>
      </c>
      <c r="AI97" s="7"/>
      <c r="AJ97" s="7"/>
      <c r="AK97" s="7"/>
      <c r="AL97" s="7"/>
      <c r="AM97" s="7"/>
      <c r="AN97" s="7"/>
    </row>
    <row r="98" spans="2:40" x14ac:dyDescent="0.25">
      <c r="B98"/>
      <c r="C98"/>
      <c r="D98"/>
      <c r="M98" s="101">
        <f>IF('Reference dates (hide)'!I83&lt;&gt;"",'Reference dates (hide)'!I83,"")</f>
        <v>44109</v>
      </c>
      <c r="N98" s="99">
        <f t="shared" si="0"/>
        <v>2020</v>
      </c>
      <c r="O98" s="8">
        <f t="shared" si="1"/>
        <v>41</v>
      </c>
      <c r="P98">
        <f ca="1">'Reference dates (hide)'!K83</f>
        <v>1.968503937007874E-2</v>
      </c>
      <c r="AI98" s="7"/>
      <c r="AJ98" s="7"/>
      <c r="AK98" s="7"/>
      <c r="AL98" s="7"/>
      <c r="AM98" s="7"/>
      <c r="AN98" s="7"/>
    </row>
    <row r="99" spans="2:40" x14ac:dyDescent="0.25">
      <c r="B99"/>
      <c r="C99"/>
      <c r="D99"/>
      <c r="M99" s="101">
        <f>IF('Reference dates (hide)'!I84&lt;&gt;"",'Reference dates (hide)'!I84,"")</f>
        <v>44116</v>
      </c>
      <c r="N99" s="99">
        <f t="shared" si="0"/>
        <v>2020</v>
      </c>
      <c r="O99" s="8">
        <f t="shared" si="1"/>
        <v>42</v>
      </c>
      <c r="P99">
        <f ca="1">'Reference dates (hide)'!K84</f>
        <v>1.968503937007874E-2</v>
      </c>
      <c r="AI99" s="7"/>
      <c r="AJ99" s="7"/>
      <c r="AK99" s="7"/>
      <c r="AL99" s="7"/>
      <c r="AM99" s="7"/>
      <c r="AN99" s="7"/>
    </row>
    <row r="100" spans="2:40" x14ac:dyDescent="0.25">
      <c r="B100"/>
      <c r="C100"/>
      <c r="D100"/>
      <c r="M100" s="101">
        <f>IF('Reference dates (hide)'!I85&lt;&gt;"",'Reference dates (hide)'!I85,"")</f>
        <v>44123</v>
      </c>
      <c r="N100" s="99">
        <f t="shared" si="0"/>
        <v>2020</v>
      </c>
      <c r="O100" s="8">
        <f t="shared" si="1"/>
        <v>43</v>
      </c>
      <c r="P100">
        <f ca="1">'Reference dates (hide)'!K85</f>
        <v>1.968503937007874E-2</v>
      </c>
      <c r="AI100" s="7"/>
      <c r="AJ100" s="7"/>
      <c r="AK100" s="7"/>
      <c r="AL100" s="7"/>
      <c r="AM100" s="7"/>
      <c r="AN100" s="7"/>
    </row>
    <row r="101" spans="2:40" x14ac:dyDescent="0.25">
      <c r="B101"/>
      <c r="C101"/>
      <c r="D101"/>
      <c r="M101" s="101">
        <f>IF('Reference dates (hide)'!I86&lt;&gt;"",'Reference dates (hide)'!I86,"")</f>
        <v>44130</v>
      </c>
      <c r="N101" s="99">
        <f t="shared" si="0"/>
        <v>2020</v>
      </c>
      <c r="O101" s="8">
        <f t="shared" si="1"/>
        <v>44</v>
      </c>
      <c r="P101">
        <f ca="1">'Reference dates (hide)'!K86</f>
        <v>1.968503937007874E-2</v>
      </c>
      <c r="AI101" s="7"/>
      <c r="AJ101" s="7"/>
      <c r="AK101" s="7"/>
      <c r="AL101" s="7"/>
      <c r="AM101" s="7"/>
      <c r="AN101" s="7"/>
    </row>
    <row r="102" spans="2:40" x14ac:dyDescent="0.25">
      <c r="B102"/>
      <c r="C102"/>
      <c r="D102"/>
      <c r="M102" s="101">
        <f>IF('Reference dates (hide)'!I87&lt;&gt;"",'Reference dates (hide)'!I87,"")</f>
        <v>44137</v>
      </c>
      <c r="N102" s="99">
        <f t="shared" si="0"/>
        <v>2020</v>
      </c>
      <c r="O102" s="8">
        <f t="shared" si="1"/>
        <v>45</v>
      </c>
      <c r="P102">
        <f ca="1">'Reference dates (hide)'!K87</f>
        <v>1.968503937007874E-2</v>
      </c>
      <c r="AI102" s="7"/>
      <c r="AJ102" s="7"/>
      <c r="AK102" s="7"/>
      <c r="AL102" s="7"/>
      <c r="AM102" s="7"/>
      <c r="AN102" s="7"/>
    </row>
    <row r="103" spans="2:40" x14ac:dyDescent="0.25">
      <c r="B103"/>
      <c r="C103"/>
      <c r="D103"/>
      <c r="M103" s="101">
        <f>IF('Reference dates (hide)'!I88&lt;&gt;"",'Reference dates (hide)'!I88,"")</f>
        <v>44144</v>
      </c>
      <c r="N103" s="99">
        <f t="shared" si="0"/>
        <v>2020</v>
      </c>
      <c r="O103" s="8">
        <f t="shared" si="1"/>
        <v>46</v>
      </c>
      <c r="P103">
        <f ca="1">'Reference dates (hide)'!K88</f>
        <v>1.968503937007874E-2</v>
      </c>
      <c r="AI103" s="7"/>
      <c r="AJ103" s="7"/>
      <c r="AK103" s="7"/>
      <c r="AL103" s="7"/>
      <c r="AM103" s="7"/>
      <c r="AN103" s="7"/>
    </row>
    <row r="104" spans="2:40" x14ac:dyDescent="0.25">
      <c r="B104"/>
      <c r="C104"/>
      <c r="D104"/>
      <c r="M104" s="101">
        <f>IF('Reference dates (hide)'!I89&lt;&gt;"",'Reference dates (hide)'!I89,"")</f>
        <v>44151</v>
      </c>
      <c r="N104" s="99">
        <f t="shared" si="0"/>
        <v>2020</v>
      </c>
      <c r="O104" s="8">
        <f t="shared" si="1"/>
        <v>47</v>
      </c>
      <c r="P104">
        <f ca="1">'Reference dates (hide)'!K89</f>
        <v>1.968503937007874E-2</v>
      </c>
      <c r="AI104" s="7"/>
      <c r="AJ104" s="7"/>
      <c r="AK104" s="7"/>
      <c r="AL104" s="7"/>
      <c r="AM104" s="7"/>
      <c r="AN104" s="7"/>
    </row>
    <row r="105" spans="2:40" x14ac:dyDescent="0.25">
      <c r="B105"/>
      <c r="C105"/>
      <c r="D105"/>
      <c r="M105" s="101">
        <f>IF('Reference dates (hide)'!I90&lt;&gt;"",'Reference dates (hide)'!I90,"")</f>
        <v>44158</v>
      </c>
      <c r="N105" s="99">
        <f t="shared" si="0"/>
        <v>2020</v>
      </c>
      <c r="O105" s="8">
        <f t="shared" si="1"/>
        <v>48</v>
      </c>
      <c r="P105">
        <f ca="1">'Reference dates (hide)'!K90</f>
        <v>1.968503937007874E-2</v>
      </c>
      <c r="AI105" s="7"/>
      <c r="AJ105" s="7"/>
      <c r="AK105" s="7"/>
      <c r="AL105" s="7"/>
      <c r="AM105" s="7"/>
      <c r="AN105" s="7"/>
    </row>
    <row r="106" spans="2:40" x14ac:dyDescent="0.25">
      <c r="B106"/>
      <c r="C106"/>
      <c r="D106"/>
      <c r="M106" s="101">
        <f>IF('Reference dates (hide)'!I91&lt;&gt;"",'Reference dates (hide)'!I91,"")</f>
        <v>44165</v>
      </c>
      <c r="N106" s="99">
        <f t="shared" si="0"/>
        <v>2020</v>
      </c>
      <c r="O106" s="8">
        <f t="shared" si="1"/>
        <v>49</v>
      </c>
      <c r="P106">
        <f ca="1">'Reference dates (hide)'!K91</f>
        <v>1.968503937007874E-2</v>
      </c>
      <c r="AI106" s="7"/>
      <c r="AJ106" s="7"/>
      <c r="AK106" s="7"/>
      <c r="AL106" s="7"/>
      <c r="AM106" s="7"/>
      <c r="AN106" s="7"/>
    </row>
    <row r="107" spans="2:40" x14ac:dyDescent="0.25">
      <c r="B107"/>
      <c r="C107"/>
      <c r="D107"/>
      <c r="M107" s="101">
        <f>IF('Reference dates (hide)'!I92&lt;&gt;"",'Reference dates (hide)'!I92,"")</f>
        <v>44172</v>
      </c>
      <c r="N107" s="99">
        <f t="shared" si="0"/>
        <v>2020</v>
      </c>
      <c r="O107" s="8">
        <f t="shared" si="1"/>
        <v>50</v>
      </c>
      <c r="P107">
        <f ca="1">'Reference dates (hide)'!K92</f>
        <v>1.968503937007874E-2</v>
      </c>
      <c r="AI107" s="7"/>
      <c r="AJ107" s="7"/>
      <c r="AK107" s="7"/>
      <c r="AL107" s="7"/>
      <c r="AM107" s="7"/>
      <c r="AN107" s="7"/>
    </row>
    <row r="108" spans="2:40" x14ac:dyDescent="0.25">
      <c r="B108"/>
      <c r="C108"/>
      <c r="D108"/>
      <c r="M108" s="101">
        <f>IF('Reference dates (hide)'!I93&lt;&gt;"",'Reference dates (hide)'!I93,"")</f>
        <v>44179</v>
      </c>
      <c r="N108" s="99">
        <f t="shared" si="0"/>
        <v>2020</v>
      </c>
      <c r="O108" s="8">
        <f t="shared" si="1"/>
        <v>51</v>
      </c>
      <c r="P108">
        <f ca="1">'Reference dates (hide)'!K93</f>
        <v>1.968503937007874E-2</v>
      </c>
      <c r="AI108" s="7"/>
      <c r="AJ108" s="7"/>
      <c r="AK108" s="7"/>
      <c r="AL108" s="7"/>
      <c r="AM108" s="7"/>
      <c r="AN108" s="7"/>
    </row>
    <row r="109" spans="2:40" x14ac:dyDescent="0.25">
      <c r="B109"/>
      <c r="C109"/>
      <c r="D109"/>
      <c r="M109" s="101">
        <f>IF('Reference dates (hide)'!I94&lt;&gt;"",'Reference dates (hide)'!I94,"")</f>
        <v>44186</v>
      </c>
      <c r="N109" s="99">
        <f t="shared" si="0"/>
        <v>2020</v>
      </c>
      <c r="O109" s="8">
        <f t="shared" si="1"/>
        <v>52</v>
      </c>
      <c r="P109">
        <f ca="1">'Reference dates (hide)'!K94</f>
        <v>1.5748031496062992E-2</v>
      </c>
      <c r="AI109" s="7"/>
      <c r="AJ109" s="7"/>
      <c r="AK109" s="7"/>
      <c r="AL109" s="7"/>
      <c r="AM109" s="7"/>
      <c r="AN109" s="7"/>
    </row>
    <row r="110" spans="2:40" x14ac:dyDescent="0.25">
      <c r="B110"/>
      <c r="C110"/>
      <c r="D110"/>
      <c r="M110" s="101">
        <f>IF('Reference dates (hide)'!I95&lt;&gt;"",'Reference dates (hide)'!I95,"")</f>
        <v>44193</v>
      </c>
      <c r="N110" s="99">
        <f t="shared" si="0"/>
        <v>2020</v>
      </c>
      <c r="O110" s="8">
        <f t="shared" si="1"/>
        <v>53</v>
      </c>
      <c r="P110">
        <f ca="1">'Reference dates (hide)'!K95</f>
        <v>1.1811023622047244E-2</v>
      </c>
      <c r="AI110" s="7"/>
      <c r="AJ110" s="7"/>
      <c r="AK110" s="7"/>
      <c r="AL110" s="7"/>
      <c r="AM110" s="7"/>
      <c r="AN110" s="7"/>
    </row>
    <row r="111" spans="2:40" x14ac:dyDescent="0.25">
      <c r="M111">
        <f>MAX(T58:AB110)</f>
        <v>0</v>
      </c>
    </row>
    <row r="118" spans="26:26" x14ac:dyDescent="0.25">
      <c r="Z118" s="121"/>
    </row>
    <row r="119" spans="26:26" x14ac:dyDescent="0.25">
      <c r="Z119" s="121"/>
    </row>
  </sheetData>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7"/>
  <dimension ref="A1:AN119"/>
  <sheetViews>
    <sheetView zoomScaleNormal="100" workbookViewId="0">
      <selection activeCell="B20" sqref="B20"/>
    </sheetView>
  </sheetViews>
  <sheetFormatPr defaultRowHeight="13.8" x14ac:dyDescent="0.25"/>
  <cols>
    <col min="1" max="1" width="27.69921875" bestFit="1" customWidth="1"/>
    <col min="2" max="2" width="16.8984375" style="6" customWidth="1"/>
    <col min="3" max="3" width="12.09765625" style="6" bestFit="1" customWidth="1"/>
    <col min="4" max="4" width="16.09765625" style="7" bestFit="1" customWidth="1"/>
    <col min="11" max="11" width="10.8984375" bestFit="1" customWidth="1"/>
    <col min="13" max="13" width="16.69921875" bestFit="1" customWidth="1"/>
    <col min="17" max="17" width="6.8984375" customWidth="1"/>
    <col min="26" max="26" width="11.8984375" bestFit="1" customWidth="1"/>
  </cols>
  <sheetData>
    <row r="1" spans="1:19" x14ac:dyDescent="0.25">
      <c r="A1" t="s">
        <v>1063</v>
      </c>
      <c r="B1" s="6" t="s">
        <v>931</v>
      </c>
      <c r="C1" s="6" t="b">
        <f>ISERR(SUM(B25:M49))</f>
        <v>0</v>
      </c>
    </row>
    <row r="2" spans="1:19" x14ac:dyDescent="0.25">
      <c r="A2" t="s">
        <v>932</v>
      </c>
      <c r="B2"/>
    </row>
    <row r="3" spans="1:19" x14ac:dyDescent="0.25">
      <c r="B3" s="6" t="s">
        <v>933</v>
      </c>
      <c r="F3" t="s">
        <v>934</v>
      </c>
      <c r="J3" t="s">
        <v>935</v>
      </c>
    </row>
    <row r="4" spans="1:19" x14ac:dyDescent="0.25">
      <c r="B4" s="6" t="s">
        <v>936</v>
      </c>
      <c r="C4" s="6" t="s">
        <v>937</v>
      </c>
      <c r="D4" s="7" t="s">
        <v>1208</v>
      </c>
      <c r="F4" s="6" t="s">
        <v>936</v>
      </c>
      <c r="G4" s="6" t="s">
        <v>937</v>
      </c>
      <c r="H4" s="7" t="s">
        <v>1024</v>
      </c>
      <c r="J4" s="6" t="s">
        <v>936</v>
      </c>
      <c r="K4" s="6" t="s">
        <v>937</v>
      </c>
      <c r="L4" s="7" t="s">
        <v>1024</v>
      </c>
    </row>
    <row r="5" spans="1:19" x14ac:dyDescent="0.25">
      <c r="A5" t="s">
        <v>5</v>
      </c>
      <c r="B5"/>
      <c r="C5" s="6">
        <f>B5*52</f>
        <v>0</v>
      </c>
      <c r="D5" s="7">
        <f>IF($B$20=1,C5/$B$21,C5)</f>
        <v>0</v>
      </c>
      <c r="G5">
        <f>F5*$D5</f>
        <v>0</v>
      </c>
      <c r="H5">
        <f>G5/52</f>
        <v>0</v>
      </c>
      <c r="K5">
        <f>J5*$D5</f>
        <v>0</v>
      </c>
      <c r="L5">
        <f>K5/52</f>
        <v>0</v>
      </c>
    </row>
    <row r="6" spans="1:19" x14ac:dyDescent="0.25">
      <c r="A6" t="s">
        <v>1209</v>
      </c>
      <c r="B6"/>
      <c r="D6" s="7">
        <f>IF($B$20=1,B6/$B$21,B6)</f>
        <v>0</v>
      </c>
      <c r="G6">
        <f>F6*52</f>
        <v>0</v>
      </c>
      <c r="H6">
        <f>F6</f>
        <v>0</v>
      </c>
      <c r="K6">
        <f>J6*52</f>
        <v>0</v>
      </c>
      <c r="L6">
        <f>J6</f>
        <v>0</v>
      </c>
    </row>
    <row r="7" spans="1:19" x14ac:dyDescent="0.25">
      <c r="A7" t="s">
        <v>1210</v>
      </c>
      <c r="B7"/>
      <c r="D7" s="7">
        <f>IF($B$20=1,B7/$B$21,B7)</f>
        <v>0</v>
      </c>
    </row>
    <row r="8" spans="1:19" x14ac:dyDescent="0.25">
      <c r="A8" t="s">
        <v>9</v>
      </c>
      <c r="B8"/>
    </row>
    <row r="9" spans="1:19" x14ac:dyDescent="0.25">
      <c r="A9" t="s">
        <v>964</v>
      </c>
      <c r="B9"/>
    </row>
    <row r="10" spans="1:19" x14ac:dyDescent="0.25">
      <c r="A10" t="s">
        <v>940</v>
      </c>
      <c r="B10"/>
      <c r="C10" s="6">
        <f xml:space="preserve"> NASR*NASRDC</f>
        <v>0</v>
      </c>
      <c r="G10">
        <f xml:space="preserve"> FU_NASR*FU_NASRDC</f>
        <v>0</v>
      </c>
      <c r="K10">
        <f xml:space="preserve"> IP_NASR*IP_NASRDC</f>
        <v>0</v>
      </c>
    </row>
    <row r="11" spans="1:19" x14ac:dyDescent="0.25">
      <c r="A11" t="s">
        <v>965</v>
      </c>
      <c r="B11"/>
    </row>
    <row r="12" spans="1:19" x14ac:dyDescent="0.25">
      <c r="A12" t="s">
        <v>859</v>
      </c>
      <c r="B12"/>
    </row>
    <row r="13" spans="1:19" x14ac:dyDescent="0.25">
      <c r="A13" t="s">
        <v>941</v>
      </c>
      <c r="B13"/>
      <c r="D13" s="7">
        <f>IF($B$20=1,B13/$B$21,B13)</f>
        <v>0</v>
      </c>
      <c r="G13">
        <f>F13*52</f>
        <v>0</v>
      </c>
      <c r="H13" s="7">
        <f>IF($B$20=1,F13/$B$21,F13)</f>
        <v>0</v>
      </c>
      <c r="K13">
        <f>J13*52</f>
        <v>0</v>
      </c>
      <c r="L13" s="7">
        <f>IF($B$20=1,J13/$B$21,J13)</f>
        <v>0</v>
      </c>
    </row>
    <row r="14" spans="1:19" x14ac:dyDescent="0.25">
      <c r="A14" t="s">
        <v>1275</v>
      </c>
      <c r="B14"/>
      <c r="H14" s="7"/>
      <c r="L14" s="7"/>
    </row>
    <row r="15" spans="1:19" x14ac:dyDescent="0.25">
      <c r="A15" t="s">
        <v>1278</v>
      </c>
      <c r="B15"/>
      <c r="D15" s="7">
        <f>IF($B$20=1,B15/$B$21,B15)</f>
        <v>0</v>
      </c>
      <c r="H15" s="7">
        <f>IF($B$20=1,F15/$B$21,F15)</f>
        <v>0</v>
      </c>
      <c r="L15" s="7">
        <f>IF($B$20=1,J15/$B$21,J15)</f>
        <v>0</v>
      </c>
    </row>
    <row r="16" spans="1:19" x14ac:dyDescent="0.25">
      <c r="A16" t="s">
        <v>861</v>
      </c>
      <c r="B16"/>
      <c r="D16" s="7">
        <f>IF($B$20=1,B16/$B$21,B16)</f>
        <v>0</v>
      </c>
      <c r="H16" s="7">
        <f>IF($B$20=1,F16/$B$21,F16)</f>
        <v>0</v>
      </c>
      <c r="L16" s="7">
        <f>IF($B$20=1,J16/$B$21,J16)</f>
        <v>0</v>
      </c>
      <c r="S16" t="s">
        <v>1213</v>
      </c>
    </row>
    <row r="17" spans="1:20" x14ac:dyDescent="0.25">
      <c r="A17" t="s">
        <v>7</v>
      </c>
      <c r="B17"/>
      <c r="D17" s="7">
        <f>IF($B$20=1,B17/$B$21,B17)</f>
        <v>0</v>
      </c>
      <c r="H17" s="7">
        <f>IF($B$20=1,F17/$B$21,F17)</f>
        <v>0</v>
      </c>
      <c r="L17" s="7">
        <f>IF($B$20=1,J17/$B$21,J17)</f>
        <v>0</v>
      </c>
      <c r="S17" t="s">
        <v>1159</v>
      </c>
    </row>
    <row r="18" spans="1:20" x14ac:dyDescent="0.25">
      <c r="A18" t="s">
        <v>1081</v>
      </c>
      <c r="B18"/>
      <c r="S18" t="s">
        <v>1187</v>
      </c>
    </row>
    <row r="19" spans="1:20" x14ac:dyDescent="0.25">
      <c r="A19" t="s">
        <v>863</v>
      </c>
      <c r="B19"/>
      <c r="S19" t="s">
        <v>1214</v>
      </c>
      <c r="T19" t="s">
        <v>1215</v>
      </c>
    </row>
    <row r="20" spans="1:20" x14ac:dyDescent="0.25">
      <c r="A20" t="s">
        <v>942</v>
      </c>
      <c r="B20"/>
      <c r="R20" t="s">
        <v>947</v>
      </c>
      <c r="S20" t="s">
        <v>984</v>
      </c>
      <c r="T20" t="s">
        <v>1216</v>
      </c>
    </row>
    <row r="21" spans="1:20" x14ac:dyDescent="0.25">
      <c r="A21" t="s">
        <v>943</v>
      </c>
      <c r="B21">
        <v>1</v>
      </c>
      <c r="D21" s="12"/>
      <c r="S21" t="s">
        <v>985</v>
      </c>
      <c r="T21" t="s">
        <v>1216</v>
      </c>
    </row>
    <row r="22" spans="1:20" x14ac:dyDescent="0.25">
      <c r="H22">
        <f>F22*$D$5</f>
        <v>0</v>
      </c>
      <c r="L22">
        <f>J22*$D$5</f>
        <v>0</v>
      </c>
      <c r="S22" t="s">
        <v>1217</v>
      </c>
      <c r="T22" t="s">
        <v>1218</v>
      </c>
    </row>
    <row r="23" spans="1:20" x14ac:dyDescent="0.25">
      <c r="S23" t="s">
        <v>1219</v>
      </c>
      <c r="T23" t="s">
        <v>1218</v>
      </c>
    </row>
    <row r="24" spans="1:20" x14ac:dyDescent="0.25">
      <c r="D24" s="7" t="s">
        <v>1023</v>
      </c>
      <c r="F24" t="s">
        <v>901</v>
      </c>
      <c r="G24" t="s">
        <v>1022</v>
      </c>
      <c r="H24" s="7" t="s">
        <v>1023</v>
      </c>
      <c r="J24" t="s">
        <v>901</v>
      </c>
      <c r="K24" t="s">
        <v>1022</v>
      </c>
      <c r="L24" s="7" t="s">
        <v>1023</v>
      </c>
      <c r="R24" t="s">
        <v>941</v>
      </c>
      <c r="S24" t="s">
        <v>25</v>
      </c>
      <c r="T24" t="s">
        <v>1218</v>
      </c>
    </row>
    <row r="25" spans="1:20" x14ac:dyDescent="0.25">
      <c r="A25" t="s">
        <v>944</v>
      </c>
      <c r="B25" s="6">
        <f>IF(B17-B16&lt;0,0,B17-B16)</f>
        <v>0</v>
      </c>
      <c r="D25" s="6">
        <f>IF(D17-D16&lt;0,0,D17-D16)</f>
        <v>0</v>
      </c>
      <c r="F25" s="8">
        <f>F5*B25</f>
        <v>0</v>
      </c>
      <c r="G25" s="8">
        <v>0</v>
      </c>
      <c r="H25" s="8"/>
      <c r="I25" s="8"/>
      <c r="J25" s="8">
        <f>(J5*B25)+IF(J17-J16&lt;=0,0,J17-J16)</f>
        <v>0</v>
      </c>
      <c r="K25" s="8">
        <f>IF(J17-J16&lt;=0,0,J17-J16)</f>
        <v>0</v>
      </c>
      <c r="L25" s="8"/>
      <c r="S25" t="s">
        <v>1220</v>
      </c>
      <c r="T25" t="s">
        <v>1218</v>
      </c>
    </row>
    <row r="26" spans="1:20" x14ac:dyDescent="0.25">
      <c r="A26" t="s">
        <v>945</v>
      </c>
      <c r="B26" s="9">
        <f>(1-NASLDC)*NASL</f>
        <v>0</v>
      </c>
      <c r="D26" s="11"/>
      <c r="F26" s="8">
        <f>FU_NASL*(1-FU_NASLDC)</f>
        <v>0</v>
      </c>
      <c r="G26" s="8"/>
      <c r="H26" s="8"/>
      <c r="I26" s="8"/>
      <c r="J26" s="8">
        <f>IP_NASL*(1-IP_NASLDC)</f>
        <v>0</v>
      </c>
      <c r="K26" s="8"/>
      <c r="L26" s="8"/>
      <c r="R26" t="s">
        <v>1221</v>
      </c>
      <c r="S26" t="s">
        <v>25</v>
      </c>
      <c r="T26" t="s">
        <v>1218</v>
      </c>
    </row>
    <row r="27" spans="1:20" x14ac:dyDescent="0.25">
      <c r="A27" t="s">
        <v>946</v>
      </c>
      <c r="B27" s="6">
        <f>NASR*(1-NASRDC)</f>
        <v>0</v>
      </c>
      <c r="D27" s="11"/>
      <c r="F27" s="8">
        <f>FU_NASR*(1-FU_NASRDC)</f>
        <v>0</v>
      </c>
      <c r="G27" s="8"/>
      <c r="H27" s="8"/>
      <c r="I27" s="8"/>
      <c r="J27" s="8">
        <f>IP_NASR*(1-IP_NASRDC)</f>
        <v>0</v>
      </c>
      <c r="K27" s="8"/>
      <c r="L27" s="8"/>
      <c r="S27" t="s">
        <v>1220</v>
      </c>
      <c r="T27" t="s">
        <v>1218</v>
      </c>
    </row>
    <row r="28" spans="1:20" x14ac:dyDescent="0.25">
      <c r="D28" s="11"/>
      <c r="F28" s="8"/>
      <c r="G28" s="8"/>
      <c r="H28" s="8"/>
      <c r="I28" s="8"/>
      <c r="J28" s="8"/>
      <c r="K28" s="8"/>
      <c r="L28" s="8"/>
      <c r="R28" t="s">
        <v>1093</v>
      </c>
      <c r="S28" t="s">
        <v>984</v>
      </c>
      <c r="T28" t="s">
        <v>1216</v>
      </c>
    </row>
    <row r="29" spans="1:20" ht="14.4" x14ac:dyDescent="0.3">
      <c r="A29" s="10" t="s">
        <v>947</v>
      </c>
      <c r="D29" s="12"/>
      <c r="F29" s="8"/>
      <c r="G29" s="8"/>
      <c r="H29" s="8"/>
      <c r="I29" s="8"/>
      <c r="J29" s="8"/>
      <c r="K29" s="8"/>
      <c r="L29" s="8"/>
      <c r="S29" t="s">
        <v>985</v>
      </c>
      <c r="T29" t="s">
        <v>1216</v>
      </c>
    </row>
    <row r="30" spans="1:20" x14ac:dyDescent="0.25">
      <c r="A30" t="s">
        <v>948</v>
      </c>
      <c r="B30" s="6">
        <f>B5*(NASL+NASR+ROTT)</f>
        <v>0</v>
      </c>
      <c r="F30" s="8">
        <f>H5*(F8+F10+F18)</f>
        <v>0</v>
      </c>
      <c r="G30" s="8"/>
      <c r="H30" s="8"/>
      <c r="I30" s="8"/>
      <c r="J30" s="8">
        <f>L5*(J8+J10+J18)</f>
        <v>0</v>
      </c>
      <c r="K30" s="8"/>
      <c r="L30" s="8"/>
    </row>
    <row r="31" spans="1:20" x14ac:dyDescent="0.25">
      <c r="A31" t="s">
        <v>949</v>
      </c>
      <c r="B31" s="6">
        <f>B5*(B26+B27)</f>
        <v>0</v>
      </c>
      <c r="F31" s="8">
        <f>H5*(F26+F27)</f>
        <v>0</v>
      </c>
      <c r="G31" s="8"/>
      <c r="H31" s="8"/>
      <c r="I31" s="8"/>
      <c r="J31" s="8">
        <f>L5*(J26+J27)</f>
        <v>0</v>
      </c>
      <c r="K31" s="8"/>
      <c r="L31" s="8"/>
      <c r="R31" t="s">
        <v>941</v>
      </c>
      <c r="S31" t="s">
        <v>25</v>
      </c>
      <c r="T31" t="s">
        <v>1218</v>
      </c>
    </row>
    <row r="32" spans="1:20" x14ac:dyDescent="0.25">
      <c r="F32" s="8"/>
      <c r="G32" s="8"/>
      <c r="H32" s="8"/>
      <c r="I32" s="8"/>
      <c r="J32" s="8"/>
      <c r="K32" s="8"/>
      <c r="L32" s="8"/>
      <c r="S32" t="s">
        <v>1220</v>
      </c>
      <c r="T32" t="s">
        <v>1218</v>
      </c>
    </row>
    <row r="33" spans="1:20" x14ac:dyDescent="0.25">
      <c r="A33" t="s">
        <v>950</v>
      </c>
      <c r="B33" s="6">
        <f>B31-B30+B5</f>
        <v>0</v>
      </c>
      <c r="C33" s="6">
        <f>B33*52</f>
        <v>0</v>
      </c>
      <c r="D33" s="7">
        <f>IF($B$20=1,C33/$B$21,C33)</f>
        <v>0</v>
      </c>
      <c r="F33" s="8">
        <f>(F31-F30+H5)/52</f>
        <v>0</v>
      </c>
      <c r="G33" s="8"/>
      <c r="H33" s="8">
        <f>(F31-F30+H5)*52</f>
        <v>0</v>
      </c>
      <c r="I33" s="8"/>
      <c r="J33" s="8">
        <f>(J31-J30+L5)/52</f>
        <v>0</v>
      </c>
      <c r="K33" s="8"/>
      <c r="L33" s="8">
        <f>(J31-J30+L5)*52</f>
        <v>0</v>
      </c>
      <c r="R33" t="s">
        <v>1221</v>
      </c>
      <c r="S33" t="s">
        <v>25</v>
      </c>
      <c r="T33" t="s">
        <v>1218</v>
      </c>
    </row>
    <row r="34" spans="1:20" x14ac:dyDescent="0.25">
      <c r="F34" s="8"/>
      <c r="G34" s="8"/>
      <c r="H34" s="8"/>
      <c r="I34" s="8"/>
      <c r="J34" s="8"/>
      <c r="K34" s="8"/>
      <c r="L34" s="8"/>
      <c r="S34" t="s">
        <v>1220</v>
      </c>
      <c r="T34" t="s">
        <v>1218</v>
      </c>
    </row>
    <row r="35" spans="1:20" x14ac:dyDescent="0.25">
      <c r="F35" s="8"/>
      <c r="G35" s="8"/>
      <c r="H35" s="8"/>
      <c r="I35" s="8"/>
      <c r="J35" s="8"/>
      <c r="K35" s="8"/>
      <c r="L35" s="8"/>
      <c r="R35" t="s">
        <v>1093</v>
      </c>
      <c r="S35" t="s">
        <v>984</v>
      </c>
      <c r="T35" t="s">
        <v>1218</v>
      </c>
    </row>
    <row r="36" spans="1:20" ht="14.4" x14ac:dyDescent="0.3">
      <c r="A36" s="10" t="s">
        <v>951</v>
      </c>
      <c r="F36" s="8"/>
      <c r="G36" s="8"/>
      <c r="H36" s="8"/>
      <c r="I36" s="8"/>
      <c r="J36" s="8"/>
      <c r="K36" s="8"/>
      <c r="L36" s="8"/>
      <c r="S36" t="s">
        <v>985</v>
      </c>
      <c r="T36" t="s">
        <v>1218</v>
      </c>
    </row>
    <row r="37" spans="1:20" x14ac:dyDescent="0.25">
      <c r="A37" t="s">
        <v>948</v>
      </c>
      <c r="B37" s="6">
        <f>B13*(B8+B10+B18)</f>
        <v>0</v>
      </c>
      <c r="F37" s="8">
        <f>F13*(F8+F10)</f>
        <v>0</v>
      </c>
      <c r="G37" s="8"/>
      <c r="H37" s="8"/>
      <c r="I37" s="8"/>
      <c r="J37" s="8">
        <f>J13*(J8+J10)</f>
        <v>0</v>
      </c>
      <c r="K37" s="8"/>
      <c r="L37" s="8"/>
      <c r="S37" t="s">
        <v>1222</v>
      </c>
      <c r="T37" t="s">
        <v>1218</v>
      </c>
    </row>
    <row r="38" spans="1:20" x14ac:dyDescent="0.25">
      <c r="A38" t="s">
        <v>949</v>
      </c>
      <c r="B38" s="6">
        <f>B13*(B26+B27)</f>
        <v>0</v>
      </c>
      <c r="F38" s="8">
        <f>F13*(F26+F27)</f>
        <v>0</v>
      </c>
      <c r="G38" s="8"/>
      <c r="H38" s="8"/>
      <c r="I38" s="8"/>
      <c r="J38" s="8">
        <f>J13*(J26+J27)</f>
        <v>0</v>
      </c>
      <c r="K38" s="8"/>
      <c r="L38" s="8"/>
    </row>
    <row r="39" spans="1:20" x14ac:dyDescent="0.25">
      <c r="F39" s="8"/>
      <c r="G39" s="8"/>
      <c r="H39" s="8"/>
      <c r="I39" s="8"/>
      <c r="J39" s="8"/>
      <c r="K39" s="8"/>
      <c r="L39" s="8"/>
      <c r="R39" t="s">
        <v>1203</v>
      </c>
      <c r="T39" t="s">
        <v>1218</v>
      </c>
    </row>
    <row r="40" spans="1:20" x14ac:dyDescent="0.25">
      <c r="A40" t="s">
        <v>952</v>
      </c>
      <c r="B40" s="6">
        <f>B13+B38-B37</f>
        <v>0</v>
      </c>
      <c r="C40" s="6">
        <f>B40*52</f>
        <v>0</v>
      </c>
      <c r="D40" s="7">
        <f>IF($B$20=1,C40/$B$21,C40)</f>
        <v>0</v>
      </c>
      <c r="F40" s="8">
        <f>F13+F38-F37</f>
        <v>0</v>
      </c>
      <c r="G40" s="8"/>
      <c r="H40" s="8">
        <f>F40*52</f>
        <v>0</v>
      </c>
      <c r="I40" s="8"/>
      <c r="J40" s="8">
        <f>J13+J38-J37</f>
        <v>0</v>
      </c>
      <c r="K40" s="8"/>
      <c r="L40" s="8">
        <f>J40*52</f>
        <v>0</v>
      </c>
    </row>
    <row r="41" spans="1:20" x14ac:dyDescent="0.25">
      <c r="F41" s="8"/>
      <c r="G41" s="8"/>
      <c r="H41" s="8"/>
      <c r="I41" s="8"/>
      <c r="J41" s="8"/>
      <c r="K41" s="8"/>
      <c r="L41" s="8"/>
    </row>
    <row r="42" spans="1:20" x14ac:dyDescent="0.25">
      <c r="F42" s="8"/>
      <c r="G42" s="8"/>
      <c r="H42" s="8"/>
      <c r="I42" s="8"/>
      <c r="J42" s="8"/>
      <c r="K42" s="8"/>
      <c r="L42" s="8"/>
    </row>
    <row r="43" spans="1:20" ht="14.4" x14ac:dyDescent="0.3">
      <c r="A43" s="10" t="s">
        <v>953</v>
      </c>
      <c r="F43" s="8"/>
      <c r="G43" s="8"/>
      <c r="H43" s="8"/>
      <c r="I43" s="8"/>
      <c r="J43" s="8"/>
      <c r="K43" s="8"/>
      <c r="L43" s="8"/>
    </row>
    <row r="44" spans="1:20" x14ac:dyDescent="0.25">
      <c r="A44" t="s">
        <v>954</v>
      </c>
      <c r="F44" s="8"/>
      <c r="G44" s="8"/>
      <c r="H44" s="8"/>
      <c r="I44" s="8"/>
      <c r="J44" s="8"/>
      <c r="K44" s="8"/>
      <c r="L44" s="8"/>
    </row>
    <row r="45" spans="1:20" x14ac:dyDescent="0.25">
      <c r="F45" s="8"/>
      <c r="G45" s="8"/>
      <c r="H45" s="8"/>
      <c r="I45" s="8"/>
      <c r="J45" s="8"/>
      <c r="K45" s="8"/>
      <c r="L45" s="8"/>
    </row>
    <row r="46" spans="1:20" x14ac:dyDescent="0.25">
      <c r="A46" t="s">
        <v>948</v>
      </c>
      <c r="B46" s="6">
        <f>B25*(B8+B10+B18)</f>
        <v>0</v>
      </c>
      <c r="F46" s="8">
        <f>F25*(F8+F10)</f>
        <v>0</v>
      </c>
      <c r="G46" s="8"/>
      <c r="H46" s="8"/>
      <c r="I46" s="8"/>
      <c r="J46" s="8">
        <f>J25*(J8+J10)</f>
        <v>0</v>
      </c>
      <c r="K46" s="8"/>
      <c r="L46" s="8"/>
    </row>
    <row r="47" spans="1:20" x14ac:dyDescent="0.25">
      <c r="A47" t="s">
        <v>949</v>
      </c>
      <c r="B47" s="6">
        <f>B25*(B26+B27)</f>
        <v>0</v>
      </c>
      <c r="F47" s="8">
        <f>F25*(F26+F27)</f>
        <v>0</v>
      </c>
      <c r="G47" s="8"/>
      <c r="H47" s="8"/>
      <c r="I47" s="8"/>
      <c r="J47" s="8">
        <f>J25*(J26+J27)</f>
        <v>0</v>
      </c>
      <c r="K47" s="8"/>
      <c r="L47" s="8"/>
    </row>
    <row r="48" spans="1:20" x14ac:dyDescent="0.25">
      <c r="F48" s="8" t="s">
        <v>901</v>
      </c>
      <c r="G48" s="8"/>
      <c r="H48" s="8"/>
      <c r="I48" s="8"/>
      <c r="J48" s="8" t="s">
        <v>901</v>
      </c>
      <c r="K48" s="8"/>
      <c r="L48" s="8"/>
    </row>
    <row r="49" spans="1:40" x14ac:dyDescent="0.25">
      <c r="A49" t="s">
        <v>955</v>
      </c>
      <c r="B49" s="6">
        <f>B25+B47-B46</f>
        <v>0</v>
      </c>
      <c r="C49" s="6">
        <f>B49</f>
        <v>0</v>
      </c>
      <c r="D49" s="7">
        <f>IF($B$20=1,C49/$B$21,C49)</f>
        <v>0</v>
      </c>
      <c r="F49" s="8">
        <f>F25+F47-F46</f>
        <v>0</v>
      </c>
      <c r="G49" s="8">
        <f>F49</f>
        <v>0</v>
      </c>
      <c r="H49" s="8">
        <f>IF($F$20=1,G49/$F$21,G49)</f>
        <v>0</v>
      </c>
      <c r="I49" s="8"/>
      <c r="J49" s="8">
        <f>J25+J47-J46</f>
        <v>0</v>
      </c>
      <c r="K49" s="8">
        <f>J49</f>
        <v>0</v>
      </c>
      <c r="L49" s="8">
        <f>IF($J$20=1,K49/$J$21,K49)</f>
        <v>0</v>
      </c>
    </row>
    <row r="50" spans="1:40" x14ac:dyDescent="0.25">
      <c r="F50" t="s">
        <v>1022</v>
      </c>
      <c r="J50" t="s">
        <v>1022</v>
      </c>
    </row>
    <row r="51" spans="1:40" x14ac:dyDescent="0.25">
      <c r="F51">
        <v>0</v>
      </c>
      <c r="H51">
        <v>0</v>
      </c>
      <c r="J51">
        <f>K25*(1+(J8*(1-J9))-(J8+J10+J18)+(J10*(1-J11)))</f>
        <v>0</v>
      </c>
      <c r="K51">
        <f>J51</f>
        <v>0</v>
      </c>
      <c r="L51" s="8">
        <f>IF($J$20=1,K51/$J$21,K51)</f>
        <v>0</v>
      </c>
    </row>
    <row r="52" spans="1:40" x14ac:dyDescent="0.25">
      <c r="A52" s="1" t="s">
        <v>956</v>
      </c>
      <c r="M52" t="s">
        <v>1016</v>
      </c>
      <c r="P52">
        <f>1-(NASL*NASLDC)</f>
        <v>1</v>
      </c>
      <c r="Z52">
        <f>1-(NASL*NASLDC)</f>
        <v>1</v>
      </c>
    </row>
    <row r="53" spans="1:40" x14ac:dyDescent="0.25">
      <c r="A53" t="s">
        <v>1141</v>
      </c>
      <c r="B53" s="92" t="s">
        <v>1142</v>
      </c>
    </row>
    <row r="54" spans="1:40" x14ac:dyDescent="0.25">
      <c r="M54" t="s">
        <v>1207</v>
      </c>
      <c r="Q54">
        <f>(1-ROTT)*(1-(NASR*NASRDC) - (NASL*NASLDC))</f>
        <v>1</v>
      </c>
      <c r="Z54">
        <f>1-(NASL*NASLDC)</f>
        <v>1</v>
      </c>
    </row>
    <row r="55" spans="1:40" x14ac:dyDescent="0.25">
      <c r="A55" t="s">
        <v>1143</v>
      </c>
      <c r="B55" s="100">
        <f>'Reference dates (hide)'!B40</f>
        <v>43831</v>
      </c>
      <c r="C55" s="6" t="s">
        <v>1150</v>
      </c>
      <c r="G55" s="7"/>
      <c r="Q55" s="116" t="str">
        <f ca="1">IF(OFFSET('Control Sheet'!E$45,MID($A$1,6,LEN($A$1)-6),0,1,1)=0,"",OFFSET('Control Sheet'!E$45,MID($A$1,6,LEN($A$1)-6),0,1,1))</f>
        <v/>
      </c>
      <c r="R55" s="116" t="str">
        <f ca="1">IF(OFFSET('Control Sheet'!F$45,MID($A$1,6,LEN($A$1)-6),0,1,1)=0,"",OFFSET('Control Sheet'!F$45,MID($A$1,6,LEN($A$1)-6),0,1,1))</f>
        <v/>
      </c>
      <c r="S55" s="116" t="str">
        <f ca="1">IF(OFFSET('Control Sheet'!G$45,MID($A$1,6,LEN($A$1)-6),0,1,1)=0,"",OFFSET('Control Sheet'!G$45,MID($A$1,6,LEN($A$1)-6),0,1,1))</f>
        <v/>
      </c>
      <c r="T55" s="118" t="str">
        <f ca="1">IF(OFFSET('Control Sheet'!I$45,MID($A$1,6,LEN($A$1)-6),0,1,1)="0","",OFFSET('Control Sheet'!I$45,MID($A$1,6,LEN($A$1)-6),0,1,1))</f>
        <v/>
      </c>
      <c r="U55" s="118" t="str">
        <f ca="1">IF(OFFSET('Control Sheet'!J$45,MID($A$1,6,LEN($A$1)-6),0,1,1)=0,"",OFFSET('Control Sheet'!J$45,MID($A$1,6,LEN($A$1)-6),0,1,1))</f>
        <v/>
      </c>
      <c r="V55" s="118" t="str">
        <f ca="1">IF(OFFSET('Control Sheet'!K$45,MID($A$1,6,LEN($A$1)-6),0,1,1)=0,"",OFFSET('Control Sheet'!K$45,MID($A$1,6,LEN($A$1)-6),0,1,1))</f>
        <v/>
      </c>
    </row>
    <row r="56" spans="1:40" ht="14.4" x14ac:dyDescent="0.3">
      <c r="A56" t="s">
        <v>1202</v>
      </c>
      <c r="C56" s="6" t="s">
        <v>1204</v>
      </c>
      <c r="D56" s="6"/>
      <c r="E56" s="7"/>
      <c r="F56" t="s">
        <v>860</v>
      </c>
      <c r="N56" s="6"/>
      <c r="O56" s="6"/>
      <c r="P56" s="7"/>
      <c r="Q56" s="93" t="s">
        <v>1236</v>
      </c>
      <c r="R56" s="6"/>
      <c r="T56" s="107" t="s">
        <v>1093</v>
      </c>
      <c r="Z56" s="93" t="s">
        <v>1212</v>
      </c>
      <c r="AC56" s="108" t="s">
        <v>1276</v>
      </c>
      <c r="AF56" s="1" t="s">
        <v>1306</v>
      </c>
      <c r="AI56" t="s">
        <v>1275</v>
      </c>
      <c r="AL56" t="s">
        <v>1312</v>
      </c>
    </row>
    <row r="57" spans="1:40" x14ac:dyDescent="0.25">
      <c r="A57" s="1" t="s">
        <v>1144</v>
      </c>
      <c r="B57" s="1" t="s">
        <v>1151</v>
      </c>
      <c r="C57" s="94" t="s">
        <v>1203</v>
      </c>
      <c r="D57" s="94" t="s">
        <v>984</v>
      </c>
      <c r="E57" s="111" t="s">
        <v>985</v>
      </c>
      <c r="F57" s="1" t="s">
        <v>951</v>
      </c>
      <c r="G57" s="1" t="s">
        <v>1205</v>
      </c>
      <c r="H57" s="1" t="s">
        <v>1206</v>
      </c>
      <c r="I57" s="1" t="s">
        <v>25</v>
      </c>
      <c r="J57" s="1" t="s">
        <v>1220</v>
      </c>
      <c r="K57" s="1" t="s">
        <v>1266</v>
      </c>
      <c r="M57" s="1" t="s">
        <v>1144</v>
      </c>
      <c r="N57" s="94" t="s">
        <v>1159</v>
      </c>
      <c r="O57" s="94" t="s">
        <v>1151</v>
      </c>
      <c r="P57" s="7" t="s">
        <v>1201</v>
      </c>
      <c r="Q57" s="6" t="s">
        <v>1196</v>
      </c>
      <c r="R57" s="6" t="s">
        <v>1197</v>
      </c>
      <c r="S57" s="7" t="s">
        <v>1198</v>
      </c>
      <c r="T57" s="109" t="s">
        <v>1188</v>
      </c>
      <c r="U57" s="109" t="s">
        <v>1189</v>
      </c>
      <c r="V57" s="109" t="s">
        <v>1190</v>
      </c>
      <c r="W57" s="110" t="s">
        <v>1191</v>
      </c>
      <c r="X57" s="110" t="s">
        <v>1192</v>
      </c>
      <c r="Y57" s="110" t="s">
        <v>1193</v>
      </c>
      <c r="Z57" s="57">
        <v>1</v>
      </c>
      <c r="AA57">
        <v>2</v>
      </c>
      <c r="AB57">
        <v>3</v>
      </c>
      <c r="AC57" t="s">
        <v>1146</v>
      </c>
      <c r="AD57" t="s">
        <v>1147</v>
      </c>
      <c r="AE57" t="s">
        <v>1148</v>
      </c>
      <c r="AF57" t="s">
        <v>1146</v>
      </c>
      <c r="AG57" t="s">
        <v>1147</v>
      </c>
      <c r="AH57" t="s">
        <v>1148</v>
      </c>
      <c r="AI57" t="s">
        <v>1146</v>
      </c>
      <c r="AJ57" t="s">
        <v>1147</v>
      </c>
      <c r="AK57" t="s">
        <v>1148</v>
      </c>
      <c r="AL57" t="s">
        <v>1146</v>
      </c>
      <c r="AM57" t="s">
        <v>1147</v>
      </c>
      <c r="AN57" t="s">
        <v>1148</v>
      </c>
    </row>
    <row r="58" spans="1:40" x14ac:dyDescent="0.25">
      <c r="B58"/>
      <c r="C58"/>
      <c r="D58"/>
      <c r="M58" s="101">
        <f>IF(B55&lt;&gt;"",B55-WEEKDAY(B55,3),"")</f>
        <v>43829</v>
      </c>
      <c r="N58" s="99">
        <f>YEAR(M58)</f>
        <v>2019</v>
      </c>
      <c r="O58" s="8">
        <f>WEEKNUM(M58,21)</f>
        <v>1</v>
      </c>
      <c r="P58">
        <f ca="1">'Reference dates (hide)'!K43</f>
        <v>7.874015748031496E-3</v>
      </c>
    </row>
    <row r="59" spans="1:40" x14ac:dyDescent="0.25">
      <c r="B59"/>
      <c r="C59"/>
      <c r="D59"/>
      <c r="M59" s="101">
        <f>IF('Reference dates (hide)'!I44&lt;&gt;"",'Reference dates (hide)'!I44,"")</f>
        <v>43836</v>
      </c>
      <c r="N59" s="99">
        <f t="shared" ref="N59:N110" si="0">YEAR(M59)</f>
        <v>2020</v>
      </c>
      <c r="O59" s="8">
        <f t="shared" ref="O59:O110" si="1">WEEKNUM(M59,21)</f>
        <v>2</v>
      </c>
      <c r="P59">
        <f ca="1">'Reference dates (hide)'!K44</f>
        <v>1.968503937007874E-2</v>
      </c>
    </row>
    <row r="60" spans="1:40" x14ac:dyDescent="0.25">
      <c r="B60"/>
      <c r="C60"/>
      <c r="D60"/>
      <c r="M60" s="101">
        <f>IF('Reference dates (hide)'!I45&lt;&gt;"",'Reference dates (hide)'!I45,"")</f>
        <v>43843</v>
      </c>
      <c r="N60" s="99">
        <f t="shared" si="0"/>
        <v>2020</v>
      </c>
      <c r="O60" s="8">
        <f t="shared" si="1"/>
        <v>3</v>
      </c>
      <c r="P60">
        <f ca="1">'Reference dates (hide)'!K45</f>
        <v>1.968503937007874E-2</v>
      </c>
    </row>
    <row r="61" spans="1:40" x14ac:dyDescent="0.25">
      <c r="B61"/>
      <c r="C61"/>
      <c r="D61"/>
      <c r="M61" s="101">
        <f>IF('Reference dates (hide)'!I46&lt;&gt;"",'Reference dates (hide)'!I46,"")</f>
        <v>43850</v>
      </c>
      <c r="N61" s="99">
        <f t="shared" si="0"/>
        <v>2020</v>
      </c>
      <c r="O61" s="8">
        <f t="shared" si="1"/>
        <v>4</v>
      </c>
      <c r="P61">
        <f ca="1">'Reference dates (hide)'!K46</f>
        <v>1.968503937007874E-2</v>
      </c>
    </row>
    <row r="62" spans="1:40" x14ac:dyDescent="0.25">
      <c r="B62"/>
      <c r="C62"/>
      <c r="D62"/>
      <c r="M62" s="101">
        <f>IF('Reference dates (hide)'!I47&lt;&gt;"",'Reference dates (hide)'!I47,"")</f>
        <v>43857</v>
      </c>
      <c r="N62" s="99">
        <f t="shared" si="0"/>
        <v>2020</v>
      </c>
      <c r="O62" s="8">
        <f t="shared" si="1"/>
        <v>5</v>
      </c>
      <c r="P62">
        <f ca="1">'Reference dates (hide)'!K47</f>
        <v>1.968503937007874E-2</v>
      </c>
    </row>
    <row r="63" spans="1:40" x14ac:dyDescent="0.25">
      <c r="B63"/>
      <c r="C63"/>
      <c r="D63"/>
      <c r="M63" s="101">
        <f>IF('Reference dates (hide)'!I48&lt;&gt;"",'Reference dates (hide)'!I48,"")</f>
        <v>43864</v>
      </c>
      <c r="N63" s="99">
        <f t="shared" si="0"/>
        <v>2020</v>
      </c>
      <c r="O63" s="8">
        <f t="shared" si="1"/>
        <v>6</v>
      </c>
      <c r="P63">
        <f ca="1">'Reference dates (hide)'!K48</f>
        <v>1.968503937007874E-2</v>
      </c>
    </row>
    <row r="64" spans="1:40" x14ac:dyDescent="0.25">
      <c r="B64"/>
      <c r="C64"/>
      <c r="D64"/>
      <c r="M64" s="101">
        <f>IF('Reference dates (hide)'!I49&lt;&gt;"",'Reference dates (hide)'!I49,"")</f>
        <v>43871</v>
      </c>
      <c r="N64" s="99">
        <f t="shared" si="0"/>
        <v>2020</v>
      </c>
      <c r="O64" s="8">
        <f t="shared" si="1"/>
        <v>7</v>
      </c>
      <c r="P64">
        <f ca="1">'Reference dates (hide)'!K49</f>
        <v>1.968503937007874E-2</v>
      </c>
    </row>
    <row r="65" spans="2:16" x14ac:dyDescent="0.25">
      <c r="B65"/>
      <c r="C65"/>
      <c r="D65"/>
      <c r="M65" s="101">
        <f>IF('Reference dates (hide)'!I50&lt;&gt;"",'Reference dates (hide)'!I50,"")</f>
        <v>43878</v>
      </c>
      <c r="N65" s="99">
        <f t="shared" si="0"/>
        <v>2020</v>
      </c>
      <c r="O65" s="8">
        <f t="shared" si="1"/>
        <v>8</v>
      </c>
      <c r="P65">
        <f ca="1">'Reference dates (hide)'!K50</f>
        <v>1.968503937007874E-2</v>
      </c>
    </row>
    <row r="66" spans="2:16" x14ac:dyDescent="0.25">
      <c r="B66"/>
      <c r="C66"/>
      <c r="D66"/>
      <c r="M66" s="101">
        <f>IF('Reference dates (hide)'!I51&lt;&gt;"",'Reference dates (hide)'!I51,"")</f>
        <v>43885</v>
      </c>
      <c r="N66" s="99">
        <f t="shared" si="0"/>
        <v>2020</v>
      </c>
      <c r="O66" s="8">
        <f t="shared" si="1"/>
        <v>9</v>
      </c>
      <c r="P66">
        <f ca="1">'Reference dates (hide)'!K51</f>
        <v>1.968503937007874E-2</v>
      </c>
    </row>
    <row r="67" spans="2:16" x14ac:dyDescent="0.25">
      <c r="B67"/>
      <c r="C67"/>
      <c r="D67"/>
      <c r="M67" s="101">
        <f>IF('Reference dates (hide)'!I52&lt;&gt;"",'Reference dates (hide)'!I52,"")</f>
        <v>43892</v>
      </c>
      <c r="N67" s="99">
        <f t="shared" si="0"/>
        <v>2020</v>
      </c>
      <c r="O67" s="8">
        <f t="shared" si="1"/>
        <v>10</v>
      </c>
      <c r="P67">
        <f ca="1">'Reference dates (hide)'!K52</f>
        <v>1.968503937007874E-2</v>
      </c>
    </row>
    <row r="68" spans="2:16" x14ac:dyDescent="0.25">
      <c r="B68"/>
      <c r="C68"/>
      <c r="D68"/>
      <c r="M68" s="101">
        <f>IF('Reference dates (hide)'!I53&lt;&gt;"",'Reference dates (hide)'!I53,"")</f>
        <v>43899</v>
      </c>
      <c r="N68" s="99">
        <f t="shared" si="0"/>
        <v>2020</v>
      </c>
      <c r="O68" s="8">
        <f t="shared" si="1"/>
        <v>11</v>
      </c>
      <c r="P68">
        <f ca="1">'Reference dates (hide)'!K53</f>
        <v>1.968503937007874E-2</v>
      </c>
    </row>
    <row r="69" spans="2:16" x14ac:dyDescent="0.25">
      <c r="B69"/>
      <c r="C69"/>
      <c r="D69"/>
      <c r="M69" s="101">
        <f>IF('Reference dates (hide)'!I54&lt;&gt;"",'Reference dates (hide)'!I54,"")</f>
        <v>43906</v>
      </c>
      <c r="N69" s="99">
        <f t="shared" si="0"/>
        <v>2020</v>
      </c>
      <c r="O69" s="8">
        <f t="shared" si="1"/>
        <v>12</v>
      </c>
      <c r="P69">
        <f ca="1">'Reference dates (hide)'!K54</f>
        <v>1.968503937007874E-2</v>
      </c>
    </row>
    <row r="70" spans="2:16" x14ac:dyDescent="0.25">
      <c r="B70"/>
      <c r="C70"/>
      <c r="D70"/>
      <c r="M70" s="101">
        <f>IF('Reference dates (hide)'!I55&lt;&gt;"",'Reference dates (hide)'!I55,"")</f>
        <v>43913</v>
      </c>
      <c r="N70" s="99">
        <f t="shared" si="0"/>
        <v>2020</v>
      </c>
      <c r="O70" s="8">
        <f t="shared" si="1"/>
        <v>13</v>
      </c>
      <c r="P70">
        <f ca="1">'Reference dates (hide)'!K55</f>
        <v>1.968503937007874E-2</v>
      </c>
    </row>
    <row r="71" spans="2:16" x14ac:dyDescent="0.25">
      <c r="B71"/>
      <c r="C71"/>
      <c r="D71"/>
      <c r="M71" s="101">
        <f>IF('Reference dates (hide)'!I56&lt;&gt;"",'Reference dates (hide)'!I56,"")</f>
        <v>43920</v>
      </c>
      <c r="N71" s="99">
        <f t="shared" si="0"/>
        <v>2020</v>
      </c>
      <c r="O71" s="8">
        <f t="shared" si="1"/>
        <v>14</v>
      </c>
      <c r="P71">
        <f ca="1">'Reference dates (hide)'!K56</f>
        <v>1.968503937007874E-2</v>
      </c>
    </row>
    <row r="72" spans="2:16" x14ac:dyDescent="0.25">
      <c r="B72"/>
      <c r="C72"/>
      <c r="D72"/>
      <c r="M72" s="101">
        <f>IF('Reference dates (hide)'!I57&lt;&gt;"",'Reference dates (hide)'!I57,"")</f>
        <v>43927</v>
      </c>
      <c r="N72" s="99">
        <f t="shared" si="0"/>
        <v>2020</v>
      </c>
      <c r="O72" s="8">
        <f t="shared" si="1"/>
        <v>15</v>
      </c>
      <c r="P72">
        <f ca="1">'Reference dates (hide)'!K57</f>
        <v>1.5748031496062992E-2</v>
      </c>
    </row>
    <row r="73" spans="2:16" x14ac:dyDescent="0.25">
      <c r="B73"/>
      <c r="C73"/>
      <c r="D73"/>
      <c r="M73" s="101">
        <f>IF('Reference dates (hide)'!I58&lt;&gt;"",'Reference dates (hide)'!I58,"")</f>
        <v>43934</v>
      </c>
      <c r="N73" s="99">
        <f t="shared" si="0"/>
        <v>2020</v>
      </c>
      <c r="O73" s="8">
        <f t="shared" si="1"/>
        <v>16</v>
      </c>
      <c r="P73">
        <f ca="1">'Reference dates (hide)'!K58</f>
        <v>1.5748031496062992E-2</v>
      </c>
    </row>
    <row r="74" spans="2:16" x14ac:dyDescent="0.25">
      <c r="B74"/>
      <c r="C74"/>
      <c r="D74"/>
      <c r="M74" s="101">
        <f>IF('Reference dates (hide)'!I59&lt;&gt;"",'Reference dates (hide)'!I59,"")</f>
        <v>43941</v>
      </c>
      <c r="N74" s="99">
        <f t="shared" si="0"/>
        <v>2020</v>
      </c>
      <c r="O74" s="8">
        <f t="shared" si="1"/>
        <v>17</v>
      </c>
      <c r="P74">
        <f ca="1">'Reference dates (hide)'!K59</f>
        <v>1.968503937007874E-2</v>
      </c>
    </row>
    <row r="75" spans="2:16" x14ac:dyDescent="0.25">
      <c r="B75"/>
      <c r="C75"/>
      <c r="D75"/>
      <c r="M75" s="101">
        <f>IF('Reference dates (hide)'!I60&lt;&gt;"",'Reference dates (hide)'!I60,"")</f>
        <v>43948</v>
      </c>
      <c r="N75" s="99">
        <f t="shared" si="0"/>
        <v>2020</v>
      </c>
      <c r="O75" s="8">
        <f t="shared" si="1"/>
        <v>18</v>
      </c>
      <c r="P75">
        <f ca="1">'Reference dates (hide)'!K60</f>
        <v>1.968503937007874E-2</v>
      </c>
    </row>
    <row r="76" spans="2:16" x14ac:dyDescent="0.25">
      <c r="B76"/>
      <c r="C76"/>
      <c r="D76"/>
      <c r="M76" s="101">
        <f>IF('Reference dates (hide)'!I61&lt;&gt;"",'Reference dates (hide)'!I61,"")</f>
        <v>43955</v>
      </c>
      <c r="N76" s="99">
        <f t="shared" si="0"/>
        <v>2020</v>
      </c>
      <c r="O76" s="8">
        <f t="shared" si="1"/>
        <v>19</v>
      </c>
      <c r="P76">
        <f ca="1">'Reference dates (hide)'!K61</f>
        <v>1.5748031496062992E-2</v>
      </c>
    </row>
    <row r="77" spans="2:16" x14ac:dyDescent="0.25">
      <c r="B77"/>
      <c r="C77"/>
      <c r="D77"/>
      <c r="M77" s="101">
        <f>IF('Reference dates (hide)'!I62&lt;&gt;"",'Reference dates (hide)'!I62,"")</f>
        <v>43962</v>
      </c>
      <c r="N77" s="99">
        <f t="shared" si="0"/>
        <v>2020</v>
      </c>
      <c r="O77" s="8">
        <f t="shared" si="1"/>
        <v>20</v>
      </c>
      <c r="P77">
        <f ca="1">'Reference dates (hide)'!K62</f>
        <v>1.968503937007874E-2</v>
      </c>
    </row>
    <row r="78" spans="2:16" x14ac:dyDescent="0.25">
      <c r="B78"/>
      <c r="C78"/>
      <c r="D78"/>
      <c r="M78" s="101">
        <f>IF('Reference dates (hide)'!I63&lt;&gt;"",'Reference dates (hide)'!I63,"")</f>
        <v>43969</v>
      </c>
      <c r="N78" s="99">
        <f t="shared" si="0"/>
        <v>2020</v>
      </c>
      <c r="O78" s="8">
        <f t="shared" si="1"/>
        <v>21</v>
      </c>
      <c r="P78">
        <f ca="1">'Reference dates (hide)'!K63</f>
        <v>1.968503937007874E-2</v>
      </c>
    </row>
    <row r="79" spans="2:16" x14ac:dyDescent="0.25">
      <c r="B79"/>
      <c r="C79"/>
      <c r="D79"/>
      <c r="M79" s="101">
        <f>IF('Reference dates (hide)'!I64&lt;&gt;"",'Reference dates (hide)'!I64,"")</f>
        <v>43976</v>
      </c>
      <c r="N79" s="99">
        <f t="shared" si="0"/>
        <v>2020</v>
      </c>
      <c r="O79" s="8">
        <f t="shared" si="1"/>
        <v>22</v>
      </c>
      <c r="P79">
        <f ca="1">'Reference dates (hide)'!K64</f>
        <v>1.5748031496062992E-2</v>
      </c>
    </row>
    <row r="80" spans="2:16" x14ac:dyDescent="0.25">
      <c r="B80"/>
      <c r="C80"/>
      <c r="D80"/>
      <c r="M80" s="101">
        <f>IF('Reference dates (hide)'!I65&lt;&gt;"",'Reference dates (hide)'!I65,"")</f>
        <v>43983</v>
      </c>
      <c r="N80" s="99">
        <f t="shared" si="0"/>
        <v>2020</v>
      </c>
      <c r="O80" s="8">
        <f t="shared" si="1"/>
        <v>23</v>
      </c>
      <c r="P80">
        <f ca="1">'Reference dates (hide)'!K65</f>
        <v>1.968503937007874E-2</v>
      </c>
    </row>
    <row r="81" spans="2:16" x14ac:dyDescent="0.25">
      <c r="B81"/>
      <c r="C81"/>
      <c r="D81"/>
      <c r="M81" s="101">
        <f>IF('Reference dates (hide)'!I66&lt;&gt;"",'Reference dates (hide)'!I66,"")</f>
        <v>43990</v>
      </c>
      <c r="N81" s="99">
        <f t="shared" si="0"/>
        <v>2020</v>
      </c>
      <c r="O81" s="8">
        <f t="shared" si="1"/>
        <v>24</v>
      </c>
      <c r="P81">
        <f ca="1">'Reference dates (hide)'!K66</f>
        <v>1.968503937007874E-2</v>
      </c>
    </row>
    <row r="82" spans="2:16" x14ac:dyDescent="0.25">
      <c r="B82"/>
      <c r="C82"/>
      <c r="D82"/>
      <c r="M82" s="101">
        <f>IF('Reference dates (hide)'!I67&lt;&gt;"",'Reference dates (hide)'!I67,"")</f>
        <v>43997</v>
      </c>
      <c r="N82" s="99">
        <f t="shared" si="0"/>
        <v>2020</v>
      </c>
      <c r="O82" s="8">
        <f t="shared" si="1"/>
        <v>25</v>
      </c>
      <c r="P82">
        <f ca="1">'Reference dates (hide)'!K67</f>
        <v>1.968503937007874E-2</v>
      </c>
    </row>
    <row r="83" spans="2:16" x14ac:dyDescent="0.25">
      <c r="B83"/>
      <c r="C83"/>
      <c r="D83"/>
      <c r="M83" s="101">
        <f>IF('Reference dates (hide)'!I68&lt;&gt;"",'Reference dates (hide)'!I68,"")</f>
        <v>44004</v>
      </c>
      <c r="N83" s="99">
        <f t="shared" si="0"/>
        <v>2020</v>
      </c>
      <c r="O83" s="8">
        <f t="shared" si="1"/>
        <v>26</v>
      </c>
      <c r="P83">
        <f ca="1">'Reference dates (hide)'!K68</f>
        <v>1.968503937007874E-2</v>
      </c>
    </row>
    <row r="84" spans="2:16" x14ac:dyDescent="0.25">
      <c r="B84"/>
      <c r="C84"/>
      <c r="D84"/>
      <c r="M84" s="101">
        <f>IF('Reference dates (hide)'!I69&lt;&gt;"",'Reference dates (hide)'!I69,"")</f>
        <v>44011</v>
      </c>
      <c r="N84" s="99">
        <f t="shared" si="0"/>
        <v>2020</v>
      </c>
      <c r="O84" s="8">
        <f t="shared" si="1"/>
        <v>27</v>
      </c>
      <c r="P84">
        <f ca="1">'Reference dates (hide)'!K69</f>
        <v>1.968503937007874E-2</v>
      </c>
    </row>
    <row r="85" spans="2:16" x14ac:dyDescent="0.25">
      <c r="B85"/>
      <c r="C85"/>
      <c r="D85"/>
      <c r="M85" s="101">
        <f>IF('Reference dates (hide)'!I70&lt;&gt;"",'Reference dates (hide)'!I70,"")</f>
        <v>44018</v>
      </c>
      <c r="N85" s="99">
        <f t="shared" si="0"/>
        <v>2020</v>
      </c>
      <c r="O85" s="8">
        <f t="shared" si="1"/>
        <v>28</v>
      </c>
      <c r="P85">
        <f ca="1">'Reference dates (hide)'!K70</f>
        <v>1.968503937007874E-2</v>
      </c>
    </row>
    <row r="86" spans="2:16" x14ac:dyDescent="0.25">
      <c r="B86"/>
      <c r="C86"/>
      <c r="D86"/>
      <c r="M86" s="101">
        <f>IF('Reference dates (hide)'!I71&lt;&gt;"",'Reference dates (hide)'!I71,"")</f>
        <v>44025</v>
      </c>
      <c r="N86" s="99">
        <f t="shared" si="0"/>
        <v>2020</v>
      </c>
      <c r="O86" s="8">
        <f t="shared" si="1"/>
        <v>29</v>
      </c>
      <c r="P86">
        <f ca="1">'Reference dates (hide)'!K71</f>
        <v>1.968503937007874E-2</v>
      </c>
    </row>
    <row r="87" spans="2:16" x14ac:dyDescent="0.25">
      <c r="B87"/>
      <c r="C87"/>
      <c r="D87"/>
      <c r="M87" s="101">
        <f>IF('Reference dates (hide)'!I72&lt;&gt;"",'Reference dates (hide)'!I72,"")</f>
        <v>44032</v>
      </c>
      <c r="N87" s="99">
        <f t="shared" si="0"/>
        <v>2020</v>
      </c>
      <c r="O87" s="8">
        <f t="shared" si="1"/>
        <v>30</v>
      </c>
      <c r="P87">
        <f ca="1">'Reference dates (hide)'!K72</f>
        <v>1.968503937007874E-2</v>
      </c>
    </row>
    <row r="88" spans="2:16" x14ac:dyDescent="0.25">
      <c r="B88"/>
      <c r="C88"/>
      <c r="D88"/>
      <c r="M88" s="101">
        <f>IF('Reference dates (hide)'!I73&lt;&gt;"",'Reference dates (hide)'!I73,"")</f>
        <v>44039</v>
      </c>
      <c r="N88" s="99">
        <f t="shared" si="0"/>
        <v>2020</v>
      </c>
      <c r="O88" s="8">
        <f t="shared" si="1"/>
        <v>31</v>
      </c>
      <c r="P88">
        <f ca="1">'Reference dates (hide)'!K73</f>
        <v>1.968503937007874E-2</v>
      </c>
    </row>
    <row r="89" spans="2:16" x14ac:dyDescent="0.25">
      <c r="B89"/>
      <c r="C89"/>
      <c r="D89"/>
      <c r="M89" s="101">
        <f>IF('Reference dates (hide)'!I74&lt;&gt;"",'Reference dates (hide)'!I74,"")</f>
        <v>44046</v>
      </c>
      <c r="N89" s="99">
        <f t="shared" si="0"/>
        <v>2020</v>
      </c>
      <c r="O89" s="8">
        <f t="shared" si="1"/>
        <v>32</v>
      </c>
      <c r="P89">
        <f ca="1">'Reference dates (hide)'!K74</f>
        <v>1.968503937007874E-2</v>
      </c>
    </row>
    <row r="90" spans="2:16" x14ac:dyDescent="0.25">
      <c r="B90"/>
      <c r="C90"/>
      <c r="D90"/>
      <c r="M90" s="101">
        <f>IF('Reference dates (hide)'!I75&lt;&gt;"",'Reference dates (hide)'!I75,"")</f>
        <v>44053</v>
      </c>
      <c r="N90" s="99">
        <f t="shared" si="0"/>
        <v>2020</v>
      </c>
      <c r="O90" s="8">
        <f t="shared" si="1"/>
        <v>33</v>
      </c>
      <c r="P90">
        <f ca="1">'Reference dates (hide)'!K75</f>
        <v>1.968503937007874E-2</v>
      </c>
    </row>
    <row r="91" spans="2:16" x14ac:dyDescent="0.25">
      <c r="B91"/>
      <c r="C91"/>
      <c r="D91"/>
      <c r="M91" s="101">
        <f>IF('Reference dates (hide)'!I76&lt;&gt;"",'Reference dates (hide)'!I76,"")</f>
        <v>44060</v>
      </c>
      <c r="N91" s="99">
        <f t="shared" si="0"/>
        <v>2020</v>
      </c>
      <c r="O91" s="8">
        <f t="shared" si="1"/>
        <v>34</v>
      </c>
      <c r="P91">
        <f ca="1">'Reference dates (hide)'!K76</f>
        <v>1.968503937007874E-2</v>
      </c>
    </row>
    <row r="92" spans="2:16" x14ac:dyDescent="0.25">
      <c r="B92"/>
      <c r="C92"/>
      <c r="D92"/>
      <c r="M92" s="101">
        <f>IF('Reference dates (hide)'!I77&lt;&gt;"",'Reference dates (hide)'!I77,"")</f>
        <v>44067</v>
      </c>
      <c r="N92" s="99">
        <f t="shared" si="0"/>
        <v>2020</v>
      </c>
      <c r="O92" s="8">
        <f t="shared" si="1"/>
        <v>35</v>
      </c>
      <c r="P92">
        <f ca="1">'Reference dates (hide)'!K77</f>
        <v>1.968503937007874E-2</v>
      </c>
    </row>
    <row r="93" spans="2:16" x14ac:dyDescent="0.25">
      <c r="B93"/>
      <c r="C93"/>
      <c r="D93"/>
      <c r="M93" s="101">
        <f>IF('Reference dates (hide)'!I78&lt;&gt;"",'Reference dates (hide)'!I78,"")</f>
        <v>44074</v>
      </c>
      <c r="N93" s="99">
        <f t="shared" si="0"/>
        <v>2020</v>
      </c>
      <c r="O93" s="8">
        <f t="shared" si="1"/>
        <v>36</v>
      </c>
      <c r="P93">
        <f ca="1">'Reference dates (hide)'!K78</f>
        <v>1.5748031496062992E-2</v>
      </c>
    </row>
    <row r="94" spans="2:16" x14ac:dyDescent="0.25">
      <c r="B94"/>
      <c r="C94"/>
      <c r="D94"/>
      <c r="M94" s="101">
        <f>IF('Reference dates (hide)'!I79&lt;&gt;"",'Reference dates (hide)'!I79,"")</f>
        <v>44081</v>
      </c>
      <c r="N94" s="99">
        <f t="shared" si="0"/>
        <v>2020</v>
      </c>
      <c r="O94" s="8">
        <f t="shared" si="1"/>
        <v>37</v>
      </c>
      <c r="P94">
        <f ca="1">'Reference dates (hide)'!K79</f>
        <v>1.968503937007874E-2</v>
      </c>
    </row>
    <row r="95" spans="2:16" x14ac:dyDescent="0.25">
      <c r="B95"/>
      <c r="C95"/>
      <c r="D95"/>
      <c r="M95" s="101">
        <f>IF('Reference dates (hide)'!I80&lt;&gt;"",'Reference dates (hide)'!I80,"")</f>
        <v>44088</v>
      </c>
      <c r="N95" s="99">
        <f t="shared" si="0"/>
        <v>2020</v>
      </c>
      <c r="O95" s="8">
        <f t="shared" si="1"/>
        <v>38</v>
      </c>
      <c r="P95">
        <f ca="1">'Reference dates (hide)'!K80</f>
        <v>1.968503937007874E-2</v>
      </c>
    </row>
    <row r="96" spans="2:16" x14ac:dyDescent="0.25">
      <c r="B96"/>
      <c r="C96"/>
      <c r="D96"/>
      <c r="M96" s="101">
        <f>IF('Reference dates (hide)'!I81&lt;&gt;"",'Reference dates (hide)'!I81,"")</f>
        <v>44095</v>
      </c>
      <c r="N96" s="99">
        <f t="shared" si="0"/>
        <v>2020</v>
      </c>
      <c r="O96" s="8">
        <f t="shared" si="1"/>
        <v>39</v>
      </c>
      <c r="P96">
        <f ca="1">'Reference dates (hide)'!K81</f>
        <v>1.968503937007874E-2</v>
      </c>
    </row>
    <row r="97" spans="2:16" x14ac:dyDescent="0.25">
      <c r="B97"/>
      <c r="C97"/>
      <c r="D97"/>
      <c r="M97" s="101">
        <f>IF('Reference dates (hide)'!I82&lt;&gt;"",'Reference dates (hide)'!I82,"")</f>
        <v>44102</v>
      </c>
      <c r="N97" s="99">
        <f t="shared" si="0"/>
        <v>2020</v>
      </c>
      <c r="O97" s="8">
        <f t="shared" si="1"/>
        <v>40</v>
      </c>
      <c r="P97">
        <f ca="1">'Reference dates (hide)'!K82</f>
        <v>1.968503937007874E-2</v>
      </c>
    </row>
    <row r="98" spans="2:16" x14ac:dyDescent="0.25">
      <c r="B98"/>
      <c r="C98"/>
      <c r="D98"/>
      <c r="M98" s="101">
        <f>IF('Reference dates (hide)'!I83&lt;&gt;"",'Reference dates (hide)'!I83,"")</f>
        <v>44109</v>
      </c>
      <c r="N98" s="99">
        <f t="shared" si="0"/>
        <v>2020</v>
      </c>
      <c r="O98" s="8">
        <f t="shared" si="1"/>
        <v>41</v>
      </c>
      <c r="P98">
        <f ca="1">'Reference dates (hide)'!K83</f>
        <v>1.968503937007874E-2</v>
      </c>
    </row>
    <row r="99" spans="2:16" x14ac:dyDescent="0.25">
      <c r="B99"/>
      <c r="C99"/>
      <c r="D99"/>
      <c r="M99" s="101">
        <f>IF('Reference dates (hide)'!I84&lt;&gt;"",'Reference dates (hide)'!I84,"")</f>
        <v>44116</v>
      </c>
      <c r="N99" s="99">
        <f t="shared" si="0"/>
        <v>2020</v>
      </c>
      <c r="O99" s="8">
        <f t="shared" si="1"/>
        <v>42</v>
      </c>
      <c r="P99">
        <f ca="1">'Reference dates (hide)'!K84</f>
        <v>1.968503937007874E-2</v>
      </c>
    </row>
    <row r="100" spans="2:16" x14ac:dyDescent="0.25">
      <c r="B100"/>
      <c r="C100"/>
      <c r="D100"/>
      <c r="M100" s="101">
        <f>IF('Reference dates (hide)'!I85&lt;&gt;"",'Reference dates (hide)'!I85,"")</f>
        <v>44123</v>
      </c>
      <c r="N100" s="99">
        <f t="shared" si="0"/>
        <v>2020</v>
      </c>
      <c r="O100" s="8">
        <f t="shared" si="1"/>
        <v>43</v>
      </c>
      <c r="P100">
        <f ca="1">'Reference dates (hide)'!K85</f>
        <v>1.968503937007874E-2</v>
      </c>
    </row>
    <row r="101" spans="2:16" x14ac:dyDescent="0.25">
      <c r="B101"/>
      <c r="C101"/>
      <c r="D101"/>
      <c r="M101" s="101">
        <f>IF('Reference dates (hide)'!I86&lt;&gt;"",'Reference dates (hide)'!I86,"")</f>
        <v>44130</v>
      </c>
      <c r="N101" s="99">
        <f t="shared" si="0"/>
        <v>2020</v>
      </c>
      <c r="O101" s="8">
        <f t="shared" si="1"/>
        <v>44</v>
      </c>
      <c r="P101">
        <f ca="1">'Reference dates (hide)'!K86</f>
        <v>1.968503937007874E-2</v>
      </c>
    </row>
    <row r="102" spans="2:16" x14ac:dyDescent="0.25">
      <c r="B102"/>
      <c r="C102"/>
      <c r="D102"/>
      <c r="M102" s="101">
        <f>IF('Reference dates (hide)'!I87&lt;&gt;"",'Reference dates (hide)'!I87,"")</f>
        <v>44137</v>
      </c>
      <c r="N102" s="99">
        <f t="shared" si="0"/>
        <v>2020</v>
      </c>
      <c r="O102" s="8">
        <f t="shared" si="1"/>
        <v>45</v>
      </c>
      <c r="P102">
        <f ca="1">'Reference dates (hide)'!K87</f>
        <v>1.968503937007874E-2</v>
      </c>
    </row>
    <row r="103" spans="2:16" x14ac:dyDescent="0.25">
      <c r="B103"/>
      <c r="C103"/>
      <c r="D103"/>
      <c r="M103" s="101">
        <f>IF('Reference dates (hide)'!I88&lt;&gt;"",'Reference dates (hide)'!I88,"")</f>
        <v>44144</v>
      </c>
      <c r="N103" s="99">
        <f t="shared" si="0"/>
        <v>2020</v>
      </c>
      <c r="O103" s="8">
        <f t="shared" si="1"/>
        <v>46</v>
      </c>
      <c r="P103">
        <f ca="1">'Reference dates (hide)'!K88</f>
        <v>1.968503937007874E-2</v>
      </c>
    </row>
    <row r="104" spans="2:16" x14ac:dyDescent="0.25">
      <c r="B104"/>
      <c r="C104"/>
      <c r="D104"/>
      <c r="M104" s="101">
        <f>IF('Reference dates (hide)'!I89&lt;&gt;"",'Reference dates (hide)'!I89,"")</f>
        <v>44151</v>
      </c>
      <c r="N104" s="99">
        <f t="shared" si="0"/>
        <v>2020</v>
      </c>
      <c r="O104" s="8">
        <f t="shared" si="1"/>
        <v>47</v>
      </c>
      <c r="P104">
        <f ca="1">'Reference dates (hide)'!K89</f>
        <v>1.968503937007874E-2</v>
      </c>
    </row>
    <row r="105" spans="2:16" x14ac:dyDescent="0.25">
      <c r="B105"/>
      <c r="C105"/>
      <c r="D105"/>
      <c r="M105" s="101">
        <f>IF('Reference dates (hide)'!I90&lt;&gt;"",'Reference dates (hide)'!I90,"")</f>
        <v>44158</v>
      </c>
      <c r="N105" s="99">
        <f t="shared" si="0"/>
        <v>2020</v>
      </c>
      <c r="O105" s="8">
        <f t="shared" si="1"/>
        <v>48</v>
      </c>
      <c r="P105">
        <f ca="1">'Reference dates (hide)'!K90</f>
        <v>1.968503937007874E-2</v>
      </c>
    </row>
    <row r="106" spans="2:16" x14ac:dyDescent="0.25">
      <c r="B106"/>
      <c r="C106"/>
      <c r="D106"/>
      <c r="M106" s="101">
        <f>IF('Reference dates (hide)'!I91&lt;&gt;"",'Reference dates (hide)'!I91,"")</f>
        <v>44165</v>
      </c>
      <c r="N106" s="99">
        <f t="shared" si="0"/>
        <v>2020</v>
      </c>
      <c r="O106" s="8">
        <f t="shared" si="1"/>
        <v>49</v>
      </c>
      <c r="P106">
        <f ca="1">'Reference dates (hide)'!K91</f>
        <v>1.968503937007874E-2</v>
      </c>
    </row>
    <row r="107" spans="2:16" x14ac:dyDescent="0.25">
      <c r="B107"/>
      <c r="C107"/>
      <c r="D107"/>
      <c r="M107" s="101">
        <f>IF('Reference dates (hide)'!I92&lt;&gt;"",'Reference dates (hide)'!I92,"")</f>
        <v>44172</v>
      </c>
      <c r="N107" s="99">
        <f t="shared" si="0"/>
        <v>2020</v>
      </c>
      <c r="O107" s="8">
        <f t="shared" si="1"/>
        <v>50</v>
      </c>
      <c r="P107">
        <f ca="1">'Reference dates (hide)'!K92</f>
        <v>1.968503937007874E-2</v>
      </c>
    </row>
    <row r="108" spans="2:16" x14ac:dyDescent="0.25">
      <c r="B108"/>
      <c r="C108"/>
      <c r="D108"/>
      <c r="M108" s="101">
        <f>IF('Reference dates (hide)'!I93&lt;&gt;"",'Reference dates (hide)'!I93,"")</f>
        <v>44179</v>
      </c>
      <c r="N108" s="99">
        <f t="shared" si="0"/>
        <v>2020</v>
      </c>
      <c r="O108" s="8">
        <f t="shared" si="1"/>
        <v>51</v>
      </c>
      <c r="P108">
        <f ca="1">'Reference dates (hide)'!K93</f>
        <v>1.968503937007874E-2</v>
      </c>
    </row>
    <row r="109" spans="2:16" x14ac:dyDescent="0.25">
      <c r="B109"/>
      <c r="C109"/>
      <c r="D109"/>
      <c r="M109" s="101">
        <f>IF('Reference dates (hide)'!I94&lt;&gt;"",'Reference dates (hide)'!I94,"")</f>
        <v>44186</v>
      </c>
      <c r="N109" s="99">
        <f t="shared" si="0"/>
        <v>2020</v>
      </c>
      <c r="O109" s="8">
        <f t="shared" si="1"/>
        <v>52</v>
      </c>
      <c r="P109">
        <f ca="1">'Reference dates (hide)'!K94</f>
        <v>1.5748031496062992E-2</v>
      </c>
    </row>
    <row r="110" spans="2:16" x14ac:dyDescent="0.25">
      <c r="B110"/>
      <c r="C110"/>
      <c r="D110"/>
      <c r="M110" s="101">
        <f>IF('Reference dates (hide)'!I95&lt;&gt;"",'Reference dates (hide)'!I95,"")</f>
        <v>44193</v>
      </c>
      <c r="N110" s="99">
        <f t="shared" si="0"/>
        <v>2020</v>
      </c>
      <c r="O110" s="8">
        <f t="shared" si="1"/>
        <v>53</v>
      </c>
      <c r="P110">
        <f ca="1">'Reference dates (hide)'!K95</f>
        <v>1.1811023622047244E-2</v>
      </c>
    </row>
    <row r="111" spans="2:16" x14ac:dyDescent="0.25">
      <c r="M111">
        <f>MAX(T58:AB110)</f>
        <v>0</v>
      </c>
    </row>
    <row r="118" spans="26:26" x14ac:dyDescent="0.25">
      <c r="Z118" s="121"/>
    </row>
    <row r="119" spans="26:26" x14ac:dyDescent="0.25">
      <c r="Z119" s="121"/>
    </row>
  </sheetData>
  <pageMargins left="0.7" right="0.7" top="0.75" bottom="0.75" header="0.3" footer="0.3"/>
  <legacy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8"/>
  <dimension ref="A1:AN119"/>
  <sheetViews>
    <sheetView zoomScaleNormal="100" workbookViewId="0">
      <selection activeCell="B21" sqref="B21"/>
    </sheetView>
  </sheetViews>
  <sheetFormatPr defaultRowHeight="13.8" x14ac:dyDescent="0.25"/>
  <cols>
    <col min="1" max="1" width="27.69921875" bestFit="1" customWidth="1"/>
    <col min="2" max="2" width="16.8984375" style="6" customWidth="1"/>
    <col min="3" max="3" width="12.09765625" style="6" bestFit="1" customWidth="1"/>
    <col min="4" max="4" width="16.09765625" style="7" bestFit="1" customWidth="1"/>
    <col min="11" max="11" width="10.8984375" bestFit="1" customWidth="1"/>
    <col min="13" max="13" width="16.69921875" bestFit="1" customWidth="1"/>
    <col min="17" max="17" width="6.8984375" customWidth="1"/>
    <col min="26" max="26" width="11.8984375" bestFit="1" customWidth="1"/>
  </cols>
  <sheetData>
    <row r="1" spans="1:19" x14ac:dyDescent="0.25">
      <c r="A1" t="s">
        <v>1064</v>
      </c>
      <c r="B1" s="6" t="s">
        <v>931</v>
      </c>
      <c r="C1" s="6" t="b">
        <f>ISERR(SUM(B25:M49))</f>
        <v>0</v>
      </c>
    </row>
    <row r="2" spans="1:19" x14ac:dyDescent="0.25">
      <c r="A2" t="s">
        <v>932</v>
      </c>
      <c r="B2"/>
    </row>
    <row r="3" spans="1:19" x14ac:dyDescent="0.25">
      <c r="B3" s="6" t="s">
        <v>933</v>
      </c>
      <c r="F3" t="s">
        <v>934</v>
      </c>
      <c r="J3" t="s">
        <v>935</v>
      </c>
    </row>
    <row r="4" spans="1:19" x14ac:dyDescent="0.25">
      <c r="B4" s="6" t="s">
        <v>936</v>
      </c>
      <c r="C4" s="6" t="s">
        <v>937</v>
      </c>
      <c r="D4" s="7" t="s">
        <v>1208</v>
      </c>
      <c r="F4" s="6" t="s">
        <v>936</v>
      </c>
      <c r="G4" s="6" t="s">
        <v>937</v>
      </c>
      <c r="H4" s="7" t="s">
        <v>1024</v>
      </c>
      <c r="J4" s="6" t="s">
        <v>936</v>
      </c>
      <c r="K4" s="6" t="s">
        <v>937</v>
      </c>
      <c r="L4" s="7" t="s">
        <v>1024</v>
      </c>
    </row>
    <row r="5" spans="1:19" x14ac:dyDescent="0.25">
      <c r="A5" t="s">
        <v>5</v>
      </c>
      <c r="B5" s="8"/>
      <c r="C5" s="6">
        <f>B5*52</f>
        <v>0</v>
      </c>
      <c r="D5" s="7">
        <f>IF($B$20=1,C5/$B$21,C5)</f>
        <v>0</v>
      </c>
      <c r="G5">
        <f>F5*$D5</f>
        <v>0</v>
      </c>
      <c r="H5">
        <f>G5/52</f>
        <v>0</v>
      </c>
      <c r="K5">
        <f>J5*D5</f>
        <v>0</v>
      </c>
      <c r="L5">
        <f>K5/52</f>
        <v>0</v>
      </c>
    </row>
    <row r="6" spans="1:19" x14ac:dyDescent="0.25">
      <c r="A6" t="s">
        <v>1209</v>
      </c>
      <c r="B6" s="8"/>
      <c r="D6" s="7">
        <f>IF($B$20=1,B6/$B$21,B6)</f>
        <v>0</v>
      </c>
      <c r="G6">
        <f>F6*52</f>
        <v>0</v>
      </c>
      <c r="H6">
        <f>F6</f>
        <v>0</v>
      </c>
      <c r="K6">
        <f>J6*52</f>
        <v>0</v>
      </c>
      <c r="L6">
        <f>J6</f>
        <v>0</v>
      </c>
    </row>
    <row r="7" spans="1:19" x14ac:dyDescent="0.25">
      <c r="A7" t="s">
        <v>1210</v>
      </c>
      <c r="B7" s="8"/>
      <c r="D7" s="7">
        <f>IF($B$20=1,B7/$B$21,B7)</f>
        <v>0</v>
      </c>
    </row>
    <row r="8" spans="1:19" x14ac:dyDescent="0.25">
      <c r="A8" t="s">
        <v>9</v>
      </c>
      <c r="B8"/>
    </row>
    <row r="9" spans="1:19" x14ac:dyDescent="0.25">
      <c r="A9" t="s">
        <v>964</v>
      </c>
      <c r="B9"/>
    </row>
    <row r="10" spans="1:19" x14ac:dyDescent="0.25">
      <c r="A10" t="s">
        <v>940</v>
      </c>
      <c r="B10"/>
      <c r="C10" s="6">
        <f xml:space="preserve"> NASR*NASRDC</f>
        <v>0</v>
      </c>
      <c r="G10">
        <f xml:space="preserve"> FU_NASR*FU_NASRDC</f>
        <v>0</v>
      </c>
      <c r="K10">
        <f xml:space="preserve"> IP_NASR*IP_NASRDC</f>
        <v>0</v>
      </c>
    </row>
    <row r="11" spans="1:19" x14ac:dyDescent="0.25">
      <c r="A11" t="s">
        <v>965</v>
      </c>
      <c r="B11"/>
    </row>
    <row r="12" spans="1:19" x14ac:dyDescent="0.25">
      <c r="A12" t="s">
        <v>859</v>
      </c>
      <c r="B12"/>
    </row>
    <row r="13" spans="1:19" x14ac:dyDescent="0.25">
      <c r="A13" t="s">
        <v>941</v>
      </c>
      <c r="B13" s="8"/>
      <c r="D13" s="7">
        <f>IF($B$20=1,B13/$B$21,B13)</f>
        <v>0</v>
      </c>
      <c r="G13">
        <f>F13*52</f>
        <v>0</v>
      </c>
      <c r="H13" s="7">
        <f>IF($B$20=1,F13/$B$21,F13)</f>
        <v>0</v>
      </c>
      <c r="K13">
        <f>J13*52</f>
        <v>0</v>
      </c>
      <c r="L13" s="7">
        <f>IF($B$20=1,J13/$B$21,J13)</f>
        <v>0</v>
      </c>
    </row>
    <row r="14" spans="1:19" x14ac:dyDescent="0.25">
      <c r="A14" t="s">
        <v>1275</v>
      </c>
      <c r="B14" s="8"/>
      <c r="H14" s="7"/>
      <c r="L14" s="7"/>
    </row>
    <row r="15" spans="1:19" x14ac:dyDescent="0.25">
      <c r="A15" t="s">
        <v>1278</v>
      </c>
      <c r="B15"/>
      <c r="D15" s="7">
        <f>IF($B$20=1,B15/$B$21,B15)</f>
        <v>0</v>
      </c>
      <c r="H15" s="7">
        <f>IF($B$20=1,F15/$B$21,F15)</f>
        <v>0</v>
      </c>
      <c r="L15" s="7">
        <f>IF($B$20=1,J15/$B$21,J15)</f>
        <v>0</v>
      </c>
    </row>
    <row r="16" spans="1:19" x14ac:dyDescent="0.25">
      <c r="A16" t="s">
        <v>861</v>
      </c>
      <c r="B16" s="8"/>
      <c r="D16" s="7">
        <f>IF($B$20=1,B16/$B$21,B16)</f>
        <v>0</v>
      </c>
      <c r="H16" s="7">
        <f>IF($B$20=1,F16/$B$21,F16)</f>
        <v>0</v>
      </c>
      <c r="L16" s="7">
        <f>IF($B$20=1,J16/$B$21,J16)</f>
        <v>0</v>
      </c>
      <c r="S16" t="s">
        <v>1213</v>
      </c>
    </row>
    <row r="17" spans="1:20" x14ac:dyDescent="0.25">
      <c r="A17" t="s">
        <v>7</v>
      </c>
      <c r="B17" s="8"/>
      <c r="D17" s="7">
        <f>IF($B$20=1,B17/$B$21,B17)</f>
        <v>0</v>
      </c>
      <c r="H17" s="7">
        <f>IF($B$20=1,F17/$B$21,F17)</f>
        <v>0</v>
      </c>
      <c r="L17" s="7">
        <f>IF($B$20=1,J17/$B$21,J17)</f>
        <v>0</v>
      </c>
      <c r="S17" t="s">
        <v>1159</v>
      </c>
    </row>
    <row r="18" spans="1:20" x14ac:dyDescent="0.25">
      <c r="A18" t="s">
        <v>1081</v>
      </c>
      <c r="B18"/>
      <c r="S18" t="s">
        <v>1187</v>
      </c>
    </row>
    <row r="19" spans="1:20" x14ac:dyDescent="0.25">
      <c r="A19" t="s">
        <v>863</v>
      </c>
      <c r="B19"/>
      <c r="S19" t="s">
        <v>1214</v>
      </c>
      <c r="T19" t="s">
        <v>1215</v>
      </c>
    </row>
    <row r="20" spans="1:20" x14ac:dyDescent="0.25">
      <c r="A20" t="s">
        <v>942</v>
      </c>
      <c r="B20"/>
      <c r="R20" t="s">
        <v>947</v>
      </c>
      <c r="S20" t="s">
        <v>984</v>
      </c>
      <c r="T20" t="s">
        <v>1216</v>
      </c>
    </row>
    <row r="21" spans="1:20" x14ac:dyDescent="0.25">
      <c r="A21" t="s">
        <v>943</v>
      </c>
      <c r="B21">
        <v>1</v>
      </c>
      <c r="D21" s="12"/>
      <c r="S21" t="s">
        <v>985</v>
      </c>
      <c r="T21" t="s">
        <v>1216</v>
      </c>
    </row>
    <row r="22" spans="1:20" x14ac:dyDescent="0.25">
      <c r="H22">
        <f>F22*$D$5</f>
        <v>0</v>
      </c>
      <c r="L22">
        <f>J22*$D$5</f>
        <v>0</v>
      </c>
      <c r="S22" t="s">
        <v>1217</v>
      </c>
      <c r="T22" t="s">
        <v>1218</v>
      </c>
    </row>
    <row r="23" spans="1:20" x14ac:dyDescent="0.25">
      <c r="S23" t="s">
        <v>1219</v>
      </c>
      <c r="T23" t="s">
        <v>1218</v>
      </c>
    </row>
    <row r="24" spans="1:20" x14ac:dyDescent="0.25">
      <c r="D24" s="7" t="s">
        <v>1023</v>
      </c>
      <c r="F24" t="s">
        <v>901</v>
      </c>
      <c r="G24" t="s">
        <v>1022</v>
      </c>
      <c r="H24" s="7" t="s">
        <v>1023</v>
      </c>
      <c r="J24" t="s">
        <v>901</v>
      </c>
      <c r="K24" t="s">
        <v>1022</v>
      </c>
      <c r="L24" s="7" t="s">
        <v>1023</v>
      </c>
      <c r="R24" t="s">
        <v>941</v>
      </c>
      <c r="S24" t="s">
        <v>25</v>
      </c>
      <c r="T24" t="s">
        <v>1218</v>
      </c>
    </row>
    <row r="25" spans="1:20" x14ac:dyDescent="0.25">
      <c r="A25" t="s">
        <v>944</v>
      </c>
      <c r="B25" s="6">
        <f>IF(B17-B16&lt;0,0,B17-B16)</f>
        <v>0</v>
      </c>
      <c r="D25" s="6">
        <f>IF(D17-D16&lt;0,0,D17-D16)</f>
        <v>0</v>
      </c>
      <c r="F25" s="8">
        <f>F5*B25</f>
        <v>0</v>
      </c>
      <c r="G25" s="8">
        <v>0</v>
      </c>
      <c r="H25" s="8"/>
      <c r="I25" s="8"/>
      <c r="J25" s="8">
        <f>(J5*B25)+IF(J17-J16&lt;=0,0,J17-J16)</f>
        <v>0</v>
      </c>
      <c r="K25" s="8">
        <f>IF(J17-J16&lt;=0,0,J17-J16)</f>
        <v>0</v>
      </c>
      <c r="L25" s="8"/>
      <c r="S25" t="s">
        <v>1220</v>
      </c>
      <c r="T25" t="s">
        <v>1218</v>
      </c>
    </row>
    <row r="26" spans="1:20" x14ac:dyDescent="0.25">
      <c r="A26" t="s">
        <v>945</v>
      </c>
      <c r="B26" s="9">
        <f>(1-NASLDC)*NASL</f>
        <v>0</v>
      </c>
      <c r="D26" s="11"/>
      <c r="F26" s="8">
        <f>FU_NASL*(1-FU_NASLDC)</f>
        <v>0</v>
      </c>
      <c r="G26" s="8"/>
      <c r="H26" s="8"/>
      <c r="I26" s="8"/>
      <c r="J26" s="8">
        <f>IP_NASL*(1-IP_NASLDC)</f>
        <v>0</v>
      </c>
      <c r="K26" s="8"/>
      <c r="L26" s="8"/>
      <c r="R26" t="s">
        <v>1221</v>
      </c>
      <c r="S26" t="s">
        <v>25</v>
      </c>
      <c r="T26" t="s">
        <v>1218</v>
      </c>
    </row>
    <row r="27" spans="1:20" x14ac:dyDescent="0.25">
      <c r="A27" t="s">
        <v>946</v>
      </c>
      <c r="B27" s="6">
        <f>NASR*(1-NASRDC)</f>
        <v>0</v>
      </c>
      <c r="D27" s="11"/>
      <c r="F27" s="8">
        <f>FU_NASR*(1-FU_NASRDC)</f>
        <v>0</v>
      </c>
      <c r="G27" s="8"/>
      <c r="H27" s="8"/>
      <c r="I27" s="8"/>
      <c r="J27" s="8">
        <f>IP_NASR*(1-IP_NASRDC)</f>
        <v>0</v>
      </c>
      <c r="K27" s="8"/>
      <c r="L27" s="8"/>
      <c r="S27" t="s">
        <v>1220</v>
      </c>
      <c r="T27" t="s">
        <v>1218</v>
      </c>
    </row>
    <row r="28" spans="1:20" x14ac:dyDescent="0.25">
      <c r="D28" s="11"/>
      <c r="F28" s="8"/>
      <c r="G28" s="8"/>
      <c r="H28" s="8"/>
      <c r="I28" s="8"/>
      <c r="J28" s="8"/>
      <c r="K28" s="8"/>
      <c r="L28" s="8"/>
      <c r="R28" t="s">
        <v>1093</v>
      </c>
      <c r="S28" t="s">
        <v>984</v>
      </c>
      <c r="T28" t="s">
        <v>1216</v>
      </c>
    </row>
    <row r="29" spans="1:20" ht="14.4" x14ac:dyDescent="0.3">
      <c r="A29" s="10" t="s">
        <v>947</v>
      </c>
      <c r="D29" s="12"/>
      <c r="F29" s="8"/>
      <c r="G29" s="8"/>
      <c r="H29" s="8"/>
      <c r="I29" s="8"/>
      <c r="J29" s="8"/>
      <c r="K29" s="8"/>
      <c r="L29" s="8"/>
      <c r="S29" t="s">
        <v>985</v>
      </c>
      <c r="T29" t="s">
        <v>1216</v>
      </c>
    </row>
    <row r="30" spans="1:20" x14ac:dyDescent="0.25">
      <c r="A30" t="s">
        <v>948</v>
      </c>
      <c r="B30" s="6">
        <f>B5*(NASL+NASR+ROTT)</f>
        <v>0</v>
      </c>
      <c r="F30" s="8">
        <f>H5*(F8+F10+F18)</f>
        <v>0</v>
      </c>
      <c r="G30" s="8"/>
      <c r="H30" s="8"/>
      <c r="I30" s="8"/>
      <c r="J30" s="8">
        <f>L5*(J8+J10+J18)</f>
        <v>0</v>
      </c>
      <c r="K30" s="8"/>
      <c r="L30" s="8"/>
    </row>
    <row r="31" spans="1:20" x14ac:dyDescent="0.25">
      <c r="A31" t="s">
        <v>949</v>
      </c>
      <c r="B31" s="6">
        <f>B5*(B26+B27)</f>
        <v>0</v>
      </c>
      <c r="F31" s="8">
        <f>H5*(F26+F27)</f>
        <v>0</v>
      </c>
      <c r="G31" s="8"/>
      <c r="H31" s="8"/>
      <c r="I31" s="8"/>
      <c r="J31" s="8">
        <f>L5*(J26+J27)</f>
        <v>0</v>
      </c>
      <c r="K31" s="8"/>
      <c r="L31" s="8"/>
      <c r="R31" t="s">
        <v>941</v>
      </c>
      <c r="S31" t="s">
        <v>25</v>
      </c>
      <c r="T31" t="s">
        <v>1218</v>
      </c>
    </row>
    <row r="32" spans="1:20" x14ac:dyDescent="0.25">
      <c r="F32" s="8"/>
      <c r="G32" s="8"/>
      <c r="H32" s="8"/>
      <c r="I32" s="8"/>
      <c r="J32" s="8"/>
      <c r="K32" s="8"/>
      <c r="L32" s="8"/>
      <c r="S32" t="s">
        <v>1220</v>
      </c>
      <c r="T32" t="s">
        <v>1218</v>
      </c>
    </row>
    <row r="33" spans="1:20" x14ac:dyDescent="0.25">
      <c r="A33" t="s">
        <v>950</v>
      </c>
      <c r="B33" s="6">
        <f>B31-B30+B5</f>
        <v>0</v>
      </c>
      <c r="C33" s="6">
        <f>B33*52</f>
        <v>0</v>
      </c>
      <c r="D33" s="7">
        <f>IF($B$20=1,C33/$B$21,C33)</f>
        <v>0</v>
      </c>
      <c r="F33" s="8">
        <f>(F31-F30+H5)/52</f>
        <v>0</v>
      </c>
      <c r="G33" s="8"/>
      <c r="H33" s="8">
        <f>(F31-F30+H5)*52</f>
        <v>0</v>
      </c>
      <c r="I33" s="8"/>
      <c r="J33" s="8">
        <f>(J31-J30+L5)/52</f>
        <v>0</v>
      </c>
      <c r="K33" s="8"/>
      <c r="L33" s="8">
        <f>(J31-J30+L5)*52</f>
        <v>0</v>
      </c>
      <c r="R33" t="s">
        <v>1221</v>
      </c>
      <c r="S33" t="s">
        <v>25</v>
      </c>
      <c r="T33" t="s">
        <v>1218</v>
      </c>
    </row>
    <row r="34" spans="1:20" x14ac:dyDescent="0.25">
      <c r="F34" s="8"/>
      <c r="G34" s="8"/>
      <c r="H34" s="8"/>
      <c r="I34" s="8"/>
      <c r="J34" s="8"/>
      <c r="K34" s="8"/>
      <c r="L34" s="8"/>
      <c r="S34" t="s">
        <v>1220</v>
      </c>
      <c r="T34" t="s">
        <v>1218</v>
      </c>
    </row>
    <row r="35" spans="1:20" x14ac:dyDescent="0.25">
      <c r="F35" s="8"/>
      <c r="G35" s="8"/>
      <c r="H35" s="8"/>
      <c r="I35" s="8"/>
      <c r="J35" s="8"/>
      <c r="K35" s="8"/>
      <c r="L35" s="8"/>
      <c r="R35" t="s">
        <v>1093</v>
      </c>
      <c r="S35" t="s">
        <v>984</v>
      </c>
      <c r="T35" t="s">
        <v>1218</v>
      </c>
    </row>
    <row r="36" spans="1:20" ht="14.4" x14ac:dyDescent="0.3">
      <c r="A36" s="10" t="s">
        <v>951</v>
      </c>
      <c r="F36" s="8"/>
      <c r="G36" s="8"/>
      <c r="H36" s="8"/>
      <c r="I36" s="8"/>
      <c r="J36" s="8"/>
      <c r="K36" s="8"/>
      <c r="L36" s="8"/>
      <c r="S36" t="s">
        <v>985</v>
      </c>
      <c r="T36" t="s">
        <v>1218</v>
      </c>
    </row>
    <row r="37" spans="1:20" x14ac:dyDescent="0.25">
      <c r="A37" t="s">
        <v>948</v>
      </c>
      <c r="B37" s="6">
        <f>B13*(B8+B10+B18)</f>
        <v>0</v>
      </c>
      <c r="F37" s="8">
        <f>F13*(F8+F10)</f>
        <v>0</v>
      </c>
      <c r="G37" s="8"/>
      <c r="H37" s="8"/>
      <c r="I37" s="8"/>
      <c r="J37" s="8">
        <f>J13*(J8+J10)</f>
        <v>0</v>
      </c>
      <c r="K37" s="8"/>
      <c r="L37" s="8"/>
      <c r="S37" t="s">
        <v>1222</v>
      </c>
      <c r="T37" t="s">
        <v>1218</v>
      </c>
    </row>
    <row r="38" spans="1:20" x14ac:dyDescent="0.25">
      <c r="A38" t="s">
        <v>949</v>
      </c>
      <c r="B38" s="6">
        <f>B13*(B26+B27)</f>
        <v>0</v>
      </c>
      <c r="F38" s="8">
        <f>F13*(F26+F27)</f>
        <v>0</v>
      </c>
      <c r="G38" s="8"/>
      <c r="H38" s="8"/>
      <c r="I38" s="8"/>
      <c r="J38" s="8">
        <f>J13*(J26+J27)</f>
        <v>0</v>
      </c>
      <c r="K38" s="8"/>
      <c r="L38" s="8"/>
    </row>
    <row r="39" spans="1:20" x14ac:dyDescent="0.25">
      <c r="F39" s="8"/>
      <c r="G39" s="8"/>
      <c r="H39" s="8"/>
      <c r="I39" s="8"/>
      <c r="J39" s="8"/>
      <c r="K39" s="8"/>
      <c r="L39" s="8"/>
      <c r="R39" t="s">
        <v>1203</v>
      </c>
      <c r="T39" t="s">
        <v>1218</v>
      </c>
    </row>
    <row r="40" spans="1:20" x14ac:dyDescent="0.25">
      <c r="A40" t="s">
        <v>952</v>
      </c>
      <c r="B40" s="6">
        <f>B13+B38-B37</f>
        <v>0</v>
      </c>
      <c r="C40" s="6">
        <f>B40*52</f>
        <v>0</v>
      </c>
      <c r="D40" s="7">
        <f>IF($B$20=1,C40/$B$21,C40)</f>
        <v>0</v>
      </c>
      <c r="F40" s="8">
        <f>F13+F38-F37</f>
        <v>0</v>
      </c>
      <c r="G40" s="8"/>
      <c r="H40" s="8">
        <f>F40*52</f>
        <v>0</v>
      </c>
      <c r="I40" s="8"/>
      <c r="J40" s="8">
        <f>J13+J38-J37</f>
        <v>0</v>
      </c>
      <c r="K40" s="8"/>
      <c r="L40" s="8">
        <f>J40*52</f>
        <v>0</v>
      </c>
    </row>
    <row r="41" spans="1:20" x14ac:dyDescent="0.25">
      <c r="F41" s="8"/>
      <c r="G41" s="8"/>
      <c r="H41" s="8"/>
      <c r="I41" s="8"/>
      <c r="J41" s="8"/>
      <c r="K41" s="8"/>
      <c r="L41" s="8"/>
    </row>
    <row r="42" spans="1:20" x14ac:dyDescent="0.25">
      <c r="F42" s="8"/>
      <c r="G42" s="8"/>
      <c r="H42" s="8"/>
      <c r="I42" s="8"/>
      <c r="J42" s="8"/>
      <c r="K42" s="8"/>
      <c r="L42" s="8"/>
    </row>
    <row r="43" spans="1:20" ht="14.4" x14ac:dyDescent="0.3">
      <c r="A43" s="10" t="s">
        <v>953</v>
      </c>
      <c r="F43" s="8"/>
      <c r="G43" s="8"/>
      <c r="H43" s="8"/>
      <c r="I43" s="8"/>
      <c r="J43" s="8"/>
      <c r="K43" s="8"/>
      <c r="L43" s="8"/>
    </row>
    <row r="44" spans="1:20" x14ac:dyDescent="0.25">
      <c r="A44" t="s">
        <v>954</v>
      </c>
      <c r="F44" s="8"/>
      <c r="G44" s="8"/>
      <c r="H44" s="8"/>
      <c r="I44" s="8"/>
      <c r="J44" s="8"/>
      <c r="K44" s="8"/>
      <c r="L44" s="8"/>
    </row>
    <row r="45" spans="1:20" x14ac:dyDescent="0.25">
      <c r="F45" s="8"/>
      <c r="G45" s="8"/>
      <c r="H45" s="8"/>
      <c r="I45" s="8"/>
      <c r="J45" s="8"/>
      <c r="K45" s="8"/>
      <c r="L45" s="8"/>
    </row>
    <row r="46" spans="1:20" x14ac:dyDescent="0.25">
      <c r="A46" t="s">
        <v>948</v>
      </c>
      <c r="B46" s="6">
        <f>B25*(B8+B10+B18)</f>
        <v>0</v>
      </c>
      <c r="F46" s="8">
        <f>F25*(F8+F10)</f>
        <v>0</v>
      </c>
      <c r="G46" s="8"/>
      <c r="H46" s="8"/>
      <c r="I46" s="8"/>
      <c r="J46" s="8">
        <f>J25*(J8+J10)</f>
        <v>0</v>
      </c>
      <c r="K46" s="8"/>
      <c r="L46" s="8"/>
    </row>
    <row r="47" spans="1:20" x14ac:dyDescent="0.25">
      <c r="A47" t="s">
        <v>949</v>
      </c>
      <c r="B47" s="6">
        <f>B25*(B26+B27)</f>
        <v>0</v>
      </c>
      <c r="F47" s="8">
        <f>F25*(F26+F27)</f>
        <v>0</v>
      </c>
      <c r="G47" s="8"/>
      <c r="H47" s="8"/>
      <c r="I47" s="8"/>
      <c r="J47" s="8">
        <f>J25*(J26+J27)</f>
        <v>0</v>
      </c>
      <c r="K47" s="8"/>
      <c r="L47" s="8"/>
    </row>
    <row r="48" spans="1:20" x14ac:dyDescent="0.25">
      <c r="F48" s="8" t="s">
        <v>901</v>
      </c>
      <c r="G48" s="8"/>
      <c r="H48" s="8"/>
      <c r="I48" s="8"/>
      <c r="J48" s="8" t="s">
        <v>901</v>
      </c>
      <c r="K48" s="8"/>
      <c r="L48" s="8"/>
    </row>
    <row r="49" spans="1:40" x14ac:dyDescent="0.25">
      <c r="A49" t="s">
        <v>955</v>
      </c>
      <c r="B49" s="6">
        <f>B25+B47-B46</f>
        <v>0</v>
      </c>
      <c r="C49" s="6">
        <f>B49</f>
        <v>0</v>
      </c>
      <c r="D49" s="7">
        <f>IF($B$20=1,C49/$B$21,C49)</f>
        <v>0</v>
      </c>
      <c r="F49" s="8">
        <f>F25+F47-F46</f>
        <v>0</v>
      </c>
      <c r="G49" s="8">
        <f>F49</f>
        <v>0</v>
      </c>
      <c r="H49" s="8">
        <f>IF($F$20=1,G49/$F$21,G49)</f>
        <v>0</v>
      </c>
      <c r="I49" s="8"/>
      <c r="J49" s="8">
        <f>J25+J47-J46</f>
        <v>0</v>
      </c>
      <c r="K49" s="8">
        <f>J49</f>
        <v>0</v>
      </c>
      <c r="L49" s="8">
        <f>IF($J$20=1,K49/$J$21,K49)</f>
        <v>0</v>
      </c>
    </row>
    <row r="50" spans="1:40" x14ac:dyDescent="0.25">
      <c r="F50" t="s">
        <v>1022</v>
      </c>
      <c r="J50" t="s">
        <v>1022</v>
      </c>
    </row>
    <row r="51" spans="1:40" x14ac:dyDescent="0.25">
      <c r="F51">
        <v>0</v>
      </c>
      <c r="H51">
        <v>0</v>
      </c>
      <c r="J51">
        <f>K25*(1+(J8*(1-J9))-(J8+J10+J18)+(J10*(1-J11)))</f>
        <v>0</v>
      </c>
      <c r="K51">
        <f>J51</f>
        <v>0</v>
      </c>
      <c r="L51" s="8">
        <f>IF($J$20=1,K51/$J$21,K51)</f>
        <v>0</v>
      </c>
    </row>
    <row r="52" spans="1:40" x14ac:dyDescent="0.25">
      <c r="A52" s="1" t="s">
        <v>956</v>
      </c>
      <c r="M52" t="s">
        <v>1016</v>
      </c>
      <c r="Z52">
        <f>1-(NASL*NASLDC)</f>
        <v>1</v>
      </c>
    </row>
    <row r="53" spans="1:40" x14ac:dyDescent="0.25">
      <c r="A53" t="s">
        <v>1141</v>
      </c>
      <c r="B53" s="92" t="s">
        <v>1142</v>
      </c>
    </row>
    <row r="54" spans="1:40" x14ac:dyDescent="0.25">
      <c r="M54" t="s">
        <v>1207</v>
      </c>
      <c r="Q54">
        <f>(1-ROTT)*(1-(NASR*NASRDC) - (NASL*NASLDC))</f>
        <v>1</v>
      </c>
      <c r="R54">
        <f>(1-FU_ROTT)*(1-(FU_NASR*FU_NASRDC) - (FU_NASL*FU_NASLDC))</f>
        <v>1</v>
      </c>
      <c r="S54">
        <f>(1-IP_ROTT)*(1-(IP_NASR*IP_NASRDC) - (IP_NASL*IP_NASLDC))</f>
        <v>1</v>
      </c>
      <c r="Z54">
        <f>1-(NASL*NASLDC)</f>
        <v>1</v>
      </c>
      <c r="AA54">
        <f>1-(FU_NASL*FU_NASLDC)</f>
        <v>1</v>
      </c>
      <c r="AB54">
        <f>1-(IP_NASL*IP_NASLDC)</f>
        <v>1</v>
      </c>
    </row>
    <row r="55" spans="1:40" x14ac:dyDescent="0.25">
      <c r="A55" t="s">
        <v>1143</v>
      </c>
      <c r="B55" s="100">
        <f>'Reference dates (hide)'!B40</f>
        <v>43831</v>
      </c>
      <c r="C55" s="6" t="s">
        <v>1150</v>
      </c>
      <c r="G55" s="7"/>
      <c r="Q55" s="116" t="str">
        <f ca="1">IF(OFFSET('Control Sheet'!E$45,MID($A$1,6,LEN($A$1)-6),0,1,1)=0,"",OFFSET('Control Sheet'!E$45,MID($A$1,6,LEN($A$1)-6),0,1,1))</f>
        <v/>
      </c>
      <c r="R55" s="116" t="str">
        <f ca="1">IF(OFFSET('Control Sheet'!F$45,MID($A$1,6,LEN($A$1)-6),0,1,1)=0,"",OFFSET('Control Sheet'!F$45,MID($A$1,6,LEN($A$1)-6),0,1,1))</f>
        <v/>
      </c>
      <c r="S55" s="116" t="str">
        <f ca="1">IF(OFFSET('Control Sheet'!G$45,MID($A$1,6,LEN($A$1)-6),0,1,1)=0,"",OFFSET('Control Sheet'!G$45,MID($A$1,6,LEN($A$1)-6),0,1,1))</f>
        <v/>
      </c>
      <c r="T55" s="118" t="str">
        <f ca="1">IF(OFFSET('Control Sheet'!I$45,MID($A$1,6,LEN($A$1)-6),0,1,1)="0","",OFFSET('Control Sheet'!I$45,MID($A$1,6,LEN($A$1)-6),0,1,1))</f>
        <v/>
      </c>
      <c r="U55" s="118" t="str">
        <f ca="1">IF(OFFSET('Control Sheet'!J$45,MID($A$1,6,LEN($A$1)-6),0,1,1)=0,"",OFFSET('Control Sheet'!J$45,MID($A$1,6,LEN($A$1)-6),0,1,1))</f>
        <v/>
      </c>
      <c r="V55" s="118" t="str">
        <f ca="1">IF(OFFSET('Control Sheet'!K$45,MID($A$1,6,LEN($A$1)-6),0,1,1)=0,"",OFFSET('Control Sheet'!K$45,MID($A$1,6,LEN($A$1)-6),0,1,1))</f>
        <v/>
      </c>
    </row>
    <row r="56" spans="1:40" ht="14.4" x14ac:dyDescent="0.3">
      <c r="A56" t="s">
        <v>1202</v>
      </c>
      <c r="C56" s="6" t="s">
        <v>1204</v>
      </c>
      <c r="D56" s="6"/>
      <c r="E56" s="7"/>
      <c r="F56" t="s">
        <v>860</v>
      </c>
      <c r="N56" s="6"/>
      <c r="O56" s="6"/>
      <c r="P56" s="7"/>
      <c r="Q56" s="93" t="s">
        <v>1236</v>
      </c>
      <c r="R56" s="6"/>
      <c r="T56" s="107" t="s">
        <v>1093</v>
      </c>
      <c r="Z56" s="93" t="s">
        <v>1212</v>
      </c>
      <c r="AC56" s="108" t="s">
        <v>1276</v>
      </c>
      <c r="AF56" s="1" t="s">
        <v>1306</v>
      </c>
      <c r="AI56" t="s">
        <v>1275</v>
      </c>
      <c r="AL56" t="s">
        <v>1312</v>
      </c>
    </row>
    <row r="57" spans="1:40" x14ac:dyDescent="0.25">
      <c r="A57" s="1" t="s">
        <v>1144</v>
      </c>
      <c r="B57" s="1" t="s">
        <v>1151</v>
      </c>
      <c r="C57" s="94" t="s">
        <v>1203</v>
      </c>
      <c r="D57" s="94" t="s">
        <v>984</v>
      </c>
      <c r="E57" s="111" t="s">
        <v>985</v>
      </c>
      <c r="F57" s="1" t="s">
        <v>951</v>
      </c>
      <c r="G57" s="1" t="s">
        <v>1205</v>
      </c>
      <c r="H57" s="1" t="s">
        <v>1206</v>
      </c>
      <c r="I57" s="1" t="s">
        <v>25</v>
      </c>
      <c r="J57" s="1" t="s">
        <v>1220</v>
      </c>
      <c r="K57" s="1" t="s">
        <v>1266</v>
      </c>
      <c r="M57" s="1" t="s">
        <v>1144</v>
      </c>
      <c r="N57" s="94" t="s">
        <v>1159</v>
      </c>
      <c r="O57" s="94" t="s">
        <v>1151</v>
      </c>
      <c r="P57" s="7" t="s">
        <v>1201</v>
      </c>
      <c r="Q57" s="6" t="s">
        <v>1196</v>
      </c>
      <c r="R57" s="6" t="s">
        <v>1197</v>
      </c>
      <c r="S57" s="7" t="s">
        <v>1198</v>
      </c>
      <c r="T57" s="109" t="s">
        <v>1188</v>
      </c>
      <c r="U57" s="109" t="s">
        <v>1189</v>
      </c>
      <c r="V57" s="109" t="s">
        <v>1190</v>
      </c>
      <c r="W57" s="110" t="s">
        <v>1191</v>
      </c>
      <c r="X57" s="110" t="s">
        <v>1192</v>
      </c>
      <c r="Y57" s="110" t="s">
        <v>1193</v>
      </c>
      <c r="Z57" s="57">
        <v>1</v>
      </c>
      <c r="AA57">
        <v>2</v>
      </c>
      <c r="AB57">
        <v>3</v>
      </c>
      <c r="AC57" t="s">
        <v>1146</v>
      </c>
      <c r="AD57" t="s">
        <v>1147</v>
      </c>
      <c r="AE57" t="s">
        <v>1148</v>
      </c>
      <c r="AF57" t="s">
        <v>1146</v>
      </c>
      <c r="AG57" t="s">
        <v>1147</v>
      </c>
      <c r="AH57" t="s">
        <v>1148</v>
      </c>
      <c r="AI57" t="s">
        <v>1146</v>
      </c>
      <c r="AJ57" t="s">
        <v>1147</v>
      </c>
      <c r="AK57" t="s">
        <v>1148</v>
      </c>
      <c r="AL57" t="s">
        <v>1146</v>
      </c>
      <c r="AM57" t="s">
        <v>1147</v>
      </c>
      <c r="AN57" t="s">
        <v>1148</v>
      </c>
    </row>
    <row r="58" spans="1:40" x14ac:dyDescent="0.25">
      <c r="B58"/>
      <c r="C58"/>
      <c r="D58"/>
      <c r="M58" s="101">
        <f>IF(B55&lt;&gt;"",B55-WEEKDAY(B55,3),"")</f>
        <v>43829</v>
      </c>
      <c r="N58" s="99">
        <f>YEAR(M58)</f>
        <v>2019</v>
      </c>
      <c r="O58" s="8">
        <f>WEEKNUM(M58,21)</f>
        <v>1</v>
      </c>
      <c r="P58">
        <f ca="1">'Reference dates (hide)'!K43</f>
        <v>7.874015748031496E-3</v>
      </c>
    </row>
    <row r="59" spans="1:40" x14ac:dyDescent="0.25">
      <c r="B59"/>
      <c r="C59"/>
      <c r="D59"/>
      <c r="M59" s="101">
        <f>IF('Reference dates (hide)'!I44&lt;&gt;"",'Reference dates (hide)'!I44,"")</f>
        <v>43836</v>
      </c>
      <c r="N59" s="99">
        <f t="shared" ref="N59:N110" si="0">YEAR(M59)</f>
        <v>2020</v>
      </c>
      <c r="O59" s="8">
        <f t="shared" ref="O59:O110" si="1">WEEKNUM(M59,21)</f>
        <v>2</v>
      </c>
      <c r="P59">
        <f ca="1">'Reference dates (hide)'!K44</f>
        <v>1.968503937007874E-2</v>
      </c>
    </row>
    <row r="60" spans="1:40" x14ac:dyDescent="0.25">
      <c r="B60"/>
      <c r="C60"/>
      <c r="D60"/>
      <c r="M60" s="101">
        <f>IF('Reference dates (hide)'!I45&lt;&gt;"",'Reference dates (hide)'!I45,"")</f>
        <v>43843</v>
      </c>
      <c r="N60" s="99">
        <f t="shared" si="0"/>
        <v>2020</v>
      </c>
      <c r="O60" s="8">
        <f t="shared" si="1"/>
        <v>3</v>
      </c>
      <c r="P60">
        <f ca="1">'Reference dates (hide)'!K45</f>
        <v>1.968503937007874E-2</v>
      </c>
    </row>
    <row r="61" spans="1:40" x14ac:dyDescent="0.25">
      <c r="B61"/>
      <c r="C61"/>
      <c r="D61"/>
      <c r="M61" s="101">
        <f>IF('Reference dates (hide)'!I46&lt;&gt;"",'Reference dates (hide)'!I46,"")</f>
        <v>43850</v>
      </c>
      <c r="N61" s="99">
        <f t="shared" si="0"/>
        <v>2020</v>
      </c>
      <c r="O61" s="8">
        <f t="shared" si="1"/>
        <v>4</v>
      </c>
      <c r="P61">
        <f ca="1">'Reference dates (hide)'!K46</f>
        <v>1.968503937007874E-2</v>
      </c>
    </row>
    <row r="62" spans="1:40" x14ac:dyDescent="0.25">
      <c r="B62"/>
      <c r="C62"/>
      <c r="D62"/>
      <c r="M62" s="101">
        <f>IF('Reference dates (hide)'!I47&lt;&gt;"",'Reference dates (hide)'!I47,"")</f>
        <v>43857</v>
      </c>
      <c r="N62" s="99">
        <f t="shared" si="0"/>
        <v>2020</v>
      </c>
      <c r="O62" s="8">
        <f t="shared" si="1"/>
        <v>5</v>
      </c>
      <c r="P62">
        <f ca="1">'Reference dates (hide)'!K47</f>
        <v>1.968503937007874E-2</v>
      </c>
    </row>
    <row r="63" spans="1:40" x14ac:dyDescent="0.25">
      <c r="B63"/>
      <c r="C63"/>
      <c r="D63"/>
      <c r="M63" s="101">
        <f>IF('Reference dates (hide)'!I48&lt;&gt;"",'Reference dates (hide)'!I48,"")</f>
        <v>43864</v>
      </c>
      <c r="N63" s="99">
        <f t="shared" si="0"/>
        <v>2020</v>
      </c>
      <c r="O63" s="8">
        <f t="shared" si="1"/>
        <v>6</v>
      </c>
      <c r="P63">
        <f ca="1">'Reference dates (hide)'!K48</f>
        <v>1.968503937007874E-2</v>
      </c>
    </row>
    <row r="64" spans="1:40" x14ac:dyDescent="0.25">
      <c r="B64"/>
      <c r="C64"/>
      <c r="D64"/>
      <c r="M64" s="101">
        <f>IF('Reference dates (hide)'!I49&lt;&gt;"",'Reference dates (hide)'!I49,"")</f>
        <v>43871</v>
      </c>
      <c r="N64" s="99">
        <f t="shared" si="0"/>
        <v>2020</v>
      </c>
      <c r="O64" s="8">
        <f t="shared" si="1"/>
        <v>7</v>
      </c>
      <c r="P64">
        <f ca="1">'Reference dates (hide)'!K49</f>
        <v>1.968503937007874E-2</v>
      </c>
    </row>
    <row r="65" spans="2:16" x14ac:dyDescent="0.25">
      <c r="B65"/>
      <c r="C65"/>
      <c r="D65"/>
      <c r="M65" s="101">
        <f>IF('Reference dates (hide)'!I50&lt;&gt;"",'Reference dates (hide)'!I50,"")</f>
        <v>43878</v>
      </c>
      <c r="N65" s="99">
        <f t="shared" si="0"/>
        <v>2020</v>
      </c>
      <c r="O65" s="8">
        <f t="shared" si="1"/>
        <v>8</v>
      </c>
      <c r="P65">
        <f ca="1">'Reference dates (hide)'!K50</f>
        <v>1.968503937007874E-2</v>
      </c>
    </row>
    <row r="66" spans="2:16" x14ac:dyDescent="0.25">
      <c r="B66"/>
      <c r="C66"/>
      <c r="D66"/>
      <c r="M66" s="101">
        <f>IF('Reference dates (hide)'!I51&lt;&gt;"",'Reference dates (hide)'!I51,"")</f>
        <v>43885</v>
      </c>
      <c r="N66" s="99">
        <f t="shared" si="0"/>
        <v>2020</v>
      </c>
      <c r="O66" s="8">
        <f t="shared" si="1"/>
        <v>9</v>
      </c>
      <c r="P66">
        <f ca="1">'Reference dates (hide)'!K51</f>
        <v>1.968503937007874E-2</v>
      </c>
    </row>
    <row r="67" spans="2:16" x14ac:dyDescent="0.25">
      <c r="B67"/>
      <c r="C67"/>
      <c r="D67"/>
      <c r="M67" s="101">
        <f>IF('Reference dates (hide)'!I52&lt;&gt;"",'Reference dates (hide)'!I52,"")</f>
        <v>43892</v>
      </c>
      <c r="N67" s="99">
        <f t="shared" si="0"/>
        <v>2020</v>
      </c>
      <c r="O67" s="8">
        <f t="shared" si="1"/>
        <v>10</v>
      </c>
      <c r="P67">
        <f ca="1">'Reference dates (hide)'!K52</f>
        <v>1.968503937007874E-2</v>
      </c>
    </row>
    <row r="68" spans="2:16" x14ac:dyDescent="0.25">
      <c r="B68"/>
      <c r="C68"/>
      <c r="D68"/>
      <c r="M68" s="101">
        <f>IF('Reference dates (hide)'!I53&lt;&gt;"",'Reference dates (hide)'!I53,"")</f>
        <v>43899</v>
      </c>
      <c r="N68" s="99">
        <f t="shared" si="0"/>
        <v>2020</v>
      </c>
      <c r="O68" s="8">
        <f t="shared" si="1"/>
        <v>11</v>
      </c>
      <c r="P68">
        <f ca="1">'Reference dates (hide)'!K53</f>
        <v>1.968503937007874E-2</v>
      </c>
    </row>
    <row r="69" spans="2:16" x14ac:dyDescent="0.25">
      <c r="B69"/>
      <c r="C69"/>
      <c r="D69"/>
      <c r="M69" s="101">
        <f>IF('Reference dates (hide)'!I54&lt;&gt;"",'Reference dates (hide)'!I54,"")</f>
        <v>43906</v>
      </c>
      <c r="N69" s="99">
        <f t="shared" si="0"/>
        <v>2020</v>
      </c>
      <c r="O69" s="8">
        <f t="shared" si="1"/>
        <v>12</v>
      </c>
      <c r="P69">
        <f ca="1">'Reference dates (hide)'!K54</f>
        <v>1.968503937007874E-2</v>
      </c>
    </row>
    <row r="70" spans="2:16" x14ac:dyDescent="0.25">
      <c r="B70"/>
      <c r="C70"/>
      <c r="D70"/>
      <c r="M70" s="101">
        <f>IF('Reference dates (hide)'!I55&lt;&gt;"",'Reference dates (hide)'!I55,"")</f>
        <v>43913</v>
      </c>
      <c r="N70" s="99">
        <f t="shared" si="0"/>
        <v>2020</v>
      </c>
      <c r="O70" s="8">
        <f t="shared" si="1"/>
        <v>13</v>
      </c>
      <c r="P70">
        <f ca="1">'Reference dates (hide)'!K55</f>
        <v>1.968503937007874E-2</v>
      </c>
    </row>
    <row r="71" spans="2:16" x14ac:dyDescent="0.25">
      <c r="B71"/>
      <c r="C71"/>
      <c r="D71"/>
      <c r="M71" s="101">
        <f>IF('Reference dates (hide)'!I56&lt;&gt;"",'Reference dates (hide)'!I56,"")</f>
        <v>43920</v>
      </c>
      <c r="N71" s="99">
        <f t="shared" si="0"/>
        <v>2020</v>
      </c>
      <c r="O71" s="8">
        <f t="shared" si="1"/>
        <v>14</v>
      </c>
      <c r="P71">
        <f ca="1">'Reference dates (hide)'!K56</f>
        <v>1.968503937007874E-2</v>
      </c>
    </row>
    <row r="72" spans="2:16" x14ac:dyDescent="0.25">
      <c r="B72"/>
      <c r="C72"/>
      <c r="D72"/>
      <c r="M72" s="101">
        <f>IF('Reference dates (hide)'!I57&lt;&gt;"",'Reference dates (hide)'!I57,"")</f>
        <v>43927</v>
      </c>
      <c r="N72" s="99">
        <f t="shared" si="0"/>
        <v>2020</v>
      </c>
      <c r="O72" s="8">
        <f t="shared" si="1"/>
        <v>15</v>
      </c>
      <c r="P72">
        <f ca="1">'Reference dates (hide)'!K57</f>
        <v>1.5748031496062992E-2</v>
      </c>
    </row>
    <row r="73" spans="2:16" x14ac:dyDescent="0.25">
      <c r="B73"/>
      <c r="C73"/>
      <c r="D73"/>
      <c r="M73" s="101">
        <f>IF('Reference dates (hide)'!I58&lt;&gt;"",'Reference dates (hide)'!I58,"")</f>
        <v>43934</v>
      </c>
      <c r="N73" s="99">
        <f t="shared" si="0"/>
        <v>2020</v>
      </c>
      <c r="O73" s="8">
        <f t="shared" si="1"/>
        <v>16</v>
      </c>
      <c r="P73">
        <f ca="1">'Reference dates (hide)'!K58</f>
        <v>1.5748031496062992E-2</v>
      </c>
    </row>
    <row r="74" spans="2:16" x14ac:dyDescent="0.25">
      <c r="B74"/>
      <c r="C74"/>
      <c r="D74"/>
      <c r="M74" s="101">
        <f>IF('Reference dates (hide)'!I59&lt;&gt;"",'Reference dates (hide)'!I59,"")</f>
        <v>43941</v>
      </c>
      <c r="N74" s="99">
        <f t="shared" si="0"/>
        <v>2020</v>
      </c>
      <c r="O74" s="8">
        <f t="shared" si="1"/>
        <v>17</v>
      </c>
      <c r="P74">
        <f ca="1">'Reference dates (hide)'!K59</f>
        <v>1.968503937007874E-2</v>
      </c>
    </row>
    <row r="75" spans="2:16" x14ac:dyDescent="0.25">
      <c r="B75"/>
      <c r="C75"/>
      <c r="D75"/>
      <c r="M75" s="101">
        <f>IF('Reference dates (hide)'!I60&lt;&gt;"",'Reference dates (hide)'!I60,"")</f>
        <v>43948</v>
      </c>
      <c r="N75" s="99">
        <f t="shared" si="0"/>
        <v>2020</v>
      </c>
      <c r="O75" s="8">
        <f t="shared" si="1"/>
        <v>18</v>
      </c>
      <c r="P75">
        <f ca="1">'Reference dates (hide)'!K60</f>
        <v>1.968503937007874E-2</v>
      </c>
    </row>
    <row r="76" spans="2:16" x14ac:dyDescent="0.25">
      <c r="B76"/>
      <c r="C76"/>
      <c r="D76"/>
      <c r="M76" s="101">
        <f>IF('Reference dates (hide)'!I61&lt;&gt;"",'Reference dates (hide)'!I61,"")</f>
        <v>43955</v>
      </c>
      <c r="N76" s="99">
        <f t="shared" si="0"/>
        <v>2020</v>
      </c>
      <c r="O76" s="8">
        <f t="shared" si="1"/>
        <v>19</v>
      </c>
      <c r="P76">
        <f ca="1">'Reference dates (hide)'!K61</f>
        <v>1.5748031496062992E-2</v>
      </c>
    </row>
    <row r="77" spans="2:16" x14ac:dyDescent="0.25">
      <c r="B77"/>
      <c r="C77"/>
      <c r="D77"/>
      <c r="M77" s="101">
        <f>IF('Reference dates (hide)'!I62&lt;&gt;"",'Reference dates (hide)'!I62,"")</f>
        <v>43962</v>
      </c>
      <c r="N77" s="99">
        <f t="shared" si="0"/>
        <v>2020</v>
      </c>
      <c r="O77" s="8">
        <f t="shared" si="1"/>
        <v>20</v>
      </c>
      <c r="P77">
        <f ca="1">'Reference dates (hide)'!K62</f>
        <v>1.968503937007874E-2</v>
      </c>
    </row>
    <row r="78" spans="2:16" x14ac:dyDescent="0.25">
      <c r="B78"/>
      <c r="C78"/>
      <c r="D78"/>
      <c r="M78" s="101">
        <f>IF('Reference dates (hide)'!I63&lt;&gt;"",'Reference dates (hide)'!I63,"")</f>
        <v>43969</v>
      </c>
      <c r="N78" s="99">
        <f t="shared" si="0"/>
        <v>2020</v>
      </c>
      <c r="O78" s="8">
        <f t="shared" si="1"/>
        <v>21</v>
      </c>
      <c r="P78">
        <f ca="1">'Reference dates (hide)'!K63</f>
        <v>1.968503937007874E-2</v>
      </c>
    </row>
    <row r="79" spans="2:16" x14ac:dyDescent="0.25">
      <c r="B79"/>
      <c r="C79"/>
      <c r="D79"/>
      <c r="M79" s="101">
        <f>IF('Reference dates (hide)'!I64&lt;&gt;"",'Reference dates (hide)'!I64,"")</f>
        <v>43976</v>
      </c>
      <c r="N79" s="99">
        <f t="shared" si="0"/>
        <v>2020</v>
      </c>
      <c r="O79" s="8">
        <f t="shared" si="1"/>
        <v>22</v>
      </c>
      <c r="P79">
        <f ca="1">'Reference dates (hide)'!K64</f>
        <v>1.5748031496062992E-2</v>
      </c>
    </row>
    <row r="80" spans="2:16" x14ac:dyDescent="0.25">
      <c r="B80"/>
      <c r="C80"/>
      <c r="D80"/>
      <c r="M80" s="101">
        <f>IF('Reference dates (hide)'!I65&lt;&gt;"",'Reference dates (hide)'!I65,"")</f>
        <v>43983</v>
      </c>
      <c r="N80" s="99">
        <f t="shared" si="0"/>
        <v>2020</v>
      </c>
      <c r="O80" s="8">
        <f t="shared" si="1"/>
        <v>23</v>
      </c>
      <c r="P80">
        <f ca="1">'Reference dates (hide)'!K65</f>
        <v>1.968503937007874E-2</v>
      </c>
    </row>
    <row r="81" spans="2:16" x14ac:dyDescent="0.25">
      <c r="B81"/>
      <c r="C81"/>
      <c r="D81"/>
      <c r="M81" s="101">
        <f>IF('Reference dates (hide)'!I66&lt;&gt;"",'Reference dates (hide)'!I66,"")</f>
        <v>43990</v>
      </c>
      <c r="N81" s="99">
        <f t="shared" si="0"/>
        <v>2020</v>
      </c>
      <c r="O81" s="8">
        <f t="shared" si="1"/>
        <v>24</v>
      </c>
      <c r="P81">
        <f ca="1">'Reference dates (hide)'!K66</f>
        <v>1.968503937007874E-2</v>
      </c>
    </row>
    <row r="82" spans="2:16" x14ac:dyDescent="0.25">
      <c r="B82"/>
      <c r="C82"/>
      <c r="D82"/>
      <c r="M82" s="101">
        <f>IF('Reference dates (hide)'!I67&lt;&gt;"",'Reference dates (hide)'!I67,"")</f>
        <v>43997</v>
      </c>
      <c r="N82" s="99">
        <f t="shared" si="0"/>
        <v>2020</v>
      </c>
      <c r="O82" s="8">
        <f t="shared" si="1"/>
        <v>25</v>
      </c>
      <c r="P82">
        <f ca="1">'Reference dates (hide)'!K67</f>
        <v>1.968503937007874E-2</v>
      </c>
    </row>
    <row r="83" spans="2:16" x14ac:dyDescent="0.25">
      <c r="B83"/>
      <c r="C83"/>
      <c r="D83"/>
      <c r="M83" s="101">
        <f>IF('Reference dates (hide)'!I68&lt;&gt;"",'Reference dates (hide)'!I68,"")</f>
        <v>44004</v>
      </c>
      <c r="N83" s="99">
        <f t="shared" si="0"/>
        <v>2020</v>
      </c>
      <c r="O83" s="8">
        <f t="shared" si="1"/>
        <v>26</v>
      </c>
      <c r="P83">
        <f ca="1">'Reference dates (hide)'!K68</f>
        <v>1.968503937007874E-2</v>
      </c>
    </row>
    <row r="84" spans="2:16" x14ac:dyDescent="0.25">
      <c r="B84"/>
      <c r="C84"/>
      <c r="D84"/>
      <c r="M84" s="101">
        <f>IF('Reference dates (hide)'!I69&lt;&gt;"",'Reference dates (hide)'!I69,"")</f>
        <v>44011</v>
      </c>
      <c r="N84" s="99">
        <f t="shared" si="0"/>
        <v>2020</v>
      </c>
      <c r="O84" s="8">
        <f t="shared" si="1"/>
        <v>27</v>
      </c>
      <c r="P84">
        <f ca="1">'Reference dates (hide)'!K69</f>
        <v>1.968503937007874E-2</v>
      </c>
    </row>
    <row r="85" spans="2:16" x14ac:dyDescent="0.25">
      <c r="B85"/>
      <c r="C85"/>
      <c r="D85"/>
      <c r="M85" s="101">
        <f>IF('Reference dates (hide)'!I70&lt;&gt;"",'Reference dates (hide)'!I70,"")</f>
        <v>44018</v>
      </c>
      <c r="N85" s="99">
        <f t="shared" si="0"/>
        <v>2020</v>
      </c>
      <c r="O85" s="8">
        <f t="shared" si="1"/>
        <v>28</v>
      </c>
      <c r="P85">
        <f ca="1">'Reference dates (hide)'!K70</f>
        <v>1.968503937007874E-2</v>
      </c>
    </row>
    <row r="86" spans="2:16" x14ac:dyDescent="0.25">
      <c r="B86"/>
      <c r="C86"/>
      <c r="D86"/>
      <c r="M86" s="101">
        <f>IF('Reference dates (hide)'!I71&lt;&gt;"",'Reference dates (hide)'!I71,"")</f>
        <v>44025</v>
      </c>
      <c r="N86" s="99">
        <f t="shared" si="0"/>
        <v>2020</v>
      </c>
      <c r="O86" s="8">
        <f t="shared" si="1"/>
        <v>29</v>
      </c>
      <c r="P86">
        <f ca="1">'Reference dates (hide)'!K71</f>
        <v>1.968503937007874E-2</v>
      </c>
    </row>
    <row r="87" spans="2:16" x14ac:dyDescent="0.25">
      <c r="B87"/>
      <c r="C87"/>
      <c r="D87"/>
      <c r="M87" s="101">
        <f>IF('Reference dates (hide)'!I72&lt;&gt;"",'Reference dates (hide)'!I72,"")</f>
        <v>44032</v>
      </c>
      <c r="N87" s="99">
        <f t="shared" si="0"/>
        <v>2020</v>
      </c>
      <c r="O87" s="8">
        <f t="shared" si="1"/>
        <v>30</v>
      </c>
      <c r="P87">
        <f ca="1">'Reference dates (hide)'!K72</f>
        <v>1.968503937007874E-2</v>
      </c>
    </row>
    <row r="88" spans="2:16" x14ac:dyDescent="0.25">
      <c r="B88"/>
      <c r="C88"/>
      <c r="D88"/>
      <c r="M88" s="101">
        <f>IF('Reference dates (hide)'!I73&lt;&gt;"",'Reference dates (hide)'!I73,"")</f>
        <v>44039</v>
      </c>
      <c r="N88" s="99">
        <f t="shared" si="0"/>
        <v>2020</v>
      </c>
      <c r="O88" s="8">
        <f t="shared" si="1"/>
        <v>31</v>
      </c>
      <c r="P88">
        <f ca="1">'Reference dates (hide)'!K73</f>
        <v>1.968503937007874E-2</v>
      </c>
    </row>
    <row r="89" spans="2:16" x14ac:dyDescent="0.25">
      <c r="B89"/>
      <c r="C89"/>
      <c r="D89"/>
      <c r="M89" s="101">
        <f>IF('Reference dates (hide)'!I74&lt;&gt;"",'Reference dates (hide)'!I74,"")</f>
        <v>44046</v>
      </c>
      <c r="N89" s="99">
        <f t="shared" si="0"/>
        <v>2020</v>
      </c>
      <c r="O89" s="8">
        <f t="shared" si="1"/>
        <v>32</v>
      </c>
      <c r="P89">
        <f ca="1">'Reference dates (hide)'!K74</f>
        <v>1.968503937007874E-2</v>
      </c>
    </row>
    <row r="90" spans="2:16" x14ac:dyDescent="0.25">
      <c r="B90"/>
      <c r="C90"/>
      <c r="D90"/>
      <c r="M90" s="101">
        <f>IF('Reference dates (hide)'!I75&lt;&gt;"",'Reference dates (hide)'!I75,"")</f>
        <v>44053</v>
      </c>
      <c r="N90" s="99">
        <f t="shared" si="0"/>
        <v>2020</v>
      </c>
      <c r="O90" s="8">
        <f t="shared" si="1"/>
        <v>33</v>
      </c>
      <c r="P90">
        <f ca="1">'Reference dates (hide)'!K75</f>
        <v>1.968503937007874E-2</v>
      </c>
    </row>
    <row r="91" spans="2:16" x14ac:dyDescent="0.25">
      <c r="B91"/>
      <c r="C91"/>
      <c r="D91"/>
      <c r="M91" s="101">
        <f>IF('Reference dates (hide)'!I76&lt;&gt;"",'Reference dates (hide)'!I76,"")</f>
        <v>44060</v>
      </c>
      <c r="N91" s="99">
        <f t="shared" si="0"/>
        <v>2020</v>
      </c>
      <c r="O91" s="8">
        <f t="shared" si="1"/>
        <v>34</v>
      </c>
      <c r="P91">
        <f ca="1">'Reference dates (hide)'!K76</f>
        <v>1.968503937007874E-2</v>
      </c>
    </row>
    <row r="92" spans="2:16" x14ac:dyDescent="0.25">
      <c r="B92"/>
      <c r="C92"/>
      <c r="D92"/>
      <c r="M92" s="101">
        <f>IF('Reference dates (hide)'!I77&lt;&gt;"",'Reference dates (hide)'!I77,"")</f>
        <v>44067</v>
      </c>
      <c r="N92" s="99">
        <f t="shared" si="0"/>
        <v>2020</v>
      </c>
      <c r="O92" s="8">
        <f t="shared" si="1"/>
        <v>35</v>
      </c>
      <c r="P92">
        <f ca="1">'Reference dates (hide)'!K77</f>
        <v>1.968503937007874E-2</v>
      </c>
    </row>
    <row r="93" spans="2:16" x14ac:dyDescent="0.25">
      <c r="B93"/>
      <c r="C93"/>
      <c r="D93"/>
      <c r="M93" s="101">
        <f>IF('Reference dates (hide)'!I78&lt;&gt;"",'Reference dates (hide)'!I78,"")</f>
        <v>44074</v>
      </c>
      <c r="N93" s="99">
        <f t="shared" si="0"/>
        <v>2020</v>
      </c>
      <c r="O93" s="8">
        <f t="shared" si="1"/>
        <v>36</v>
      </c>
      <c r="P93">
        <f ca="1">'Reference dates (hide)'!K78</f>
        <v>1.5748031496062992E-2</v>
      </c>
    </row>
    <row r="94" spans="2:16" x14ac:dyDescent="0.25">
      <c r="B94"/>
      <c r="C94"/>
      <c r="D94"/>
      <c r="M94" s="101">
        <f>IF('Reference dates (hide)'!I79&lt;&gt;"",'Reference dates (hide)'!I79,"")</f>
        <v>44081</v>
      </c>
      <c r="N94" s="99">
        <f t="shared" si="0"/>
        <v>2020</v>
      </c>
      <c r="O94" s="8">
        <f t="shared" si="1"/>
        <v>37</v>
      </c>
      <c r="P94">
        <f ca="1">'Reference dates (hide)'!K79</f>
        <v>1.968503937007874E-2</v>
      </c>
    </row>
    <row r="95" spans="2:16" x14ac:dyDescent="0.25">
      <c r="B95"/>
      <c r="C95"/>
      <c r="D95"/>
      <c r="M95" s="101">
        <f>IF('Reference dates (hide)'!I80&lt;&gt;"",'Reference dates (hide)'!I80,"")</f>
        <v>44088</v>
      </c>
      <c r="N95" s="99">
        <f t="shared" si="0"/>
        <v>2020</v>
      </c>
      <c r="O95" s="8">
        <f t="shared" si="1"/>
        <v>38</v>
      </c>
      <c r="P95">
        <f ca="1">'Reference dates (hide)'!K80</f>
        <v>1.968503937007874E-2</v>
      </c>
    </row>
    <row r="96" spans="2:16" x14ac:dyDescent="0.25">
      <c r="B96"/>
      <c r="C96"/>
      <c r="D96"/>
      <c r="M96" s="101">
        <f>IF('Reference dates (hide)'!I81&lt;&gt;"",'Reference dates (hide)'!I81,"")</f>
        <v>44095</v>
      </c>
      <c r="N96" s="99">
        <f t="shared" si="0"/>
        <v>2020</v>
      </c>
      <c r="O96" s="8">
        <f t="shared" si="1"/>
        <v>39</v>
      </c>
      <c r="P96">
        <f ca="1">'Reference dates (hide)'!K81</f>
        <v>1.968503937007874E-2</v>
      </c>
    </row>
    <row r="97" spans="2:31" x14ac:dyDescent="0.25">
      <c r="B97"/>
      <c r="C97"/>
      <c r="D97"/>
      <c r="M97" s="101">
        <f>IF('Reference dates (hide)'!I82&lt;&gt;"",'Reference dates (hide)'!I82,"")</f>
        <v>44102</v>
      </c>
      <c r="N97" s="99">
        <f t="shared" si="0"/>
        <v>2020</v>
      </c>
      <c r="O97" s="8">
        <f t="shared" si="1"/>
        <v>40</v>
      </c>
      <c r="P97">
        <f ca="1">'Reference dates (hide)'!K82</f>
        <v>1.968503937007874E-2</v>
      </c>
    </row>
    <row r="98" spans="2:31" x14ac:dyDescent="0.25">
      <c r="B98"/>
      <c r="C98"/>
      <c r="D98"/>
      <c r="M98" s="101">
        <f>IF('Reference dates (hide)'!I83&lt;&gt;"",'Reference dates (hide)'!I83,"")</f>
        <v>44109</v>
      </c>
      <c r="N98" s="99">
        <f t="shared" si="0"/>
        <v>2020</v>
      </c>
      <c r="O98" s="8">
        <f t="shared" si="1"/>
        <v>41</v>
      </c>
      <c r="P98">
        <f ca="1">'Reference dates (hide)'!K83</f>
        <v>1.968503937007874E-2</v>
      </c>
    </row>
    <row r="99" spans="2:31" x14ac:dyDescent="0.25">
      <c r="B99"/>
      <c r="C99"/>
      <c r="D99"/>
      <c r="M99" s="101">
        <f>IF('Reference dates (hide)'!I84&lt;&gt;"",'Reference dates (hide)'!I84,"")</f>
        <v>44116</v>
      </c>
      <c r="N99" s="99">
        <f t="shared" si="0"/>
        <v>2020</v>
      </c>
      <c r="O99" s="8">
        <f t="shared" si="1"/>
        <v>42</v>
      </c>
      <c r="P99">
        <f ca="1">'Reference dates (hide)'!K84</f>
        <v>1.968503937007874E-2</v>
      </c>
    </row>
    <row r="100" spans="2:31" x14ac:dyDescent="0.25">
      <c r="B100"/>
      <c r="C100"/>
      <c r="D100"/>
      <c r="M100" s="101">
        <f>IF('Reference dates (hide)'!I85&lt;&gt;"",'Reference dates (hide)'!I85,"")</f>
        <v>44123</v>
      </c>
      <c r="N100" s="99">
        <f t="shared" si="0"/>
        <v>2020</v>
      </c>
      <c r="O100" s="8">
        <f t="shared" si="1"/>
        <v>43</v>
      </c>
      <c r="P100">
        <f ca="1">'Reference dates (hide)'!K85</f>
        <v>1.968503937007874E-2</v>
      </c>
    </row>
    <row r="101" spans="2:31" x14ac:dyDescent="0.25">
      <c r="B101"/>
      <c r="C101"/>
      <c r="D101"/>
      <c r="M101" s="101">
        <f>IF('Reference dates (hide)'!I86&lt;&gt;"",'Reference dates (hide)'!I86,"")</f>
        <v>44130</v>
      </c>
      <c r="N101" s="99">
        <f t="shared" si="0"/>
        <v>2020</v>
      </c>
      <c r="O101" s="8">
        <f t="shared" si="1"/>
        <v>44</v>
      </c>
      <c r="P101">
        <f ca="1">'Reference dates (hide)'!K86</f>
        <v>1.968503937007874E-2</v>
      </c>
    </row>
    <row r="102" spans="2:31" x14ac:dyDescent="0.25">
      <c r="B102"/>
      <c r="C102"/>
      <c r="D102"/>
      <c r="M102" s="101">
        <f>IF('Reference dates (hide)'!I87&lt;&gt;"",'Reference dates (hide)'!I87,"")</f>
        <v>44137</v>
      </c>
      <c r="N102" s="99">
        <f t="shared" si="0"/>
        <v>2020</v>
      </c>
      <c r="O102" s="8">
        <f t="shared" si="1"/>
        <v>45</v>
      </c>
      <c r="P102">
        <f ca="1">'Reference dates (hide)'!K87</f>
        <v>1.968503937007874E-2</v>
      </c>
    </row>
    <row r="103" spans="2:31" x14ac:dyDescent="0.25">
      <c r="B103"/>
      <c r="C103"/>
      <c r="D103"/>
      <c r="M103" s="101">
        <f>IF('Reference dates (hide)'!I88&lt;&gt;"",'Reference dates (hide)'!I88,"")</f>
        <v>44144</v>
      </c>
      <c r="N103" s="99">
        <f t="shared" si="0"/>
        <v>2020</v>
      </c>
      <c r="O103" s="8">
        <f t="shared" si="1"/>
        <v>46</v>
      </c>
      <c r="P103">
        <f ca="1">'Reference dates (hide)'!K88</f>
        <v>1.968503937007874E-2</v>
      </c>
    </row>
    <row r="104" spans="2:31" x14ac:dyDescent="0.25">
      <c r="B104"/>
      <c r="C104"/>
      <c r="D104"/>
      <c r="M104" s="101">
        <f>IF('Reference dates (hide)'!I89&lt;&gt;"",'Reference dates (hide)'!I89,"")</f>
        <v>44151</v>
      </c>
      <c r="N104" s="99">
        <f t="shared" si="0"/>
        <v>2020</v>
      </c>
      <c r="O104" s="8">
        <f t="shared" si="1"/>
        <v>47</v>
      </c>
      <c r="P104">
        <f ca="1">'Reference dates (hide)'!K89</f>
        <v>1.968503937007874E-2</v>
      </c>
    </row>
    <row r="105" spans="2:31" x14ac:dyDescent="0.25">
      <c r="B105"/>
      <c r="C105"/>
      <c r="D105"/>
      <c r="M105" s="101">
        <f>IF('Reference dates (hide)'!I90&lt;&gt;"",'Reference dates (hide)'!I90,"")</f>
        <v>44158</v>
      </c>
      <c r="N105" s="99">
        <f t="shared" si="0"/>
        <v>2020</v>
      </c>
      <c r="O105" s="8">
        <f t="shared" si="1"/>
        <v>48</v>
      </c>
      <c r="P105">
        <f ca="1">'Reference dates (hide)'!K90</f>
        <v>1.968503937007874E-2</v>
      </c>
    </row>
    <row r="106" spans="2:31" x14ac:dyDescent="0.25">
      <c r="B106"/>
      <c r="C106"/>
      <c r="D106"/>
      <c r="M106" s="101">
        <f>IF('Reference dates (hide)'!I91&lt;&gt;"",'Reference dates (hide)'!I91,"")</f>
        <v>44165</v>
      </c>
      <c r="N106" s="99">
        <f t="shared" si="0"/>
        <v>2020</v>
      </c>
      <c r="O106" s="8">
        <f t="shared" si="1"/>
        <v>49</v>
      </c>
      <c r="P106">
        <f ca="1">'Reference dates (hide)'!K91</f>
        <v>1.968503937007874E-2</v>
      </c>
    </row>
    <row r="107" spans="2:31" x14ac:dyDescent="0.25">
      <c r="B107"/>
      <c r="C107"/>
      <c r="D107"/>
      <c r="M107" s="101">
        <f>IF('Reference dates (hide)'!I92&lt;&gt;"",'Reference dates (hide)'!I92,"")</f>
        <v>44172</v>
      </c>
      <c r="N107" s="99">
        <f t="shared" si="0"/>
        <v>2020</v>
      </c>
      <c r="O107" s="8">
        <f t="shared" si="1"/>
        <v>50</v>
      </c>
      <c r="P107">
        <f ca="1">'Reference dates (hide)'!K92</f>
        <v>1.968503937007874E-2</v>
      </c>
    </row>
    <row r="108" spans="2:31" x14ac:dyDescent="0.25">
      <c r="B108"/>
      <c r="C108"/>
      <c r="D108"/>
      <c r="M108" s="101">
        <f>IF('Reference dates (hide)'!I93&lt;&gt;"",'Reference dates (hide)'!I93,"")</f>
        <v>44179</v>
      </c>
      <c r="N108" s="99">
        <f t="shared" si="0"/>
        <v>2020</v>
      </c>
      <c r="O108" s="8">
        <f t="shared" si="1"/>
        <v>51</v>
      </c>
      <c r="P108">
        <f ca="1">'Reference dates (hide)'!K93</f>
        <v>1.968503937007874E-2</v>
      </c>
    </row>
    <row r="109" spans="2:31" x14ac:dyDescent="0.25">
      <c r="B109"/>
      <c r="C109"/>
      <c r="D109"/>
      <c r="M109" s="101">
        <f>IF('Reference dates (hide)'!I94&lt;&gt;"",'Reference dates (hide)'!I94,"")</f>
        <v>44186</v>
      </c>
      <c r="N109" s="99">
        <f t="shared" si="0"/>
        <v>2020</v>
      </c>
      <c r="O109" s="8">
        <f t="shared" si="1"/>
        <v>52</v>
      </c>
      <c r="P109">
        <f ca="1">'Reference dates (hide)'!K94</f>
        <v>1.5748031496062992E-2</v>
      </c>
    </row>
    <row r="110" spans="2:31" x14ac:dyDescent="0.25">
      <c r="B110"/>
      <c r="C110"/>
      <c r="D110"/>
      <c r="M110" s="101">
        <f>IF('Reference dates (hide)'!I95&lt;&gt;"",'Reference dates (hide)'!I95,"")</f>
        <v>44193</v>
      </c>
      <c r="N110" s="99">
        <f t="shared" si="0"/>
        <v>2020</v>
      </c>
      <c r="O110" s="8">
        <f t="shared" si="1"/>
        <v>53</v>
      </c>
      <c r="P110">
        <f ca="1">'Reference dates (hide)'!K95</f>
        <v>1.1811023622047244E-2</v>
      </c>
    </row>
    <row r="111" spans="2:31" x14ac:dyDescent="0.25">
      <c r="M111">
        <f>MAX(T58:AB110)</f>
        <v>0</v>
      </c>
      <c r="Q111">
        <f>MAX(Q58:Q109)/$Q$54</f>
        <v>0</v>
      </c>
      <c r="R111">
        <f>MAX(R58:R109)/IF($R$54=0,1,$Q$54)</f>
        <v>0</v>
      </c>
      <c r="S111">
        <f>MAX(S58:S109)/IF($S$54=0,1,$Q$54)</f>
        <v>0</v>
      </c>
      <c r="Z111">
        <f>MAX(Z58:Z109)/IF($Z$52=0,1,Q$54)</f>
        <v>0</v>
      </c>
      <c r="AA111">
        <f>MAX(AA58:AA109)/IF($Z$52=0,1,R$54)</f>
        <v>0</v>
      </c>
      <c r="AB111">
        <f>MAX(AB58:AB109)/IF($Z$52=0,1,S$54)</f>
        <v>0</v>
      </c>
      <c r="AC111">
        <f>MAX(AC58:AC109)/IF($Z$52=0,1,Q$54)</f>
        <v>0</v>
      </c>
      <c r="AD111">
        <f>MAX(AD58:AD109)/IF($Z$52=0,1,R$54)</f>
        <v>0</v>
      </c>
      <c r="AE111">
        <f>MAX(AE58:AE109)/IF($Z$52=0,1,S$54)</f>
        <v>0</v>
      </c>
    </row>
    <row r="118" spans="26:26" x14ac:dyDescent="0.25">
      <c r="Z118" s="121"/>
    </row>
    <row r="119" spans="26:26" x14ac:dyDescent="0.25">
      <c r="Z119" s="121"/>
    </row>
  </sheetData>
  <pageMargins left="0.7" right="0.7" top="0.75" bottom="0.75" header="0.3" footer="0.3"/>
  <legacy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9"/>
  <dimension ref="A1:AN119"/>
  <sheetViews>
    <sheetView workbookViewId="0">
      <selection activeCell="AK59" sqref="AK59"/>
    </sheetView>
  </sheetViews>
  <sheetFormatPr defaultRowHeight="13.8" x14ac:dyDescent="0.25"/>
  <cols>
    <col min="1" max="1" width="27.69921875" bestFit="1" customWidth="1"/>
    <col min="2" max="2" width="16.8984375" style="6" customWidth="1"/>
    <col min="3" max="3" width="12.09765625" style="6" bestFit="1" customWidth="1"/>
    <col min="4" max="4" width="16.09765625" style="7" bestFit="1" customWidth="1"/>
    <col min="11" max="11" width="10.8984375" bestFit="1" customWidth="1"/>
    <col min="13" max="13" width="16.69921875" bestFit="1" customWidth="1"/>
    <col min="17" max="17" width="6.8984375" customWidth="1"/>
    <col min="26" max="26" width="11.8984375" bestFit="1" customWidth="1"/>
  </cols>
  <sheetData>
    <row r="1" spans="1:19" x14ac:dyDescent="0.25">
      <c r="A1" t="s">
        <v>1065</v>
      </c>
      <c r="B1" s="6" t="s">
        <v>931</v>
      </c>
      <c r="C1" s="6" t="b">
        <f>ISERR(SUM(B25:M49))</f>
        <v>0</v>
      </c>
    </row>
    <row r="2" spans="1:19" x14ac:dyDescent="0.25">
      <c r="A2" t="s">
        <v>932</v>
      </c>
      <c r="B2"/>
    </row>
    <row r="3" spans="1:19" x14ac:dyDescent="0.25">
      <c r="B3" s="6" t="s">
        <v>933</v>
      </c>
      <c r="F3" t="s">
        <v>934</v>
      </c>
      <c r="J3" t="s">
        <v>935</v>
      </c>
    </row>
    <row r="4" spans="1:19" x14ac:dyDescent="0.25">
      <c r="B4" s="6" t="s">
        <v>936</v>
      </c>
      <c r="C4" s="6" t="s">
        <v>937</v>
      </c>
      <c r="D4" s="7" t="s">
        <v>1208</v>
      </c>
      <c r="F4" s="6" t="s">
        <v>936</v>
      </c>
      <c r="G4" s="6" t="s">
        <v>937</v>
      </c>
      <c r="H4" s="7" t="s">
        <v>1024</v>
      </c>
      <c r="J4" s="6" t="s">
        <v>936</v>
      </c>
      <c r="K4" s="6" t="s">
        <v>937</v>
      </c>
      <c r="L4" s="7" t="s">
        <v>1024</v>
      </c>
    </row>
    <row r="5" spans="1:19" x14ac:dyDescent="0.25">
      <c r="A5" t="s">
        <v>5</v>
      </c>
      <c r="B5" s="8"/>
      <c r="C5" s="6">
        <f>B5*52</f>
        <v>0</v>
      </c>
      <c r="D5" s="7">
        <f>IF($B$20=1,C5/$B$21,C5)</f>
        <v>0</v>
      </c>
      <c r="G5">
        <f>F5*$D5</f>
        <v>0</v>
      </c>
      <c r="H5">
        <f>G5/52</f>
        <v>0</v>
      </c>
      <c r="K5">
        <f>J5*D5</f>
        <v>0</v>
      </c>
      <c r="L5">
        <f>K5/52</f>
        <v>0</v>
      </c>
    </row>
    <row r="6" spans="1:19" x14ac:dyDescent="0.25">
      <c r="A6" t="s">
        <v>1209</v>
      </c>
      <c r="B6" s="8"/>
      <c r="D6" s="7">
        <f>IF($B$20=1,B6/$B$21,B6)</f>
        <v>0</v>
      </c>
      <c r="G6">
        <f>F6*52</f>
        <v>0</v>
      </c>
      <c r="H6">
        <f>F6</f>
        <v>0</v>
      </c>
      <c r="K6">
        <f>J6*52</f>
        <v>0</v>
      </c>
      <c r="L6">
        <f>J6</f>
        <v>0</v>
      </c>
    </row>
    <row r="7" spans="1:19" x14ac:dyDescent="0.25">
      <c r="A7" t="s">
        <v>1210</v>
      </c>
      <c r="B7" s="8"/>
      <c r="D7" s="7">
        <f>IF($B$20=1,B7/$B$21,B7)</f>
        <v>0</v>
      </c>
    </row>
    <row r="8" spans="1:19" x14ac:dyDescent="0.25">
      <c r="A8" t="s">
        <v>9</v>
      </c>
      <c r="B8"/>
    </row>
    <row r="9" spans="1:19" x14ac:dyDescent="0.25">
      <c r="A9" t="s">
        <v>964</v>
      </c>
      <c r="B9"/>
    </row>
    <row r="10" spans="1:19" x14ac:dyDescent="0.25">
      <c r="A10" t="s">
        <v>940</v>
      </c>
      <c r="B10"/>
      <c r="C10" s="6">
        <f xml:space="preserve"> NASR*NASRDC</f>
        <v>0</v>
      </c>
      <c r="G10">
        <f xml:space="preserve"> FU_NASR*FU_NASRDC</f>
        <v>0</v>
      </c>
      <c r="K10">
        <f xml:space="preserve"> IP_NASR*IP_NASRDC</f>
        <v>0</v>
      </c>
    </row>
    <row r="11" spans="1:19" x14ac:dyDescent="0.25">
      <c r="A11" t="s">
        <v>965</v>
      </c>
      <c r="B11"/>
    </row>
    <row r="12" spans="1:19" x14ac:dyDescent="0.25">
      <c r="A12" t="s">
        <v>859</v>
      </c>
      <c r="B12"/>
    </row>
    <row r="13" spans="1:19" x14ac:dyDescent="0.25">
      <c r="A13" t="s">
        <v>941</v>
      </c>
      <c r="B13" s="8"/>
      <c r="D13" s="7">
        <f>IF($B$20=1,B13/$B$21,B13)</f>
        <v>0</v>
      </c>
      <c r="G13">
        <f>F13*52</f>
        <v>0</v>
      </c>
      <c r="H13" s="7">
        <f>IF($B$20=1,F13/$B$21,F13)</f>
        <v>0</v>
      </c>
      <c r="K13">
        <f>J13*52</f>
        <v>0</v>
      </c>
      <c r="L13" s="7">
        <f>IF($B$20=1,J13/$B$21,J13)</f>
        <v>0</v>
      </c>
    </row>
    <row r="14" spans="1:19" x14ac:dyDescent="0.25">
      <c r="A14" t="s">
        <v>1275</v>
      </c>
      <c r="B14" s="8"/>
      <c r="H14" s="7"/>
      <c r="L14" s="7"/>
    </row>
    <row r="15" spans="1:19" x14ac:dyDescent="0.25">
      <c r="A15" t="s">
        <v>1278</v>
      </c>
      <c r="B15"/>
      <c r="D15" s="7">
        <f>IF($B$20=1,B15/$B$21,B15)</f>
        <v>0</v>
      </c>
      <c r="H15" s="7">
        <f>IF($B$20=1,F15/$B$21,F15)</f>
        <v>0</v>
      </c>
      <c r="L15" s="7">
        <f>IF($B$20=1,J15/$B$21,J15)</f>
        <v>0</v>
      </c>
    </row>
    <row r="16" spans="1:19" x14ac:dyDescent="0.25">
      <c r="A16" t="s">
        <v>861</v>
      </c>
      <c r="B16" s="8"/>
      <c r="D16" s="7">
        <f>IF($B$20=1,B16/$B$21,B16)</f>
        <v>0</v>
      </c>
      <c r="H16" s="7">
        <f>IF($B$20=1,F16/$B$21,F16)</f>
        <v>0</v>
      </c>
      <c r="L16" s="7">
        <f>IF($B$20=1,J16/$B$21,J16)</f>
        <v>0</v>
      </c>
      <c r="S16" t="s">
        <v>1213</v>
      </c>
    </row>
    <row r="17" spans="1:20" x14ac:dyDescent="0.25">
      <c r="A17" t="s">
        <v>7</v>
      </c>
      <c r="B17" s="8"/>
      <c r="D17" s="7">
        <f>IF($B$20=1,B17/$B$21,B17)</f>
        <v>0</v>
      </c>
      <c r="H17" s="7">
        <f>IF($B$20=1,F17/$B$21,F17)</f>
        <v>0</v>
      </c>
      <c r="L17" s="7">
        <f>IF($B$20=1,J17/$B$21,J17)</f>
        <v>0</v>
      </c>
      <c r="S17" t="s">
        <v>1159</v>
      </c>
    </row>
    <row r="18" spans="1:20" x14ac:dyDescent="0.25">
      <c r="A18" t="s">
        <v>1081</v>
      </c>
      <c r="B18"/>
      <c r="S18" t="s">
        <v>1187</v>
      </c>
    </row>
    <row r="19" spans="1:20" x14ac:dyDescent="0.25">
      <c r="A19" t="s">
        <v>863</v>
      </c>
      <c r="B19"/>
      <c r="S19" t="s">
        <v>1214</v>
      </c>
      <c r="T19" t="s">
        <v>1215</v>
      </c>
    </row>
    <row r="20" spans="1:20" x14ac:dyDescent="0.25">
      <c r="A20" t="s">
        <v>942</v>
      </c>
      <c r="B20"/>
      <c r="R20" t="s">
        <v>947</v>
      </c>
      <c r="S20" t="s">
        <v>984</v>
      </c>
      <c r="T20" t="s">
        <v>1216</v>
      </c>
    </row>
    <row r="21" spans="1:20" x14ac:dyDescent="0.25">
      <c r="A21" t="s">
        <v>943</v>
      </c>
      <c r="B21">
        <v>1</v>
      </c>
      <c r="D21" s="12"/>
      <c r="S21" t="s">
        <v>985</v>
      </c>
      <c r="T21" t="s">
        <v>1216</v>
      </c>
    </row>
    <row r="22" spans="1:20" x14ac:dyDescent="0.25">
      <c r="H22">
        <f>F22*$D$5</f>
        <v>0</v>
      </c>
      <c r="L22">
        <f>J22*$D$5</f>
        <v>0</v>
      </c>
      <c r="S22" t="s">
        <v>1217</v>
      </c>
      <c r="T22" t="s">
        <v>1218</v>
      </c>
    </row>
    <row r="23" spans="1:20" x14ac:dyDescent="0.25">
      <c r="S23" t="s">
        <v>1219</v>
      </c>
      <c r="T23" t="s">
        <v>1218</v>
      </c>
    </row>
    <row r="24" spans="1:20" x14ac:dyDescent="0.25">
      <c r="D24" s="7" t="s">
        <v>1023</v>
      </c>
      <c r="F24" t="s">
        <v>901</v>
      </c>
      <c r="G24" t="s">
        <v>1022</v>
      </c>
      <c r="H24" s="7" t="s">
        <v>1023</v>
      </c>
      <c r="J24" t="s">
        <v>901</v>
      </c>
      <c r="K24" t="s">
        <v>1022</v>
      </c>
      <c r="L24" s="7" t="s">
        <v>1023</v>
      </c>
      <c r="R24" t="s">
        <v>941</v>
      </c>
      <c r="S24" t="s">
        <v>25</v>
      </c>
      <c r="T24" t="s">
        <v>1218</v>
      </c>
    </row>
    <row r="25" spans="1:20" x14ac:dyDescent="0.25">
      <c r="A25" t="s">
        <v>944</v>
      </c>
      <c r="B25" s="6">
        <f>IF(B17-B16&lt;0,0,B17-B16)</f>
        <v>0</v>
      </c>
      <c r="D25" s="6">
        <f>IF(D17-D16&lt;0,0,D17-D16)</f>
        <v>0</v>
      </c>
      <c r="F25" s="8">
        <f>F5*B25</f>
        <v>0</v>
      </c>
      <c r="G25" s="8">
        <v>0</v>
      </c>
      <c r="H25" s="8"/>
      <c r="I25" s="8"/>
      <c r="J25" s="8">
        <f>(J5*B25)+IF(J17-J16&lt;=0,0,J17-J16)</f>
        <v>0</v>
      </c>
      <c r="K25" s="8">
        <f>IF(J17-J16&lt;=0,0,J17-J16)</f>
        <v>0</v>
      </c>
      <c r="L25" s="8"/>
      <c r="S25" t="s">
        <v>1220</v>
      </c>
      <c r="T25" t="s">
        <v>1218</v>
      </c>
    </row>
    <row r="26" spans="1:20" x14ac:dyDescent="0.25">
      <c r="A26" t="s">
        <v>945</v>
      </c>
      <c r="B26" s="9">
        <f>(1-NASLDC)*NASL</f>
        <v>0</v>
      </c>
      <c r="D26" s="11"/>
      <c r="F26" s="8">
        <f>FU_NASL*(1-FU_NASLDC)</f>
        <v>0</v>
      </c>
      <c r="G26" s="8"/>
      <c r="H26" s="8"/>
      <c r="I26" s="8"/>
      <c r="J26" s="8">
        <f>IP_NASL*(1-IP_NASLDC)</f>
        <v>0</v>
      </c>
      <c r="K26" s="8"/>
      <c r="L26" s="8"/>
      <c r="R26" t="s">
        <v>1221</v>
      </c>
      <c r="S26" t="s">
        <v>25</v>
      </c>
      <c r="T26" t="s">
        <v>1218</v>
      </c>
    </row>
    <row r="27" spans="1:20" x14ac:dyDescent="0.25">
      <c r="A27" t="s">
        <v>946</v>
      </c>
      <c r="B27" s="6">
        <f>NASR*(1-NASRDC)</f>
        <v>0</v>
      </c>
      <c r="D27" s="11"/>
      <c r="F27" s="8">
        <f>FU_NASR*(1-FU_NASRDC)</f>
        <v>0</v>
      </c>
      <c r="G27" s="8"/>
      <c r="H27" s="8"/>
      <c r="I27" s="8"/>
      <c r="J27" s="8">
        <f>IP_NASR*(1-IP_NASRDC)</f>
        <v>0</v>
      </c>
      <c r="K27" s="8"/>
      <c r="L27" s="8"/>
      <c r="S27" t="s">
        <v>1220</v>
      </c>
      <c r="T27" t="s">
        <v>1218</v>
      </c>
    </row>
    <row r="28" spans="1:20" x14ac:dyDescent="0.25">
      <c r="D28" s="11"/>
      <c r="F28" s="8"/>
      <c r="G28" s="8"/>
      <c r="H28" s="8"/>
      <c r="I28" s="8"/>
      <c r="J28" s="8"/>
      <c r="K28" s="8"/>
      <c r="L28" s="8"/>
      <c r="R28" t="s">
        <v>1093</v>
      </c>
      <c r="S28" t="s">
        <v>984</v>
      </c>
      <c r="T28" t="s">
        <v>1216</v>
      </c>
    </row>
    <row r="29" spans="1:20" ht="14.4" x14ac:dyDescent="0.3">
      <c r="A29" s="10" t="s">
        <v>947</v>
      </c>
      <c r="D29" s="12"/>
      <c r="F29" s="8"/>
      <c r="G29" s="8"/>
      <c r="H29" s="8"/>
      <c r="I29" s="8"/>
      <c r="J29" s="8"/>
      <c r="K29" s="8"/>
      <c r="L29" s="8"/>
      <c r="S29" t="s">
        <v>985</v>
      </c>
      <c r="T29" t="s">
        <v>1216</v>
      </c>
    </row>
    <row r="30" spans="1:20" x14ac:dyDescent="0.25">
      <c r="A30" t="s">
        <v>948</v>
      </c>
      <c r="B30" s="6">
        <f>B5*(NASL+NASR+ROTT)</f>
        <v>0</v>
      </c>
      <c r="F30" s="8">
        <f>H5*(F8+F10+F18)</f>
        <v>0</v>
      </c>
      <c r="G30" s="8"/>
      <c r="H30" s="8"/>
      <c r="I30" s="8"/>
      <c r="J30" s="8">
        <f>L5*(J8+J10+J18)</f>
        <v>0</v>
      </c>
      <c r="K30" s="8"/>
      <c r="L30" s="8"/>
    </row>
    <row r="31" spans="1:20" x14ac:dyDescent="0.25">
      <c r="A31" t="s">
        <v>949</v>
      </c>
      <c r="B31" s="6">
        <f>B5*(B26+B27)</f>
        <v>0</v>
      </c>
      <c r="F31" s="8">
        <f>H5*(F26+F27)</f>
        <v>0</v>
      </c>
      <c r="G31" s="8"/>
      <c r="H31" s="8"/>
      <c r="I31" s="8"/>
      <c r="J31" s="8">
        <f>L5*(J26+J27)</f>
        <v>0</v>
      </c>
      <c r="K31" s="8"/>
      <c r="L31" s="8"/>
      <c r="R31" t="s">
        <v>941</v>
      </c>
      <c r="S31" t="s">
        <v>25</v>
      </c>
      <c r="T31" t="s">
        <v>1218</v>
      </c>
    </row>
    <row r="32" spans="1:20" x14ac:dyDescent="0.25">
      <c r="F32" s="8"/>
      <c r="G32" s="8"/>
      <c r="H32" s="8"/>
      <c r="I32" s="8"/>
      <c r="J32" s="8"/>
      <c r="K32" s="8"/>
      <c r="L32" s="8"/>
      <c r="S32" t="s">
        <v>1220</v>
      </c>
      <c r="T32" t="s">
        <v>1218</v>
      </c>
    </row>
    <row r="33" spans="1:20" x14ac:dyDescent="0.25">
      <c r="A33" t="s">
        <v>950</v>
      </c>
      <c r="B33" s="6">
        <f>B31-B30+B5</f>
        <v>0</v>
      </c>
      <c r="C33" s="6">
        <f>B33*52</f>
        <v>0</v>
      </c>
      <c r="D33" s="7">
        <f>IF($B$20=1,C33/$B$21,C33)</f>
        <v>0</v>
      </c>
      <c r="F33" s="8">
        <f>(F31-F30+H5)/52</f>
        <v>0</v>
      </c>
      <c r="G33" s="8"/>
      <c r="H33" s="8">
        <f>(F31-F30+H5)*52</f>
        <v>0</v>
      </c>
      <c r="I33" s="8"/>
      <c r="J33" s="8">
        <f>(J31-J30+L5)/52</f>
        <v>0</v>
      </c>
      <c r="K33" s="8"/>
      <c r="L33" s="8">
        <f>(J31-J30+L5)*52</f>
        <v>0</v>
      </c>
      <c r="R33" t="s">
        <v>1221</v>
      </c>
      <c r="S33" t="s">
        <v>25</v>
      </c>
      <c r="T33" t="s">
        <v>1218</v>
      </c>
    </row>
    <row r="34" spans="1:20" x14ac:dyDescent="0.25">
      <c r="F34" s="8"/>
      <c r="G34" s="8"/>
      <c r="H34" s="8"/>
      <c r="I34" s="8"/>
      <c r="J34" s="8"/>
      <c r="K34" s="8"/>
      <c r="L34" s="8"/>
      <c r="S34" t="s">
        <v>1220</v>
      </c>
      <c r="T34" t="s">
        <v>1218</v>
      </c>
    </row>
    <row r="35" spans="1:20" x14ac:dyDescent="0.25">
      <c r="F35" s="8"/>
      <c r="G35" s="8"/>
      <c r="H35" s="8"/>
      <c r="I35" s="8"/>
      <c r="J35" s="8"/>
      <c r="K35" s="8"/>
      <c r="L35" s="8"/>
      <c r="R35" t="s">
        <v>1093</v>
      </c>
      <c r="S35" t="s">
        <v>984</v>
      </c>
      <c r="T35" t="s">
        <v>1218</v>
      </c>
    </row>
    <row r="36" spans="1:20" ht="14.4" x14ac:dyDescent="0.3">
      <c r="A36" s="10" t="s">
        <v>951</v>
      </c>
      <c r="F36" s="8"/>
      <c r="G36" s="8"/>
      <c r="H36" s="8"/>
      <c r="I36" s="8"/>
      <c r="J36" s="8"/>
      <c r="K36" s="8"/>
      <c r="L36" s="8"/>
      <c r="S36" t="s">
        <v>985</v>
      </c>
      <c r="T36" t="s">
        <v>1218</v>
      </c>
    </row>
    <row r="37" spans="1:20" x14ac:dyDescent="0.25">
      <c r="A37" t="s">
        <v>948</v>
      </c>
      <c r="B37" s="6">
        <f>B13*(B8+B10+B18)</f>
        <v>0</v>
      </c>
      <c r="F37" s="8">
        <f>F13*(F8+F10)</f>
        <v>0</v>
      </c>
      <c r="G37" s="8"/>
      <c r="H37" s="8"/>
      <c r="I37" s="8"/>
      <c r="J37" s="8">
        <f>J13*(J8+J10)</f>
        <v>0</v>
      </c>
      <c r="K37" s="8"/>
      <c r="L37" s="8"/>
      <c r="S37" t="s">
        <v>1222</v>
      </c>
      <c r="T37" t="s">
        <v>1218</v>
      </c>
    </row>
    <row r="38" spans="1:20" x14ac:dyDescent="0.25">
      <c r="A38" t="s">
        <v>949</v>
      </c>
      <c r="B38" s="6">
        <f>B13*(B26+B27)</f>
        <v>0</v>
      </c>
      <c r="F38" s="8">
        <f>F13*(F26+F27)</f>
        <v>0</v>
      </c>
      <c r="G38" s="8"/>
      <c r="H38" s="8"/>
      <c r="I38" s="8"/>
      <c r="J38" s="8">
        <f>J13*(J26+J27)</f>
        <v>0</v>
      </c>
      <c r="K38" s="8"/>
      <c r="L38" s="8"/>
    </row>
    <row r="39" spans="1:20" x14ac:dyDescent="0.25">
      <c r="F39" s="8"/>
      <c r="G39" s="8"/>
      <c r="H39" s="8"/>
      <c r="I39" s="8"/>
      <c r="J39" s="8"/>
      <c r="K39" s="8"/>
      <c r="L39" s="8"/>
      <c r="R39" t="s">
        <v>1203</v>
      </c>
      <c r="T39" t="s">
        <v>1218</v>
      </c>
    </row>
    <row r="40" spans="1:20" x14ac:dyDescent="0.25">
      <c r="A40" t="s">
        <v>952</v>
      </c>
      <c r="B40" s="6">
        <f>B13+B38-B37</f>
        <v>0</v>
      </c>
      <c r="C40" s="6">
        <f>B40*52</f>
        <v>0</v>
      </c>
      <c r="D40" s="7">
        <f>IF($B$20=1,C40/$B$21,C40)</f>
        <v>0</v>
      </c>
      <c r="F40" s="8">
        <f>F13+F38-F37</f>
        <v>0</v>
      </c>
      <c r="G40" s="8"/>
      <c r="H40" s="8">
        <f>F40*52</f>
        <v>0</v>
      </c>
      <c r="I40" s="8"/>
      <c r="J40" s="8">
        <f>J13+J38-J37</f>
        <v>0</v>
      </c>
      <c r="K40" s="8"/>
      <c r="L40" s="8">
        <f>J40*52</f>
        <v>0</v>
      </c>
    </row>
    <row r="41" spans="1:20" x14ac:dyDescent="0.25">
      <c r="F41" s="8"/>
      <c r="G41" s="8"/>
      <c r="H41" s="8"/>
      <c r="I41" s="8"/>
      <c r="J41" s="8"/>
      <c r="K41" s="8"/>
      <c r="L41" s="8"/>
    </row>
    <row r="42" spans="1:20" x14ac:dyDescent="0.25">
      <c r="F42" s="8"/>
      <c r="G42" s="8"/>
      <c r="H42" s="8"/>
      <c r="I42" s="8"/>
      <c r="J42" s="8"/>
      <c r="K42" s="8"/>
      <c r="L42" s="8"/>
    </row>
    <row r="43" spans="1:20" ht="14.4" x14ac:dyDescent="0.3">
      <c r="A43" s="10" t="s">
        <v>953</v>
      </c>
      <c r="F43" s="8"/>
      <c r="G43" s="8"/>
      <c r="H43" s="8"/>
      <c r="I43" s="8"/>
      <c r="J43" s="8"/>
      <c r="K43" s="8"/>
      <c r="L43" s="8"/>
    </row>
    <row r="44" spans="1:20" x14ac:dyDescent="0.25">
      <c r="A44" t="s">
        <v>954</v>
      </c>
      <c r="F44" s="8"/>
      <c r="G44" s="8"/>
      <c r="H44" s="8"/>
      <c r="I44" s="8"/>
      <c r="J44" s="8"/>
      <c r="K44" s="8"/>
      <c r="L44" s="8"/>
    </row>
    <row r="45" spans="1:20" x14ac:dyDescent="0.25">
      <c r="F45" s="8"/>
      <c r="G45" s="8"/>
      <c r="H45" s="8"/>
      <c r="I45" s="8"/>
      <c r="J45" s="8"/>
      <c r="K45" s="8"/>
      <c r="L45" s="8"/>
    </row>
    <row r="46" spans="1:20" x14ac:dyDescent="0.25">
      <c r="A46" t="s">
        <v>948</v>
      </c>
      <c r="B46" s="6">
        <f>B25*(B8+B10+B18)</f>
        <v>0</v>
      </c>
      <c r="F46" s="8">
        <f>F25*(F8+F10)</f>
        <v>0</v>
      </c>
      <c r="G46" s="8"/>
      <c r="H46" s="8"/>
      <c r="I46" s="8"/>
      <c r="J46" s="8">
        <f>J25*(J8+J10)</f>
        <v>0</v>
      </c>
      <c r="K46" s="8"/>
      <c r="L46" s="8"/>
    </row>
    <row r="47" spans="1:20" x14ac:dyDescent="0.25">
      <c r="A47" t="s">
        <v>949</v>
      </c>
      <c r="B47" s="6">
        <f>B25*(B26+B27)</f>
        <v>0</v>
      </c>
      <c r="F47" s="8">
        <f>F25*(F26+F27)</f>
        <v>0</v>
      </c>
      <c r="G47" s="8"/>
      <c r="H47" s="8"/>
      <c r="I47" s="8"/>
      <c r="J47" s="8">
        <f>J25*(J26+J27)</f>
        <v>0</v>
      </c>
      <c r="K47" s="8"/>
      <c r="L47" s="8"/>
    </row>
    <row r="48" spans="1:20" x14ac:dyDescent="0.25">
      <c r="F48" s="8" t="s">
        <v>901</v>
      </c>
      <c r="G48" s="8"/>
      <c r="H48" s="8"/>
      <c r="I48" s="8"/>
      <c r="J48" s="8" t="s">
        <v>901</v>
      </c>
      <c r="K48" s="8"/>
      <c r="L48" s="8"/>
    </row>
    <row r="49" spans="1:40" x14ac:dyDescent="0.25">
      <c r="A49" t="s">
        <v>955</v>
      </c>
      <c r="B49" s="6">
        <f>B25+B47-B46</f>
        <v>0</v>
      </c>
      <c r="C49" s="6">
        <f>B49</f>
        <v>0</v>
      </c>
      <c r="D49" s="7">
        <f>IF($B$20=1,C49/$B$21,C49)</f>
        <v>0</v>
      </c>
      <c r="F49" s="8">
        <f>F25+F47-F46</f>
        <v>0</v>
      </c>
      <c r="G49" s="8">
        <f>F49</f>
        <v>0</v>
      </c>
      <c r="H49" s="8">
        <f>IF($F$20=1,G49/$F$21,G49)</f>
        <v>0</v>
      </c>
      <c r="I49" s="8"/>
      <c r="J49" s="8">
        <f>J25+J47-J46</f>
        <v>0</v>
      </c>
      <c r="K49" s="8">
        <f>J49</f>
        <v>0</v>
      </c>
      <c r="L49" s="8">
        <f>IF($J$20=1,K49/$J$21,K49)</f>
        <v>0</v>
      </c>
    </row>
    <row r="50" spans="1:40" x14ac:dyDescent="0.25">
      <c r="F50" t="s">
        <v>1022</v>
      </c>
      <c r="J50" t="s">
        <v>1022</v>
      </c>
    </row>
    <row r="51" spans="1:40" x14ac:dyDescent="0.25">
      <c r="F51">
        <v>0</v>
      </c>
      <c r="H51">
        <v>0</v>
      </c>
      <c r="J51">
        <f>K25*(1+(J8*(1-J9))-(J8+J10+J18)+(J10*(1-J11)))</f>
        <v>0</v>
      </c>
      <c r="K51">
        <f>J51</f>
        <v>0</v>
      </c>
      <c r="L51" s="8">
        <f>IF($J$20=1,K51/$J$21,K51)</f>
        <v>0</v>
      </c>
    </row>
    <row r="52" spans="1:40" x14ac:dyDescent="0.25">
      <c r="A52" s="1" t="s">
        <v>956</v>
      </c>
      <c r="M52" t="s">
        <v>1016</v>
      </c>
      <c r="Z52">
        <f>1-(NASL*NASLDC)</f>
        <v>1</v>
      </c>
    </row>
    <row r="53" spans="1:40" x14ac:dyDescent="0.25">
      <c r="A53" t="s">
        <v>1141</v>
      </c>
      <c r="B53" s="92" t="s">
        <v>1142</v>
      </c>
    </row>
    <row r="54" spans="1:40" x14ac:dyDescent="0.25">
      <c r="M54" t="s">
        <v>1207</v>
      </c>
      <c r="Q54">
        <f>(1-ROTT)*(1-(NASR*NASRDC) - (NASL*NASLDC))</f>
        <v>1</v>
      </c>
      <c r="R54">
        <f>(1-FU_ROTT)*(1-(FU_NASR*FU_NASRDC) - (FU_NASL*FU_NASLDC))</f>
        <v>1</v>
      </c>
      <c r="S54">
        <f>(1-IP_ROTT)*(1-(IP_NASR*IP_NASRDC) - (IP_NASL*IP_NASLDC))</f>
        <v>1</v>
      </c>
      <c r="Z54">
        <f>1-(NASL*NASLDC)</f>
        <v>1</v>
      </c>
      <c r="AA54">
        <f>1-(FU_NASL*FU_NASLDC)</f>
        <v>1</v>
      </c>
      <c r="AB54">
        <f>1-(IP_NASL*IP_NASLDC)</f>
        <v>1</v>
      </c>
    </row>
    <row r="55" spans="1:40" x14ac:dyDescent="0.25">
      <c r="A55" t="s">
        <v>1143</v>
      </c>
      <c r="B55" s="100">
        <f>'Reference dates (hide)'!B40</f>
        <v>43831</v>
      </c>
      <c r="C55" s="6" t="s">
        <v>1150</v>
      </c>
      <c r="G55" s="7"/>
      <c r="Q55" s="116" t="str">
        <f ca="1">IF(OFFSET('Control Sheet'!E$45,MID($A$1,6,LEN($A$1)-6),0,1,1)=0,"",OFFSET('Control Sheet'!E$45,MID($A$1,6,LEN($A$1)-6),0,1,1))</f>
        <v/>
      </c>
      <c r="R55" s="116" t="str">
        <f ca="1">IF(OFFSET('Control Sheet'!F$45,MID($A$1,6,LEN($A$1)-6),0,1,1)=0,"",OFFSET('Control Sheet'!F$45,MID($A$1,6,LEN($A$1)-6),0,1,1))</f>
        <v/>
      </c>
      <c r="S55" s="116" t="str">
        <f ca="1">IF(OFFSET('Control Sheet'!G$45,MID($A$1,6,LEN($A$1)-6),0,1,1)=0,"",OFFSET('Control Sheet'!G$45,MID($A$1,6,LEN($A$1)-6),0,1,1))</f>
        <v/>
      </c>
      <c r="T55" s="118" t="str">
        <f ca="1">IF(OFFSET('Control Sheet'!I$45,MID($A$1,6,LEN($A$1)-6),0,1,1)="0","",OFFSET('Control Sheet'!I$45,MID($A$1,6,LEN($A$1)-6),0,1,1))</f>
        <v/>
      </c>
      <c r="U55" s="118" t="str">
        <f ca="1">IF(OFFSET('Control Sheet'!J$45,MID($A$1,6,LEN($A$1)-6),0,1,1)=0,"",OFFSET('Control Sheet'!J$45,MID($A$1,6,LEN($A$1)-6),0,1,1))</f>
        <v/>
      </c>
      <c r="V55" s="118" t="str">
        <f ca="1">IF(OFFSET('Control Sheet'!K$45,MID($A$1,6,LEN($A$1)-6),0,1,1)=0,"",OFFSET('Control Sheet'!K$45,MID($A$1,6,LEN($A$1)-6),0,1,1))</f>
        <v/>
      </c>
    </row>
    <row r="56" spans="1:40" ht="14.4" x14ac:dyDescent="0.3">
      <c r="A56" t="s">
        <v>1202</v>
      </c>
      <c r="C56" s="6" t="s">
        <v>1204</v>
      </c>
      <c r="D56" s="6"/>
      <c r="E56" s="7"/>
      <c r="F56" t="s">
        <v>860</v>
      </c>
      <c r="N56" s="6"/>
      <c r="O56" s="6"/>
      <c r="P56" s="7"/>
      <c r="Q56" s="93" t="s">
        <v>1236</v>
      </c>
      <c r="R56" s="6"/>
      <c r="T56" s="107" t="s">
        <v>1093</v>
      </c>
      <c r="Z56" s="93" t="s">
        <v>1212</v>
      </c>
      <c r="AC56" s="108" t="s">
        <v>1276</v>
      </c>
      <c r="AF56" s="1" t="s">
        <v>1306</v>
      </c>
      <c r="AI56" t="s">
        <v>1275</v>
      </c>
      <c r="AL56" t="s">
        <v>1312</v>
      </c>
    </row>
    <row r="57" spans="1:40" x14ac:dyDescent="0.25">
      <c r="A57" s="1" t="s">
        <v>1144</v>
      </c>
      <c r="B57" s="1" t="s">
        <v>1151</v>
      </c>
      <c r="C57" s="94" t="s">
        <v>1203</v>
      </c>
      <c r="D57" s="94" t="s">
        <v>984</v>
      </c>
      <c r="E57" s="111" t="s">
        <v>985</v>
      </c>
      <c r="F57" s="1" t="s">
        <v>951</v>
      </c>
      <c r="G57" s="1" t="s">
        <v>1205</v>
      </c>
      <c r="H57" s="1" t="s">
        <v>1206</v>
      </c>
      <c r="I57" s="1" t="s">
        <v>25</v>
      </c>
      <c r="J57" s="1" t="s">
        <v>1220</v>
      </c>
      <c r="K57" s="1" t="s">
        <v>1266</v>
      </c>
      <c r="M57" s="1" t="s">
        <v>1144</v>
      </c>
      <c r="N57" s="94" t="s">
        <v>1159</v>
      </c>
      <c r="O57" s="94" t="s">
        <v>1151</v>
      </c>
      <c r="P57" s="7" t="s">
        <v>1201</v>
      </c>
      <c r="Q57" s="6" t="s">
        <v>1196</v>
      </c>
      <c r="R57" s="6" t="s">
        <v>1197</v>
      </c>
      <c r="S57" s="7" t="s">
        <v>1198</v>
      </c>
      <c r="T57" s="109" t="s">
        <v>1188</v>
      </c>
      <c r="U57" s="109" t="s">
        <v>1189</v>
      </c>
      <c r="V57" s="109" t="s">
        <v>1190</v>
      </c>
      <c r="W57" s="110" t="s">
        <v>1191</v>
      </c>
      <c r="X57" s="110" t="s">
        <v>1192</v>
      </c>
      <c r="Y57" s="110" t="s">
        <v>1193</v>
      </c>
      <c r="Z57" s="57">
        <v>1</v>
      </c>
      <c r="AA57">
        <v>2</v>
      </c>
      <c r="AB57">
        <v>3</v>
      </c>
      <c r="AC57" t="s">
        <v>1146</v>
      </c>
      <c r="AD57" t="s">
        <v>1147</v>
      </c>
      <c r="AE57" t="s">
        <v>1148</v>
      </c>
      <c r="AF57" t="s">
        <v>1146</v>
      </c>
      <c r="AG57" t="s">
        <v>1147</v>
      </c>
      <c r="AH57" t="s">
        <v>1148</v>
      </c>
      <c r="AI57" t="s">
        <v>1146</v>
      </c>
      <c r="AJ57" t="s">
        <v>1147</v>
      </c>
      <c r="AK57" t="s">
        <v>1148</v>
      </c>
      <c r="AL57" t="s">
        <v>1146</v>
      </c>
      <c r="AM57" t="s">
        <v>1147</v>
      </c>
      <c r="AN57" t="s">
        <v>1148</v>
      </c>
    </row>
    <row r="58" spans="1:40" x14ac:dyDescent="0.25">
      <c r="B58"/>
      <c r="C58"/>
      <c r="D58"/>
      <c r="M58" s="101">
        <f>IF(B55&lt;&gt;"",B55-WEEKDAY(B55,3),"")</f>
        <v>43829</v>
      </c>
      <c r="N58" s="99">
        <f>YEAR(M58)</f>
        <v>2019</v>
      </c>
      <c r="O58" s="8">
        <f>WEEKNUM(M58,21)</f>
        <v>1</v>
      </c>
      <c r="P58">
        <f ca="1">'Reference dates (hide)'!K43</f>
        <v>7.874015748031496E-3</v>
      </c>
    </row>
    <row r="59" spans="1:40" x14ac:dyDescent="0.25">
      <c r="B59"/>
      <c r="C59"/>
      <c r="D59"/>
      <c r="M59" s="101">
        <f>IF('Reference dates (hide)'!I44&lt;&gt;"",'Reference dates (hide)'!I44,"")</f>
        <v>43836</v>
      </c>
      <c r="N59" s="99">
        <f t="shared" ref="N59:N110" si="0">YEAR(M59)</f>
        <v>2020</v>
      </c>
      <c r="O59" s="8">
        <f t="shared" ref="O59:O110" si="1">WEEKNUM(M59,21)</f>
        <v>2</v>
      </c>
      <c r="P59">
        <f ca="1">'Reference dates (hide)'!K44</f>
        <v>1.968503937007874E-2</v>
      </c>
    </row>
    <row r="60" spans="1:40" x14ac:dyDescent="0.25">
      <c r="B60"/>
      <c r="C60"/>
      <c r="D60"/>
      <c r="M60" s="101">
        <f>IF('Reference dates (hide)'!I45&lt;&gt;"",'Reference dates (hide)'!I45,"")</f>
        <v>43843</v>
      </c>
      <c r="N60" s="99">
        <f t="shared" si="0"/>
        <v>2020</v>
      </c>
      <c r="O60" s="8">
        <f t="shared" si="1"/>
        <v>3</v>
      </c>
      <c r="P60">
        <f ca="1">'Reference dates (hide)'!K45</f>
        <v>1.968503937007874E-2</v>
      </c>
    </row>
    <row r="61" spans="1:40" x14ac:dyDescent="0.25">
      <c r="B61"/>
      <c r="C61"/>
      <c r="D61"/>
      <c r="M61" s="101">
        <f>IF('Reference dates (hide)'!I46&lt;&gt;"",'Reference dates (hide)'!I46,"")</f>
        <v>43850</v>
      </c>
      <c r="N61" s="99">
        <f t="shared" si="0"/>
        <v>2020</v>
      </c>
      <c r="O61" s="8">
        <f t="shared" si="1"/>
        <v>4</v>
      </c>
      <c r="P61">
        <f ca="1">'Reference dates (hide)'!K46</f>
        <v>1.968503937007874E-2</v>
      </c>
    </row>
    <row r="62" spans="1:40" x14ac:dyDescent="0.25">
      <c r="B62"/>
      <c r="C62"/>
      <c r="D62"/>
      <c r="M62" s="101">
        <f>IF('Reference dates (hide)'!I47&lt;&gt;"",'Reference dates (hide)'!I47,"")</f>
        <v>43857</v>
      </c>
      <c r="N62" s="99">
        <f t="shared" si="0"/>
        <v>2020</v>
      </c>
      <c r="O62" s="8">
        <f t="shared" si="1"/>
        <v>5</v>
      </c>
      <c r="P62">
        <f ca="1">'Reference dates (hide)'!K47</f>
        <v>1.968503937007874E-2</v>
      </c>
    </row>
    <row r="63" spans="1:40" x14ac:dyDescent="0.25">
      <c r="B63"/>
      <c r="C63"/>
      <c r="D63"/>
      <c r="M63" s="101">
        <f>IF('Reference dates (hide)'!I48&lt;&gt;"",'Reference dates (hide)'!I48,"")</f>
        <v>43864</v>
      </c>
      <c r="N63" s="99">
        <f t="shared" si="0"/>
        <v>2020</v>
      </c>
      <c r="O63" s="8">
        <f t="shared" si="1"/>
        <v>6</v>
      </c>
      <c r="P63">
        <f ca="1">'Reference dates (hide)'!K48</f>
        <v>1.968503937007874E-2</v>
      </c>
    </row>
    <row r="64" spans="1:40" x14ac:dyDescent="0.25">
      <c r="B64"/>
      <c r="C64"/>
      <c r="D64"/>
      <c r="M64" s="101">
        <f>IF('Reference dates (hide)'!I49&lt;&gt;"",'Reference dates (hide)'!I49,"")</f>
        <v>43871</v>
      </c>
      <c r="N64" s="99">
        <f t="shared" si="0"/>
        <v>2020</v>
      </c>
      <c r="O64" s="8">
        <f t="shared" si="1"/>
        <v>7</v>
      </c>
      <c r="P64">
        <f ca="1">'Reference dates (hide)'!K49</f>
        <v>1.968503937007874E-2</v>
      </c>
    </row>
    <row r="65" spans="2:16" x14ac:dyDescent="0.25">
      <c r="B65"/>
      <c r="C65"/>
      <c r="D65"/>
      <c r="M65" s="101">
        <f>IF('Reference dates (hide)'!I50&lt;&gt;"",'Reference dates (hide)'!I50,"")</f>
        <v>43878</v>
      </c>
      <c r="N65" s="99">
        <f t="shared" si="0"/>
        <v>2020</v>
      </c>
      <c r="O65" s="8">
        <f t="shared" si="1"/>
        <v>8</v>
      </c>
      <c r="P65">
        <f ca="1">'Reference dates (hide)'!K50</f>
        <v>1.968503937007874E-2</v>
      </c>
    </row>
    <row r="66" spans="2:16" x14ac:dyDescent="0.25">
      <c r="B66"/>
      <c r="C66"/>
      <c r="D66"/>
      <c r="M66" s="101">
        <f>IF('Reference dates (hide)'!I51&lt;&gt;"",'Reference dates (hide)'!I51,"")</f>
        <v>43885</v>
      </c>
      <c r="N66" s="99">
        <f t="shared" si="0"/>
        <v>2020</v>
      </c>
      <c r="O66" s="8">
        <f t="shared" si="1"/>
        <v>9</v>
      </c>
      <c r="P66">
        <f ca="1">'Reference dates (hide)'!K51</f>
        <v>1.968503937007874E-2</v>
      </c>
    </row>
    <row r="67" spans="2:16" x14ac:dyDescent="0.25">
      <c r="B67"/>
      <c r="C67"/>
      <c r="D67"/>
      <c r="M67" s="101">
        <f>IF('Reference dates (hide)'!I52&lt;&gt;"",'Reference dates (hide)'!I52,"")</f>
        <v>43892</v>
      </c>
      <c r="N67" s="99">
        <f t="shared" si="0"/>
        <v>2020</v>
      </c>
      <c r="O67" s="8">
        <f t="shared" si="1"/>
        <v>10</v>
      </c>
      <c r="P67">
        <f ca="1">'Reference dates (hide)'!K52</f>
        <v>1.968503937007874E-2</v>
      </c>
    </row>
    <row r="68" spans="2:16" x14ac:dyDescent="0.25">
      <c r="B68"/>
      <c r="C68"/>
      <c r="D68"/>
      <c r="M68" s="101">
        <f>IF('Reference dates (hide)'!I53&lt;&gt;"",'Reference dates (hide)'!I53,"")</f>
        <v>43899</v>
      </c>
      <c r="N68" s="99">
        <f t="shared" si="0"/>
        <v>2020</v>
      </c>
      <c r="O68" s="8">
        <f t="shared" si="1"/>
        <v>11</v>
      </c>
      <c r="P68">
        <f ca="1">'Reference dates (hide)'!K53</f>
        <v>1.968503937007874E-2</v>
      </c>
    </row>
    <row r="69" spans="2:16" x14ac:dyDescent="0.25">
      <c r="B69"/>
      <c r="C69"/>
      <c r="D69"/>
      <c r="M69" s="101">
        <f>IF('Reference dates (hide)'!I54&lt;&gt;"",'Reference dates (hide)'!I54,"")</f>
        <v>43906</v>
      </c>
      <c r="N69" s="99">
        <f t="shared" si="0"/>
        <v>2020</v>
      </c>
      <c r="O69" s="8">
        <f t="shared" si="1"/>
        <v>12</v>
      </c>
      <c r="P69">
        <f ca="1">'Reference dates (hide)'!K54</f>
        <v>1.968503937007874E-2</v>
      </c>
    </row>
    <row r="70" spans="2:16" x14ac:dyDescent="0.25">
      <c r="B70"/>
      <c r="C70"/>
      <c r="D70"/>
      <c r="M70" s="101">
        <f>IF('Reference dates (hide)'!I55&lt;&gt;"",'Reference dates (hide)'!I55,"")</f>
        <v>43913</v>
      </c>
      <c r="N70" s="99">
        <f t="shared" si="0"/>
        <v>2020</v>
      </c>
      <c r="O70" s="8">
        <f t="shared" si="1"/>
        <v>13</v>
      </c>
      <c r="P70">
        <f ca="1">'Reference dates (hide)'!K55</f>
        <v>1.968503937007874E-2</v>
      </c>
    </row>
    <row r="71" spans="2:16" x14ac:dyDescent="0.25">
      <c r="B71"/>
      <c r="C71"/>
      <c r="D71"/>
      <c r="M71" s="101">
        <f>IF('Reference dates (hide)'!I56&lt;&gt;"",'Reference dates (hide)'!I56,"")</f>
        <v>43920</v>
      </c>
      <c r="N71" s="99">
        <f t="shared" si="0"/>
        <v>2020</v>
      </c>
      <c r="O71" s="8">
        <f t="shared" si="1"/>
        <v>14</v>
      </c>
      <c r="P71">
        <f ca="1">'Reference dates (hide)'!K56</f>
        <v>1.968503937007874E-2</v>
      </c>
    </row>
    <row r="72" spans="2:16" x14ac:dyDescent="0.25">
      <c r="B72"/>
      <c r="C72"/>
      <c r="D72"/>
      <c r="M72" s="101">
        <f>IF('Reference dates (hide)'!I57&lt;&gt;"",'Reference dates (hide)'!I57,"")</f>
        <v>43927</v>
      </c>
      <c r="N72" s="99">
        <f t="shared" si="0"/>
        <v>2020</v>
      </c>
      <c r="O72" s="8">
        <f t="shared" si="1"/>
        <v>15</v>
      </c>
      <c r="P72">
        <f ca="1">'Reference dates (hide)'!K57</f>
        <v>1.5748031496062992E-2</v>
      </c>
    </row>
    <row r="73" spans="2:16" x14ac:dyDescent="0.25">
      <c r="B73"/>
      <c r="C73"/>
      <c r="D73"/>
      <c r="M73" s="101">
        <f>IF('Reference dates (hide)'!I58&lt;&gt;"",'Reference dates (hide)'!I58,"")</f>
        <v>43934</v>
      </c>
      <c r="N73" s="99">
        <f t="shared" si="0"/>
        <v>2020</v>
      </c>
      <c r="O73" s="8">
        <f t="shared" si="1"/>
        <v>16</v>
      </c>
      <c r="P73">
        <f ca="1">'Reference dates (hide)'!K58</f>
        <v>1.5748031496062992E-2</v>
      </c>
    </row>
    <row r="74" spans="2:16" x14ac:dyDescent="0.25">
      <c r="B74"/>
      <c r="C74"/>
      <c r="D74"/>
      <c r="M74" s="101">
        <f>IF('Reference dates (hide)'!I59&lt;&gt;"",'Reference dates (hide)'!I59,"")</f>
        <v>43941</v>
      </c>
      <c r="N74" s="99">
        <f t="shared" si="0"/>
        <v>2020</v>
      </c>
      <c r="O74" s="8">
        <f t="shared" si="1"/>
        <v>17</v>
      </c>
      <c r="P74">
        <f ca="1">'Reference dates (hide)'!K59</f>
        <v>1.968503937007874E-2</v>
      </c>
    </row>
    <row r="75" spans="2:16" x14ac:dyDescent="0.25">
      <c r="B75"/>
      <c r="C75"/>
      <c r="D75"/>
      <c r="M75" s="101">
        <f>IF('Reference dates (hide)'!I60&lt;&gt;"",'Reference dates (hide)'!I60,"")</f>
        <v>43948</v>
      </c>
      <c r="N75" s="99">
        <f t="shared" si="0"/>
        <v>2020</v>
      </c>
      <c r="O75" s="8">
        <f t="shared" si="1"/>
        <v>18</v>
      </c>
      <c r="P75">
        <f ca="1">'Reference dates (hide)'!K60</f>
        <v>1.968503937007874E-2</v>
      </c>
    </row>
    <row r="76" spans="2:16" x14ac:dyDescent="0.25">
      <c r="B76"/>
      <c r="C76"/>
      <c r="D76"/>
      <c r="M76" s="101">
        <f>IF('Reference dates (hide)'!I61&lt;&gt;"",'Reference dates (hide)'!I61,"")</f>
        <v>43955</v>
      </c>
      <c r="N76" s="99">
        <f t="shared" si="0"/>
        <v>2020</v>
      </c>
      <c r="O76" s="8">
        <f t="shared" si="1"/>
        <v>19</v>
      </c>
      <c r="P76">
        <f ca="1">'Reference dates (hide)'!K61</f>
        <v>1.5748031496062992E-2</v>
      </c>
    </row>
    <row r="77" spans="2:16" x14ac:dyDescent="0.25">
      <c r="B77"/>
      <c r="C77"/>
      <c r="D77"/>
      <c r="M77" s="101">
        <f>IF('Reference dates (hide)'!I62&lt;&gt;"",'Reference dates (hide)'!I62,"")</f>
        <v>43962</v>
      </c>
      <c r="N77" s="99">
        <f t="shared" si="0"/>
        <v>2020</v>
      </c>
      <c r="O77" s="8">
        <f t="shared" si="1"/>
        <v>20</v>
      </c>
      <c r="P77">
        <f ca="1">'Reference dates (hide)'!K62</f>
        <v>1.968503937007874E-2</v>
      </c>
    </row>
    <row r="78" spans="2:16" x14ac:dyDescent="0.25">
      <c r="B78"/>
      <c r="C78"/>
      <c r="D78"/>
      <c r="M78" s="101">
        <f>IF('Reference dates (hide)'!I63&lt;&gt;"",'Reference dates (hide)'!I63,"")</f>
        <v>43969</v>
      </c>
      <c r="N78" s="99">
        <f t="shared" si="0"/>
        <v>2020</v>
      </c>
      <c r="O78" s="8">
        <f t="shared" si="1"/>
        <v>21</v>
      </c>
      <c r="P78">
        <f ca="1">'Reference dates (hide)'!K63</f>
        <v>1.968503937007874E-2</v>
      </c>
    </row>
    <row r="79" spans="2:16" x14ac:dyDescent="0.25">
      <c r="B79"/>
      <c r="C79"/>
      <c r="D79"/>
      <c r="M79" s="101">
        <f>IF('Reference dates (hide)'!I64&lt;&gt;"",'Reference dates (hide)'!I64,"")</f>
        <v>43976</v>
      </c>
      <c r="N79" s="99">
        <f t="shared" si="0"/>
        <v>2020</v>
      </c>
      <c r="O79" s="8">
        <f t="shared" si="1"/>
        <v>22</v>
      </c>
      <c r="P79">
        <f ca="1">'Reference dates (hide)'!K64</f>
        <v>1.5748031496062992E-2</v>
      </c>
    </row>
    <row r="80" spans="2:16" x14ac:dyDescent="0.25">
      <c r="B80"/>
      <c r="C80"/>
      <c r="D80"/>
      <c r="M80" s="101">
        <f>IF('Reference dates (hide)'!I65&lt;&gt;"",'Reference dates (hide)'!I65,"")</f>
        <v>43983</v>
      </c>
      <c r="N80" s="99">
        <f t="shared" si="0"/>
        <v>2020</v>
      </c>
      <c r="O80" s="8">
        <f t="shared" si="1"/>
        <v>23</v>
      </c>
      <c r="P80">
        <f ca="1">'Reference dates (hide)'!K65</f>
        <v>1.968503937007874E-2</v>
      </c>
    </row>
    <row r="81" spans="2:16" x14ac:dyDescent="0.25">
      <c r="B81"/>
      <c r="C81"/>
      <c r="D81"/>
      <c r="M81" s="101">
        <f>IF('Reference dates (hide)'!I66&lt;&gt;"",'Reference dates (hide)'!I66,"")</f>
        <v>43990</v>
      </c>
      <c r="N81" s="99">
        <f t="shared" si="0"/>
        <v>2020</v>
      </c>
      <c r="O81" s="8">
        <f t="shared" si="1"/>
        <v>24</v>
      </c>
      <c r="P81">
        <f ca="1">'Reference dates (hide)'!K66</f>
        <v>1.968503937007874E-2</v>
      </c>
    </row>
    <row r="82" spans="2:16" x14ac:dyDescent="0.25">
      <c r="B82"/>
      <c r="C82"/>
      <c r="D82"/>
      <c r="M82" s="101">
        <f>IF('Reference dates (hide)'!I67&lt;&gt;"",'Reference dates (hide)'!I67,"")</f>
        <v>43997</v>
      </c>
      <c r="N82" s="99">
        <f t="shared" si="0"/>
        <v>2020</v>
      </c>
      <c r="O82" s="8">
        <f t="shared" si="1"/>
        <v>25</v>
      </c>
      <c r="P82">
        <f ca="1">'Reference dates (hide)'!K67</f>
        <v>1.968503937007874E-2</v>
      </c>
    </row>
    <row r="83" spans="2:16" x14ac:dyDescent="0.25">
      <c r="B83"/>
      <c r="C83"/>
      <c r="D83"/>
      <c r="M83" s="101">
        <f>IF('Reference dates (hide)'!I68&lt;&gt;"",'Reference dates (hide)'!I68,"")</f>
        <v>44004</v>
      </c>
      <c r="N83" s="99">
        <f t="shared" si="0"/>
        <v>2020</v>
      </c>
      <c r="O83" s="8">
        <f t="shared" si="1"/>
        <v>26</v>
      </c>
      <c r="P83">
        <f ca="1">'Reference dates (hide)'!K68</f>
        <v>1.968503937007874E-2</v>
      </c>
    </row>
    <row r="84" spans="2:16" x14ac:dyDescent="0.25">
      <c r="B84"/>
      <c r="C84"/>
      <c r="D84"/>
      <c r="M84" s="101">
        <f>IF('Reference dates (hide)'!I69&lt;&gt;"",'Reference dates (hide)'!I69,"")</f>
        <v>44011</v>
      </c>
      <c r="N84" s="99">
        <f t="shared" si="0"/>
        <v>2020</v>
      </c>
      <c r="O84" s="8">
        <f t="shared" si="1"/>
        <v>27</v>
      </c>
      <c r="P84">
        <f ca="1">'Reference dates (hide)'!K69</f>
        <v>1.968503937007874E-2</v>
      </c>
    </row>
    <row r="85" spans="2:16" x14ac:dyDescent="0.25">
      <c r="B85"/>
      <c r="C85"/>
      <c r="D85"/>
      <c r="M85" s="101">
        <f>IF('Reference dates (hide)'!I70&lt;&gt;"",'Reference dates (hide)'!I70,"")</f>
        <v>44018</v>
      </c>
      <c r="N85" s="99">
        <f t="shared" si="0"/>
        <v>2020</v>
      </c>
      <c r="O85" s="8">
        <f t="shared" si="1"/>
        <v>28</v>
      </c>
      <c r="P85">
        <f ca="1">'Reference dates (hide)'!K70</f>
        <v>1.968503937007874E-2</v>
      </c>
    </row>
    <row r="86" spans="2:16" x14ac:dyDescent="0.25">
      <c r="B86"/>
      <c r="C86"/>
      <c r="D86"/>
      <c r="M86" s="101">
        <f>IF('Reference dates (hide)'!I71&lt;&gt;"",'Reference dates (hide)'!I71,"")</f>
        <v>44025</v>
      </c>
      <c r="N86" s="99">
        <f t="shared" si="0"/>
        <v>2020</v>
      </c>
      <c r="O86" s="8">
        <f t="shared" si="1"/>
        <v>29</v>
      </c>
      <c r="P86">
        <f ca="1">'Reference dates (hide)'!K71</f>
        <v>1.968503937007874E-2</v>
      </c>
    </row>
    <row r="87" spans="2:16" x14ac:dyDescent="0.25">
      <c r="B87"/>
      <c r="C87"/>
      <c r="D87"/>
      <c r="M87" s="101">
        <f>IF('Reference dates (hide)'!I72&lt;&gt;"",'Reference dates (hide)'!I72,"")</f>
        <v>44032</v>
      </c>
      <c r="N87" s="99">
        <f t="shared" si="0"/>
        <v>2020</v>
      </c>
      <c r="O87" s="8">
        <f t="shared" si="1"/>
        <v>30</v>
      </c>
      <c r="P87">
        <f ca="1">'Reference dates (hide)'!K72</f>
        <v>1.968503937007874E-2</v>
      </c>
    </row>
    <row r="88" spans="2:16" x14ac:dyDescent="0.25">
      <c r="B88"/>
      <c r="C88"/>
      <c r="D88"/>
      <c r="M88" s="101">
        <f>IF('Reference dates (hide)'!I73&lt;&gt;"",'Reference dates (hide)'!I73,"")</f>
        <v>44039</v>
      </c>
      <c r="N88" s="99">
        <f t="shared" si="0"/>
        <v>2020</v>
      </c>
      <c r="O88" s="8">
        <f t="shared" si="1"/>
        <v>31</v>
      </c>
      <c r="P88">
        <f ca="1">'Reference dates (hide)'!K73</f>
        <v>1.968503937007874E-2</v>
      </c>
    </row>
    <row r="89" spans="2:16" x14ac:dyDescent="0.25">
      <c r="B89"/>
      <c r="C89"/>
      <c r="D89"/>
      <c r="M89" s="101">
        <f>IF('Reference dates (hide)'!I74&lt;&gt;"",'Reference dates (hide)'!I74,"")</f>
        <v>44046</v>
      </c>
      <c r="N89" s="99">
        <f t="shared" si="0"/>
        <v>2020</v>
      </c>
      <c r="O89" s="8">
        <f t="shared" si="1"/>
        <v>32</v>
      </c>
      <c r="P89">
        <f ca="1">'Reference dates (hide)'!K74</f>
        <v>1.968503937007874E-2</v>
      </c>
    </row>
    <row r="90" spans="2:16" x14ac:dyDescent="0.25">
      <c r="B90"/>
      <c r="C90"/>
      <c r="D90"/>
      <c r="M90" s="101">
        <f>IF('Reference dates (hide)'!I75&lt;&gt;"",'Reference dates (hide)'!I75,"")</f>
        <v>44053</v>
      </c>
      <c r="N90" s="99">
        <f t="shared" si="0"/>
        <v>2020</v>
      </c>
      <c r="O90" s="8">
        <f t="shared" si="1"/>
        <v>33</v>
      </c>
      <c r="P90">
        <f ca="1">'Reference dates (hide)'!K75</f>
        <v>1.968503937007874E-2</v>
      </c>
    </row>
    <row r="91" spans="2:16" x14ac:dyDescent="0.25">
      <c r="B91"/>
      <c r="C91"/>
      <c r="D91"/>
      <c r="M91" s="101">
        <f>IF('Reference dates (hide)'!I76&lt;&gt;"",'Reference dates (hide)'!I76,"")</f>
        <v>44060</v>
      </c>
      <c r="N91" s="99">
        <f t="shared" si="0"/>
        <v>2020</v>
      </c>
      <c r="O91" s="8">
        <f t="shared" si="1"/>
        <v>34</v>
      </c>
      <c r="P91">
        <f ca="1">'Reference dates (hide)'!K76</f>
        <v>1.968503937007874E-2</v>
      </c>
    </row>
    <row r="92" spans="2:16" x14ac:dyDescent="0.25">
      <c r="B92"/>
      <c r="C92"/>
      <c r="D92"/>
      <c r="M92" s="101">
        <f>IF('Reference dates (hide)'!I77&lt;&gt;"",'Reference dates (hide)'!I77,"")</f>
        <v>44067</v>
      </c>
      <c r="N92" s="99">
        <f t="shared" si="0"/>
        <v>2020</v>
      </c>
      <c r="O92" s="8">
        <f t="shared" si="1"/>
        <v>35</v>
      </c>
      <c r="P92">
        <f ca="1">'Reference dates (hide)'!K77</f>
        <v>1.968503937007874E-2</v>
      </c>
    </row>
    <row r="93" spans="2:16" x14ac:dyDescent="0.25">
      <c r="B93"/>
      <c r="C93"/>
      <c r="D93"/>
      <c r="M93" s="101">
        <f>IF('Reference dates (hide)'!I78&lt;&gt;"",'Reference dates (hide)'!I78,"")</f>
        <v>44074</v>
      </c>
      <c r="N93" s="99">
        <f t="shared" si="0"/>
        <v>2020</v>
      </c>
      <c r="O93" s="8">
        <f t="shared" si="1"/>
        <v>36</v>
      </c>
      <c r="P93">
        <f ca="1">'Reference dates (hide)'!K78</f>
        <v>1.5748031496062992E-2</v>
      </c>
    </row>
    <row r="94" spans="2:16" x14ac:dyDescent="0.25">
      <c r="B94"/>
      <c r="C94"/>
      <c r="D94"/>
      <c r="M94" s="101">
        <f>IF('Reference dates (hide)'!I79&lt;&gt;"",'Reference dates (hide)'!I79,"")</f>
        <v>44081</v>
      </c>
      <c r="N94" s="99">
        <f t="shared" si="0"/>
        <v>2020</v>
      </c>
      <c r="O94" s="8">
        <f t="shared" si="1"/>
        <v>37</v>
      </c>
      <c r="P94">
        <f ca="1">'Reference dates (hide)'!K79</f>
        <v>1.968503937007874E-2</v>
      </c>
    </row>
    <row r="95" spans="2:16" x14ac:dyDescent="0.25">
      <c r="B95"/>
      <c r="C95"/>
      <c r="D95"/>
      <c r="M95" s="101">
        <f>IF('Reference dates (hide)'!I80&lt;&gt;"",'Reference dates (hide)'!I80,"")</f>
        <v>44088</v>
      </c>
      <c r="N95" s="99">
        <f t="shared" si="0"/>
        <v>2020</v>
      </c>
      <c r="O95" s="8">
        <f t="shared" si="1"/>
        <v>38</v>
      </c>
      <c r="P95">
        <f ca="1">'Reference dates (hide)'!K80</f>
        <v>1.968503937007874E-2</v>
      </c>
    </row>
    <row r="96" spans="2:16" x14ac:dyDescent="0.25">
      <c r="B96"/>
      <c r="C96"/>
      <c r="D96"/>
      <c r="M96" s="101">
        <f>IF('Reference dates (hide)'!I81&lt;&gt;"",'Reference dates (hide)'!I81,"")</f>
        <v>44095</v>
      </c>
      <c r="N96" s="99">
        <f t="shared" si="0"/>
        <v>2020</v>
      </c>
      <c r="O96" s="8">
        <f t="shared" si="1"/>
        <v>39</v>
      </c>
      <c r="P96">
        <f ca="1">'Reference dates (hide)'!K81</f>
        <v>1.968503937007874E-2</v>
      </c>
    </row>
    <row r="97" spans="2:31" x14ac:dyDescent="0.25">
      <c r="B97"/>
      <c r="C97"/>
      <c r="D97"/>
      <c r="M97" s="101">
        <f>IF('Reference dates (hide)'!I82&lt;&gt;"",'Reference dates (hide)'!I82,"")</f>
        <v>44102</v>
      </c>
      <c r="N97" s="99">
        <f t="shared" si="0"/>
        <v>2020</v>
      </c>
      <c r="O97" s="8">
        <f t="shared" si="1"/>
        <v>40</v>
      </c>
      <c r="P97">
        <f ca="1">'Reference dates (hide)'!K82</f>
        <v>1.968503937007874E-2</v>
      </c>
    </row>
    <row r="98" spans="2:31" x14ac:dyDescent="0.25">
      <c r="B98"/>
      <c r="C98"/>
      <c r="D98"/>
      <c r="M98" s="101">
        <f>IF('Reference dates (hide)'!I83&lt;&gt;"",'Reference dates (hide)'!I83,"")</f>
        <v>44109</v>
      </c>
      <c r="N98" s="99">
        <f t="shared" si="0"/>
        <v>2020</v>
      </c>
      <c r="O98" s="8">
        <f t="shared" si="1"/>
        <v>41</v>
      </c>
      <c r="P98">
        <f ca="1">'Reference dates (hide)'!K83</f>
        <v>1.968503937007874E-2</v>
      </c>
    </row>
    <row r="99" spans="2:31" x14ac:dyDescent="0.25">
      <c r="B99"/>
      <c r="C99"/>
      <c r="D99"/>
      <c r="M99" s="101">
        <f>IF('Reference dates (hide)'!I84&lt;&gt;"",'Reference dates (hide)'!I84,"")</f>
        <v>44116</v>
      </c>
      <c r="N99" s="99">
        <f t="shared" si="0"/>
        <v>2020</v>
      </c>
      <c r="O99" s="8">
        <f t="shared" si="1"/>
        <v>42</v>
      </c>
      <c r="P99">
        <f ca="1">'Reference dates (hide)'!K84</f>
        <v>1.968503937007874E-2</v>
      </c>
    </row>
    <row r="100" spans="2:31" x14ac:dyDescent="0.25">
      <c r="B100"/>
      <c r="C100"/>
      <c r="D100"/>
      <c r="M100" s="101">
        <f>IF('Reference dates (hide)'!I85&lt;&gt;"",'Reference dates (hide)'!I85,"")</f>
        <v>44123</v>
      </c>
      <c r="N100" s="99">
        <f t="shared" si="0"/>
        <v>2020</v>
      </c>
      <c r="O100" s="8">
        <f t="shared" si="1"/>
        <v>43</v>
      </c>
      <c r="P100">
        <f ca="1">'Reference dates (hide)'!K85</f>
        <v>1.968503937007874E-2</v>
      </c>
    </row>
    <row r="101" spans="2:31" x14ac:dyDescent="0.25">
      <c r="B101"/>
      <c r="C101"/>
      <c r="D101"/>
      <c r="M101" s="101">
        <f>IF('Reference dates (hide)'!I86&lt;&gt;"",'Reference dates (hide)'!I86,"")</f>
        <v>44130</v>
      </c>
      <c r="N101" s="99">
        <f t="shared" si="0"/>
        <v>2020</v>
      </c>
      <c r="O101" s="8">
        <f t="shared" si="1"/>
        <v>44</v>
      </c>
      <c r="P101">
        <f ca="1">'Reference dates (hide)'!K86</f>
        <v>1.968503937007874E-2</v>
      </c>
    </row>
    <row r="102" spans="2:31" x14ac:dyDescent="0.25">
      <c r="B102"/>
      <c r="C102"/>
      <c r="D102"/>
      <c r="M102" s="101">
        <f>IF('Reference dates (hide)'!I87&lt;&gt;"",'Reference dates (hide)'!I87,"")</f>
        <v>44137</v>
      </c>
      <c r="N102" s="99">
        <f t="shared" si="0"/>
        <v>2020</v>
      </c>
      <c r="O102" s="8">
        <f t="shared" si="1"/>
        <v>45</v>
      </c>
      <c r="P102">
        <f ca="1">'Reference dates (hide)'!K87</f>
        <v>1.968503937007874E-2</v>
      </c>
    </row>
    <row r="103" spans="2:31" x14ac:dyDescent="0.25">
      <c r="B103"/>
      <c r="C103"/>
      <c r="D103"/>
      <c r="M103" s="101">
        <f>IF('Reference dates (hide)'!I88&lt;&gt;"",'Reference dates (hide)'!I88,"")</f>
        <v>44144</v>
      </c>
      <c r="N103" s="99">
        <f t="shared" si="0"/>
        <v>2020</v>
      </c>
      <c r="O103" s="8">
        <f t="shared" si="1"/>
        <v>46</v>
      </c>
      <c r="P103">
        <f ca="1">'Reference dates (hide)'!K88</f>
        <v>1.968503937007874E-2</v>
      </c>
    </row>
    <row r="104" spans="2:31" x14ac:dyDescent="0.25">
      <c r="B104"/>
      <c r="C104"/>
      <c r="D104"/>
      <c r="M104" s="101">
        <f>IF('Reference dates (hide)'!I89&lt;&gt;"",'Reference dates (hide)'!I89,"")</f>
        <v>44151</v>
      </c>
      <c r="N104" s="99">
        <f t="shared" si="0"/>
        <v>2020</v>
      </c>
      <c r="O104" s="8">
        <f t="shared" si="1"/>
        <v>47</v>
      </c>
      <c r="P104">
        <f ca="1">'Reference dates (hide)'!K89</f>
        <v>1.968503937007874E-2</v>
      </c>
    </row>
    <row r="105" spans="2:31" x14ac:dyDescent="0.25">
      <c r="B105"/>
      <c r="C105"/>
      <c r="D105"/>
      <c r="M105" s="101">
        <f>IF('Reference dates (hide)'!I90&lt;&gt;"",'Reference dates (hide)'!I90,"")</f>
        <v>44158</v>
      </c>
      <c r="N105" s="99">
        <f t="shared" si="0"/>
        <v>2020</v>
      </c>
      <c r="O105" s="8">
        <f t="shared" si="1"/>
        <v>48</v>
      </c>
      <c r="P105">
        <f ca="1">'Reference dates (hide)'!K90</f>
        <v>1.968503937007874E-2</v>
      </c>
    </row>
    <row r="106" spans="2:31" x14ac:dyDescent="0.25">
      <c r="B106"/>
      <c r="C106"/>
      <c r="D106"/>
      <c r="M106" s="101">
        <f>IF('Reference dates (hide)'!I91&lt;&gt;"",'Reference dates (hide)'!I91,"")</f>
        <v>44165</v>
      </c>
      <c r="N106" s="99">
        <f t="shared" si="0"/>
        <v>2020</v>
      </c>
      <c r="O106" s="8">
        <f t="shared" si="1"/>
        <v>49</v>
      </c>
      <c r="P106">
        <f ca="1">'Reference dates (hide)'!K91</f>
        <v>1.968503937007874E-2</v>
      </c>
    </row>
    <row r="107" spans="2:31" x14ac:dyDescent="0.25">
      <c r="B107"/>
      <c r="C107"/>
      <c r="D107"/>
      <c r="M107" s="101">
        <f>IF('Reference dates (hide)'!I92&lt;&gt;"",'Reference dates (hide)'!I92,"")</f>
        <v>44172</v>
      </c>
      <c r="N107" s="99">
        <f t="shared" si="0"/>
        <v>2020</v>
      </c>
      <c r="O107" s="8">
        <f t="shared" si="1"/>
        <v>50</v>
      </c>
      <c r="P107">
        <f ca="1">'Reference dates (hide)'!K92</f>
        <v>1.968503937007874E-2</v>
      </c>
    </row>
    <row r="108" spans="2:31" x14ac:dyDescent="0.25">
      <c r="B108"/>
      <c r="C108"/>
      <c r="D108"/>
      <c r="M108" s="101">
        <f>IF('Reference dates (hide)'!I93&lt;&gt;"",'Reference dates (hide)'!I93,"")</f>
        <v>44179</v>
      </c>
      <c r="N108" s="99">
        <f t="shared" si="0"/>
        <v>2020</v>
      </c>
      <c r="O108" s="8">
        <f t="shared" si="1"/>
        <v>51</v>
      </c>
      <c r="P108">
        <f ca="1">'Reference dates (hide)'!K93</f>
        <v>1.968503937007874E-2</v>
      </c>
    </row>
    <row r="109" spans="2:31" x14ac:dyDescent="0.25">
      <c r="B109"/>
      <c r="C109"/>
      <c r="D109"/>
      <c r="M109" s="101">
        <f>IF('Reference dates (hide)'!I94&lt;&gt;"",'Reference dates (hide)'!I94,"")</f>
        <v>44186</v>
      </c>
      <c r="N109" s="99">
        <f t="shared" si="0"/>
        <v>2020</v>
      </c>
      <c r="O109" s="8">
        <f t="shared" si="1"/>
        <v>52</v>
      </c>
      <c r="P109">
        <f ca="1">'Reference dates (hide)'!K94</f>
        <v>1.5748031496062992E-2</v>
      </c>
    </row>
    <row r="110" spans="2:31" x14ac:dyDescent="0.25">
      <c r="B110"/>
      <c r="C110"/>
      <c r="D110"/>
      <c r="M110" s="101">
        <f>IF('Reference dates (hide)'!I95&lt;&gt;"",'Reference dates (hide)'!I95,"")</f>
        <v>44193</v>
      </c>
      <c r="N110" s="99">
        <f t="shared" si="0"/>
        <v>2020</v>
      </c>
      <c r="O110" s="8">
        <f t="shared" si="1"/>
        <v>53</v>
      </c>
      <c r="P110">
        <f ca="1">'Reference dates (hide)'!K95</f>
        <v>1.1811023622047244E-2</v>
      </c>
    </row>
    <row r="111" spans="2:31" x14ac:dyDescent="0.25">
      <c r="M111">
        <f>MAX(T58:AB110)</f>
        <v>0</v>
      </c>
      <c r="Q111">
        <f>MAX(Q58:Q109)/$Q$54</f>
        <v>0</v>
      </c>
      <c r="R111">
        <f>MAX(R58:R109)/IF($R$54=0,1,$Q$54)</f>
        <v>0</v>
      </c>
      <c r="S111">
        <f>MAX(S58:S109)/IF($S$54=0,1,$Q$54)</f>
        <v>0</v>
      </c>
      <c r="Z111">
        <f>MAX(Z58:Z109)/IF($Z$52=0,1,Q$54)</f>
        <v>0</v>
      </c>
      <c r="AA111">
        <f>MAX(AA58:AA109)/IF($Z$52=0,1,R$54)</f>
        <v>0</v>
      </c>
      <c r="AB111">
        <f>MAX(AB58:AB109)/IF($Z$52=0,1,S$54)</f>
        <v>0</v>
      </c>
      <c r="AC111">
        <f>MAX(AC58:AC109)/IF($Z$52=0,1,Q$54)</f>
        <v>0</v>
      </c>
      <c r="AD111">
        <f>MAX(AD58:AD109)/IF($Z$52=0,1,R$54)</f>
        <v>0</v>
      </c>
      <c r="AE111">
        <f>MAX(AE58:AE109)/IF($Z$52=0,1,S$54)</f>
        <v>0</v>
      </c>
    </row>
    <row r="118" spans="26:26" x14ac:dyDescent="0.25">
      <c r="Z118" s="121"/>
    </row>
    <row r="119" spans="26:26" x14ac:dyDescent="0.25">
      <c r="Z119" s="121"/>
    </row>
  </sheetData>
  <pageMargins left="0.7" right="0.7" top="0.75" bottom="0.75" header="0.3" footer="0.3"/>
  <legacyDrawing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0"/>
  <dimension ref="A1:AN119"/>
  <sheetViews>
    <sheetView workbookViewId="0">
      <selection activeCell="AK59" sqref="AK59"/>
    </sheetView>
  </sheetViews>
  <sheetFormatPr defaultRowHeight="13.8" x14ac:dyDescent="0.25"/>
  <cols>
    <col min="1" max="1" width="27.69921875" bestFit="1" customWidth="1"/>
    <col min="2" max="2" width="16.8984375" style="6" customWidth="1"/>
    <col min="3" max="3" width="12.09765625" style="6" bestFit="1" customWidth="1"/>
    <col min="4" max="4" width="16.09765625" style="7" bestFit="1" customWidth="1"/>
    <col min="11" max="11" width="10.8984375" bestFit="1" customWidth="1"/>
    <col min="13" max="13" width="16.69921875" bestFit="1" customWidth="1"/>
    <col min="17" max="17" width="6.8984375" customWidth="1"/>
    <col min="26" max="26" width="11.8984375" bestFit="1" customWidth="1"/>
  </cols>
  <sheetData>
    <row r="1" spans="1:19" x14ac:dyDescent="0.25">
      <c r="A1" t="s">
        <v>1066</v>
      </c>
      <c r="B1" s="6" t="s">
        <v>931</v>
      </c>
      <c r="C1" s="6" t="b">
        <f>ISERR(SUM(B25:M49))</f>
        <v>0</v>
      </c>
    </row>
    <row r="2" spans="1:19" x14ac:dyDescent="0.25">
      <c r="A2" t="s">
        <v>932</v>
      </c>
      <c r="B2"/>
    </row>
    <row r="3" spans="1:19" x14ac:dyDescent="0.25">
      <c r="B3" s="6" t="s">
        <v>933</v>
      </c>
      <c r="F3" t="s">
        <v>934</v>
      </c>
      <c r="J3" t="s">
        <v>935</v>
      </c>
    </row>
    <row r="4" spans="1:19" x14ac:dyDescent="0.25">
      <c r="B4" s="6" t="s">
        <v>936</v>
      </c>
      <c r="C4" s="6" t="s">
        <v>937</v>
      </c>
      <c r="D4" s="7" t="s">
        <v>1208</v>
      </c>
      <c r="F4" s="6" t="s">
        <v>936</v>
      </c>
      <c r="G4" s="6" t="s">
        <v>937</v>
      </c>
      <c r="H4" s="7" t="s">
        <v>1024</v>
      </c>
      <c r="J4" s="6" t="s">
        <v>936</v>
      </c>
      <c r="K4" s="6" t="s">
        <v>937</v>
      </c>
      <c r="L4" s="7" t="s">
        <v>1024</v>
      </c>
    </row>
    <row r="5" spans="1:19" x14ac:dyDescent="0.25">
      <c r="A5" t="s">
        <v>5</v>
      </c>
      <c r="B5" s="8"/>
      <c r="C5" s="6">
        <f>B5*52</f>
        <v>0</v>
      </c>
      <c r="D5" s="7">
        <f>IF($B$20=1,C5/$B$21,C5)</f>
        <v>0</v>
      </c>
      <c r="G5">
        <f>F5*$D5</f>
        <v>0</v>
      </c>
      <c r="H5">
        <f>G5/52</f>
        <v>0</v>
      </c>
      <c r="K5">
        <f>J5*D5</f>
        <v>0</v>
      </c>
      <c r="L5">
        <f>K5/52</f>
        <v>0</v>
      </c>
    </row>
    <row r="6" spans="1:19" x14ac:dyDescent="0.25">
      <c r="A6" t="s">
        <v>1209</v>
      </c>
      <c r="B6" s="8"/>
      <c r="D6" s="7">
        <f>IF($B$20=1,B6/$B$21,B6)</f>
        <v>0</v>
      </c>
      <c r="G6">
        <f>F6*52</f>
        <v>0</v>
      </c>
      <c r="H6">
        <f>F6</f>
        <v>0</v>
      </c>
      <c r="K6">
        <f>J6*52</f>
        <v>0</v>
      </c>
      <c r="L6">
        <f>J6</f>
        <v>0</v>
      </c>
    </row>
    <row r="7" spans="1:19" x14ac:dyDescent="0.25">
      <c r="A7" t="s">
        <v>1210</v>
      </c>
      <c r="B7" s="8"/>
      <c r="D7" s="7">
        <f>IF($B$20=1,B7/$B$21,B7)</f>
        <v>0</v>
      </c>
    </row>
    <row r="8" spans="1:19" x14ac:dyDescent="0.25">
      <c r="A8" t="s">
        <v>9</v>
      </c>
      <c r="B8"/>
    </row>
    <row r="9" spans="1:19" x14ac:dyDescent="0.25">
      <c r="A9" t="s">
        <v>964</v>
      </c>
      <c r="B9"/>
    </row>
    <row r="10" spans="1:19" x14ac:dyDescent="0.25">
      <c r="A10" t="s">
        <v>940</v>
      </c>
      <c r="B10"/>
      <c r="C10" s="6">
        <f xml:space="preserve"> NASR*NASRDC</f>
        <v>0</v>
      </c>
      <c r="G10">
        <f xml:space="preserve"> FU_NASR*FU_NASRDC</f>
        <v>0</v>
      </c>
      <c r="K10">
        <f xml:space="preserve"> IP_NASR*IP_NASRDC</f>
        <v>0</v>
      </c>
    </row>
    <row r="11" spans="1:19" x14ac:dyDescent="0.25">
      <c r="A11" t="s">
        <v>965</v>
      </c>
      <c r="B11"/>
    </row>
    <row r="12" spans="1:19" x14ac:dyDescent="0.25">
      <c r="A12" t="s">
        <v>859</v>
      </c>
      <c r="B12"/>
    </row>
    <row r="13" spans="1:19" x14ac:dyDescent="0.25">
      <c r="A13" t="s">
        <v>941</v>
      </c>
      <c r="B13" s="8"/>
      <c r="D13" s="7">
        <f>IF($B$20=1,B13/$B$21,B13)</f>
        <v>0</v>
      </c>
      <c r="G13">
        <f>F13*52</f>
        <v>0</v>
      </c>
      <c r="H13" s="7">
        <f>IF($B$20=1,F13/$B$21,F13)</f>
        <v>0</v>
      </c>
      <c r="K13">
        <f>J13*52</f>
        <v>0</v>
      </c>
      <c r="L13" s="7">
        <f>IF($B$20=1,J13/$B$21,J13)</f>
        <v>0</v>
      </c>
    </row>
    <row r="14" spans="1:19" x14ac:dyDescent="0.25">
      <c r="A14" t="s">
        <v>1275</v>
      </c>
      <c r="B14" s="8"/>
      <c r="H14" s="7"/>
      <c r="L14" s="7"/>
    </row>
    <row r="15" spans="1:19" x14ac:dyDescent="0.25">
      <c r="A15" t="s">
        <v>1278</v>
      </c>
      <c r="B15"/>
      <c r="D15" s="7">
        <f>IF($B$20=1,B15/$B$21,B15)</f>
        <v>0</v>
      </c>
      <c r="H15" s="7">
        <f>IF($B$20=1,F15/$B$21,F15)</f>
        <v>0</v>
      </c>
      <c r="L15" s="7">
        <f>IF($B$20=1,J15/$B$21,J15)</f>
        <v>0</v>
      </c>
    </row>
    <row r="16" spans="1:19" x14ac:dyDescent="0.25">
      <c r="A16" t="s">
        <v>861</v>
      </c>
      <c r="B16" s="8"/>
      <c r="D16" s="7">
        <f>IF($B$20=1,B16/$B$21,B16)</f>
        <v>0</v>
      </c>
      <c r="H16" s="7">
        <f>IF($B$20=1,F16/$B$21,F16)</f>
        <v>0</v>
      </c>
      <c r="L16" s="7">
        <f>IF($B$20=1,J16/$B$21,J16)</f>
        <v>0</v>
      </c>
      <c r="S16" t="s">
        <v>1213</v>
      </c>
    </row>
    <row r="17" spans="1:20" x14ac:dyDescent="0.25">
      <c r="A17" t="s">
        <v>7</v>
      </c>
      <c r="B17" s="8"/>
      <c r="D17" s="7">
        <f>IF($B$20=1,B17/$B$21,B17)</f>
        <v>0</v>
      </c>
      <c r="H17" s="7">
        <f>IF($B$20=1,F17/$B$21,F17)</f>
        <v>0</v>
      </c>
      <c r="L17" s="7">
        <f>IF($B$20=1,J17/$B$21,J17)</f>
        <v>0</v>
      </c>
      <c r="S17" t="s">
        <v>1159</v>
      </c>
    </row>
    <row r="18" spans="1:20" x14ac:dyDescent="0.25">
      <c r="A18" t="s">
        <v>1081</v>
      </c>
      <c r="B18"/>
      <c r="S18" t="s">
        <v>1187</v>
      </c>
    </row>
    <row r="19" spans="1:20" x14ac:dyDescent="0.25">
      <c r="A19" t="s">
        <v>863</v>
      </c>
      <c r="B19"/>
      <c r="S19" t="s">
        <v>1214</v>
      </c>
      <c r="T19" t="s">
        <v>1215</v>
      </c>
    </row>
    <row r="20" spans="1:20" x14ac:dyDescent="0.25">
      <c r="A20" t="s">
        <v>942</v>
      </c>
      <c r="B20"/>
      <c r="R20" t="s">
        <v>947</v>
      </c>
      <c r="S20" t="s">
        <v>984</v>
      </c>
      <c r="T20" t="s">
        <v>1216</v>
      </c>
    </row>
    <row r="21" spans="1:20" x14ac:dyDescent="0.25">
      <c r="A21" t="s">
        <v>943</v>
      </c>
      <c r="B21">
        <v>1</v>
      </c>
      <c r="D21" s="12"/>
      <c r="S21" t="s">
        <v>985</v>
      </c>
      <c r="T21" t="s">
        <v>1216</v>
      </c>
    </row>
    <row r="22" spans="1:20" x14ac:dyDescent="0.25">
      <c r="H22">
        <f>F22*$D$5</f>
        <v>0</v>
      </c>
      <c r="L22">
        <f>J22*$D$5</f>
        <v>0</v>
      </c>
      <c r="S22" t="s">
        <v>1217</v>
      </c>
      <c r="T22" t="s">
        <v>1218</v>
      </c>
    </row>
    <row r="23" spans="1:20" x14ac:dyDescent="0.25">
      <c r="S23" t="s">
        <v>1219</v>
      </c>
      <c r="T23" t="s">
        <v>1218</v>
      </c>
    </row>
    <row r="24" spans="1:20" x14ac:dyDescent="0.25">
      <c r="D24" s="7" t="s">
        <v>1023</v>
      </c>
      <c r="F24" t="s">
        <v>901</v>
      </c>
      <c r="G24" t="s">
        <v>1022</v>
      </c>
      <c r="H24" s="7" t="s">
        <v>1023</v>
      </c>
      <c r="J24" t="s">
        <v>901</v>
      </c>
      <c r="K24" t="s">
        <v>1022</v>
      </c>
      <c r="L24" s="7" t="s">
        <v>1023</v>
      </c>
      <c r="R24" t="s">
        <v>941</v>
      </c>
      <c r="S24" t="s">
        <v>25</v>
      </c>
      <c r="T24" t="s">
        <v>1218</v>
      </c>
    </row>
    <row r="25" spans="1:20" x14ac:dyDescent="0.25">
      <c r="A25" t="s">
        <v>944</v>
      </c>
      <c r="B25" s="6">
        <f>IF(B17-B16&lt;0,0,B17-B16)</f>
        <v>0</v>
      </c>
      <c r="D25" s="6">
        <f>IF(D17-D16&lt;0,0,D17-D16)</f>
        <v>0</v>
      </c>
      <c r="F25" s="8">
        <f>F5*B25</f>
        <v>0</v>
      </c>
      <c r="G25" s="8">
        <v>0</v>
      </c>
      <c r="H25" s="8"/>
      <c r="I25" s="8"/>
      <c r="J25" s="8">
        <f>(J5*B25)+IF(J17-J16&lt;=0,0,J17-J16)</f>
        <v>0</v>
      </c>
      <c r="K25" s="8">
        <f>IF(J17-J16&lt;=0,0,J17-J16)</f>
        <v>0</v>
      </c>
      <c r="L25" s="8"/>
      <c r="S25" t="s">
        <v>1220</v>
      </c>
      <c r="T25" t="s">
        <v>1218</v>
      </c>
    </row>
    <row r="26" spans="1:20" x14ac:dyDescent="0.25">
      <c r="A26" t="s">
        <v>945</v>
      </c>
      <c r="B26" s="9">
        <f>(1-NASLDC)*NASL</f>
        <v>0</v>
      </c>
      <c r="D26" s="11"/>
      <c r="F26" s="8">
        <f>FU_NASL*(1-FU_NASLDC)</f>
        <v>0</v>
      </c>
      <c r="G26" s="8"/>
      <c r="H26" s="8"/>
      <c r="I26" s="8"/>
      <c r="J26" s="8">
        <f>IP_NASL*(1-IP_NASLDC)</f>
        <v>0</v>
      </c>
      <c r="K26" s="8"/>
      <c r="L26" s="8"/>
      <c r="R26" t="s">
        <v>1221</v>
      </c>
      <c r="S26" t="s">
        <v>25</v>
      </c>
      <c r="T26" t="s">
        <v>1218</v>
      </c>
    </row>
    <row r="27" spans="1:20" x14ac:dyDescent="0.25">
      <c r="A27" t="s">
        <v>946</v>
      </c>
      <c r="B27" s="6">
        <f>NASR*(1-NASRDC)</f>
        <v>0</v>
      </c>
      <c r="D27" s="11"/>
      <c r="F27" s="8">
        <f>FU_NASR*(1-FU_NASRDC)</f>
        <v>0</v>
      </c>
      <c r="G27" s="8"/>
      <c r="H27" s="8"/>
      <c r="I27" s="8"/>
      <c r="J27" s="8">
        <f>IP_NASR*(1-IP_NASRDC)</f>
        <v>0</v>
      </c>
      <c r="K27" s="8"/>
      <c r="L27" s="8"/>
      <c r="S27" t="s">
        <v>1220</v>
      </c>
      <c r="T27" t="s">
        <v>1218</v>
      </c>
    </row>
    <row r="28" spans="1:20" x14ac:dyDescent="0.25">
      <c r="D28" s="11"/>
      <c r="F28" s="8"/>
      <c r="G28" s="8"/>
      <c r="H28" s="8"/>
      <c r="I28" s="8"/>
      <c r="J28" s="8"/>
      <c r="K28" s="8"/>
      <c r="L28" s="8"/>
      <c r="R28" t="s">
        <v>1093</v>
      </c>
      <c r="S28" t="s">
        <v>984</v>
      </c>
      <c r="T28" t="s">
        <v>1216</v>
      </c>
    </row>
    <row r="29" spans="1:20" ht="14.4" x14ac:dyDescent="0.3">
      <c r="A29" s="10" t="s">
        <v>947</v>
      </c>
      <c r="D29" s="12"/>
      <c r="F29" s="8"/>
      <c r="G29" s="8"/>
      <c r="H29" s="8"/>
      <c r="I29" s="8"/>
      <c r="J29" s="8"/>
      <c r="K29" s="8"/>
      <c r="L29" s="8"/>
      <c r="S29" t="s">
        <v>985</v>
      </c>
      <c r="T29" t="s">
        <v>1216</v>
      </c>
    </row>
    <row r="30" spans="1:20" x14ac:dyDescent="0.25">
      <c r="A30" t="s">
        <v>948</v>
      </c>
      <c r="B30" s="6">
        <f>B5*(NASL+NASR+ROTT)</f>
        <v>0</v>
      </c>
      <c r="F30" s="8">
        <f>H5*(F8+F10+F18)</f>
        <v>0</v>
      </c>
      <c r="G30" s="8"/>
      <c r="H30" s="8"/>
      <c r="I30" s="8"/>
      <c r="J30" s="8">
        <f>L5*(J8+J10+J18)</f>
        <v>0</v>
      </c>
      <c r="K30" s="8"/>
      <c r="L30" s="8"/>
    </row>
    <row r="31" spans="1:20" x14ac:dyDescent="0.25">
      <c r="A31" t="s">
        <v>949</v>
      </c>
      <c r="B31" s="6">
        <f>B5*(B26+B27)</f>
        <v>0</v>
      </c>
      <c r="F31" s="8">
        <f>H5*(F26+F27)</f>
        <v>0</v>
      </c>
      <c r="G31" s="8"/>
      <c r="H31" s="8"/>
      <c r="I31" s="8"/>
      <c r="J31" s="8">
        <f>L5*(J26+J27)</f>
        <v>0</v>
      </c>
      <c r="K31" s="8"/>
      <c r="L31" s="8"/>
      <c r="R31" t="s">
        <v>941</v>
      </c>
      <c r="S31" t="s">
        <v>25</v>
      </c>
      <c r="T31" t="s">
        <v>1218</v>
      </c>
    </row>
    <row r="32" spans="1:20" x14ac:dyDescent="0.25">
      <c r="F32" s="8"/>
      <c r="G32" s="8"/>
      <c r="H32" s="8"/>
      <c r="I32" s="8"/>
      <c r="J32" s="8"/>
      <c r="K32" s="8"/>
      <c r="L32" s="8"/>
      <c r="S32" t="s">
        <v>1220</v>
      </c>
      <c r="T32" t="s">
        <v>1218</v>
      </c>
    </row>
    <row r="33" spans="1:20" x14ac:dyDescent="0.25">
      <c r="A33" t="s">
        <v>950</v>
      </c>
      <c r="B33" s="6">
        <f>B31-B30+B5</f>
        <v>0</v>
      </c>
      <c r="C33" s="6">
        <f>B33*52</f>
        <v>0</v>
      </c>
      <c r="D33" s="7">
        <f>IF($B$20=1,C33/$B$21,C33)</f>
        <v>0</v>
      </c>
      <c r="F33" s="8">
        <f>(F31-F30+H5)/52</f>
        <v>0</v>
      </c>
      <c r="G33" s="8"/>
      <c r="H33" s="8">
        <f>(F31-F30+H5)*52</f>
        <v>0</v>
      </c>
      <c r="I33" s="8"/>
      <c r="J33" s="8">
        <f>(J31-J30+L5)/52</f>
        <v>0</v>
      </c>
      <c r="K33" s="8"/>
      <c r="L33" s="8">
        <f>(J31-J30+L5)*52</f>
        <v>0</v>
      </c>
      <c r="R33" t="s">
        <v>1221</v>
      </c>
      <c r="S33" t="s">
        <v>25</v>
      </c>
      <c r="T33" t="s">
        <v>1218</v>
      </c>
    </row>
    <row r="34" spans="1:20" x14ac:dyDescent="0.25">
      <c r="F34" s="8"/>
      <c r="G34" s="8"/>
      <c r="H34" s="8"/>
      <c r="I34" s="8"/>
      <c r="J34" s="8"/>
      <c r="K34" s="8"/>
      <c r="L34" s="8"/>
      <c r="S34" t="s">
        <v>1220</v>
      </c>
      <c r="T34" t="s">
        <v>1218</v>
      </c>
    </row>
    <row r="35" spans="1:20" x14ac:dyDescent="0.25">
      <c r="F35" s="8"/>
      <c r="G35" s="8"/>
      <c r="H35" s="8"/>
      <c r="I35" s="8"/>
      <c r="J35" s="8"/>
      <c r="K35" s="8"/>
      <c r="L35" s="8"/>
      <c r="R35" t="s">
        <v>1093</v>
      </c>
      <c r="S35" t="s">
        <v>984</v>
      </c>
      <c r="T35" t="s">
        <v>1218</v>
      </c>
    </row>
    <row r="36" spans="1:20" ht="14.4" x14ac:dyDescent="0.3">
      <c r="A36" s="10" t="s">
        <v>951</v>
      </c>
      <c r="F36" s="8"/>
      <c r="G36" s="8"/>
      <c r="H36" s="8"/>
      <c r="I36" s="8"/>
      <c r="J36" s="8"/>
      <c r="K36" s="8"/>
      <c r="L36" s="8"/>
      <c r="S36" t="s">
        <v>985</v>
      </c>
      <c r="T36" t="s">
        <v>1218</v>
      </c>
    </row>
    <row r="37" spans="1:20" x14ac:dyDescent="0.25">
      <c r="A37" t="s">
        <v>948</v>
      </c>
      <c r="B37" s="6">
        <f>B13*(B8+B10+B18)</f>
        <v>0</v>
      </c>
      <c r="F37" s="8">
        <f>F13*(F8+F10)</f>
        <v>0</v>
      </c>
      <c r="G37" s="8"/>
      <c r="H37" s="8"/>
      <c r="I37" s="8"/>
      <c r="J37" s="8">
        <f>J13*(J8+J10)</f>
        <v>0</v>
      </c>
      <c r="K37" s="8"/>
      <c r="L37" s="8"/>
      <c r="S37" t="s">
        <v>1222</v>
      </c>
      <c r="T37" t="s">
        <v>1218</v>
      </c>
    </row>
    <row r="38" spans="1:20" x14ac:dyDescent="0.25">
      <c r="A38" t="s">
        <v>949</v>
      </c>
      <c r="B38" s="6">
        <f>B13*(B26+B27)</f>
        <v>0</v>
      </c>
      <c r="F38" s="8">
        <f>F13*(F26+F27)</f>
        <v>0</v>
      </c>
      <c r="G38" s="8"/>
      <c r="H38" s="8"/>
      <c r="I38" s="8"/>
      <c r="J38" s="8">
        <f>J13*(J26+J27)</f>
        <v>0</v>
      </c>
      <c r="K38" s="8"/>
      <c r="L38" s="8"/>
    </row>
    <row r="39" spans="1:20" x14ac:dyDescent="0.25">
      <c r="F39" s="8"/>
      <c r="G39" s="8"/>
      <c r="H39" s="8"/>
      <c r="I39" s="8"/>
      <c r="J39" s="8"/>
      <c r="K39" s="8"/>
      <c r="L39" s="8"/>
      <c r="R39" t="s">
        <v>1203</v>
      </c>
      <c r="T39" t="s">
        <v>1218</v>
      </c>
    </row>
    <row r="40" spans="1:20" x14ac:dyDescent="0.25">
      <c r="A40" t="s">
        <v>952</v>
      </c>
      <c r="B40" s="6">
        <f>B13+B38-B37</f>
        <v>0</v>
      </c>
      <c r="C40" s="6">
        <f>B40*52</f>
        <v>0</v>
      </c>
      <c r="D40" s="7">
        <f>IF($B$20=1,C40/$B$21,C40)</f>
        <v>0</v>
      </c>
      <c r="F40" s="8">
        <f>F13+F38-F37</f>
        <v>0</v>
      </c>
      <c r="G40" s="8"/>
      <c r="H40" s="8">
        <f>F40*52</f>
        <v>0</v>
      </c>
      <c r="I40" s="8"/>
      <c r="J40" s="8">
        <f>J13+J38-J37</f>
        <v>0</v>
      </c>
      <c r="K40" s="8"/>
      <c r="L40" s="8">
        <f>J40*52</f>
        <v>0</v>
      </c>
    </row>
    <row r="41" spans="1:20" x14ac:dyDescent="0.25">
      <c r="F41" s="8"/>
      <c r="G41" s="8"/>
      <c r="H41" s="8"/>
      <c r="I41" s="8"/>
      <c r="J41" s="8"/>
      <c r="K41" s="8"/>
      <c r="L41" s="8"/>
    </row>
    <row r="42" spans="1:20" x14ac:dyDescent="0.25">
      <c r="F42" s="8"/>
      <c r="G42" s="8"/>
      <c r="H42" s="8"/>
      <c r="I42" s="8"/>
      <c r="J42" s="8"/>
      <c r="K42" s="8"/>
      <c r="L42" s="8"/>
    </row>
    <row r="43" spans="1:20" ht="14.4" x14ac:dyDescent="0.3">
      <c r="A43" s="10" t="s">
        <v>953</v>
      </c>
      <c r="F43" s="8"/>
      <c r="G43" s="8"/>
      <c r="H43" s="8"/>
      <c r="I43" s="8"/>
      <c r="J43" s="8"/>
      <c r="K43" s="8"/>
      <c r="L43" s="8"/>
    </row>
    <row r="44" spans="1:20" x14ac:dyDescent="0.25">
      <c r="A44" t="s">
        <v>954</v>
      </c>
      <c r="F44" s="8"/>
      <c r="G44" s="8"/>
      <c r="H44" s="8"/>
      <c r="I44" s="8"/>
      <c r="J44" s="8"/>
      <c r="K44" s="8"/>
      <c r="L44" s="8"/>
    </row>
    <row r="45" spans="1:20" x14ac:dyDescent="0.25">
      <c r="F45" s="8"/>
      <c r="G45" s="8"/>
      <c r="H45" s="8"/>
      <c r="I45" s="8"/>
      <c r="J45" s="8"/>
      <c r="K45" s="8"/>
      <c r="L45" s="8"/>
    </row>
    <row r="46" spans="1:20" x14ac:dyDescent="0.25">
      <c r="A46" t="s">
        <v>948</v>
      </c>
      <c r="B46" s="6">
        <f>B25*(B8+B10+B18)</f>
        <v>0</v>
      </c>
      <c r="F46" s="8">
        <f>F25*(F8+F10)</f>
        <v>0</v>
      </c>
      <c r="G46" s="8"/>
      <c r="H46" s="8"/>
      <c r="I46" s="8"/>
      <c r="J46" s="8">
        <f>J25*(J8+J10)</f>
        <v>0</v>
      </c>
      <c r="K46" s="8"/>
      <c r="L46" s="8"/>
    </row>
    <row r="47" spans="1:20" x14ac:dyDescent="0.25">
      <c r="A47" t="s">
        <v>949</v>
      </c>
      <c r="B47" s="6">
        <f>B25*(B26+B27)</f>
        <v>0</v>
      </c>
      <c r="F47" s="8">
        <f>F25*(F26+F27)</f>
        <v>0</v>
      </c>
      <c r="G47" s="8"/>
      <c r="H47" s="8"/>
      <c r="I47" s="8"/>
      <c r="J47" s="8">
        <f>J25*(J26+J27)</f>
        <v>0</v>
      </c>
      <c r="K47" s="8"/>
      <c r="L47" s="8"/>
    </row>
    <row r="48" spans="1:20" x14ac:dyDescent="0.25">
      <c r="F48" s="8" t="s">
        <v>901</v>
      </c>
      <c r="G48" s="8"/>
      <c r="H48" s="8"/>
      <c r="I48" s="8"/>
      <c r="J48" s="8" t="s">
        <v>901</v>
      </c>
      <c r="K48" s="8"/>
      <c r="L48" s="8"/>
    </row>
    <row r="49" spans="1:40" x14ac:dyDescent="0.25">
      <c r="A49" t="s">
        <v>955</v>
      </c>
      <c r="B49" s="6">
        <f>B25+B47-B46</f>
        <v>0</v>
      </c>
      <c r="C49" s="6">
        <f>B49</f>
        <v>0</v>
      </c>
      <c r="D49" s="7">
        <f>IF($B$20=1,C49/$B$21,C49)</f>
        <v>0</v>
      </c>
      <c r="F49" s="8">
        <f>F25+F47-F46</f>
        <v>0</v>
      </c>
      <c r="G49" s="8">
        <f>F49</f>
        <v>0</v>
      </c>
      <c r="H49" s="8">
        <f>IF($F$20=1,G49/$F$21,G49)</f>
        <v>0</v>
      </c>
      <c r="I49" s="8"/>
      <c r="J49" s="8">
        <f>J25+J47-J46</f>
        <v>0</v>
      </c>
      <c r="K49" s="8">
        <f>J49</f>
        <v>0</v>
      </c>
      <c r="L49" s="8">
        <f>IF($J$20=1,K49/$J$21,K49)</f>
        <v>0</v>
      </c>
    </row>
    <row r="50" spans="1:40" x14ac:dyDescent="0.25">
      <c r="F50" t="s">
        <v>1022</v>
      </c>
      <c r="J50" t="s">
        <v>1022</v>
      </c>
    </row>
    <row r="51" spans="1:40" x14ac:dyDescent="0.25">
      <c r="F51">
        <v>0</v>
      </c>
      <c r="H51">
        <v>0</v>
      </c>
      <c r="J51">
        <f>K25*(1+(J8*(1-J9))-(J8+J10+J18)+(J10*(1-J11)))</f>
        <v>0</v>
      </c>
      <c r="K51">
        <f>J51</f>
        <v>0</v>
      </c>
      <c r="L51" s="8">
        <f>IF($J$20=1,K51/$J$21,K51)</f>
        <v>0</v>
      </c>
    </row>
    <row r="52" spans="1:40" x14ac:dyDescent="0.25">
      <c r="A52" s="1" t="s">
        <v>956</v>
      </c>
      <c r="M52" t="s">
        <v>1016</v>
      </c>
      <c r="Z52">
        <f>1-(NASL*NASLDC)</f>
        <v>1</v>
      </c>
    </row>
    <row r="53" spans="1:40" x14ac:dyDescent="0.25">
      <c r="A53" t="s">
        <v>1141</v>
      </c>
      <c r="B53" s="92" t="s">
        <v>1142</v>
      </c>
    </row>
    <row r="54" spans="1:40" x14ac:dyDescent="0.25">
      <c r="M54" t="s">
        <v>1207</v>
      </c>
      <c r="Q54">
        <f>(1-ROTT)*(1-(NASR*NASRDC) - (NASL*NASLDC))</f>
        <v>1</v>
      </c>
      <c r="R54">
        <f>(1-FU_ROTT)*(1-(FU_NASR*FU_NASRDC) - (FU_NASL*FU_NASLDC))</f>
        <v>1</v>
      </c>
      <c r="S54">
        <f>(1-IP_ROTT)*(1-(IP_NASR*IP_NASRDC) - (IP_NASL*IP_NASLDC))</f>
        <v>1</v>
      </c>
      <c r="Z54">
        <f>1-(NASL*NASLDC)</f>
        <v>1</v>
      </c>
      <c r="AA54">
        <f>1-(FU_NASL*FU_NASLDC)</f>
        <v>1</v>
      </c>
      <c r="AB54">
        <f>1-(IP_NASL*IP_NASLDC)</f>
        <v>1</v>
      </c>
    </row>
    <row r="55" spans="1:40" x14ac:dyDescent="0.25">
      <c r="A55" t="s">
        <v>1143</v>
      </c>
      <c r="B55" s="100">
        <f>'Reference dates (hide)'!B40</f>
        <v>43831</v>
      </c>
      <c r="C55" s="6" t="s">
        <v>1150</v>
      </c>
      <c r="G55" s="7"/>
      <c r="Q55" s="116" t="str">
        <f ca="1">IF(OFFSET('Control Sheet'!E$45,MID($A$1,6,LEN($A$1)-6),0,1,1)=0,"",OFFSET('Control Sheet'!E$45,MID($A$1,6,LEN($A$1)-6),0,1,1))</f>
        <v/>
      </c>
      <c r="R55" s="116" t="str">
        <f ca="1">IF(OFFSET('Control Sheet'!F$45,MID($A$1,6,LEN($A$1)-6),0,1,1)=0,"",OFFSET('Control Sheet'!F$45,MID($A$1,6,LEN($A$1)-6),0,1,1))</f>
        <v/>
      </c>
      <c r="S55" s="116" t="str">
        <f ca="1">IF(OFFSET('Control Sheet'!G$45,MID($A$1,6,LEN($A$1)-6),0,1,1)=0,"",OFFSET('Control Sheet'!G$45,MID($A$1,6,LEN($A$1)-6),0,1,1))</f>
        <v/>
      </c>
      <c r="T55" s="118" t="str">
        <f ca="1">IF(OFFSET('Control Sheet'!I$45,MID($A$1,6,LEN($A$1)-6),0,1,1)="0","",OFFSET('Control Sheet'!I$45,MID($A$1,6,LEN($A$1)-6),0,1,1))</f>
        <v/>
      </c>
      <c r="U55" s="118" t="str">
        <f ca="1">IF(OFFSET('Control Sheet'!J$45,MID($A$1,6,LEN($A$1)-6),0,1,1)=0,"",OFFSET('Control Sheet'!J$45,MID($A$1,6,LEN($A$1)-6),0,1,1))</f>
        <v/>
      </c>
      <c r="V55" s="118" t="str">
        <f ca="1">IF(OFFSET('Control Sheet'!K$45,MID($A$1,6,LEN($A$1)-6),0,1,1)=0,"",OFFSET('Control Sheet'!K$45,MID($A$1,6,LEN($A$1)-6),0,1,1))</f>
        <v/>
      </c>
    </row>
    <row r="56" spans="1:40" ht="14.4" x14ac:dyDescent="0.3">
      <c r="A56" t="s">
        <v>1202</v>
      </c>
      <c r="C56" s="6" t="s">
        <v>1204</v>
      </c>
      <c r="D56" s="6"/>
      <c r="E56" s="7"/>
      <c r="F56" t="s">
        <v>860</v>
      </c>
      <c r="N56" s="6"/>
      <c r="O56" s="6"/>
      <c r="P56" s="7"/>
      <c r="Q56" s="93" t="s">
        <v>1236</v>
      </c>
      <c r="R56" s="6"/>
      <c r="T56" s="107" t="s">
        <v>1093</v>
      </c>
      <c r="Z56" s="93" t="s">
        <v>1212</v>
      </c>
      <c r="AC56" s="108" t="s">
        <v>1276</v>
      </c>
      <c r="AF56" s="1" t="s">
        <v>1306</v>
      </c>
      <c r="AI56" t="s">
        <v>1275</v>
      </c>
      <c r="AL56" t="s">
        <v>1312</v>
      </c>
    </row>
    <row r="57" spans="1:40" x14ac:dyDescent="0.25">
      <c r="A57" s="1" t="s">
        <v>1144</v>
      </c>
      <c r="B57" s="1" t="s">
        <v>1151</v>
      </c>
      <c r="C57" s="94" t="s">
        <v>1203</v>
      </c>
      <c r="D57" s="94" t="s">
        <v>984</v>
      </c>
      <c r="E57" s="111" t="s">
        <v>985</v>
      </c>
      <c r="F57" s="1" t="s">
        <v>951</v>
      </c>
      <c r="G57" s="1" t="s">
        <v>1205</v>
      </c>
      <c r="H57" s="1" t="s">
        <v>1206</v>
      </c>
      <c r="I57" s="1" t="s">
        <v>25</v>
      </c>
      <c r="J57" s="1" t="s">
        <v>1220</v>
      </c>
      <c r="K57" s="1" t="s">
        <v>1266</v>
      </c>
      <c r="M57" s="1" t="s">
        <v>1144</v>
      </c>
      <c r="N57" s="94" t="s">
        <v>1159</v>
      </c>
      <c r="O57" s="94" t="s">
        <v>1151</v>
      </c>
      <c r="P57" s="7" t="s">
        <v>1201</v>
      </c>
      <c r="Q57" s="6" t="s">
        <v>1196</v>
      </c>
      <c r="R57" s="6" t="s">
        <v>1197</v>
      </c>
      <c r="S57" s="7" t="s">
        <v>1198</v>
      </c>
      <c r="T57" s="109" t="s">
        <v>1188</v>
      </c>
      <c r="U57" s="109" t="s">
        <v>1189</v>
      </c>
      <c r="V57" s="109" t="s">
        <v>1190</v>
      </c>
      <c r="W57" s="110" t="s">
        <v>1191</v>
      </c>
      <c r="X57" s="110" t="s">
        <v>1192</v>
      </c>
      <c r="Y57" s="110" t="s">
        <v>1193</v>
      </c>
      <c r="Z57" s="57">
        <v>1</v>
      </c>
      <c r="AA57">
        <v>2</v>
      </c>
      <c r="AB57">
        <v>3</v>
      </c>
      <c r="AC57" t="s">
        <v>1146</v>
      </c>
      <c r="AD57" t="s">
        <v>1147</v>
      </c>
      <c r="AE57" t="s">
        <v>1148</v>
      </c>
      <c r="AF57" t="s">
        <v>1146</v>
      </c>
      <c r="AG57" t="s">
        <v>1147</v>
      </c>
      <c r="AH57" t="s">
        <v>1148</v>
      </c>
      <c r="AI57" t="s">
        <v>1146</v>
      </c>
      <c r="AJ57" t="s">
        <v>1147</v>
      </c>
      <c r="AK57" t="s">
        <v>1148</v>
      </c>
      <c r="AL57" t="s">
        <v>1146</v>
      </c>
      <c r="AM57" t="s">
        <v>1147</v>
      </c>
      <c r="AN57" t="s">
        <v>1148</v>
      </c>
    </row>
    <row r="58" spans="1:40" x14ac:dyDescent="0.25">
      <c r="B58"/>
      <c r="C58"/>
      <c r="D58"/>
      <c r="M58" s="101">
        <f>IF(B55&lt;&gt;"",B55-WEEKDAY(B55,3),"")</f>
        <v>43829</v>
      </c>
      <c r="N58" s="99">
        <f>YEAR(M58)</f>
        <v>2019</v>
      </c>
      <c r="O58" s="8">
        <f>WEEKNUM(M58,21)</f>
        <v>1</v>
      </c>
      <c r="P58">
        <f ca="1">'Reference dates (hide)'!K43</f>
        <v>7.874015748031496E-3</v>
      </c>
    </row>
    <row r="59" spans="1:40" x14ac:dyDescent="0.25">
      <c r="B59"/>
      <c r="C59"/>
      <c r="D59"/>
      <c r="M59" s="101">
        <f>IF('Reference dates (hide)'!I44&lt;&gt;"",'Reference dates (hide)'!I44,"")</f>
        <v>43836</v>
      </c>
      <c r="N59" s="99">
        <f t="shared" ref="N59:N110" si="0">YEAR(M59)</f>
        <v>2020</v>
      </c>
      <c r="O59" s="8">
        <f t="shared" ref="O59:O110" si="1">WEEKNUM(M59,21)</f>
        <v>2</v>
      </c>
      <c r="P59">
        <f ca="1">'Reference dates (hide)'!K44</f>
        <v>1.968503937007874E-2</v>
      </c>
    </row>
    <row r="60" spans="1:40" x14ac:dyDescent="0.25">
      <c r="B60"/>
      <c r="C60"/>
      <c r="D60"/>
      <c r="M60" s="101">
        <f>IF('Reference dates (hide)'!I45&lt;&gt;"",'Reference dates (hide)'!I45,"")</f>
        <v>43843</v>
      </c>
      <c r="N60" s="99">
        <f t="shared" si="0"/>
        <v>2020</v>
      </c>
      <c r="O60" s="8">
        <f t="shared" si="1"/>
        <v>3</v>
      </c>
      <c r="P60">
        <f ca="1">'Reference dates (hide)'!K45</f>
        <v>1.968503937007874E-2</v>
      </c>
    </row>
    <row r="61" spans="1:40" x14ac:dyDescent="0.25">
      <c r="B61"/>
      <c r="C61"/>
      <c r="D61"/>
      <c r="M61" s="101">
        <f>IF('Reference dates (hide)'!I46&lt;&gt;"",'Reference dates (hide)'!I46,"")</f>
        <v>43850</v>
      </c>
      <c r="N61" s="99">
        <f t="shared" si="0"/>
        <v>2020</v>
      </c>
      <c r="O61" s="8">
        <f t="shared" si="1"/>
        <v>4</v>
      </c>
      <c r="P61">
        <f ca="1">'Reference dates (hide)'!K46</f>
        <v>1.968503937007874E-2</v>
      </c>
    </row>
    <row r="62" spans="1:40" x14ac:dyDescent="0.25">
      <c r="B62"/>
      <c r="C62"/>
      <c r="D62"/>
      <c r="M62" s="101">
        <f>IF('Reference dates (hide)'!I47&lt;&gt;"",'Reference dates (hide)'!I47,"")</f>
        <v>43857</v>
      </c>
      <c r="N62" s="99">
        <f t="shared" si="0"/>
        <v>2020</v>
      </c>
      <c r="O62" s="8">
        <f t="shared" si="1"/>
        <v>5</v>
      </c>
      <c r="P62">
        <f ca="1">'Reference dates (hide)'!K47</f>
        <v>1.968503937007874E-2</v>
      </c>
    </row>
    <row r="63" spans="1:40" x14ac:dyDescent="0.25">
      <c r="B63"/>
      <c r="C63"/>
      <c r="D63"/>
      <c r="M63" s="101">
        <f>IF('Reference dates (hide)'!I48&lt;&gt;"",'Reference dates (hide)'!I48,"")</f>
        <v>43864</v>
      </c>
      <c r="N63" s="99">
        <f t="shared" si="0"/>
        <v>2020</v>
      </c>
      <c r="O63" s="8">
        <f t="shared" si="1"/>
        <v>6</v>
      </c>
      <c r="P63">
        <f ca="1">'Reference dates (hide)'!K48</f>
        <v>1.968503937007874E-2</v>
      </c>
    </row>
    <row r="64" spans="1:40" x14ac:dyDescent="0.25">
      <c r="B64"/>
      <c r="C64"/>
      <c r="D64"/>
      <c r="M64" s="101">
        <f>IF('Reference dates (hide)'!I49&lt;&gt;"",'Reference dates (hide)'!I49,"")</f>
        <v>43871</v>
      </c>
      <c r="N64" s="99">
        <f t="shared" si="0"/>
        <v>2020</v>
      </c>
      <c r="O64" s="8">
        <f t="shared" si="1"/>
        <v>7</v>
      </c>
      <c r="P64">
        <f ca="1">'Reference dates (hide)'!K49</f>
        <v>1.968503937007874E-2</v>
      </c>
    </row>
    <row r="65" spans="2:16" x14ac:dyDescent="0.25">
      <c r="B65"/>
      <c r="C65"/>
      <c r="D65"/>
      <c r="M65" s="101">
        <f>IF('Reference dates (hide)'!I50&lt;&gt;"",'Reference dates (hide)'!I50,"")</f>
        <v>43878</v>
      </c>
      <c r="N65" s="99">
        <f t="shared" si="0"/>
        <v>2020</v>
      </c>
      <c r="O65" s="8">
        <f t="shared" si="1"/>
        <v>8</v>
      </c>
      <c r="P65">
        <f ca="1">'Reference dates (hide)'!K50</f>
        <v>1.968503937007874E-2</v>
      </c>
    </row>
    <row r="66" spans="2:16" x14ac:dyDescent="0.25">
      <c r="B66"/>
      <c r="C66"/>
      <c r="D66"/>
      <c r="M66" s="101">
        <f>IF('Reference dates (hide)'!I51&lt;&gt;"",'Reference dates (hide)'!I51,"")</f>
        <v>43885</v>
      </c>
      <c r="N66" s="99">
        <f t="shared" si="0"/>
        <v>2020</v>
      </c>
      <c r="O66" s="8">
        <f t="shared" si="1"/>
        <v>9</v>
      </c>
      <c r="P66">
        <f ca="1">'Reference dates (hide)'!K51</f>
        <v>1.968503937007874E-2</v>
      </c>
    </row>
    <row r="67" spans="2:16" x14ac:dyDescent="0.25">
      <c r="B67"/>
      <c r="C67"/>
      <c r="D67"/>
      <c r="M67" s="101">
        <f>IF('Reference dates (hide)'!I52&lt;&gt;"",'Reference dates (hide)'!I52,"")</f>
        <v>43892</v>
      </c>
      <c r="N67" s="99">
        <f t="shared" si="0"/>
        <v>2020</v>
      </c>
      <c r="O67" s="8">
        <f t="shared" si="1"/>
        <v>10</v>
      </c>
      <c r="P67">
        <f ca="1">'Reference dates (hide)'!K52</f>
        <v>1.968503937007874E-2</v>
      </c>
    </row>
    <row r="68" spans="2:16" x14ac:dyDescent="0.25">
      <c r="B68"/>
      <c r="C68"/>
      <c r="D68"/>
      <c r="M68" s="101">
        <f>IF('Reference dates (hide)'!I53&lt;&gt;"",'Reference dates (hide)'!I53,"")</f>
        <v>43899</v>
      </c>
      <c r="N68" s="99">
        <f t="shared" si="0"/>
        <v>2020</v>
      </c>
      <c r="O68" s="8">
        <f t="shared" si="1"/>
        <v>11</v>
      </c>
      <c r="P68">
        <f ca="1">'Reference dates (hide)'!K53</f>
        <v>1.968503937007874E-2</v>
      </c>
    </row>
    <row r="69" spans="2:16" x14ac:dyDescent="0.25">
      <c r="B69"/>
      <c r="C69"/>
      <c r="D69"/>
      <c r="M69" s="101">
        <f>IF('Reference dates (hide)'!I54&lt;&gt;"",'Reference dates (hide)'!I54,"")</f>
        <v>43906</v>
      </c>
      <c r="N69" s="99">
        <f t="shared" si="0"/>
        <v>2020</v>
      </c>
      <c r="O69" s="8">
        <f t="shared" si="1"/>
        <v>12</v>
      </c>
      <c r="P69">
        <f ca="1">'Reference dates (hide)'!K54</f>
        <v>1.968503937007874E-2</v>
      </c>
    </row>
    <row r="70" spans="2:16" x14ac:dyDescent="0.25">
      <c r="B70"/>
      <c r="C70"/>
      <c r="D70"/>
      <c r="M70" s="101">
        <f>IF('Reference dates (hide)'!I55&lt;&gt;"",'Reference dates (hide)'!I55,"")</f>
        <v>43913</v>
      </c>
      <c r="N70" s="99">
        <f t="shared" si="0"/>
        <v>2020</v>
      </c>
      <c r="O70" s="8">
        <f t="shared" si="1"/>
        <v>13</v>
      </c>
      <c r="P70">
        <f ca="1">'Reference dates (hide)'!K55</f>
        <v>1.968503937007874E-2</v>
      </c>
    </row>
    <row r="71" spans="2:16" x14ac:dyDescent="0.25">
      <c r="B71"/>
      <c r="C71"/>
      <c r="D71"/>
      <c r="M71" s="101">
        <f>IF('Reference dates (hide)'!I56&lt;&gt;"",'Reference dates (hide)'!I56,"")</f>
        <v>43920</v>
      </c>
      <c r="N71" s="99">
        <f t="shared" si="0"/>
        <v>2020</v>
      </c>
      <c r="O71" s="8">
        <f t="shared" si="1"/>
        <v>14</v>
      </c>
      <c r="P71">
        <f ca="1">'Reference dates (hide)'!K56</f>
        <v>1.968503937007874E-2</v>
      </c>
    </row>
    <row r="72" spans="2:16" x14ac:dyDescent="0.25">
      <c r="B72"/>
      <c r="C72"/>
      <c r="D72"/>
      <c r="M72" s="101">
        <f>IF('Reference dates (hide)'!I57&lt;&gt;"",'Reference dates (hide)'!I57,"")</f>
        <v>43927</v>
      </c>
      <c r="N72" s="99">
        <f t="shared" si="0"/>
        <v>2020</v>
      </c>
      <c r="O72" s="8">
        <f t="shared" si="1"/>
        <v>15</v>
      </c>
      <c r="P72">
        <f ca="1">'Reference dates (hide)'!K57</f>
        <v>1.5748031496062992E-2</v>
      </c>
    </row>
    <row r="73" spans="2:16" x14ac:dyDescent="0.25">
      <c r="B73"/>
      <c r="C73"/>
      <c r="D73"/>
      <c r="M73" s="101">
        <f>IF('Reference dates (hide)'!I58&lt;&gt;"",'Reference dates (hide)'!I58,"")</f>
        <v>43934</v>
      </c>
      <c r="N73" s="99">
        <f t="shared" si="0"/>
        <v>2020</v>
      </c>
      <c r="O73" s="8">
        <f t="shared" si="1"/>
        <v>16</v>
      </c>
      <c r="P73">
        <f ca="1">'Reference dates (hide)'!K58</f>
        <v>1.5748031496062992E-2</v>
      </c>
    </row>
    <row r="74" spans="2:16" x14ac:dyDescent="0.25">
      <c r="B74"/>
      <c r="C74"/>
      <c r="D74"/>
      <c r="M74" s="101">
        <f>IF('Reference dates (hide)'!I59&lt;&gt;"",'Reference dates (hide)'!I59,"")</f>
        <v>43941</v>
      </c>
      <c r="N74" s="99">
        <f t="shared" si="0"/>
        <v>2020</v>
      </c>
      <c r="O74" s="8">
        <f t="shared" si="1"/>
        <v>17</v>
      </c>
      <c r="P74">
        <f ca="1">'Reference dates (hide)'!K59</f>
        <v>1.968503937007874E-2</v>
      </c>
    </row>
    <row r="75" spans="2:16" x14ac:dyDescent="0.25">
      <c r="B75"/>
      <c r="C75"/>
      <c r="D75"/>
      <c r="M75" s="101">
        <f>IF('Reference dates (hide)'!I60&lt;&gt;"",'Reference dates (hide)'!I60,"")</f>
        <v>43948</v>
      </c>
      <c r="N75" s="99">
        <f t="shared" si="0"/>
        <v>2020</v>
      </c>
      <c r="O75" s="8">
        <f t="shared" si="1"/>
        <v>18</v>
      </c>
      <c r="P75">
        <f ca="1">'Reference dates (hide)'!K60</f>
        <v>1.968503937007874E-2</v>
      </c>
    </row>
    <row r="76" spans="2:16" x14ac:dyDescent="0.25">
      <c r="B76"/>
      <c r="C76"/>
      <c r="D76"/>
      <c r="M76" s="101">
        <f>IF('Reference dates (hide)'!I61&lt;&gt;"",'Reference dates (hide)'!I61,"")</f>
        <v>43955</v>
      </c>
      <c r="N76" s="99">
        <f t="shared" si="0"/>
        <v>2020</v>
      </c>
      <c r="O76" s="8">
        <f t="shared" si="1"/>
        <v>19</v>
      </c>
      <c r="P76">
        <f ca="1">'Reference dates (hide)'!K61</f>
        <v>1.5748031496062992E-2</v>
      </c>
    </row>
    <row r="77" spans="2:16" x14ac:dyDescent="0.25">
      <c r="B77"/>
      <c r="C77"/>
      <c r="D77"/>
      <c r="M77" s="101">
        <f>IF('Reference dates (hide)'!I62&lt;&gt;"",'Reference dates (hide)'!I62,"")</f>
        <v>43962</v>
      </c>
      <c r="N77" s="99">
        <f t="shared" si="0"/>
        <v>2020</v>
      </c>
      <c r="O77" s="8">
        <f t="shared" si="1"/>
        <v>20</v>
      </c>
      <c r="P77">
        <f ca="1">'Reference dates (hide)'!K62</f>
        <v>1.968503937007874E-2</v>
      </c>
    </row>
    <row r="78" spans="2:16" x14ac:dyDescent="0.25">
      <c r="B78"/>
      <c r="C78"/>
      <c r="D78"/>
      <c r="M78" s="101">
        <f>IF('Reference dates (hide)'!I63&lt;&gt;"",'Reference dates (hide)'!I63,"")</f>
        <v>43969</v>
      </c>
      <c r="N78" s="99">
        <f t="shared" si="0"/>
        <v>2020</v>
      </c>
      <c r="O78" s="8">
        <f t="shared" si="1"/>
        <v>21</v>
      </c>
      <c r="P78">
        <f ca="1">'Reference dates (hide)'!K63</f>
        <v>1.968503937007874E-2</v>
      </c>
    </row>
    <row r="79" spans="2:16" x14ac:dyDescent="0.25">
      <c r="B79"/>
      <c r="C79"/>
      <c r="D79"/>
      <c r="M79" s="101">
        <f>IF('Reference dates (hide)'!I64&lt;&gt;"",'Reference dates (hide)'!I64,"")</f>
        <v>43976</v>
      </c>
      <c r="N79" s="99">
        <f t="shared" si="0"/>
        <v>2020</v>
      </c>
      <c r="O79" s="8">
        <f t="shared" si="1"/>
        <v>22</v>
      </c>
      <c r="P79">
        <f ca="1">'Reference dates (hide)'!K64</f>
        <v>1.5748031496062992E-2</v>
      </c>
    </row>
    <row r="80" spans="2:16" x14ac:dyDescent="0.25">
      <c r="B80"/>
      <c r="C80"/>
      <c r="D80"/>
      <c r="M80" s="101">
        <f>IF('Reference dates (hide)'!I65&lt;&gt;"",'Reference dates (hide)'!I65,"")</f>
        <v>43983</v>
      </c>
      <c r="N80" s="99">
        <f t="shared" si="0"/>
        <v>2020</v>
      </c>
      <c r="O80" s="8">
        <f t="shared" si="1"/>
        <v>23</v>
      </c>
      <c r="P80">
        <f ca="1">'Reference dates (hide)'!K65</f>
        <v>1.968503937007874E-2</v>
      </c>
    </row>
    <row r="81" spans="2:16" x14ac:dyDescent="0.25">
      <c r="B81"/>
      <c r="C81"/>
      <c r="D81"/>
      <c r="M81" s="101">
        <f>IF('Reference dates (hide)'!I66&lt;&gt;"",'Reference dates (hide)'!I66,"")</f>
        <v>43990</v>
      </c>
      <c r="N81" s="99">
        <f t="shared" si="0"/>
        <v>2020</v>
      </c>
      <c r="O81" s="8">
        <f t="shared" si="1"/>
        <v>24</v>
      </c>
      <c r="P81">
        <f ca="1">'Reference dates (hide)'!K66</f>
        <v>1.968503937007874E-2</v>
      </c>
    </row>
    <row r="82" spans="2:16" x14ac:dyDescent="0.25">
      <c r="B82"/>
      <c r="C82"/>
      <c r="D82"/>
      <c r="M82" s="101">
        <f>IF('Reference dates (hide)'!I67&lt;&gt;"",'Reference dates (hide)'!I67,"")</f>
        <v>43997</v>
      </c>
      <c r="N82" s="99">
        <f t="shared" si="0"/>
        <v>2020</v>
      </c>
      <c r="O82" s="8">
        <f t="shared" si="1"/>
        <v>25</v>
      </c>
      <c r="P82">
        <f ca="1">'Reference dates (hide)'!K67</f>
        <v>1.968503937007874E-2</v>
      </c>
    </row>
    <row r="83" spans="2:16" x14ac:dyDescent="0.25">
      <c r="B83"/>
      <c r="C83"/>
      <c r="D83"/>
      <c r="M83" s="101">
        <f>IF('Reference dates (hide)'!I68&lt;&gt;"",'Reference dates (hide)'!I68,"")</f>
        <v>44004</v>
      </c>
      <c r="N83" s="99">
        <f t="shared" si="0"/>
        <v>2020</v>
      </c>
      <c r="O83" s="8">
        <f t="shared" si="1"/>
        <v>26</v>
      </c>
      <c r="P83">
        <f ca="1">'Reference dates (hide)'!K68</f>
        <v>1.968503937007874E-2</v>
      </c>
    </row>
    <row r="84" spans="2:16" x14ac:dyDescent="0.25">
      <c r="B84"/>
      <c r="C84"/>
      <c r="D84"/>
      <c r="M84" s="101">
        <f>IF('Reference dates (hide)'!I69&lt;&gt;"",'Reference dates (hide)'!I69,"")</f>
        <v>44011</v>
      </c>
      <c r="N84" s="99">
        <f t="shared" si="0"/>
        <v>2020</v>
      </c>
      <c r="O84" s="8">
        <f t="shared" si="1"/>
        <v>27</v>
      </c>
      <c r="P84">
        <f ca="1">'Reference dates (hide)'!K69</f>
        <v>1.968503937007874E-2</v>
      </c>
    </row>
    <row r="85" spans="2:16" x14ac:dyDescent="0.25">
      <c r="B85"/>
      <c r="C85"/>
      <c r="D85"/>
      <c r="M85" s="101">
        <f>IF('Reference dates (hide)'!I70&lt;&gt;"",'Reference dates (hide)'!I70,"")</f>
        <v>44018</v>
      </c>
      <c r="N85" s="99">
        <f t="shared" si="0"/>
        <v>2020</v>
      </c>
      <c r="O85" s="8">
        <f t="shared" si="1"/>
        <v>28</v>
      </c>
      <c r="P85">
        <f ca="1">'Reference dates (hide)'!K70</f>
        <v>1.968503937007874E-2</v>
      </c>
    </row>
    <row r="86" spans="2:16" x14ac:dyDescent="0.25">
      <c r="B86"/>
      <c r="C86"/>
      <c r="D86"/>
      <c r="M86" s="101">
        <f>IF('Reference dates (hide)'!I71&lt;&gt;"",'Reference dates (hide)'!I71,"")</f>
        <v>44025</v>
      </c>
      <c r="N86" s="99">
        <f t="shared" si="0"/>
        <v>2020</v>
      </c>
      <c r="O86" s="8">
        <f t="shared" si="1"/>
        <v>29</v>
      </c>
      <c r="P86">
        <f ca="1">'Reference dates (hide)'!K71</f>
        <v>1.968503937007874E-2</v>
      </c>
    </row>
    <row r="87" spans="2:16" x14ac:dyDescent="0.25">
      <c r="B87"/>
      <c r="C87"/>
      <c r="D87"/>
      <c r="M87" s="101">
        <f>IF('Reference dates (hide)'!I72&lt;&gt;"",'Reference dates (hide)'!I72,"")</f>
        <v>44032</v>
      </c>
      <c r="N87" s="99">
        <f t="shared" si="0"/>
        <v>2020</v>
      </c>
      <c r="O87" s="8">
        <f t="shared" si="1"/>
        <v>30</v>
      </c>
      <c r="P87">
        <f ca="1">'Reference dates (hide)'!K72</f>
        <v>1.968503937007874E-2</v>
      </c>
    </row>
    <row r="88" spans="2:16" x14ac:dyDescent="0.25">
      <c r="B88"/>
      <c r="C88"/>
      <c r="D88"/>
      <c r="M88" s="101">
        <f>IF('Reference dates (hide)'!I73&lt;&gt;"",'Reference dates (hide)'!I73,"")</f>
        <v>44039</v>
      </c>
      <c r="N88" s="99">
        <f t="shared" si="0"/>
        <v>2020</v>
      </c>
      <c r="O88" s="8">
        <f t="shared" si="1"/>
        <v>31</v>
      </c>
      <c r="P88">
        <f ca="1">'Reference dates (hide)'!K73</f>
        <v>1.968503937007874E-2</v>
      </c>
    </row>
    <row r="89" spans="2:16" x14ac:dyDescent="0.25">
      <c r="B89"/>
      <c r="C89"/>
      <c r="D89"/>
      <c r="M89" s="101">
        <f>IF('Reference dates (hide)'!I74&lt;&gt;"",'Reference dates (hide)'!I74,"")</f>
        <v>44046</v>
      </c>
      <c r="N89" s="99">
        <f t="shared" si="0"/>
        <v>2020</v>
      </c>
      <c r="O89" s="8">
        <f t="shared" si="1"/>
        <v>32</v>
      </c>
      <c r="P89">
        <f ca="1">'Reference dates (hide)'!K74</f>
        <v>1.968503937007874E-2</v>
      </c>
    </row>
    <row r="90" spans="2:16" x14ac:dyDescent="0.25">
      <c r="B90"/>
      <c r="C90"/>
      <c r="D90"/>
      <c r="M90" s="101">
        <f>IF('Reference dates (hide)'!I75&lt;&gt;"",'Reference dates (hide)'!I75,"")</f>
        <v>44053</v>
      </c>
      <c r="N90" s="99">
        <f t="shared" si="0"/>
        <v>2020</v>
      </c>
      <c r="O90" s="8">
        <f t="shared" si="1"/>
        <v>33</v>
      </c>
      <c r="P90">
        <f ca="1">'Reference dates (hide)'!K75</f>
        <v>1.968503937007874E-2</v>
      </c>
    </row>
    <row r="91" spans="2:16" x14ac:dyDescent="0.25">
      <c r="B91"/>
      <c r="C91"/>
      <c r="D91"/>
      <c r="M91" s="101">
        <f>IF('Reference dates (hide)'!I76&lt;&gt;"",'Reference dates (hide)'!I76,"")</f>
        <v>44060</v>
      </c>
      <c r="N91" s="99">
        <f t="shared" si="0"/>
        <v>2020</v>
      </c>
      <c r="O91" s="8">
        <f t="shared" si="1"/>
        <v>34</v>
      </c>
      <c r="P91">
        <f ca="1">'Reference dates (hide)'!K76</f>
        <v>1.968503937007874E-2</v>
      </c>
    </row>
    <row r="92" spans="2:16" x14ac:dyDescent="0.25">
      <c r="B92"/>
      <c r="C92"/>
      <c r="D92"/>
      <c r="M92" s="101">
        <f>IF('Reference dates (hide)'!I77&lt;&gt;"",'Reference dates (hide)'!I77,"")</f>
        <v>44067</v>
      </c>
      <c r="N92" s="99">
        <f t="shared" si="0"/>
        <v>2020</v>
      </c>
      <c r="O92" s="8">
        <f t="shared" si="1"/>
        <v>35</v>
      </c>
      <c r="P92">
        <f ca="1">'Reference dates (hide)'!K77</f>
        <v>1.968503937007874E-2</v>
      </c>
    </row>
    <row r="93" spans="2:16" x14ac:dyDescent="0.25">
      <c r="B93"/>
      <c r="C93"/>
      <c r="D93"/>
      <c r="M93" s="101">
        <f>IF('Reference dates (hide)'!I78&lt;&gt;"",'Reference dates (hide)'!I78,"")</f>
        <v>44074</v>
      </c>
      <c r="N93" s="99">
        <f t="shared" si="0"/>
        <v>2020</v>
      </c>
      <c r="O93" s="8">
        <f t="shared" si="1"/>
        <v>36</v>
      </c>
      <c r="P93">
        <f ca="1">'Reference dates (hide)'!K78</f>
        <v>1.5748031496062992E-2</v>
      </c>
    </row>
    <row r="94" spans="2:16" x14ac:dyDescent="0.25">
      <c r="B94"/>
      <c r="C94"/>
      <c r="D94"/>
      <c r="M94" s="101">
        <f>IF('Reference dates (hide)'!I79&lt;&gt;"",'Reference dates (hide)'!I79,"")</f>
        <v>44081</v>
      </c>
      <c r="N94" s="99">
        <f t="shared" si="0"/>
        <v>2020</v>
      </c>
      <c r="O94" s="8">
        <f t="shared" si="1"/>
        <v>37</v>
      </c>
      <c r="P94">
        <f ca="1">'Reference dates (hide)'!K79</f>
        <v>1.968503937007874E-2</v>
      </c>
    </row>
    <row r="95" spans="2:16" x14ac:dyDescent="0.25">
      <c r="B95"/>
      <c r="C95"/>
      <c r="D95"/>
      <c r="M95" s="101">
        <f>IF('Reference dates (hide)'!I80&lt;&gt;"",'Reference dates (hide)'!I80,"")</f>
        <v>44088</v>
      </c>
      <c r="N95" s="99">
        <f t="shared" si="0"/>
        <v>2020</v>
      </c>
      <c r="O95" s="8">
        <f t="shared" si="1"/>
        <v>38</v>
      </c>
      <c r="P95">
        <f ca="1">'Reference dates (hide)'!K80</f>
        <v>1.968503937007874E-2</v>
      </c>
    </row>
    <row r="96" spans="2:16" x14ac:dyDescent="0.25">
      <c r="B96"/>
      <c r="C96"/>
      <c r="D96"/>
      <c r="M96" s="101">
        <f>IF('Reference dates (hide)'!I81&lt;&gt;"",'Reference dates (hide)'!I81,"")</f>
        <v>44095</v>
      </c>
      <c r="N96" s="99">
        <f t="shared" si="0"/>
        <v>2020</v>
      </c>
      <c r="O96" s="8">
        <f t="shared" si="1"/>
        <v>39</v>
      </c>
      <c r="P96">
        <f ca="1">'Reference dates (hide)'!K81</f>
        <v>1.968503937007874E-2</v>
      </c>
    </row>
    <row r="97" spans="2:31" x14ac:dyDescent="0.25">
      <c r="B97"/>
      <c r="C97"/>
      <c r="D97"/>
      <c r="M97" s="101">
        <f>IF('Reference dates (hide)'!I82&lt;&gt;"",'Reference dates (hide)'!I82,"")</f>
        <v>44102</v>
      </c>
      <c r="N97" s="99">
        <f t="shared" si="0"/>
        <v>2020</v>
      </c>
      <c r="O97" s="8">
        <f t="shared" si="1"/>
        <v>40</v>
      </c>
      <c r="P97">
        <f ca="1">'Reference dates (hide)'!K82</f>
        <v>1.968503937007874E-2</v>
      </c>
    </row>
    <row r="98" spans="2:31" x14ac:dyDescent="0.25">
      <c r="B98"/>
      <c r="C98"/>
      <c r="D98"/>
      <c r="M98" s="101">
        <f>IF('Reference dates (hide)'!I83&lt;&gt;"",'Reference dates (hide)'!I83,"")</f>
        <v>44109</v>
      </c>
      <c r="N98" s="99">
        <f t="shared" si="0"/>
        <v>2020</v>
      </c>
      <c r="O98" s="8">
        <f t="shared" si="1"/>
        <v>41</v>
      </c>
      <c r="P98">
        <f ca="1">'Reference dates (hide)'!K83</f>
        <v>1.968503937007874E-2</v>
      </c>
    </row>
    <row r="99" spans="2:31" x14ac:dyDescent="0.25">
      <c r="B99"/>
      <c r="C99"/>
      <c r="D99"/>
      <c r="M99" s="101">
        <f>IF('Reference dates (hide)'!I84&lt;&gt;"",'Reference dates (hide)'!I84,"")</f>
        <v>44116</v>
      </c>
      <c r="N99" s="99">
        <f t="shared" si="0"/>
        <v>2020</v>
      </c>
      <c r="O99" s="8">
        <f t="shared" si="1"/>
        <v>42</v>
      </c>
      <c r="P99">
        <f ca="1">'Reference dates (hide)'!K84</f>
        <v>1.968503937007874E-2</v>
      </c>
    </row>
    <row r="100" spans="2:31" x14ac:dyDescent="0.25">
      <c r="B100"/>
      <c r="C100"/>
      <c r="D100"/>
      <c r="M100" s="101">
        <f>IF('Reference dates (hide)'!I85&lt;&gt;"",'Reference dates (hide)'!I85,"")</f>
        <v>44123</v>
      </c>
      <c r="N100" s="99">
        <f t="shared" si="0"/>
        <v>2020</v>
      </c>
      <c r="O100" s="8">
        <f t="shared" si="1"/>
        <v>43</v>
      </c>
      <c r="P100">
        <f ca="1">'Reference dates (hide)'!K85</f>
        <v>1.968503937007874E-2</v>
      </c>
    </row>
    <row r="101" spans="2:31" x14ac:dyDescent="0.25">
      <c r="B101"/>
      <c r="C101"/>
      <c r="D101"/>
      <c r="M101" s="101">
        <f>IF('Reference dates (hide)'!I86&lt;&gt;"",'Reference dates (hide)'!I86,"")</f>
        <v>44130</v>
      </c>
      <c r="N101" s="99">
        <f t="shared" si="0"/>
        <v>2020</v>
      </c>
      <c r="O101" s="8">
        <f t="shared" si="1"/>
        <v>44</v>
      </c>
      <c r="P101">
        <f ca="1">'Reference dates (hide)'!K86</f>
        <v>1.968503937007874E-2</v>
      </c>
    </row>
    <row r="102" spans="2:31" x14ac:dyDescent="0.25">
      <c r="B102"/>
      <c r="C102"/>
      <c r="D102"/>
      <c r="M102" s="101">
        <f>IF('Reference dates (hide)'!I87&lt;&gt;"",'Reference dates (hide)'!I87,"")</f>
        <v>44137</v>
      </c>
      <c r="N102" s="99">
        <f t="shared" si="0"/>
        <v>2020</v>
      </c>
      <c r="O102" s="8">
        <f t="shared" si="1"/>
        <v>45</v>
      </c>
      <c r="P102">
        <f ca="1">'Reference dates (hide)'!K87</f>
        <v>1.968503937007874E-2</v>
      </c>
    </row>
    <row r="103" spans="2:31" x14ac:dyDescent="0.25">
      <c r="B103"/>
      <c r="C103"/>
      <c r="D103"/>
      <c r="M103" s="101">
        <f>IF('Reference dates (hide)'!I88&lt;&gt;"",'Reference dates (hide)'!I88,"")</f>
        <v>44144</v>
      </c>
      <c r="N103" s="99">
        <f t="shared" si="0"/>
        <v>2020</v>
      </c>
      <c r="O103" s="8">
        <f t="shared" si="1"/>
        <v>46</v>
      </c>
      <c r="P103">
        <f ca="1">'Reference dates (hide)'!K88</f>
        <v>1.968503937007874E-2</v>
      </c>
    </row>
    <row r="104" spans="2:31" x14ac:dyDescent="0.25">
      <c r="B104"/>
      <c r="C104"/>
      <c r="D104"/>
      <c r="M104" s="101">
        <f>IF('Reference dates (hide)'!I89&lt;&gt;"",'Reference dates (hide)'!I89,"")</f>
        <v>44151</v>
      </c>
      <c r="N104" s="99">
        <f t="shared" si="0"/>
        <v>2020</v>
      </c>
      <c r="O104" s="8">
        <f t="shared" si="1"/>
        <v>47</v>
      </c>
      <c r="P104">
        <f ca="1">'Reference dates (hide)'!K89</f>
        <v>1.968503937007874E-2</v>
      </c>
    </row>
    <row r="105" spans="2:31" x14ac:dyDescent="0.25">
      <c r="B105"/>
      <c r="C105"/>
      <c r="D105"/>
      <c r="M105" s="101">
        <f>IF('Reference dates (hide)'!I90&lt;&gt;"",'Reference dates (hide)'!I90,"")</f>
        <v>44158</v>
      </c>
      <c r="N105" s="99">
        <f t="shared" si="0"/>
        <v>2020</v>
      </c>
      <c r="O105" s="8">
        <f t="shared" si="1"/>
        <v>48</v>
      </c>
      <c r="P105">
        <f ca="1">'Reference dates (hide)'!K90</f>
        <v>1.968503937007874E-2</v>
      </c>
    </row>
    <row r="106" spans="2:31" x14ac:dyDescent="0.25">
      <c r="B106"/>
      <c r="C106"/>
      <c r="D106"/>
      <c r="M106" s="101">
        <f>IF('Reference dates (hide)'!I91&lt;&gt;"",'Reference dates (hide)'!I91,"")</f>
        <v>44165</v>
      </c>
      <c r="N106" s="99">
        <f t="shared" si="0"/>
        <v>2020</v>
      </c>
      <c r="O106" s="8">
        <f t="shared" si="1"/>
        <v>49</v>
      </c>
      <c r="P106">
        <f ca="1">'Reference dates (hide)'!K91</f>
        <v>1.968503937007874E-2</v>
      </c>
    </row>
    <row r="107" spans="2:31" x14ac:dyDescent="0.25">
      <c r="B107"/>
      <c r="C107"/>
      <c r="D107"/>
      <c r="M107" s="101">
        <f>IF('Reference dates (hide)'!I92&lt;&gt;"",'Reference dates (hide)'!I92,"")</f>
        <v>44172</v>
      </c>
      <c r="N107" s="99">
        <f t="shared" si="0"/>
        <v>2020</v>
      </c>
      <c r="O107" s="8">
        <f t="shared" si="1"/>
        <v>50</v>
      </c>
      <c r="P107">
        <f ca="1">'Reference dates (hide)'!K92</f>
        <v>1.968503937007874E-2</v>
      </c>
    </row>
    <row r="108" spans="2:31" x14ac:dyDescent="0.25">
      <c r="B108"/>
      <c r="C108"/>
      <c r="D108"/>
      <c r="M108" s="101">
        <f>IF('Reference dates (hide)'!I93&lt;&gt;"",'Reference dates (hide)'!I93,"")</f>
        <v>44179</v>
      </c>
      <c r="N108" s="99">
        <f t="shared" si="0"/>
        <v>2020</v>
      </c>
      <c r="O108" s="8">
        <f t="shared" si="1"/>
        <v>51</v>
      </c>
      <c r="P108">
        <f ca="1">'Reference dates (hide)'!K93</f>
        <v>1.968503937007874E-2</v>
      </c>
    </row>
    <row r="109" spans="2:31" x14ac:dyDescent="0.25">
      <c r="B109"/>
      <c r="C109"/>
      <c r="D109"/>
      <c r="M109" s="101">
        <f>IF('Reference dates (hide)'!I94&lt;&gt;"",'Reference dates (hide)'!I94,"")</f>
        <v>44186</v>
      </c>
      <c r="N109" s="99">
        <f t="shared" si="0"/>
        <v>2020</v>
      </c>
      <c r="O109" s="8">
        <f t="shared" si="1"/>
        <v>52</v>
      </c>
      <c r="P109">
        <f ca="1">'Reference dates (hide)'!K94</f>
        <v>1.5748031496062992E-2</v>
      </c>
    </row>
    <row r="110" spans="2:31" x14ac:dyDescent="0.25">
      <c r="B110"/>
      <c r="C110"/>
      <c r="D110"/>
      <c r="M110" s="101">
        <f>IF('Reference dates (hide)'!I95&lt;&gt;"",'Reference dates (hide)'!I95,"")</f>
        <v>44193</v>
      </c>
      <c r="N110" s="99">
        <f t="shared" si="0"/>
        <v>2020</v>
      </c>
      <c r="O110" s="8">
        <f t="shared" si="1"/>
        <v>53</v>
      </c>
      <c r="P110">
        <f ca="1">'Reference dates (hide)'!K95</f>
        <v>1.1811023622047244E-2</v>
      </c>
    </row>
    <row r="111" spans="2:31" x14ac:dyDescent="0.25">
      <c r="M111">
        <f>MAX(T58:AB110)</f>
        <v>0</v>
      </c>
      <c r="Q111">
        <f>MAX(Q58:Q109)/$Q$54</f>
        <v>0</v>
      </c>
      <c r="R111">
        <f>MAX(R58:R109)/IF($R$54=0,1,$Q$54)</f>
        <v>0</v>
      </c>
      <c r="S111">
        <f>MAX(S58:S109)/IF($S$54=0,1,$Q$54)</f>
        <v>0</v>
      </c>
      <c r="Z111">
        <f>MAX(Z58:Z109)/IF($Z$52=0,1,Q$54)</f>
        <v>0</v>
      </c>
      <c r="AA111">
        <f>MAX(AA58:AA109)/IF($Z$52=0,1,R$54)</f>
        <v>0</v>
      </c>
      <c r="AB111">
        <f>MAX(AB58:AB109)/IF($Z$52=0,1,S$54)</f>
        <v>0</v>
      </c>
      <c r="AC111">
        <f>MAX(AC58:AC109)/IF($Z$52=0,1,Q$54)</f>
        <v>0</v>
      </c>
      <c r="AD111">
        <f>MAX(AD58:AD109)/IF($Z$52=0,1,R$54)</f>
        <v>0</v>
      </c>
      <c r="AE111">
        <f>MAX(AE58:AE109)/IF($Z$52=0,1,S$54)</f>
        <v>0</v>
      </c>
    </row>
    <row r="118" spans="26:26" x14ac:dyDescent="0.25">
      <c r="Z118" s="121"/>
    </row>
    <row r="119" spans="26:26" x14ac:dyDescent="0.25">
      <c r="Z119" s="121"/>
    </row>
  </sheetData>
  <pageMargins left="0.7" right="0.7" top="0.75" bottom="0.75" header="0.3" footer="0.3"/>
  <legacy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1"/>
  <dimension ref="A1:AN119"/>
  <sheetViews>
    <sheetView topLeftCell="C31" workbookViewId="0">
      <selection activeCell="AK59" sqref="AK59"/>
    </sheetView>
  </sheetViews>
  <sheetFormatPr defaultRowHeight="13.8" x14ac:dyDescent="0.25"/>
  <cols>
    <col min="1" max="1" width="27.69921875" bestFit="1" customWidth="1"/>
    <col min="2" max="2" width="16.8984375" style="6" customWidth="1"/>
    <col min="3" max="3" width="12.09765625" style="6" bestFit="1" customWidth="1"/>
    <col min="4" max="4" width="16.09765625" style="7" bestFit="1" customWidth="1"/>
    <col min="11" max="11" width="10.8984375" bestFit="1" customWidth="1"/>
    <col min="13" max="13" width="16.69921875" bestFit="1" customWidth="1"/>
    <col min="17" max="17" width="6.8984375" customWidth="1"/>
    <col min="26" max="26" width="11.8984375" bestFit="1" customWidth="1"/>
  </cols>
  <sheetData>
    <row r="1" spans="1:19" x14ac:dyDescent="0.25">
      <c r="A1" t="s">
        <v>1067</v>
      </c>
      <c r="B1" s="6" t="s">
        <v>931</v>
      </c>
      <c r="C1" s="6" t="b">
        <f>ISERR(SUM(B25:M49))</f>
        <v>0</v>
      </c>
    </row>
    <row r="2" spans="1:19" x14ac:dyDescent="0.25">
      <c r="A2" t="s">
        <v>932</v>
      </c>
      <c r="B2"/>
    </row>
    <row r="3" spans="1:19" x14ac:dyDescent="0.25">
      <c r="B3" s="6" t="s">
        <v>933</v>
      </c>
      <c r="F3" t="s">
        <v>934</v>
      </c>
      <c r="J3" t="s">
        <v>935</v>
      </c>
    </row>
    <row r="4" spans="1:19" x14ac:dyDescent="0.25">
      <c r="B4" s="6" t="s">
        <v>936</v>
      </c>
      <c r="C4" s="6" t="s">
        <v>937</v>
      </c>
      <c r="D4" s="7" t="s">
        <v>1208</v>
      </c>
      <c r="F4" s="6" t="s">
        <v>936</v>
      </c>
      <c r="G4" s="6" t="s">
        <v>937</v>
      </c>
      <c r="H4" s="7" t="s">
        <v>1024</v>
      </c>
      <c r="J4" s="6" t="s">
        <v>936</v>
      </c>
      <c r="K4" s="6" t="s">
        <v>937</v>
      </c>
      <c r="L4" s="7" t="s">
        <v>1024</v>
      </c>
    </row>
    <row r="5" spans="1:19" x14ac:dyDescent="0.25">
      <c r="A5" t="s">
        <v>5</v>
      </c>
      <c r="B5" s="8"/>
      <c r="C5" s="6">
        <f>B5*52</f>
        <v>0</v>
      </c>
      <c r="D5" s="7">
        <f>IF($B$20=1,C5/$B$21,C5)</f>
        <v>0</v>
      </c>
      <c r="G5">
        <f>F5*$D5</f>
        <v>0</v>
      </c>
      <c r="H5">
        <f>G5/52</f>
        <v>0</v>
      </c>
      <c r="K5">
        <f>J5*D5</f>
        <v>0</v>
      </c>
      <c r="L5">
        <f>K5/52</f>
        <v>0</v>
      </c>
    </row>
    <row r="6" spans="1:19" x14ac:dyDescent="0.25">
      <c r="A6" t="s">
        <v>1209</v>
      </c>
      <c r="B6" s="8"/>
      <c r="D6" s="7">
        <f>IF($B$20=1,B6/$B$21,B6)</f>
        <v>0</v>
      </c>
      <c r="G6">
        <f>F6*52</f>
        <v>0</v>
      </c>
      <c r="H6">
        <f>F6</f>
        <v>0</v>
      </c>
      <c r="K6">
        <f>J6*52</f>
        <v>0</v>
      </c>
      <c r="L6">
        <f>J6</f>
        <v>0</v>
      </c>
    </row>
    <row r="7" spans="1:19" x14ac:dyDescent="0.25">
      <c r="A7" t="s">
        <v>1210</v>
      </c>
      <c r="B7" s="8"/>
      <c r="D7" s="7">
        <f>IF($B$20=1,B7/$B$21,B7)</f>
        <v>0</v>
      </c>
    </row>
    <row r="8" spans="1:19" x14ac:dyDescent="0.25">
      <c r="A8" t="s">
        <v>9</v>
      </c>
      <c r="B8"/>
    </row>
    <row r="9" spans="1:19" x14ac:dyDescent="0.25">
      <c r="A9" t="s">
        <v>964</v>
      </c>
      <c r="B9"/>
    </row>
    <row r="10" spans="1:19" x14ac:dyDescent="0.25">
      <c r="A10" t="s">
        <v>940</v>
      </c>
      <c r="B10"/>
      <c r="C10" s="6">
        <f xml:space="preserve"> NASR*NASRDC</f>
        <v>0</v>
      </c>
      <c r="G10">
        <f xml:space="preserve"> FU_NASR*FU_NASRDC</f>
        <v>0</v>
      </c>
      <c r="K10">
        <f xml:space="preserve"> IP_NASR*IP_NASRDC</f>
        <v>0</v>
      </c>
    </row>
    <row r="11" spans="1:19" x14ac:dyDescent="0.25">
      <c r="A11" t="s">
        <v>965</v>
      </c>
      <c r="B11"/>
    </row>
    <row r="12" spans="1:19" x14ac:dyDescent="0.25">
      <c r="A12" t="s">
        <v>859</v>
      </c>
      <c r="B12"/>
    </row>
    <row r="13" spans="1:19" x14ac:dyDescent="0.25">
      <c r="A13" t="s">
        <v>941</v>
      </c>
      <c r="B13" s="8"/>
      <c r="D13" s="7">
        <f>IF($B$20=1,B13/$B$21,B13)</f>
        <v>0</v>
      </c>
      <c r="G13">
        <f>F13*52</f>
        <v>0</v>
      </c>
      <c r="H13" s="7">
        <f>IF($B$20=1,F13/$B$21,F13)</f>
        <v>0</v>
      </c>
      <c r="K13">
        <f>J13*52</f>
        <v>0</v>
      </c>
      <c r="L13" s="7">
        <f>IF($B$20=1,J13/$B$21,J13)</f>
        <v>0</v>
      </c>
    </row>
    <row r="14" spans="1:19" x14ac:dyDescent="0.25">
      <c r="A14" t="s">
        <v>1275</v>
      </c>
      <c r="B14" s="8"/>
      <c r="H14" s="7"/>
      <c r="L14" s="7"/>
    </row>
    <row r="15" spans="1:19" x14ac:dyDescent="0.25">
      <c r="A15" t="s">
        <v>1278</v>
      </c>
      <c r="B15"/>
      <c r="D15" s="7">
        <f>IF($B$20=1,B15/$B$21,B15)</f>
        <v>0</v>
      </c>
      <c r="H15" s="7">
        <f>IF($B$20=1,F15/$B$21,F15)</f>
        <v>0</v>
      </c>
      <c r="L15" s="7">
        <f>IF($B$20=1,J15/$B$21,J15)</f>
        <v>0</v>
      </c>
    </row>
    <row r="16" spans="1:19" x14ac:dyDescent="0.25">
      <c r="A16" t="s">
        <v>861</v>
      </c>
      <c r="B16" s="8"/>
      <c r="D16" s="7">
        <f>IF($B$20=1,B16/$B$21,B16)</f>
        <v>0</v>
      </c>
      <c r="H16" s="7">
        <f>IF($B$20=1,F16/$B$21,F16)</f>
        <v>0</v>
      </c>
      <c r="L16" s="7">
        <f>IF($B$20=1,J16/$B$21,J16)</f>
        <v>0</v>
      </c>
      <c r="S16" t="s">
        <v>1213</v>
      </c>
    </row>
    <row r="17" spans="1:20" x14ac:dyDescent="0.25">
      <c r="A17" t="s">
        <v>7</v>
      </c>
      <c r="B17" s="8"/>
      <c r="D17" s="7">
        <f>IF($B$20=1,B17/$B$21,B17)</f>
        <v>0</v>
      </c>
      <c r="H17" s="7">
        <f>IF($B$20=1,F17/$B$21,F17)</f>
        <v>0</v>
      </c>
      <c r="L17" s="7">
        <f>IF($B$20=1,J17/$B$21,J17)</f>
        <v>0</v>
      </c>
      <c r="S17" t="s">
        <v>1159</v>
      </c>
    </row>
    <row r="18" spans="1:20" x14ac:dyDescent="0.25">
      <c r="A18" t="s">
        <v>1081</v>
      </c>
      <c r="B18"/>
      <c r="S18" t="s">
        <v>1187</v>
      </c>
    </row>
    <row r="19" spans="1:20" x14ac:dyDescent="0.25">
      <c r="A19" t="s">
        <v>863</v>
      </c>
      <c r="B19"/>
      <c r="S19" t="s">
        <v>1214</v>
      </c>
      <c r="T19" t="s">
        <v>1215</v>
      </c>
    </row>
    <row r="20" spans="1:20" x14ac:dyDescent="0.25">
      <c r="A20" t="s">
        <v>942</v>
      </c>
      <c r="B20"/>
      <c r="R20" t="s">
        <v>947</v>
      </c>
      <c r="S20" t="s">
        <v>984</v>
      </c>
      <c r="T20" t="s">
        <v>1216</v>
      </c>
    </row>
    <row r="21" spans="1:20" x14ac:dyDescent="0.25">
      <c r="A21" t="s">
        <v>943</v>
      </c>
      <c r="B21">
        <v>1</v>
      </c>
      <c r="D21" s="12"/>
      <c r="S21" t="s">
        <v>985</v>
      </c>
      <c r="T21" t="s">
        <v>1216</v>
      </c>
    </row>
    <row r="22" spans="1:20" x14ac:dyDescent="0.25">
      <c r="H22">
        <f>F22*$D$5</f>
        <v>0</v>
      </c>
      <c r="L22">
        <f>J22*$D$5</f>
        <v>0</v>
      </c>
      <c r="S22" t="s">
        <v>1217</v>
      </c>
      <c r="T22" t="s">
        <v>1218</v>
      </c>
    </row>
    <row r="23" spans="1:20" x14ac:dyDescent="0.25">
      <c r="S23" t="s">
        <v>1219</v>
      </c>
      <c r="T23" t="s">
        <v>1218</v>
      </c>
    </row>
    <row r="24" spans="1:20" x14ac:dyDescent="0.25">
      <c r="D24" s="7" t="s">
        <v>1023</v>
      </c>
      <c r="F24" t="s">
        <v>901</v>
      </c>
      <c r="G24" t="s">
        <v>1022</v>
      </c>
      <c r="H24" s="7" t="s">
        <v>1023</v>
      </c>
      <c r="J24" t="s">
        <v>901</v>
      </c>
      <c r="K24" t="s">
        <v>1022</v>
      </c>
      <c r="L24" s="7" t="s">
        <v>1023</v>
      </c>
      <c r="R24" t="s">
        <v>941</v>
      </c>
      <c r="S24" t="s">
        <v>25</v>
      </c>
      <c r="T24" t="s">
        <v>1218</v>
      </c>
    </row>
    <row r="25" spans="1:20" x14ac:dyDescent="0.25">
      <c r="A25" t="s">
        <v>944</v>
      </c>
      <c r="B25" s="6">
        <f>IF(B17-B16&lt;0,0,B17-B16)</f>
        <v>0</v>
      </c>
      <c r="D25" s="6">
        <f>IF(D17-D16&lt;0,0,D17-D16)</f>
        <v>0</v>
      </c>
      <c r="F25" s="8">
        <f>F5*B25</f>
        <v>0</v>
      </c>
      <c r="G25" s="8">
        <v>0</v>
      </c>
      <c r="H25" s="8"/>
      <c r="I25" s="8"/>
      <c r="J25" s="8">
        <f>(J5*B25)+IF(J17-J16&lt;=0,0,J17-J16)</f>
        <v>0</v>
      </c>
      <c r="K25" s="8">
        <f>IF(J17-J16&lt;=0,0,J17-J16)</f>
        <v>0</v>
      </c>
      <c r="L25" s="8"/>
      <c r="S25" t="s">
        <v>1220</v>
      </c>
      <c r="T25" t="s">
        <v>1218</v>
      </c>
    </row>
    <row r="26" spans="1:20" x14ac:dyDescent="0.25">
      <c r="A26" t="s">
        <v>945</v>
      </c>
      <c r="B26" s="9">
        <f>(1-NASLDC)*NASL</f>
        <v>0</v>
      </c>
      <c r="D26" s="11"/>
      <c r="F26" s="8">
        <f>FU_NASL*(1-FU_NASLDC)</f>
        <v>0</v>
      </c>
      <c r="G26" s="8"/>
      <c r="H26" s="8"/>
      <c r="I26" s="8"/>
      <c r="J26" s="8">
        <f>IP_NASL*(1-IP_NASLDC)</f>
        <v>0</v>
      </c>
      <c r="K26" s="8"/>
      <c r="L26" s="8"/>
      <c r="R26" t="s">
        <v>1221</v>
      </c>
      <c r="S26" t="s">
        <v>25</v>
      </c>
      <c r="T26" t="s">
        <v>1218</v>
      </c>
    </row>
    <row r="27" spans="1:20" x14ac:dyDescent="0.25">
      <c r="A27" t="s">
        <v>946</v>
      </c>
      <c r="B27" s="6">
        <f>NASR*(1-NASRDC)</f>
        <v>0</v>
      </c>
      <c r="D27" s="11"/>
      <c r="F27" s="8">
        <f>FU_NASR*(1-FU_NASRDC)</f>
        <v>0</v>
      </c>
      <c r="G27" s="8"/>
      <c r="H27" s="8"/>
      <c r="I27" s="8"/>
      <c r="J27" s="8">
        <f>IP_NASR*(1-IP_NASRDC)</f>
        <v>0</v>
      </c>
      <c r="K27" s="8"/>
      <c r="L27" s="8"/>
      <c r="S27" t="s">
        <v>1220</v>
      </c>
      <c r="T27" t="s">
        <v>1218</v>
      </c>
    </row>
    <row r="28" spans="1:20" x14ac:dyDescent="0.25">
      <c r="D28" s="11"/>
      <c r="F28" s="8"/>
      <c r="G28" s="8"/>
      <c r="H28" s="8"/>
      <c r="I28" s="8"/>
      <c r="J28" s="8"/>
      <c r="K28" s="8"/>
      <c r="L28" s="8"/>
      <c r="R28" t="s">
        <v>1093</v>
      </c>
      <c r="S28" t="s">
        <v>984</v>
      </c>
      <c r="T28" t="s">
        <v>1216</v>
      </c>
    </row>
    <row r="29" spans="1:20" ht="14.4" x14ac:dyDescent="0.3">
      <c r="A29" s="10" t="s">
        <v>947</v>
      </c>
      <c r="D29" s="12"/>
      <c r="F29" s="8"/>
      <c r="G29" s="8"/>
      <c r="H29" s="8"/>
      <c r="I29" s="8"/>
      <c r="J29" s="8"/>
      <c r="K29" s="8"/>
      <c r="L29" s="8"/>
      <c r="S29" t="s">
        <v>985</v>
      </c>
      <c r="T29" t="s">
        <v>1216</v>
      </c>
    </row>
    <row r="30" spans="1:20" x14ac:dyDescent="0.25">
      <c r="A30" t="s">
        <v>948</v>
      </c>
      <c r="B30" s="6">
        <f>B5*(NASL+NASR+ROTT)</f>
        <v>0</v>
      </c>
      <c r="F30" s="8">
        <f>H5*(F8+F10+F18)</f>
        <v>0</v>
      </c>
      <c r="G30" s="8"/>
      <c r="H30" s="8"/>
      <c r="I30" s="8"/>
      <c r="J30" s="8">
        <f>L5*(J8+J10+J18)</f>
        <v>0</v>
      </c>
      <c r="K30" s="8"/>
      <c r="L30" s="8"/>
    </row>
    <row r="31" spans="1:20" x14ac:dyDescent="0.25">
      <c r="A31" t="s">
        <v>949</v>
      </c>
      <c r="B31" s="6">
        <f>B5*(B26+B27)</f>
        <v>0</v>
      </c>
      <c r="F31" s="8">
        <f>H5*(F26+F27)</f>
        <v>0</v>
      </c>
      <c r="G31" s="8"/>
      <c r="H31" s="8"/>
      <c r="I31" s="8"/>
      <c r="J31" s="8">
        <f>L5*(J26+J27)</f>
        <v>0</v>
      </c>
      <c r="K31" s="8"/>
      <c r="L31" s="8"/>
      <c r="R31" t="s">
        <v>941</v>
      </c>
      <c r="S31" t="s">
        <v>25</v>
      </c>
      <c r="T31" t="s">
        <v>1218</v>
      </c>
    </row>
    <row r="32" spans="1:20" x14ac:dyDescent="0.25">
      <c r="F32" s="8"/>
      <c r="G32" s="8"/>
      <c r="H32" s="8"/>
      <c r="I32" s="8"/>
      <c r="J32" s="8"/>
      <c r="K32" s="8"/>
      <c r="L32" s="8"/>
      <c r="S32" t="s">
        <v>1220</v>
      </c>
      <c r="T32" t="s">
        <v>1218</v>
      </c>
    </row>
    <row r="33" spans="1:20" x14ac:dyDescent="0.25">
      <c r="A33" t="s">
        <v>950</v>
      </c>
      <c r="B33" s="6">
        <f>B31-B30+B5</f>
        <v>0</v>
      </c>
      <c r="C33" s="6">
        <f>B33*52</f>
        <v>0</v>
      </c>
      <c r="D33" s="7">
        <f>IF($B$20=1,C33/$B$21,C33)</f>
        <v>0</v>
      </c>
      <c r="F33" s="8">
        <f>(F31-F30+H5)/52</f>
        <v>0</v>
      </c>
      <c r="G33" s="8"/>
      <c r="H33" s="8">
        <f>(F31-F30+H5)*52</f>
        <v>0</v>
      </c>
      <c r="I33" s="8"/>
      <c r="J33" s="8">
        <f>(J31-J30+L5)/52</f>
        <v>0</v>
      </c>
      <c r="K33" s="8"/>
      <c r="L33" s="8">
        <f>(J31-J30+L5)*52</f>
        <v>0</v>
      </c>
      <c r="R33" t="s">
        <v>1221</v>
      </c>
      <c r="S33" t="s">
        <v>25</v>
      </c>
      <c r="T33" t="s">
        <v>1218</v>
      </c>
    </row>
    <row r="34" spans="1:20" x14ac:dyDescent="0.25">
      <c r="F34" s="8"/>
      <c r="G34" s="8"/>
      <c r="H34" s="8"/>
      <c r="I34" s="8"/>
      <c r="J34" s="8"/>
      <c r="K34" s="8"/>
      <c r="L34" s="8"/>
      <c r="S34" t="s">
        <v>1220</v>
      </c>
      <c r="T34" t="s">
        <v>1218</v>
      </c>
    </row>
    <row r="35" spans="1:20" x14ac:dyDescent="0.25">
      <c r="F35" s="8"/>
      <c r="G35" s="8"/>
      <c r="H35" s="8"/>
      <c r="I35" s="8"/>
      <c r="J35" s="8"/>
      <c r="K35" s="8"/>
      <c r="L35" s="8"/>
      <c r="R35" t="s">
        <v>1093</v>
      </c>
      <c r="S35" t="s">
        <v>984</v>
      </c>
      <c r="T35" t="s">
        <v>1218</v>
      </c>
    </row>
    <row r="36" spans="1:20" ht="14.4" x14ac:dyDescent="0.3">
      <c r="A36" s="10" t="s">
        <v>951</v>
      </c>
      <c r="F36" s="8"/>
      <c r="G36" s="8"/>
      <c r="H36" s="8"/>
      <c r="I36" s="8"/>
      <c r="J36" s="8"/>
      <c r="K36" s="8"/>
      <c r="L36" s="8"/>
      <c r="S36" t="s">
        <v>985</v>
      </c>
      <c r="T36" t="s">
        <v>1218</v>
      </c>
    </row>
    <row r="37" spans="1:20" x14ac:dyDescent="0.25">
      <c r="A37" t="s">
        <v>948</v>
      </c>
      <c r="B37" s="6">
        <f>B13*(B8+B10+B18)</f>
        <v>0</v>
      </c>
      <c r="F37" s="8">
        <f>F13*(F8+F10)</f>
        <v>0</v>
      </c>
      <c r="G37" s="8"/>
      <c r="H37" s="8"/>
      <c r="I37" s="8"/>
      <c r="J37" s="8">
        <f>J13*(J8+J10)</f>
        <v>0</v>
      </c>
      <c r="K37" s="8"/>
      <c r="L37" s="8"/>
      <c r="S37" t="s">
        <v>1222</v>
      </c>
      <c r="T37" t="s">
        <v>1218</v>
      </c>
    </row>
    <row r="38" spans="1:20" x14ac:dyDescent="0.25">
      <c r="A38" t="s">
        <v>949</v>
      </c>
      <c r="B38" s="6">
        <f>B13*(B26+B27)</f>
        <v>0</v>
      </c>
      <c r="F38" s="8">
        <f>F13*(F26+F27)</f>
        <v>0</v>
      </c>
      <c r="G38" s="8"/>
      <c r="H38" s="8"/>
      <c r="I38" s="8"/>
      <c r="J38" s="8">
        <f>J13*(J26+J27)</f>
        <v>0</v>
      </c>
      <c r="K38" s="8"/>
      <c r="L38" s="8"/>
    </row>
    <row r="39" spans="1:20" x14ac:dyDescent="0.25">
      <c r="F39" s="8"/>
      <c r="G39" s="8"/>
      <c r="H39" s="8"/>
      <c r="I39" s="8"/>
      <c r="J39" s="8"/>
      <c r="K39" s="8"/>
      <c r="L39" s="8"/>
      <c r="R39" t="s">
        <v>1203</v>
      </c>
      <c r="T39" t="s">
        <v>1218</v>
      </c>
    </row>
    <row r="40" spans="1:20" x14ac:dyDescent="0.25">
      <c r="A40" t="s">
        <v>952</v>
      </c>
      <c r="B40" s="6">
        <f>B13+B38-B37</f>
        <v>0</v>
      </c>
      <c r="C40" s="6">
        <f>B40*52</f>
        <v>0</v>
      </c>
      <c r="D40" s="7">
        <f>IF($B$20=1,C40/$B$21,C40)</f>
        <v>0</v>
      </c>
      <c r="F40" s="8">
        <f>F13+F38-F37</f>
        <v>0</v>
      </c>
      <c r="G40" s="8"/>
      <c r="H40" s="8">
        <f>F40*52</f>
        <v>0</v>
      </c>
      <c r="I40" s="8"/>
      <c r="J40" s="8">
        <f>J13+J38-J37</f>
        <v>0</v>
      </c>
      <c r="K40" s="8"/>
      <c r="L40" s="8">
        <f>J40*52</f>
        <v>0</v>
      </c>
    </row>
    <row r="41" spans="1:20" x14ac:dyDescent="0.25">
      <c r="F41" s="8"/>
      <c r="G41" s="8"/>
      <c r="H41" s="8"/>
      <c r="I41" s="8"/>
      <c r="J41" s="8"/>
      <c r="K41" s="8"/>
      <c r="L41" s="8"/>
    </row>
    <row r="42" spans="1:20" x14ac:dyDescent="0.25">
      <c r="F42" s="8"/>
      <c r="G42" s="8"/>
      <c r="H42" s="8"/>
      <c r="I42" s="8"/>
      <c r="J42" s="8"/>
      <c r="K42" s="8"/>
      <c r="L42" s="8"/>
    </row>
    <row r="43" spans="1:20" ht="14.4" x14ac:dyDescent="0.3">
      <c r="A43" s="10" t="s">
        <v>953</v>
      </c>
      <c r="F43" s="8"/>
      <c r="G43" s="8"/>
      <c r="H43" s="8"/>
      <c r="I43" s="8"/>
      <c r="J43" s="8"/>
      <c r="K43" s="8"/>
      <c r="L43" s="8"/>
    </row>
    <row r="44" spans="1:20" x14ac:dyDescent="0.25">
      <c r="A44" t="s">
        <v>954</v>
      </c>
      <c r="F44" s="8"/>
      <c r="G44" s="8"/>
      <c r="H44" s="8"/>
      <c r="I44" s="8"/>
      <c r="J44" s="8"/>
      <c r="K44" s="8"/>
      <c r="L44" s="8"/>
    </row>
    <row r="45" spans="1:20" x14ac:dyDescent="0.25">
      <c r="F45" s="8"/>
      <c r="G45" s="8"/>
      <c r="H45" s="8"/>
      <c r="I45" s="8"/>
      <c r="J45" s="8"/>
      <c r="K45" s="8"/>
      <c r="L45" s="8"/>
    </row>
    <row r="46" spans="1:20" x14ac:dyDescent="0.25">
      <c r="A46" t="s">
        <v>948</v>
      </c>
      <c r="B46" s="6">
        <f>B25*(B8+B10+B18)</f>
        <v>0</v>
      </c>
      <c r="F46" s="8">
        <f>F25*(F8+F10)</f>
        <v>0</v>
      </c>
      <c r="G46" s="8"/>
      <c r="H46" s="8"/>
      <c r="I46" s="8"/>
      <c r="J46" s="8">
        <f>J25*(J8+J10)</f>
        <v>0</v>
      </c>
      <c r="K46" s="8"/>
      <c r="L46" s="8"/>
    </row>
    <row r="47" spans="1:20" x14ac:dyDescent="0.25">
      <c r="A47" t="s">
        <v>949</v>
      </c>
      <c r="B47" s="6">
        <f>B25*(B26+B27)</f>
        <v>0</v>
      </c>
      <c r="F47" s="8">
        <f>F25*(F26+F27)</f>
        <v>0</v>
      </c>
      <c r="G47" s="8"/>
      <c r="H47" s="8"/>
      <c r="I47" s="8"/>
      <c r="J47" s="8">
        <f>J25*(J26+J27)</f>
        <v>0</v>
      </c>
      <c r="K47" s="8"/>
      <c r="L47" s="8"/>
    </row>
    <row r="48" spans="1:20" x14ac:dyDescent="0.25">
      <c r="F48" s="8" t="s">
        <v>901</v>
      </c>
      <c r="G48" s="8"/>
      <c r="H48" s="8"/>
      <c r="I48" s="8"/>
      <c r="J48" s="8" t="s">
        <v>901</v>
      </c>
      <c r="K48" s="8"/>
      <c r="L48" s="8"/>
    </row>
    <row r="49" spans="1:40" x14ac:dyDescent="0.25">
      <c r="A49" t="s">
        <v>955</v>
      </c>
      <c r="B49" s="6">
        <f>B25+B47-B46</f>
        <v>0</v>
      </c>
      <c r="C49" s="6">
        <f>B49</f>
        <v>0</v>
      </c>
      <c r="D49" s="7">
        <f>IF($B$20=1,C49/$B$21,C49)</f>
        <v>0</v>
      </c>
      <c r="F49" s="8">
        <f>F25+F47-F46</f>
        <v>0</v>
      </c>
      <c r="G49" s="8">
        <f>F49</f>
        <v>0</v>
      </c>
      <c r="H49" s="8">
        <f>IF($F$20=1,G49/$F$21,G49)</f>
        <v>0</v>
      </c>
      <c r="I49" s="8"/>
      <c r="J49" s="8">
        <f>J25+J47-J46</f>
        <v>0</v>
      </c>
      <c r="K49" s="8">
        <f>J49</f>
        <v>0</v>
      </c>
      <c r="L49" s="8">
        <f>IF($J$20=1,K49/$J$21,K49)</f>
        <v>0</v>
      </c>
    </row>
    <row r="50" spans="1:40" x14ac:dyDescent="0.25">
      <c r="F50" t="s">
        <v>1022</v>
      </c>
      <c r="J50" t="s">
        <v>1022</v>
      </c>
    </row>
    <row r="51" spans="1:40" x14ac:dyDescent="0.25">
      <c r="F51">
        <v>0</v>
      </c>
      <c r="H51">
        <v>0</v>
      </c>
      <c r="J51">
        <f>K25*(1+(J8*(1-J9))-(J8+J10+J18)+(J10*(1-J11)))</f>
        <v>0</v>
      </c>
      <c r="K51">
        <f>J51</f>
        <v>0</v>
      </c>
      <c r="L51" s="8">
        <f>IF($J$20=1,K51/$J$21,K51)</f>
        <v>0</v>
      </c>
    </row>
    <row r="52" spans="1:40" x14ac:dyDescent="0.25">
      <c r="A52" s="1" t="s">
        <v>956</v>
      </c>
      <c r="M52" t="s">
        <v>1016</v>
      </c>
      <c r="Z52">
        <f>1-(NASL*NASLDC)</f>
        <v>1</v>
      </c>
    </row>
    <row r="53" spans="1:40" x14ac:dyDescent="0.25">
      <c r="A53" t="s">
        <v>1141</v>
      </c>
      <c r="B53" s="92" t="s">
        <v>1142</v>
      </c>
    </row>
    <row r="54" spans="1:40" x14ac:dyDescent="0.25">
      <c r="M54" t="s">
        <v>1207</v>
      </c>
      <c r="Q54">
        <f>(1-ROTT)*(1-(NASR*NASRDC) - (NASL*NASLDC))</f>
        <v>1</v>
      </c>
      <c r="R54">
        <f>(1-FU_ROTT)*(1-(FU_NASR*FU_NASRDC) - (FU_NASL*FU_NASLDC))</f>
        <v>1</v>
      </c>
      <c r="S54">
        <f>(1-IP_ROTT)*(1-(IP_NASR*IP_NASRDC) - (IP_NASL*IP_NASLDC))</f>
        <v>1</v>
      </c>
      <c r="Z54">
        <f>1-(NASL*NASLDC)</f>
        <v>1</v>
      </c>
      <c r="AA54">
        <f>1-(FU_NASL*FU_NASLDC)</f>
        <v>1</v>
      </c>
      <c r="AB54">
        <f>1-(IP_NASL*IP_NASLDC)</f>
        <v>1</v>
      </c>
    </row>
    <row r="55" spans="1:40" x14ac:dyDescent="0.25">
      <c r="A55" t="s">
        <v>1143</v>
      </c>
      <c r="B55" s="100">
        <f>'Reference dates (hide)'!B40</f>
        <v>43831</v>
      </c>
      <c r="C55" s="6" t="s">
        <v>1150</v>
      </c>
      <c r="G55" s="7"/>
      <c r="Q55" s="116" t="str">
        <f ca="1">IF(OFFSET('Control Sheet'!E$45,MID($A$1,6,LEN($A$1)-6),0,1,1)=0,"",OFFSET('Control Sheet'!E$45,MID($A$1,6,LEN($A$1)-6),0,1,1))</f>
        <v/>
      </c>
      <c r="R55" s="116" t="str">
        <f ca="1">IF(OFFSET('Control Sheet'!F$45,MID($A$1,6,LEN($A$1)-6),0,1,1)=0,"",OFFSET('Control Sheet'!F$45,MID($A$1,6,LEN($A$1)-6),0,1,1))</f>
        <v/>
      </c>
      <c r="S55" s="116" t="str">
        <f ca="1">IF(OFFSET('Control Sheet'!G$45,MID($A$1,6,LEN($A$1)-6),0,1,1)=0,"",OFFSET('Control Sheet'!G$45,MID($A$1,6,LEN($A$1)-6),0,1,1))</f>
        <v/>
      </c>
      <c r="T55" s="118" t="str">
        <f ca="1">IF(OFFSET('Control Sheet'!I$45,MID($A$1,6,LEN($A$1)-6),0,1,1)="0","",OFFSET('Control Sheet'!I$45,MID($A$1,6,LEN($A$1)-6),0,1,1))</f>
        <v/>
      </c>
      <c r="U55" s="118" t="str">
        <f ca="1">IF(OFFSET('Control Sheet'!J$45,MID($A$1,6,LEN($A$1)-6),0,1,1)=0,"",OFFSET('Control Sheet'!J$45,MID($A$1,6,LEN($A$1)-6),0,1,1))</f>
        <v/>
      </c>
      <c r="V55" s="118" t="str">
        <f ca="1">IF(OFFSET('Control Sheet'!K$45,MID($A$1,6,LEN($A$1)-6),0,1,1)=0,"",OFFSET('Control Sheet'!K$45,MID($A$1,6,LEN($A$1)-6),0,1,1))</f>
        <v/>
      </c>
    </row>
    <row r="56" spans="1:40" ht="14.4" x14ac:dyDescent="0.3">
      <c r="A56" t="s">
        <v>1202</v>
      </c>
      <c r="C56" s="6" t="s">
        <v>1204</v>
      </c>
      <c r="D56" s="6"/>
      <c r="E56" s="7"/>
      <c r="F56" t="s">
        <v>860</v>
      </c>
      <c r="N56" s="6"/>
      <c r="O56" s="6"/>
      <c r="P56" s="7"/>
      <c r="Q56" s="93" t="s">
        <v>1236</v>
      </c>
      <c r="R56" s="6"/>
      <c r="T56" s="107" t="s">
        <v>1093</v>
      </c>
      <c r="Z56" s="93" t="s">
        <v>1212</v>
      </c>
      <c r="AC56" s="108" t="s">
        <v>1276</v>
      </c>
      <c r="AF56" s="1" t="s">
        <v>1306</v>
      </c>
      <c r="AI56" t="s">
        <v>1275</v>
      </c>
      <c r="AL56" t="s">
        <v>1312</v>
      </c>
    </row>
    <row r="57" spans="1:40" x14ac:dyDescent="0.25">
      <c r="A57" s="1" t="s">
        <v>1144</v>
      </c>
      <c r="B57" s="1" t="s">
        <v>1151</v>
      </c>
      <c r="C57" s="94" t="s">
        <v>1203</v>
      </c>
      <c r="D57" s="94" t="s">
        <v>984</v>
      </c>
      <c r="E57" s="111" t="s">
        <v>985</v>
      </c>
      <c r="F57" s="1" t="s">
        <v>951</v>
      </c>
      <c r="G57" s="1" t="s">
        <v>1205</v>
      </c>
      <c r="H57" s="1" t="s">
        <v>1206</v>
      </c>
      <c r="I57" s="1" t="s">
        <v>25</v>
      </c>
      <c r="J57" s="1" t="s">
        <v>1220</v>
      </c>
      <c r="K57" s="1" t="s">
        <v>1266</v>
      </c>
      <c r="M57" s="1" t="s">
        <v>1144</v>
      </c>
      <c r="N57" s="94" t="s">
        <v>1159</v>
      </c>
      <c r="O57" s="94" t="s">
        <v>1151</v>
      </c>
      <c r="P57" s="7" t="s">
        <v>1201</v>
      </c>
      <c r="Q57" s="6" t="s">
        <v>1196</v>
      </c>
      <c r="R57" s="6" t="s">
        <v>1197</v>
      </c>
      <c r="S57" s="7" t="s">
        <v>1198</v>
      </c>
      <c r="T57" s="109" t="s">
        <v>1188</v>
      </c>
      <c r="U57" s="109" t="s">
        <v>1189</v>
      </c>
      <c r="V57" s="109" t="s">
        <v>1190</v>
      </c>
      <c r="W57" s="110" t="s">
        <v>1191</v>
      </c>
      <c r="X57" s="110" t="s">
        <v>1192</v>
      </c>
      <c r="Y57" s="110" t="s">
        <v>1193</v>
      </c>
      <c r="Z57" s="57">
        <v>1</v>
      </c>
      <c r="AA57">
        <v>2</v>
      </c>
      <c r="AB57">
        <v>3</v>
      </c>
      <c r="AC57" t="s">
        <v>1146</v>
      </c>
      <c r="AD57" t="s">
        <v>1147</v>
      </c>
      <c r="AE57" t="s">
        <v>1148</v>
      </c>
      <c r="AF57" t="s">
        <v>1146</v>
      </c>
      <c r="AG57" t="s">
        <v>1147</v>
      </c>
      <c r="AH57" t="s">
        <v>1148</v>
      </c>
      <c r="AI57" t="s">
        <v>1146</v>
      </c>
      <c r="AJ57" t="s">
        <v>1147</v>
      </c>
      <c r="AK57" t="s">
        <v>1148</v>
      </c>
      <c r="AL57" t="s">
        <v>1146</v>
      </c>
      <c r="AM57" t="s">
        <v>1147</v>
      </c>
      <c r="AN57" t="s">
        <v>1148</v>
      </c>
    </row>
    <row r="58" spans="1:40" x14ac:dyDescent="0.25">
      <c r="B58"/>
      <c r="C58"/>
      <c r="D58"/>
      <c r="M58" s="101">
        <f>IF(B55&lt;&gt;"",B55-WEEKDAY(B55,3),"")</f>
        <v>43829</v>
      </c>
      <c r="N58" s="99">
        <f>YEAR(M58)</f>
        <v>2019</v>
      </c>
      <c r="O58" s="8">
        <f>WEEKNUM(M58,21)</f>
        <v>1</v>
      </c>
      <c r="P58">
        <f ca="1">'Reference dates (hide)'!K43</f>
        <v>7.874015748031496E-3</v>
      </c>
    </row>
    <row r="59" spans="1:40" x14ac:dyDescent="0.25">
      <c r="B59"/>
      <c r="C59"/>
      <c r="D59"/>
      <c r="M59" s="101">
        <f>IF('Reference dates (hide)'!I44&lt;&gt;"",'Reference dates (hide)'!I44,"")</f>
        <v>43836</v>
      </c>
      <c r="N59" s="99">
        <f t="shared" ref="N59:N110" si="0">YEAR(M59)</f>
        <v>2020</v>
      </c>
      <c r="O59" s="8">
        <f t="shared" ref="O59:O110" si="1">WEEKNUM(M59,21)</f>
        <v>2</v>
      </c>
      <c r="P59">
        <f ca="1">'Reference dates (hide)'!K44</f>
        <v>1.968503937007874E-2</v>
      </c>
    </row>
    <row r="60" spans="1:40" x14ac:dyDescent="0.25">
      <c r="B60"/>
      <c r="C60"/>
      <c r="D60"/>
      <c r="M60" s="101">
        <f>IF('Reference dates (hide)'!I45&lt;&gt;"",'Reference dates (hide)'!I45,"")</f>
        <v>43843</v>
      </c>
      <c r="N60" s="99">
        <f t="shared" si="0"/>
        <v>2020</v>
      </c>
      <c r="O60" s="8">
        <f t="shared" si="1"/>
        <v>3</v>
      </c>
      <c r="P60">
        <f ca="1">'Reference dates (hide)'!K45</f>
        <v>1.968503937007874E-2</v>
      </c>
    </row>
    <row r="61" spans="1:40" x14ac:dyDescent="0.25">
      <c r="B61"/>
      <c r="C61"/>
      <c r="D61"/>
      <c r="M61" s="101">
        <f>IF('Reference dates (hide)'!I46&lt;&gt;"",'Reference dates (hide)'!I46,"")</f>
        <v>43850</v>
      </c>
      <c r="N61" s="99">
        <f t="shared" si="0"/>
        <v>2020</v>
      </c>
      <c r="O61" s="8">
        <f t="shared" si="1"/>
        <v>4</v>
      </c>
      <c r="P61">
        <f ca="1">'Reference dates (hide)'!K46</f>
        <v>1.968503937007874E-2</v>
      </c>
    </row>
    <row r="62" spans="1:40" x14ac:dyDescent="0.25">
      <c r="B62"/>
      <c r="C62"/>
      <c r="D62"/>
      <c r="M62" s="101">
        <f>IF('Reference dates (hide)'!I47&lt;&gt;"",'Reference dates (hide)'!I47,"")</f>
        <v>43857</v>
      </c>
      <c r="N62" s="99">
        <f t="shared" si="0"/>
        <v>2020</v>
      </c>
      <c r="O62" s="8">
        <f t="shared" si="1"/>
        <v>5</v>
      </c>
      <c r="P62">
        <f ca="1">'Reference dates (hide)'!K47</f>
        <v>1.968503937007874E-2</v>
      </c>
    </row>
    <row r="63" spans="1:40" x14ac:dyDescent="0.25">
      <c r="B63"/>
      <c r="C63"/>
      <c r="D63"/>
      <c r="M63" s="101">
        <f>IF('Reference dates (hide)'!I48&lt;&gt;"",'Reference dates (hide)'!I48,"")</f>
        <v>43864</v>
      </c>
      <c r="N63" s="99">
        <f t="shared" si="0"/>
        <v>2020</v>
      </c>
      <c r="O63" s="8">
        <f t="shared" si="1"/>
        <v>6</v>
      </c>
      <c r="P63">
        <f ca="1">'Reference dates (hide)'!K48</f>
        <v>1.968503937007874E-2</v>
      </c>
    </row>
    <row r="64" spans="1:40" x14ac:dyDescent="0.25">
      <c r="B64"/>
      <c r="C64"/>
      <c r="D64"/>
      <c r="M64" s="101">
        <f>IF('Reference dates (hide)'!I49&lt;&gt;"",'Reference dates (hide)'!I49,"")</f>
        <v>43871</v>
      </c>
      <c r="N64" s="99">
        <f t="shared" si="0"/>
        <v>2020</v>
      </c>
      <c r="O64" s="8">
        <f t="shared" si="1"/>
        <v>7</v>
      </c>
      <c r="P64">
        <f ca="1">'Reference dates (hide)'!K49</f>
        <v>1.968503937007874E-2</v>
      </c>
    </row>
    <row r="65" spans="2:16" x14ac:dyDescent="0.25">
      <c r="B65"/>
      <c r="C65"/>
      <c r="D65"/>
      <c r="M65" s="101">
        <f>IF('Reference dates (hide)'!I50&lt;&gt;"",'Reference dates (hide)'!I50,"")</f>
        <v>43878</v>
      </c>
      <c r="N65" s="99">
        <f t="shared" si="0"/>
        <v>2020</v>
      </c>
      <c r="O65" s="8">
        <f t="shared" si="1"/>
        <v>8</v>
      </c>
      <c r="P65">
        <f ca="1">'Reference dates (hide)'!K50</f>
        <v>1.968503937007874E-2</v>
      </c>
    </row>
    <row r="66" spans="2:16" x14ac:dyDescent="0.25">
      <c r="B66"/>
      <c r="C66"/>
      <c r="D66"/>
      <c r="M66" s="101">
        <f>IF('Reference dates (hide)'!I51&lt;&gt;"",'Reference dates (hide)'!I51,"")</f>
        <v>43885</v>
      </c>
      <c r="N66" s="99">
        <f t="shared" si="0"/>
        <v>2020</v>
      </c>
      <c r="O66" s="8">
        <f t="shared" si="1"/>
        <v>9</v>
      </c>
      <c r="P66">
        <f ca="1">'Reference dates (hide)'!K51</f>
        <v>1.968503937007874E-2</v>
      </c>
    </row>
    <row r="67" spans="2:16" x14ac:dyDescent="0.25">
      <c r="B67"/>
      <c r="C67"/>
      <c r="D67"/>
      <c r="M67" s="101">
        <f>IF('Reference dates (hide)'!I52&lt;&gt;"",'Reference dates (hide)'!I52,"")</f>
        <v>43892</v>
      </c>
      <c r="N67" s="99">
        <f t="shared" si="0"/>
        <v>2020</v>
      </c>
      <c r="O67" s="8">
        <f t="shared" si="1"/>
        <v>10</v>
      </c>
      <c r="P67">
        <f ca="1">'Reference dates (hide)'!K52</f>
        <v>1.968503937007874E-2</v>
      </c>
    </row>
    <row r="68" spans="2:16" x14ac:dyDescent="0.25">
      <c r="B68"/>
      <c r="C68"/>
      <c r="D68"/>
      <c r="M68" s="101">
        <f>IF('Reference dates (hide)'!I53&lt;&gt;"",'Reference dates (hide)'!I53,"")</f>
        <v>43899</v>
      </c>
      <c r="N68" s="99">
        <f t="shared" si="0"/>
        <v>2020</v>
      </c>
      <c r="O68" s="8">
        <f t="shared" si="1"/>
        <v>11</v>
      </c>
      <c r="P68">
        <f ca="1">'Reference dates (hide)'!K53</f>
        <v>1.968503937007874E-2</v>
      </c>
    </row>
    <row r="69" spans="2:16" x14ac:dyDescent="0.25">
      <c r="B69"/>
      <c r="C69"/>
      <c r="D69"/>
      <c r="M69" s="101">
        <f>IF('Reference dates (hide)'!I54&lt;&gt;"",'Reference dates (hide)'!I54,"")</f>
        <v>43906</v>
      </c>
      <c r="N69" s="99">
        <f t="shared" si="0"/>
        <v>2020</v>
      </c>
      <c r="O69" s="8">
        <f t="shared" si="1"/>
        <v>12</v>
      </c>
      <c r="P69">
        <f ca="1">'Reference dates (hide)'!K54</f>
        <v>1.968503937007874E-2</v>
      </c>
    </row>
    <row r="70" spans="2:16" x14ac:dyDescent="0.25">
      <c r="B70"/>
      <c r="C70"/>
      <c r="D70"/>
      <c r="M70" s="101">
        <f>IF('Reference dates (hide)'!I55&lt;&gt;"",'Reference dates (hide)'!I55,"")</f>
        <v>43913</v>
      </c>
      <c r="N70" s="99">
        <f t="shared" si="0"/>
        <v>2020</v>
      </c>
      <c r="O70" s="8">
        <f t="shared" si="1"/>
        <v>13</v>
      </c>
      <c r="P70">
        <f ca="1">'Reference dates (hide)'!K55</f>
        <v>1.968503937007874E-2</v>
      </c>
    </row>
    <row r="71" spans="2:16" x14ac:dyDescent="0.25">
      <c r="B71"/>
      <c r="C71"/>
      <c r="D71"/>
      <c r="M71" s="101">
        <f>IF('Reference dates (hide)'!I56&lt;&gt;"",'Reference dates (hide)'!I56,"")</f>
        <v>43920</v>
      </c>
      <c r="N71" s="99">
        <f t="shared" si="0"/>
        <v>2020</v>
      </c>
      <c r="O71" s="8">
        <f t="shared" si="1"/>
        <v>14</v>
      </c>
      <c r="P71">
        <f ca="1">'Reference dates (hide)'!K56</f>
        <v>1.968503937007874E-2</v>
      </c>
    </row>
    <row r="72" spans="2:16" x14ac:dyDescent="0.25">
      <c r="B72"/>
      <c r="C72"/>
      <c r="D72"/>
      <c r="M72" s="101">
        <f>IF('Reference dates (hide)'!I57&lt;&gt;"",'Reference dates (hide)'!I57,"")</f>
        <v>43927</v>
      </c>
      <c r="N72" s="99">
        <f t="shared" si="0"/>
        <v>2020</v>
      </c>
      <c r="O72" s="8">
        <f t="shared" si="1"/>
        <v>15</v>
      </c>
      <c r="P72">
        <f ca="1">'Reference dates (hide)'!K57</f>
        <v>1.5748031496062992E-2</v>
      </c>
    </row>
    <row r="73" spans="2:16" x14ac:dyDescent="0.25">
      <c r="B73"/>
      <c r="C73"/>
      <c r="D73"/>
      <c r="M73" s="101">
        <f>IF('Reference dates (hide)'!I58&lt;&gt;"",'Reference dates (hide)'!I58,"")</f>
        <v>43934</v>
      </c>
      <c r="N73" s="99">
        <f t="shared" si="0"/>
        <v>2020</v>
      </c>
      <c r="O73" s="8">
        <f t="shared" si="1"/>
        <v>16</v>
      </c>
      <c r="P73">
        <f ca="1">'Reference dates (hide)'!K58</f>
        <v>1.5748031496062992E-2</v>
      </c>
    </row>
    <row r="74" spans="2:16" x14ac:dyDescent="0.25">
      <c r="B74"/>
      <c r="C74"/>
      <c r="D74"/>
      <c r="M74" s="101">
        <f>IF('Reference dates (hide)'!I59&lt;&gt;"",'Reference dates (hide)'!I59,"")</f>
        <v>43941</v>
      </c>
      <c r="N74" s="99">
        <f t="shared" si="0"/>
        <v>2020</v>
      </c>
      <c r="O74" s="8">
        <f t="shared" si="1"/>
        <v>17</v>
      </c>
      <c r="P74">
        <f ca="1">'Reference dates (hide)'!K59</f>
        <v>1.968503937007874E-2</v>
      </c>
    </row>
    <row r="75" spans="2:16" x14ac:dyDescent="0.25">
      <c r="B75"/>
      <c r="C75"/>
      <c r="D75"/>
      <c r="M75" s="101">
        <f>IF('Reference dates (hide)'!I60&lt;&gt;"",'Reference dates (hide)'!I60,"")</f>
        <v>43948</v>
      </c>
      <c r="N75" s="99">
        <f t="shared" si="0"/>
        <v>2020</v>
      </c>
      <c r="O75" s="8">
        <f t="shared" si="1"/>
        <v>18</v>
      </c>
      <c r="P75">
        <f ca="1">'Reference dates (hide)'!K60</f>
        <v>1.968503937007874E-2</v>
      </c>
    </row>
    <row r="76" spans="2:16" x14ac:dyDescent="0.25">
      <c r="B76"/>
      <c r="C76"/>
      <c r="D76"/>
      <c r="M76" s="101">
        <f>IF('Reference dates (hide)'!I61&lt;&gt;"",'Reference dates (hide)'!I61,"")</f>
        <v>43955</v>
      </c>
      <c r="N76" s="99">
        <f t="shared" si="0"/>
        <v>2020</v>
      </c>
      <c r="O76" s="8">
        <f t="shared" si="1"/>
        <v>19</v>
      </c>
      <c r="P76">
        <f ca="1">'Reference dates (hide)'!K61</f>
        <v>1.5748031496062992E-2</v>
      </c>
    </row>
    <row r="77" spans="2:16" x14ac:dyDescent="0.25">
      <c r="B77"/>
      <c r="C77"/>
      <c r="D77"/>
      <c r="M77" s="101">
        <f>IF('Reference dates (hide)'!I62&lt;&gt;"",'Reference dates (hide)'!I62,"")</f>
        <v>43962</v>
      </c>
      <c r="N77" s="99">
        <f t="shared" si="0"/>
        <v>2020</v>
      </c>
      <c r="O77" s="8">
        <f t="shared" si="1"/>
        <v>20</v>
      </c>
      <c r="P77">
        <f ca="1">'Reference dates (hide)'!K62</f>
        <v>1.968503937007874E-2</v>
      </c>
    </row>
    <row r="78" spans="2:16" x14ac:dyDescent="0.25">
      <c r="B78"/>
      <c r="C78"/>
      <c r="D78"/>
      <c r="M78" s="101">
        <f>IF('Reference dates (hide)'!I63&lt;&gt;"",'Reference dates (hide)'!I63,"")</f>
        <v>43969</v>
      </c>
      <c r="N78" s="99">
        <f t="shared" si="0"/>
        <v>2020</v>
      </c>
      <c r="O78" s="8">
        <f t="shared" si="1"/>
        <v>21</v>
      </c>
      <c r="P78">
        <f ca="1">'Reference dates (hide)'!K63</f>
        <v>1.968503937007874E-2</v>
      </c>
    </row>
    <row r="79" spans="2:16" x14ac:dyDescent="0.25">
      <c r="B79"/>
      <c r="C79"/>
      <c r="D79"/>
      <c r="M79" s="101">
        <f>IF('Reference dates (hide)'!I64&lt;&gt;"",'Reference dates (hide)'!I64,"")</f>
        <v>43976</v>
      </c>
      <c r="N79" s="99">
        <f t="shared" si="0"/>
        <v>2020</v>
      </c>
      <c r="O79" s="8">
        <f t="shared" si="1"/>
        <v>22</v>
      </c>
      <c r="P79">
        <f ca="1">'Reference dates (hide)'!K64</f>
        <v>1.5748031496062992E-2</v>
      </c>
    </row>
    <row r="80" spans="2:16" x14ac:dyDescent="0.25">
      <c r="B80"/>
      <c r="C80"/>
      <c r="D80"/>
      <c r="M80" s="101">
        <f>IF('Reference dates (hide)'!I65&lt;&gt;"",'Reference dates (hide)'!I65,"")</f>
        <v>43983</v>
      </c>
      <c r="N80" s="99">
        <f t="shared" si="0"/>
        <v>2020</v>
      </c>
      <c r="O80" s="8">
        <f t="shared" si="1"/>
        <v>23</v>
      </c>
      <c r="P80">
        <f ca="1">'Reference dates (hide)'!K65</f>
        <v>1.968503937007874E-2</v>
      </c>
    </row>
    <row r="81" spans="2:16" x14ac:dyDescent="0.25">
      <c r="B81"/>
      <c r="C81"/>
      <c r="D81"/>
      <c r="M81" s="101">
        <f>IF('Reference dates (hide)'!I66&lt;&gt;"",'Reference dates (hide)'!I66,"")</f>
        <v>43990</v>
      </c>
      <c r="N81" s="99">
        <f t="shared" si="0"/>
        <v>2020</v>
      </c>
      <c r="O81" s="8">
        <f t="shared" si="1"/>
        <v>24</v>
      </c>
      <c r="P81">
        <f ca="1">'Reference dates (hide)'!K66</f>
        <v>1.968503937007874E-2</v>
      </c>
    </row>
    <row r="82" spans="2:16" x14ac:dyDescent="0.25">
      <c r="B82"/>
      <c r="C82"/>
      <c r="D82"/>
      <c r="M82" s="101">
        <f>IF('Reference dates (hide)'!I67&lt;&gt;"",'Reference dates (hide)'!I67,"")</f>
        <v>43997</v>
      </c>
      <c r="N82" s="99">
        <f t="shared" si="0"/>
        <v>2020</v>
      </c>
      <c r="O82" s="8">
        <f t="shared" si="1"/>
        <v>25</v>
      </c>
      <c r="P82">
        <f ca="1">'Reference dates (hide)'!K67</f>
        <v>1.968503937007874E-2</v>
      </c>
    </row>
    <row r="83" spans="2:16" x14ac:dyDescent="0.25">
      <c r="B83"/>
      <c r="C83"/>
      <c r="D83"/>
      <c r="M83" s="101">
        <f>IF('Reference dates (hide)'!I68&lt;&gt;"",'Reference dates (hide)'!I68,"")</f>
        <v>44004</v>
      </c>
      <c r="N83" s="99">
        <f t="shared" si="0"/>
        <v>2020</v>
      </c>
      <c r="O83" s="8">
        <f t="shared" si="1"/>
        <v>26</v>
      </c>
      <c r="P83">
        <f ca="1">'Reference dates (hide)'!K68</f>
        <v>1.968503937007874E-2</v>
      </c>
    </row>
    <row r="84" spans="2:16" x14ac:dyDescent="0.25">
      <c r="B84"/>
      <c r="C84"/>
      <c r="D84"/>
      <c r="M84" s="101">
        <f>IF('Reference dates (hide)'!I69&lt;&gt;"",'Reference dates (hide)'!I69,"")</f>
        <v>44011</v>
      </c>
      <c r="N84" s="99">
        <f t="shared" si="0"/>
        <v>2020</v>
      </c>
      <c r="O84" s="8">
        <f t="shared" si="1"/>
        <v>27</v>
      </c>
      <c r="P84">
        <f ca="1">'Reference dates (hide)'!K69</f>
        <v>1.968503937007874E-2</v>
      </c>
    </row>
    <row r="85" spans="2:16" x14ac:dyDescent="0.25">
      <c r="B85"/>
      <c r="C85"/>
      <c r="D85"/>
      <c r="M85" s="101">
        <f>IF('Reference dates (hide)'!I70&lt;&gt;"",'Reference dates (hide)'!I70,"")</f>
        <v>44018</v>
      </c>
      <c r="N85" s="99">
        <f t="shared" si="0"/>
        <v>2020</v>
      </c>
      <c r="O85" s="8">
        <f t="shared" si="1"/>
        <v>28</v>
      </c>
      <c r="P85">
        <f ca="1">'Reference dates (hide)'!K70</f>
        <v>1.968503937007874E-2</v>
      </c>
    </row>
    <row r="86" spans="2:16" x14ac:dyDescent="0.25">
      <c r="B86"/>
      <c r="C86"/>
      <c r="D86"/>
      <c r="M86" s="101">
        <f>IF('Reference dates (hide)'!I71&lt;&gt;"",'Reference dates (hide)'!I71,"")</f>
        <v>44025</v>
      </c>
      <c r="N86" s="99">
        <f t="shared" si="0"/>
        <v>2020</v>
      </c>
      <c r="O86" s="8">
        <f t="shared" si="1"/>
        <v>29</v>
      </c>
      <c r="P86">
        <f ca="1">'Reference dates (hide)'!K71</f>
        <v>1.968503937007874E-2</v>
      </c>
    </row>
    <row r="87" spans="2:16" x14ac:dyDescent="0.25">
      <c r="B87"/>
      <c r="C87"/>
      <c r="D87"/>
      <c r="M87" s="101">
        <f>IF('Reference dates (hide)'!I72&lt;&gt;"",'Reference dates (hide)'!I72,"")</f>
        <v>44032</v>
      </c>
      <c r="N87" s="99">
        <f t="shared" si="0"/>
        <v>2020</v>
      </c>
      <c r="O87" s="8">
        <f t="shared" si="1"/>
        <v>30</v>
      </c>
      <c r="P87">
        <f ca="1">'Reference dates (hide)'!K72</f>
        <v>1.968503937007874E-2</v>
      </c>
    </row>
    <row r="88" spans="2:16" x14ac:dyDescent="0.25">
      <c r="B88"/>
      <c r="C88"/>
      <c r="D88"/>
      <c r="M88" s="101">
        <f>IF('Reference dates (hide)'!I73&lt;&gt;"",'Reference dates (hide)'!I73,"")</f>
        <v>44039</v>
      </c>
      <c r="N88" s="99">
        <f t="shared" si="0"/>
        <v>2020</v>
      </c>
      <c r="O88" s="8">
        <f t="shared" si="1"/>
        <v>31</v>
      </c>
      <c r="P88">
        <f ca="1">'Reference dates (hide)'!K73</f>
        <v>1.968503937007874E-2</v>
      </c>
    </row>
    <row r="89" spans="2:16" x14ac:dyDescent="0.25">
      <c r="B89"/>
      <c r="C89"/>
      <c r="D89"/>
      <c r="M89" s="101">
        <f>IF('Reference dates (hide)'!I74&lt;&gt;"",'Reference dates (hide)'!I74,"")</f>
        <v>44046</v>
      </c>
      <c r="N89" s="99">
        <f t="shared" si="0"/>
        <v>2020</v>
      </c>
      <c r="O89" s="8">
        <f t="shared" si="1"/>
        <v>32</v>
      </c>
      <c r="P89">
        <f ca="1">'Reference dates (hide)'!K74</f>
        <v>1.968503937007874E-2</v>
      </c>
    </row>
    <row r="90" spans="2:16" x14ac:dyDescent="0.25">
      <c r="B90"/>
      <c r="C90"/>
      <c r="D90"/>
      <c r="M90" s="101">
        <f>IF('Reference dates (hide)'!I75&lt;&gt;"",'Reference dates (hide)'!I75,"")</f>
        <v>44053</v>
      </c>
      <c r="N90" s="99">
        <f t="shared" si="0"/>
        <v>2020</v>
      </c>
      <c r="O90" s="8">
        <f t="shared" si="1"/>
        <v>33</v>
      </c>
      <c r="P90">
        <f ca="1">'Reference dates (hide)'!K75</f>
        <v>1.968503937007874E-2</v>
      </c>
    </row>
    <row r="91" spans="2:16" x14ac:dyDescent="0.25">
      <c r="B91"/>
      <c r="C91"/>
      <c r="D91"/>
      <c r="M91" s="101">
        <f>IF('Reference dates (hide)'!I76&lt;&gt;"",'Reference dates (hide)'!I76,"")</f>
        <v>44060</v>
      </c>
      <c r="N91" s="99">
        <f t="shared" si="0"/>
        <v>2020</v>
      </c>
      <c r="O91" s="8">
        <f t="shared" si="1"/>
        <v>34</v>
      </c>
      <c r="P91">
        <f ca="1">'Reference dates (hide)'!K76</f>
        <v>1.968503937007874E-2</v>
      </c>
    </row>
    <row r="92" spans="2:16" x14ac:dyDescent="0.25">
      <c r="B92"/>
      <c r="C92"/>
      <c r="D92"/>
      <c r="M92" s="101">
        <f>IF('Reference dates (hide)'!I77&lt;&gt;"",'Reference dates (hide)'!I77,"")</f>
        <v>44067</v>
      </c>
      <c r="N92" s="99">
        <f t="shared" si="0"/>
        <v>2020</v>
      </c>
      <c r="O92" s="8">
        <f t="shared" si="1"/>
        <v>35</v>
      </c>
      <c r="P92">
        <f ca="1">'Reference dates (hide)'!K77</f>
        <v>1.968503937007874E-2</v>
      </c>
    </row>
    <row r="93" spans="2:16" x14ac:dyDescent="0.25">
      <c r="B93"/>
      <c r="C93"/>
      <c r="D93"/>
      <c r="M93" s="101">
        <f>IF('Reference dates (hide)'!I78&lt;&gt;"",'Reference dates (hide)'!I78,"")</f>
        <v>44074</v>
      </c>
      <c r="N93" s="99">
        <f t="shared" si="0"/>
        <v>2020</v>
      </c>
      <c r="O93" s="8">
        <f t="shared" si="1"/>
        <v>36</v>
      </c>
      <c r="P93">
        <f ca="1">'Reference dates (hide)'!K78</f>
        <v>1.5748031496062992E-2</v>
      </c>
    </row>
    <row r="94" spans="2:16" x14ac:dyDescent="0.25">
      <c r="B94"/>
      <c r="C94"/>
      <c r="D94"/>
      <c r="M94" s="101">
        <f>IF('Reference dates (hide)'!I79&lt;&gt;"",'Reference dates (hide)'!I79,"")</f>
        <v>44081</v>
      </c>
      <c r="N94" s="99">
        <f t="shared" si="0"/>
        <v>2020</v>
      </c>
      <c r="O94" s="8">
        <f t="shared" si="1"/>
        <v>37</v>
      </c>
      <c r="P94">
        <f ca="1">'Reference dates (hide)'!K79</f>
        <v>1.968503937007874E-2</v>
      </c>
    </row>
    <row r="95" spans="2:16" x14ac:dyDescent="0.25">
      <c r="B95"/>
      <c r="C95"/>
      <c r="D95"/>
      <c r="M95" s="101">
        <f>IF('Reference dates (hide)'!I80&lt;&gt;"",'Reference dates (hide)'!I80,"")</f>
        <v>44088</v>
      </c>
      <c r="N95" s="99">
        <f t="shared" si="0"/>
        <v>2020</v>
      </c>
      <c r="O95" s="8">
        <f t="shared" si="1"/>
        <v>38</v>
      </c>
      <c r="P95">
        <f ca="1">'Reference dates (hide)'!K80</f>
        <v>1.968503937007874E-2</v>
      </c>
    </row>
    <row r="96" spans="2:16" x14ac:dyDescent="0.25">
      <c r="B96"/>
      <c r="C96"/>
      <c r="D96"/>
      <c r="M96" s="101">
        <f>IF('Reference dates (hide)'!I81&lt;&gt;"",'Reference dates (hide)'!I81,"")</f>
        <v>44095</v>
      </c>
      <c r="N96" s="99">
        <f t="shared" si="0"/>
        <v>2020</v>
      </c>
      <c r="O96" s="8">
        <f t="shared" si="1"/>
        <v>39</v>
      </c>
      <c r="P96">
        <f ca="1">'Reference dates (hide)'!K81</f>
        <v>1.968503937007874E-2</v>
      </c>
    </row>
    <row r="97" spans="2:31" x14ac:dyDescent="0.25">
      <c r="B97"/>
      <c r="C97"/>
      <c r="D97"/>
      <c r="M97" s="101">
        <f>IF('Reference dates (hide)'!I82&lt;&gt;"",'Reference dates (hide)'!I82,"")</f>
        <v>44102</v>
      </c>
      <c r="N97" s="99">
        <f t="shared" si="0"/>
        <v>2020</v>
      </c>
      <c r="O97" s="8">
        <f t="shared" si="1"/>
        <v>40</v>
      </c>
      <c r="P97">
        <f ca="1">'Reference dates (hide)'!K82</f>
        <v>1.968503937007874E-2</v>
      </c>
    </row>
    <row r="98" spans="2:31" x14ac:dyDescent="0.25">
      <c r="B98"/>
      <c r="C98"/>
      <c r="D98"/>
      <c r="M98" s="101">
        <f>IF('Reference dates (hide)'!I83&lt;&gt;"",'Reference dates (hide)'!I83,"")</f>
        <v>44109</v>
      </c>
      <c r="N98" s="99">
        <f t="shared" si="0"/>
        <v>2020</v>
      </c>
      <c r="O98" s="8">
        <f t="shared" si="1"/>
        <v>41</v>
      </c>
      <c r="P98">
        <f ca="1">'Reference dates (hide)'!K83</f>
        <v>1.968503937007874E-2</v>
      </c>
    </row>
    <row r="99" spans="2:31" x14ac:dyDescent="0.25">
      <c r="B99"/>
      <c r="C99"/>
      <c r="D99"/>
      <c r="M99" s="101">
        <f>IF('Reference dates (hide)'!I84&lt;&gt;"",'Reference dates (hide)'!I84,"")</f>
        <v>44116</v>
      </c>
      <c r="N99" s="99">
        <f t="shared" si="0"/>
        <v>2020</v>
      </c>
      <c r="O99" s="8">
        <f t="shared" si="1"/>
        <v>42</v>
      </c>
      <c r="P99">
        <f ca="1">'Reference dates (hide)'!K84</f>
        <v>1.968503937007874E-2</v>
      </c>
    </row>
    <row r="100" spans="2:31" x14ac:dyDescent="0.25">
      <c r="B100"/>
      <c r="C100"/>
      <c r="D100"/>
      <c r="M100" s="101">
        <f>IF('Reference dates (hide)'!I85&lt;&gt;"",'Reference dates (hide)'!I85,"")</f>
        <v>44123</v>
      </c>
      <c r="N100" s="99">
        <f t="shared" si="0"/>
        <v>2020</v>
      </c>
      <c r="O100" s="8">
        <f t="shared" si="1"/>
        <v>43</v>
      </c>
      <c r="P100">
        <f ca="1">'Reference dates (hide)'!K85</f>
        <v>1.968503937007874E-2</v>
      </c>
    </row>
    <row r="101" spans="2:31" x14ac:dyDescent="0.25">
      <c r="B101"/>
      <c r="C101"/>
      <c r="D101"/>
      <c r="M101" s="101">
        <f>IF('Reference dates (hide)'!I86&lt;&gt;"",'Reference dates (hide)'!I86,"")</f>
        <v>44130</v>
      </c>
      <c r="N101" s="99">
        <f t="shared" si="0"/>
        <v>2020</v>
      </c>
      <c r="O101" s="8">
        <f t="shared" si="1"/>
        <v>44</v>
      </c>
      <c r="P101">
        <f ca="1">'Reference dates (hide)'!K86</f>
        <v>1.968503937007874E-2</v>
      </c>
    </row>
    <row r="102" spans="2:31" x14ac:dyDescent="0.25">
      <c r="B102"/>
      <c r="C102"/>
      <c r="D102"/>
      <c r="M102" s="101">
        <f>IF('Reference dates (hide)'!I87&lt;&gt;"",'Reference dates (hide)'!I87,"")</f>
        <v>44137</v>
      </c>
      <c r="N102" s="99">
        <f t="shared" si="0"/>
        <v>2020</v>
      </c>
      <c r="O102" s="8">
        <f t="shared" si="1"/>
        <v>45</v>
      </c>
      <c r="P102">
        <f ca="1">'Reference dates (hide)'!K87</f>
        <v>1.968503937007874E-2</v>
      </c>
    </row>
    <row r="103" spans="2:31" x14ac:dyDescent="0.25">
      <c r="B103"/>
      <c r="C103"/>
      <c r="D103"/>
      <c r="M103" s="101">
        <f>IF('Reference dates (hide)'!I88&lt;&gt;"",'Reference dates (hide)'!I88,"")</f>
        <v>44144</v>
      </c>
      <c r="N103" s="99">
        <f t="shared" si="0"/>
        <v>2020</v>
      </c>
      <c r="O103" s="8">
        <f t="shared" si="1"/>
        <v>46</v>
      </c>
      <c r="P103">
        <f ca="1">'Reference dates (hide)'!K88</f>
        <v>1.968503937007874E-2</v>
      </c>
    </row>
    <row r="104" spans="2:31" x14ac:dyDescent="0.25">
      <c r="B104"/>
      <c r="C104"/>
      <c r="D104"/>
      <c r="M104" s="101">
        <f>IF('Reference dates (hide)'!I89&lt;&gt;"",'Reference dates (hide)'!I89,"")</f>
        <v>44151</v>
      </c>
      <c r="N104" s="99">
        <f t="shared" si="0"/>
        <v>2020</v>
      </c>
      <c r="O104" s="8">
        <f t="shared" si="1"/>
        <v>47</v>
      </c>
      <c r="P104">
        <f ca="1">'Reference dates (hide)'!K89</f>
        <v>1.968503937007874E-2</v>
      </c>
    </row>
    <row r="105" spans="2:31" x14ac:dyDescent="0.25">
      <c r="B105"/>
      <c r="C105"/>
      <c r="D105"/>
      <c r="M105" s="101">
        <f>IF('Reference dates (hide)'!I90&lt;&gt;"",'Reference dates (hide)'!I90,"")</f>
        <v>44158</v>
      </c>
      <c r="N105" s="99">
        <f t="shared" si="0"/>
        <v>2020</v>
      </c>
      <c r="O105" s="8">
        <f t="shared" si="1"/>
        <v>48</v>
      </c>
      <c r="P105">
        <f ca="1">'Reference dates (hide)'!K90</f>
        <v>1.968503937007874E-2</v>
      </c>
    </row>
    <row r="106" spans="2:31" x14ac:dyDescent="0.25">
      <c r="B106"/>
      <c r="C106"/>
      <c r="D106"/>
      <c r="M106" s="101">
        <f>IF('Reference dates (hide)'!I91&lt;&gt;"",'Reference dates (hide)'!I91,"")</f>
        <v>44165</v>
      </c>
      <c r="N106" s="99">
        <f t="shared" si="0"/>
        <v>2020</v>
      </c>
      <c r="O106" s="8">
        <f t="shared" si="1"/>
        <v>49</v>
      </c>
      <c r="P106">
        <f ca="1">'Reference dates (hide)'!K91</f>
        <v>1.968503937007874E-2</v>
      </c>
    </row>
    <row r="107" spans="2:31" x14ac:dyDescent="0.25">
      <c r="B107"/>
      <c r="C107"/>
      <c r="D107"/>
      <c r="M107" s="101">
        <f>IF('Reference dates (hide)'!I92&lt;&gt;"",'Reference dates (hide)'!I92,"")</f>
        <v>44172</v>
      </c>
      <c r="N107" s="99">
        <f t="shared" si="0"/>
        <v>2020</v>
      </c>
      <c r="O107" s="8">
        <f t="shared" si="1"/>
        <v>50</v>
      </c>
      <c r="P107">
        <f ca="1">'Reference dates (hide)'!K92</f>
        <v>1.968503937007874E-2</v>
      </c>
    </row>
    <row r="108" spans="2:31" x14ac:dyDescent="0.25">
      <c r="B108"/>
      <c r="C108"/>
      <c r="D108"/>
      <c r="M108" s="101">
        <f>IF('Reference dates (hide)'!I93&lt;&gt;"",'Reference dates (hide)'!I93,"")</f>
        <v>44179</v>
      </c>
      <c r="N108" s="99">
        <f t="shared" si="0"/>
        <v>2020</v>
      </c>
      <c r="O108" s="8">
        <f t="shared" si="1"/>
        <v>51</v>
      </c>
      <c r="P108">
        <f ca="1">'Reference dates (hide)'!K93</f>
        <v>1.968503937007874E-2</v>
      </c>
    </row>
    <row r="109" spans="2:31" x14ac:dyDescent="0.25">
      <c r="B109"/>
      <c r="C109"/>
      <c r="D109"/>
      <c r="M109" s="101">
        <f>IF('Reference dates (hide)'!I94&lt;&gt;"",'Reference dates (hide)'!I94,"")</f>
        <v>44186</v>
      </c>
      <c r="N109" s="99">
        <f t="shared" si="0"/>
        <v>2020</v>
      </c>
      <c r="O109" s="8">
        <f t="shared" si="1"/>
        <v>52</v>
      </c>
      <c r="P109">
        <f ca="1">'Reference dates (hide)'!K94</f>
        <v>1.5748031496062992E-2</v>
      </c>
    </row>
    <row r="110" spans="2:31" x14ac:dyDescent="0.25">
      <c r="B110"/>
      <c r="C110"/>
      <c r="D110"/>
      <c r="M110" s="101">
        <f>IF('Reference dates (hide)'!I95&lt;&gt;"",'Reference dates (hide)'!I95,"")</f>
        <v>44193</v>
      </c>
      <c r="N110" s="99">
        <f t="shared" si="0"/>
        <v>2020</v>
      </c>
      <c r="O110" s="8">
        <f t="shared" si="1"/>
        <v>53</v>
      </c>
      <c r="P110">
        <f ca="1">'Reference dates (hide)'!K95</f>
        <v>1.1811023622047244E-2</v>
      </c>
    </row>
    <row r="111" spans="2:31" x14ac:dyDescent="0.25">
      <c r="M111">
        <f>MAX(T58:AB110)</f>
        <v>0</v>
      </c>
      <c r="Q111">
        <f>MAX(Q58:Q109)/$Q$54</f>
        <v>0</v>
      </c>
      <c r="R111">
        <f>MAX(R58:R109)/IF($R$54=0,1,$Q$54)</f>
        <v>0</v>
      </c>
      <c r="S111">
        <f>MAX(S58:S109)/IF($S$54=0,1,$Q$54)</f>
        <v>0</v>
      </c>
      <c r="Z111">
        <f>MAX(Z58:Z109)/IF($Z$52=0,1,Q$54)</f>
        <v>0</v>
      </c>
      <c r="AA111">
        <f>MAX(AA58:AA109)/IF($Z$52=0,1,R$54)</f>
        <v>0</v>
      </c>
      <c r="AB111">
        <f>MAX(AB58:AB109)/IF($Z$52=0,1,S$54)</f>
        <v>0</v>
      </c>
      <c r="AC111">
        <f>MAX(AC58:AC109)/IF($Z$52=0,1,Q$54)</f>
        <v>0</v>
      </c>
      <c r="AD111">
        <f>MAX(AD58:AD109)/IF($Z$52=0,1,R$54)</f>
        <v>0</v>
      </c>
      <c r="AE111">
        <f>MAX(AE58:AE109)/IF($Z$52=0,1,S$54)</f>
        <v>0</v>
      </c>
    </row>
    <row r="118" spans="26:26" x14ac:dyDescent="0.25">
      <c r="Z118" s="121"/>
    </row>
    <row r="119" spans="26:26" x14ac:dyDescent="0.25">
      <c r="Z119" s="121"/>
    </row>
  </sheetData>
  <pageMargins left="0.7" right="0.7" top="0.75" bottom="0.75" header="0.3" footer="0.3"/>
  <legacy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2"/>
  <dimension ref="A1:AN119"/>
  <sheetViews>
    <sheetView workbookViewId="0">
      <selection activeCell="AK59" sqref="AK59"/>
    </sheetView>
  </sheetViews>
  <sheetFormatPr defaultRowHeight="13.8" x14ac:dyDescent="0.25"/>
  <cols>
    <col min="1" max="1" width="27.69921875" bestFit="1" customWidth="1"/>
    <col min="2" max="2" width="16.8984375" style="6" customWidth="1"/>
    <col min="3" max="3" width="12.09765625" style="6" bestFit="1" customWidth="1"/>
    <col min="4" max="4" width="16.09765625" style="7" bestFit="1" customWidth="1"/>
    <col min="11" max="11" width="10.8984375" bestFit="1" customWidth="1"/>
    <col min="13" max="13" width="16.69921875" bestFit="1" customWidth="1"/>
    <col min="17" max="17" width="6.8984375" customWidth="1"/>
    <col min="26" max="26" width="11.8984375" bestFit="1" customWidth="1"/>
  </cols>
  <sheetData>
    <row r="1" spans="1:19" x14ac:dyDescent="0.25">
      <c r="A1" t="s">
        <v>1068</v>
      </c>
      <c r="B1" s="6" t="s">
        <v>931</v>
      </c>
      <c r="C1" s="6" t="b">
        <f>ISERR(SUM(B25:M49))</f>
        <v>0</v>
      </c>
    </row>
    <row r="2" spans="1:19" x14ac:dyDescent="0.25">
      <c r="A2" t="s">
        <v>932</v>
      </c>
      <c r="B2"/>
    </row>
    <row r="3" spans="1:19" x14ac:dyDescent="0.25">
      <c r="B3" s="6" t="s">
        <v>933</v>
      </c>
      <c r="F3" t="s">
        <v>934</v>
      </c>
      <c r="J3" t="s">
        <v>935</v>
      </c>
    </row>
    <row r="4" spans="1:19" x14ac:dyDescent="0.25">
      <c r="B4" s="6" t="s">
        <v>936</v>
      </c>
      <c r="C4" s="6" t="s">
        <v>937</v>
      </c>
      <c r="D4" s="7" t="s">
        <v>1208</v>
      </c>
      <c r="F4" s="6" t="s">
        <v>936</v>
      </c>
      <c r="G4" s="6" t="s">
        <v>937</v>
      </c>
      <c r="H4" s="7" t="s">
        <v>1024</v>
      </c>
      <c r="J4" s="6" t="s">
        <v>936</v>
      </c>
      <c r="K4" s="6" t="s">
        <v>937</v>
      </c>
      <c r="L4" s="7" t="s">
        <v>1024</v>
      </c>
    </row>
    <row r="5" spans="1:19" x14ac:dyDescent="0.25">
      <c r="A5" t="s">
        <v>5</v>
      </c>
      <c r="B5" s="8"/>
      <c r="C5" s="6">
        <f>B5*52</f>
        <v>0</v>
      </c>
      <c r="D5" s="7">
        <f>IF($B$20=1,C5/$B$21,C5)</f>
        <v>0</v>
      </c>
      <c r="G5">
        <f>F5*$D5</f>
        <v>0</v>
      </c>
      <c r="H5">
        <f>G5/52</f>
        <v>0</v>
      </c>
      <c r="K5">
        <f>J5*D5</f>
        <v>0</v>
      </c>
      <c r="L5">
        <f>K5/52</f>
        <v>0</v>
      </c>
    </row>
    <row r="6" spans="1:19" x14ac:dyDescent="0.25">
      <c r="A6" t="s">
        <v>1209</v>
      </c>
      <c r="B6" s="8"/>
      <c r="D6" s="7">
        <f>IF($B$20=1,B6/$B$21,B6)</f>
        <v>0</v>
      </c>
      <c r="G6">
        <f>F6*52</f>
        <v>0</v>
      </c>
      <c r="H6">
        <f>F6</f>
        <v>0</v>
      </c>
      <c r="K6">
        <f>J6*52</f>
        <v>0</v>
      </c>
      <c r="L6">
        <f>J6</f>
        <v>0</v>
      </c>
    </row>
    <row r="7" spans="1:19" x14ac:dyDescent="0.25">
      <c r="A7" t="s">
        <v>1210</v>
      </c>
      <c r="B7" s="8"/>
      <c r="D7" s="7">
        <f>IF($B$20=1,B7/$B$21,B7)</f>
        <v>0</v>
      </c>
    </row>
    <row r="8" spans="1:19" x14ac:dyDescent="0.25">
      <c r="A8" t="s">
        <v>9</v>
      </c>
      <c r="B8"/>
    </row>
    <row r="9" spans="1:19" x14ac:dyDescent="0.25">
      <c r="A9" t="s">
        <v>964</v>
      </c>
      <c r="B9"/>
    </row>
    <row r="10" spans="1:19" x14ac:dyDescent="0.25">
      <c r="A10" t="s">
        <v>940</v>
      </c>
      <c r="B10"/>
      <c r="C10" s="6">
        <f xml:space="preserve"> NASR*NASRDC</f>
        <v>0</v>
      </c>
      <c r="G10">
        <f xml:space="preserve"> FU_NASR*FU_NASRDC</f>
        <v>0</v>
      </c>
      <c r="K10">
        <f xml:space="preserve"> IP_NASR*IP_NASRDC</f>
        <v>0</v>
      </c>
    </row>
    <row r="11" spans="1:19" x14ac:dyDescent="0.25">
      <c r="A11" t="s">
        <v>965</v>
      </c>
      <c r="B11"/>
    </row>
    <row r="12" spans="1:19" x14ac:dyDescent="0.25">
      <c r="A12" t="s">
        <v>859</v>
      </c>
      <c r="B12"/>
    </row>
    <row r="13" spans="1:19" x14ac:dyDescent="0.25">
      <c r="A13" t="s">
        <v>941</v>
      </c>
      <c r="B13" s="8"/>
      <c r="D13" s="7">
        <f>IF($B$20=1,B13/$B$21,B13)</f>
        <v>0</v>
      </c>
      <c r="G13">
        <f>F13*52</f>
        <v>0</v>
      </c>
      <c r="H13" s="7">
        <f>IF($B$20=1,F13/$B$21,F13)</f>
        <v>0</v>
      </c>
      <c r="K13">
        <f>J13*52</f>
        <v>0</v>
      </c>
      <c r="L13" s="7">
        <f>IF($B$20=1,J13/$B$21,J13)</f>
        <v>0</v>
      </c>
    </row>
    <row r="14" spans="1:19" x14ac:dyDescent="0.25">
      <c r="A14" t="s">
        <v>1275</v>
      </c>
      <c r="B14" s="8"/>
      <c r="H14" s="7"/>
      <c r="L14" s="7"/>
    </row>
    <row r="15" spans="1:19" x14ac:dyDescent="0.25">
      <c r="A15" t="s">
        <v>1278</v>
      </c>
      <c r="B15"/>
      <c r="D15" s="7">
        <f>IF($B$20=1,B15/$B$21,B15)</f>
        <v>0</v>
      </c>
      <c r="H15" s="7">
        <f>IF($B$20=1,F15/$B$21,F15)</f>
        <v>0</v>
      </c>
      <c r="L15" s="7">
        <f>IF($B$20=1,J15/$B$21,J15)</f>
        <v>0</v>
      </c>
    </row>
    <row r="16" spans="1:19" x14ac:dyDescent="0.25">
      <c r="A16" t="s">
        <v>861</v>
      </c>
      <c r="B16" s="8"/>
      <c r="D16" s="7">
        <f>IF($B$20=1,B16/$B$21,B16)</f>
        <v>0</v>
      </c>
      <c r="H16" s="7">
        <f>IF($B$20=1,F16/$B$21,F16)</f>
        <v>0</v>
      </c>
      <c r="L16" s="7">
        <f>IF($B$20=1,J16/$B$21,J16)</f>
        <v>0</v>
      </c>
      <c r="S16" t="s">
        <v>1213</v>
      </c>
    </row>
    <row r="17" spans="1:20" x14ac:dyDescent="0.25">
      <c r="A17" t="s">
        <v>7</v>
      </c>
      <c r="B17" s="8"/>
      <c r="D17" s="7">
        <f>IF($B$20=1,B17/$B$21,B17)</f>
        <v>0</v>
      </c>
      <c r="H17" s="7">
        <f>IF($B$20=1,F17/$B$21,F17)</f>
        <v>0</v>
      </c>
      <c r="L17" s="7">
        <f>IF($B$20=1,J17/$B$21,J17)</f>
        <v>0</v>
      </c>
      <c r="S17" t="s">
        <v>1159</v>
      </c>
    </row>
    <row r="18" spans="1:20" x14ac:dyDescent="0.25">
      <c r="A18" t="s">
        <v>1081</v>
      </c>
      <c r="B18"/>
      <c r="S18" t="s">
        <v>1187</v>
      </c>
    </row>
    <row r="19" spans="1:20" x14ac:dyDescent="0.25">
      <c r="A19" t="s">
        <v>863</v>
      </c>
      <c r="B19"/>
      <c r="S19" t="s">
        <v>1214</v>
      </c>
      <c r="T19" t="s">
        <v>1215</v>
      </c>
    </row>
    <row r="20" spans="1:20" x14ac:dyDescent="0.25">
      <c r="A20" t="s">
        <v>942</v>
      </c>
      <c r="B20"/>
      <c r="R20" t="s">
        <v>947</v>
      </c>
      <c r="S20" t="s">
        <v>984</v>
      </c>
      <c r="T20" t="s">
        <v>1216</v>
      </c>
    </row>
    <row r="21" spans="1:20" x14ac:dyDescent="0.25">
      <c r="A21" t="s">
        <v>943</v>
      </c>
      <c r="B21">
        <v>1</v>
      </c>
      <c r="D21" s="12"/>
      <c r="S21" t="s">
        <v>985</v>
      </c>
      <c r="T21" t="s">
        <v>1216</v>
      </c>
    </row>
    <row r="22" spans="1:20" x14ac:dyDescent="0.25">
      <c r="H22">
        <f>F22*$D$5</f>
        <v>0</v>
      </c>
      <c r="L22">
        <f>J22*$D$5</f>
        <v>0</v>
      </c>
      <c r="S22" t="s">
        <v>1217</v>
      </c>
      <c r="T22" t="s">
        <v>1218</v>
      </c>
    </row>
    <row r="23" spans="1:20" x14ac:dyDescent="0.25">
      <c r="S23" t="s">
        <v>1219</v>
      </c>
      <c r="T23" t="s">
        <v>1218</v>
      </c>
    </row>
    <row r="24" spans="1:20" x14ac:dyDescent="0.25">
      <c r="D24" s="7" t="s">
        <v>1023</v>
      </c>
      <c r="F24" t="s">
        <v>901</v>
      </c>
      <c r="G24" t="s">
        <v>1022</v>
      </c>
      <c r="H24" s="7" t="s">
        <v>1023</v>
      </c>
      <c r="J24" t="s">
        <v>901</v>
      </c>
      <c r="K24" t="s">
        <v>1022</v>
      </c>
      <c r="L24" s="7" t="s">
        <v>1023</v>
      </c>
      <c r="R24" t="s">
        <v>941</v>
      </c>
      <c r="S24" t="s">
        <v>25</v>
      </c>
      <c r="T24" t="s">
        <v>1218</v>
      </c>
    </row>
    <row r="25" spans="1:20" x14ac:dyDescent="0.25">
      <c r="A25" t="s">
        <v>944</v>
      </c>
      <c r="B25" s="6">
        <f>IF(B17-B16&lt;0,0,B17-B16)</f>
        <v>0</v>
      </c>
      <c r="D25" s="6">
        <f>IF(D17-D16&lt;0,0,D17-D16)</f>
        <v>0</v>
      </c>
      <c r="F25" s="8">
        <f>F5*B25</f>
        <v>0</v>
      </c>
      <c r="G25" s="8">
        <v>0</v>
      </c>
      <c r="H25" s="8"/>
      <c r="I25" s="8"/>
      <c r="J25" s="8">
        <f>(J5*B25)+IF(J17-J16&lt;=0,0,J17-J16)</f>
        <v>0</v>
      </c>
      <c r="K25" s="8">
        <f>IF(J17-J16&lt;=0,0,J17-J16)</f>
        <v>0</v>
      </c>
      <c r="L25" s="8"/>
      <c r="S25" t="s">
        <v>1220</v>
      </c>
      <c r="T25" t="s">
        <v>1218</v>
      </c>
    </row>
    <row r="26" spans="1:20" x14ac:dyDescent="0.25">
      <c r="A26" t="s">
        <v>945</v>
      </c>
      <c r="B26" s="9">
        <f>(1-NASLDC)*NASL</f>
        <v>0</v>
      </c>
      <c r="D26" s="11"/>
      <c r="F26" s="8">
        <f>FU_NASL*(1-FU_NASLDC)</f>
        <v>0</v>
      </c>
      <c r="G26" s="8"/>
      <c r="H26" s="8"/>
      <c r="I26" s="8"/>
      <c r="J26" s="8">
        <f>IP_NASL*(1-IP_NASLDC)</f>
        <v>0</v>
      </c>
      <c r="K26" s="8"/>
      <c r="L26" s="8"/>
      <c r="R26" t="s">
        <v>1221</v>
      </c>
      <c r="S26" t="s">
        <v>25</v>
      </c>
      <c r="T26" t="s">
        <v>1218</v>
      </c>
    </row>
    <row r="27" spans="1:20" x14ac:dyDescent="0.25">
      <c r="A27" t="s">
        <v>946</v>
      </c>
      <c r="B27" s="6">
        <f>NASR*(1-NASRDC)</f>
        <v>0</v>
      </c>
      <c r="D27" s="11"/>
      <c r="F27" s="8">
        <f>FU_NASR*(1-FU_NASRDC)</f>
        <v>0</v>
      </c>
      <c r="G27" s="8"/>
      <c r="H27" s="8"/>
      <c r="I27" s="8"/>
      <c r="J27" s="8">
        <f>IP_NASR*(1-IP_NASRDC)</f>
        <v>0</v>
      </c>
      <c r="K27" s="8"/>
      <c r="L27" s="8"/>
      <c r="S27" t="s">
        <v>1220</v>
      </c>
      <c r="T27" t="s">
        <v>1218</v>
      </c>
    </row>
    <row r="28" spans="1:20" x14ac:dyDescent="0.25">
      <c r="D28" s="11"/>
      <c r="F28" s="8"/>
      <c r="G28" s="8"/>
      <c r="H28" s="8"/>
      <c r="I28" s="8"/>
      <c r="J28" s="8"/>
      <c r="K28" s="8"/>
      <c r="L28" s="8"/>
      <c r="R28" t="s">
        <v>1093</v>
      </c>
      <c r="S28" t="s">
        <v>984</v>
      </c>
      <c r="T28" t="s">
        <v>1216</v>
      </c>
    </row>
    <row r="29" spans="1:20" ht="14.4" x14ac:dyDescent="0.3">
      <c r="A29" s="10" t="s">
        <v>947</v>
      </c>
      <c r="D29" s="12"/>
      <c r="F29" s="8"/>
      <c r="G29" s="8"/>
      <c r="H29" s="8"/>
      <c r="I29" s="8"/>
      <c r="J29" s="8"/>
      <c r="K29" s="8"/>
      <c r="L29" s="8"/>
      <c r="S29" t="s">
        <v>985</v>
      </c>
      <c r="T29" t="s">
        <v>1216</v>
      </c>
    </row>
    <row r="30" spans="1:20" x14ac:dyDescent="0.25">
      <c r="A30" t="s">
        <v>948</v>
      </c>
      <c r="B30" s="6">
        <f>B5*(NASL+NASR+ROTT)</f>
        <v>0</v>
      </c>
      <c r="F30" s="8">
        <f>H5*(F8+F10+F18)</f>
        <v>0</v>
      </c>
      <c r="G30" s="8"/>
      <c r="H30" s="8"/>
      <c r="I30" s="8"/>
      <c r="J30" s="8">
        <f>L5*(J8+J10+J18)</f>
        <v>0</v>
      </c>
      <c r="K30" s="8"/>
      <c r="L30" s="8"/>
    </row>
    <row r="31" spans="1:20" x14ac:dyDescent="0.25">
      <c r="A31" t="s">
        <v>949</v>
      </c>
      <c r="B31" s="6">
        <f>B5*(B26+B27)</f>
        <v>0</v>
      </c>
      <c r="F31" s="8">
        <f>H5*(F26+F27)</f>
        <v>0</v>
      </c>
      <c r="G31" s="8"/>
      <c r="H31" s="8"/>
      <c r="I31" s="8"/>
      <c r="J31" s="8">
        <f>L5*(J26+J27)</f>
        <v>0</v>
      </c>
      <c r="K31" s="8"/>
      <c r="L31" s="8"/>
      <c r="R31" t="s">
        <v>941</v>
      </c>
      <c r="S31" t="s">
        <v>25</v>
      </c>
      <c r="T31" t="s">
        <v>1218</v>
      </c>
    </row>
    <row r="32" spans="1:20" x14ac:dyDescent="0.25">
      <c r="F32" s="8"/>
      <c r="G32" s="8"/>
      <c r="H32" s="8"/>
      <c r="I32" s="8"/>
      <c r="J32" s="8"/>
      <c r="K32" s="8"/>
      <c r="L32" s="8"/>
      <c r="S32" t="s">
        <v>1220</v>
      </c>
      <c r="T32" t="s">
        <v>1218</v>
      </c>
    </row>
    <row r="33" spans="1:20" x14ac:dyDescent="0.25">
      <c r="A33" t="s">
        <v>950</v>
      </c>
      <c r="B33" s="6">
        <f>B31-B30+B5</f>
        <v>0</v>
      </c>
      <c r="C33" s="6">
        <f>B33*52</f>
        <v>0</v>
      </c>
      <c r="D33" s="7">
        <f>IF($B$20=1,C33/$B$21,C33)</f>
        <v>0</v>
      </c>
      <c r="F33" s="8">
        <f>(F31-F30+H5)/52</f>
        <v>0</v>
      </c>
      <c r="G33" s="8"/>
      <c r="H33" s="8">
        <f>(F31-F30+H5)*52</f>
        <v>0</v>
      </c>
      <c r="I33" s="8"/>
      <c r="J33" s="8">
        <f>(J31-J30+L5)/52</f>
        <v>0</v>
      </c>
      <c r="K33" s="8"/>
      <c r="L33" s="8">
        <f>(J31-J30+L5)*52</f>
        <v>0</v>
      </c>
      <c r="R33" t="s">
        <v>1221</v>
      </c>
      <c r="S33" t="s">
        <v>25</v>
      </c>
      <c r="T33" t="s">
        <v>1218</v>
      </c>
    </row>
    <row r="34" spans="1:20" x14ac:dyDescent="0.25">
      <c r="F34" s="8"/>
      <c r="G34" s="8"/>
      <c r="H34" s="8"/>
      <c r="I34" s="8"/>
      <c r="J34" s="8"/>
      <c r="K34" s="8"/>
      <c r="L34" s="8"/>
      <c r="S34" t="s">
        <v>1220</v>
      </c>
      <c r="T34" t="s">
        <v>1218</v>
      </c>
    </row>
    <row r="35" spans="1:20" x14ac:dyDescent="0.25">
      <c r="F35" s="8"/>
      <c r="G35" s="8"/>
      <c r="H35" s="8"/>
      <c r="I35" s="8"/>
      <c r="J35" s="8"/>
      <c r="K35" s="8"/>
      <c r="L35" s="8"/>
      <c r="R35" t="s">
        <v>1093</v>
      </c>
      <c r="S35" t="s">
        <v>984</v>
      </c>
      <c r="T35" t="s">
        <v>1218</v>
      </c>
    </row>
    <row r="36" spans="1:20" ht="14.4" x14ac:dyDescent="0.3">
      <c r="A36" s="10" t="s">
        <v>951</v>
      </c>
      <c r="F36" s="8"/>
      <c r="G36" s="8"/>
      <c r="H36" s="8"/>
      <c r="I36" s="8"/>
      <c r="J36" s="8"/>
      <c r="K36" s="8"/>
      <c r="L36" s="8"/>
      <c r="S36" t="s">
        <v>985</v>
      </c>
      <c r="T36" t="s">
        <v>1218</v>
      </c>
    </row>
    <row r="37" spans="1:20" x14ac:dyDescent="0.25">
      <c r="A37" t="s">
        <v>948</v>
      </c>
      <c r="B37" s="6">
        <f>B13*(B8+B10+B18)</f>
        <v>0</v>
      </c>
      <c r="F37" s="8">
        <f>F13*(F8+F10)</f>
        <v>0</v>
      </c>
      <c r="G37" s="8"/>
      <c r="H37" s="8"/>
      <c r="I37" s="8"/>
      <c r="J37" s="8">
        <f>J13*(J8+J10)</f>
        <v>0</v>
      </c>
      <c r="K37" s="8"/>
      <c r="L37" s="8"/>
      <c r="S37" t="s">
        <v>1222</v>
      </c>
      <c r="T37" t="s">
        <v>1218</v>
      </c>
    </row>
    <row r="38" spans="1:20" x14ac:dyDescent="0.25">
      <c r="A38" t="s">
        <v>949</v>
      </c>
      <c r="B38" s="6">
        <f>B13*(B26+B27)</f>
        <v>0</v>
      </c>
      <c r="F38" s="8">
        <f>F13*(F26+F27)</f>
        <v>0</v>
      </c>
      <c r="G38" s="8"/>
      <c r="H38" s="8"/>
      <c r="I38" s="8"/>
      <c r="J38" s="8">
        <f>J13*(J26+J27)</f>
        <v>0</v>
      </c>
      <c r="K38" s="8"/>
      <c r="L38" s="8"/>
    </row>
    <row r="39" spans="1:20" x14ac:dyDescent="0.25">
      <c r="F39" s="8"/>
      <c r="G39" s="8"/>
      <c r="H39" s="8"/>
      <c r="I39" s="8"/>
      <c r="J39" s="8"/>
      <c r="K39" s="8"/>
      <c r="L39" s="8"/>
      <c r="R39" t="s">
        <v>1203</v>
      </c>
      <c r="T39" t="s">
        <v>1218</v>
      </c>
    </row>
    <row r="40" spans="1:20" x14ac:dyDescent="0.25">
      <c r="A40" t="s">
        <v>952</v>
      </c>
      <c r="B40" s="6">
        <f>B13+B38-B37</f>
        <v>0</v>
      </c>
      <c r="C40" s="6">
        <f>B40*52</f>
        <v>0</v>
      </c>
      <c r="D40" s="7">
        <f>IF($B$20=1,C40/$B$21,C40)</f>
        <v>0</v>
      </c>
      <c r="F40" s="8">
        <f>F13+F38-F37</f>
        <v>0</v>
      </c>
      <c r="G40" s="8"/>
      <c r="H40" s="8">
        <f>F40*52</f>
        <v>0</v>
      </c>
      <c r="I40" s="8"/>
      <c r="J40" s="8">
        <f>J13+J38-J37</f>
        <v>0</v>
      </c>
      <c r="K40" s="8"/>
      <c r="L40" s="8">
        <f>J40*52</f>
        <v>0</v>
      </c>
    </row>
    <row r="41" spans="1:20" x14ac:dyDescent="0.25">
      <c r="F41" s="8"/>
      <c r="G41" s="8"/>
      <c r="H41" s="8"/>
      <c r="I41" s="8"/>
      <c r="J41" s="8"/>
      <c r="K41" s="8"/>
      <c r="L41" s="8"/>
    </row>
    <row r="42" spans="1:20" x14ac:dyDescent="0.25">
      <c r="F42" s="8"/>
      <c r="G42" s="8"/>
      <c r="H42" s="8"/>
      <c r="I42" s="8"/>
      <c r="J42" s="8"/>
      <c r="K42" s="8"/>
      <c r="L42" s="8"/>
    </row>
    <row r="43" spans="1:20" ht="14.4" x14ac:dyDescent="0.3">
      <c r="A43" s="10" t="s">
        <v>953</v>
      </c>
      <c r="F43" s="8"/>
      <c r="G43" s="8"/>
      <c r="H43" s="8"/>
      <c r="I43" s="8"/>
      <c r="J43" s="8"/>
      <c r="K43" s="8"/>
      <c r="L43" s="8"/>
    </row>
    <row r="44" spans="1:20" x14ac:dyDescent="0.25">
      <c r="A44" t="s">
        <v>954</v>
      </c>
      <c r="F44" s="8"/>
      <c r="G44" s="8"/>
      <c r="H44" s="8"/>
      <c r="I44" s="8"/>
      <c r="J44" s="8"/>
      <c r="K44" s="8"/>
      <c r="L44" s="8"/>
    </row>
    <row r="45" spans="1:20" x14ac:dyDescent="0.25">
      <c r="F45" s="8"/>
      <c r="G45" s="8"/>
      <c r="H45" s="8"/>
      <c r="I45" s="8"/>
      <c r="J45" s="8"/>
      <c r="K45" s="8"/>
      <c r="L45" s="8"/>
    </row>
    <row r="46" spans="1:20" x14ac:dyDescent="0.25">
      <c r="A46" t="s">
        <v>948</v>
      </c>
      <c r="B46" s="6">
        <f>B25*(B8+B10+B18)</f>
        <v>0</v>
      </c>
      <c r="F46" s="8">
        <f>F25*(F8+F10)</f>
        <v>0</v>
      </c>
      <c r="G46" s="8"/>
      <c r="H46" s="8"/>
      <c r="I46" s="8"/>
      <c r="J46" s="8">
        <f>J25*(J8+J10)</f>
        <v>0</v>
      </c>
      <c r="K46" s="8"/>
      <c r="L46" s="8"/>
    </row>
    <row r="47" spans="1:20" x14ac:dyDescent="0.25">
      <c r="A47" t="s">
        <v>949</v>
      </c>
      <c r="B47" s="6">
        <f>B25*(B26+B27)</f>
        <v>0</v>
      </c>
      <c r="F47" s="8">
        <f>F25*(F26+F27)</f>
        <v>0</v>
      </c>
      <c r="G47" s="8"/>
      <c r="H47" s="8"/>
      <c r="I47" s="8"/>
      <c r="J47" s="8">
        <f>J25*(J26+J27)</f>
        <v>0</v>
      </c>
      <c r="K47" s="8"/>
      <c r="L47" s="8"/>
    </row>
    <row r="48" spans="1:20" x14ac:dyDescent="0.25">
      <c r="F48" s="8" t="s">
        <v>901</v>
      </c>
      <c r="G48" s="8"/>
      <c r="H48" s="8"/>
      <c r="I48" s="8"/>
      <c r="J48" s="8" t="s">
        <v>901</v>
      </c>
      <c r="K48" s="8"/>
      <c r="L48" s="8"/>
    </row>
    <row r="49" spans="1:40" x14ac:dyDescent="0.25">
      <c r="A49" t="s">
        <v>955</v>
      </c>
      <c r="B49" s="6">
        <f>B25+B47-B46</f>
        <v>0</v>
      </c>
      <c r="C49" s="6">
        <f>B49</f>
        <v>0</v>
      </c>
      <c r="D49" s="7">
        <f>IF($B$20=1,C49/$B$21,C49)</f>
        <v>0</v>
      </c>
      <c r="F49" s="8">
        <f>F25+F47-F46</f>
        <v>0</v>
      </c>
      <c r="G49" s="8">
        <f>F49</f>
        <v>0</v>
      </c>
      <c r="H49" s="8">
        <f>IF($F$20=1,G49/$F$21,G49)</f>
        <v>0</v>
      </c>
      <c r="I49" s="8"/>
      <c r="J49" s="8">
        <f>J25+J47-J46</f>
        <v>0</v>
      </c>
      <c r="K49" s="8">
        <f>J49</f>
        <v>0</v>
      </c>
      <c r="L49" s="8">
        <f>IF($J$20=1,K49/$J$21,K49)</f>
        <v>0</v>
      </c>
    </row>
    <row r="50" spans="1:40" x14ac:dyDescent="0.25">
      <c r="F50" t="s">
        <v>1022</v>
      </c>
      <c r="J50" t="s">
        <v>1022</v>
      </c>
    </row>
    <row r="51" spans="1:40" x14ac:dyDescent="0.25">
      <c r="F51">
        <v>0</v>
      </c>
      <c r="H51">
        <v>0</v>
      </c>
      <c r="J51">
        <f>K25*(1+(J8*(1-J9))-(J8+J10+J18)+(J10*(1-J11)))</f>
        <v>0</v>
      </c>
      <c r="K51">
        <f>J51</f>
        <v>0</v>
      </c>
      <c r="L51" s="8">
        <f>IF($J$20=1,K51/$J$21,K51)</f>
        <v>0</v>
      </c>
    </row>
    <row r="52" spans="1:40" x14ac:dyDescent="0.25">
      <c r="A52" s="1" t="s">
        <v>956</v>
      </c>
      <c r="M52" t="s">
        <v>1016</v>
      </c>
      <c r="Z52">
        <f>1-(NASL*NASLDC)</f>
        <v>1</v>
      </c>
    </row>
    <row r="53" spans="1:40" x14ac:dyDescent="0.25">
      <c r="A53" t="s">
        <v>1141</v>
      </c>
      <c r="B53" s="92" t="s">
        <v>1142</v>
      </c>
    </row>
    <row r="54" spans="1:40" x14ac:dyDescent="0.25">
      <c r="M54" t="s">
        <v>1207</v>
      </c>
      <c r="Q54">
        <f>(1-ROTT)*(1-(NASR*NASRDC) - (NASL*NASLDC))</f>
        <v>1</v>
      </c>
      <c r="R54">
        <f>(1-FU_ROTT)*(1-(FU_NASR*FU_NASRDC) - (FU_NASL*FU_NASLDC))</f>
        <v>1</v>
      </c>
      <c r="S54">
        <f>(1-IP_ROTT)*(1-(IP_NASR*IP_NASRDC) - (IP_NASL*IP_NASLDC))</f>
        <v>1</v>
      </c>
      <c r="Z54">
        <f>1-(NASL*NASLDC)</f>
        <v>1</v>
      </c>
      <c r="AA54">
        <f>1-(FU_NASL*FU_NASLDC)</f>
        <v>1</v>
      </c>
      <c r="AB54">
        <f>1-(IP_NASL*IP_NASLDC)</f>
        <v>1</v>
      </c>
    </row>
    <row r="55" spans="1:40" x14ac:dyDescent="0.25">
      <c r="A55" t="s">
        <v>1143</v>
      </c>
      <c r="B55" s="100">
        <f>'Reference dates (hide)'!B40</f>
        <v>43831</v>
      </c>
      <c r="C55" s="6" t="s">
        <v>1150</v>
      </c>
      <c r="G55" s="7"/>
      <c r="Q55" s="116" t="str">
        <f ca="1">IF(OFFSET('Control Sheet'!E$45,MID($A$1,6,LEN($A$1)-6),0,1,1)=0,"",OFFSET('Control Sheet'!E$45,MID($A$1,6,LEN($A$1)-6),0,1,1))</f>
        <v/>
      </c>
      <c r="R55" s="116" t="str">
        <f ca="1">IF(OFFSET('Control Sheet'!F$45,MID($A$1,6,LEN($A$1)-6),0,1,1)=0,"",OFFSET('Control Sheet'!F$45,MID($A$1,6,LEN($A$1)-6),0,1,1))</f>
        <v/>
      </c>
      <c r="S55" s="116" t="str">
        <f ca="1">IF(OFFSET('Control Sheet'!G$45,MID($A$1,6,LEN($A$1)-6),0,1,1)=0,"",OFFSET('Control Sheet'!G$45,MID($A$1,6,LEN($A$1)-6),0,1,1))</f>
        <v/>
      </c>
      <c r="T55" s="118" t="str">
        <f ca="1">IF(OFFSET('Control Sheet'!I$45,MID($A$1,6,LEN($A$1)-6),0,1,1)="0","",OFFSET('Control Sheet'!I$45,MID($A$1,6,LEN($A$1)-6),0,1,1))</f>
        <v/>
      </c>
      <c r="U55" s="118" t="str">
        <f ca="1">IF(OFFSET('Control Sheet'!J$45,MID($A$1,6,LEN($A$1)-6),0,1,1)=0,"",OFFSET('Control Sheet'!J$45,MID($A$1,6,LEN($A$1)-6),0,1,1))</f>
        <v/>
      </c>
      <c r="V55" s="118" t="str">
        <f ca="1">IF(OFFSET('Control Sheet'!K$45,MID($A$1,6,LEN($A$1)-6),0,1,1)=0,"",OFFSET('Control Sheet'!K$45,MID($A$1,6,LEN($A$1)-6),0,1,1))</f>
        <v/>
      </c>
    </row>
    <row r="56" spans="1:40" ht="14.4" x14ac:dyDescent="0.3">
      <c r="A56" t="s">
        <v>1202</v>
      </c>
      <c r="C56" s="6" t="s">
        <v>1204</v>
      </c>
      <c r="D56" s="6"/>
      <c r="E56" s="7"/>
      <c r="F56" t="s">
        <v>860</v>
      </c>
      <c r="N56" s="6"/>
      <c r="O56" s="6"/>
      <c r="P56" s="7"/>
      <c r="Q56" s="93" t="s">
        <v>1236</v>
      </c>
      <c r="R56" s="6"/>
      <c r="T56" s="107" t="s">
        <v>1093</v>
      </c>
      <c r="Z56" s="93" t="s">
        <v>1212</v>
      </c>
      <c r="AC56" s="108" t="s">
        <v>1276</v>
      </c>
      <c r="AF56" s="1" t="s">
        <v>1306</v>
      </c>
      <c r="AI56" t="s">
        <v>1275</v>
      </c>
      <c r="AL56" t="s">
        <v>1312</v>
      </c>
    </row>
    <row r="57" spans="1:40" x14ac:dyDescent="0.25">
      <c r="A57" s="1" t="s">
        <v>1144</v>
      </c>
      <c r="B57" s="1" t="s">
        <v>1151</v>
      </c>
      <c r="C57" s="94" t="s">
        <v>1203</v>
      </c>
      <c r="D57" s="94" t="s">
        <v>984</v>
      </c>
      <c r="E57" s="111" t="s">
        <v>985</v>
      </c>
      <c r="F57" s="1" t="s">
        <v>951</v>
      </c>
      <c r="G57" s="1" t="s">
        <v>1205</v>
      </c>
      <c r="H57" s="1" t="s">
        <v>1206</v>
      </c>
      <c r="I57" s="1" t="s">
        <v>25</v>
      </c>
      <c r="J57" s="1" t="s">
        <v>1220</v>
      </c>
      <c r="K57" s="1" t="s">
        <v>1266</v>
      </c>
      <c r="M57" s="1" t="s">
        <v>1144</v>
      </c>
      <c r="N57" s="94" t="s">
        <v>1159</v>
      </c>
      <c r="O57" s="94" t="s">
        <v>1151</v>
      </c>
      <c r="P57" s="7" t="s">
        <v>1201</v>
      </c>
      <c r="Q57" s="6" t="s">
        <v>1196</v>
      </c>
      <c r="R57" s="6" t="s">
        <v>1197</v>
      </c>
      <c r="S57" s="7" t="s">
        <v>1198</v>
      </c>
      <c r="T57" s="109" t="s">
        <v>1188</v>
      </c>
      <c r="U57" s="109" t="s">
        <v>1189</v>
      </c>
      <c r="V57" s="109" t="s">
        <v>1190</v>
      </c>
      <c r="W57" s="110" t="s">
        <v>1191</v>
      </c>
      <c r="X57" s="110" t="s">
        <v>1192</v>
      </c>
      <c r="Y57" s="110" t="s">
        <v>1193</v>
      </c>
      <c r="Z57" s="57">
        <v>1</v>
      </c>
      <c r="AA57">
        <v>2</v>
      </c>
      <c r="AB57">
        <v>3</v>
      </c>
      <c r="AC57" t="s">
        <v>1146</v>
      </c>
      <c r="AD57" t="s">
        <v>1147</v>
      </c>
      <c r="AE57" t="s">
        <v>1148</v>
      </c>
      <c r="AF57" t="s">
        <v>1146</v>
      </c>
      <c r="AG57" t="s">
        <v>1147</v>
      </c>
      <c r="AH57" t="s">
        <v>1148</v>
      </c>
      <c r="AI57" t="s">
        <v>1146</v>
      </c>
      <c r="AJ57" t="s">
        <v>1147</v>
      </c>
      <c r="AK57" t="s">
        <v>1148</v>
      </c>
      <c r="AL57" t="s">
        <v>1146</v>
      </c>
      <c r="AM57" t="s">
        <v>1147</v>
      </c>
      <c r="AN57" t="s">
        <v>1148</v>
      </c>
    </row>
    <row r="58" spans="1:40" x14ac:dyDescent="0.25">
      <c r="B58"/>
      <c r="C58"/>
      <c r="D58"/>
      <c r="M58" s="101">
        <f>IF(B55&lt;&gt;"",B55-WEEKDAY(B55,3),"")</f>
        <v>43829</v>
      </c>
      <c r="N58" s="99">
        <f>YEAR(M58)</f>
        <v>2019</v>
      </c>
      <c r="O58" s="8">
        <f>WEEKNUM(M58,21)</f>
        <v>1</v>
      </c>
      <c r="P58">
        <f ca="1">'Reference dates (hide)'!K43</f>
        <v>7.874015748031496E-3</v>
      </c>
    </row>
    <row r="59" spans="1:40" x14ac:dyDescent="0.25">
      <c r="B59"/>
      <c r="C59"/>
      <c r="D59"/>
      <c r="M59" s="101">
        <f>IF('Reference dates (hide)'!I44&lt;&gt;"",'Reference dates (hide)'!I44,"")</f>
        <v>43836</v>
      </c>
      <c r="N59" s="99">
        <f t="shared" ref="N59:N110" si="0">YEAR(M59)</f>
        <v>2020</v>
      </c>
      <c r="O59" s="8">
        <f t="shared" ref="O59:O110" si="1">WEEKNUM(M59,21)</f>
        <v>2</v>
      </c>
      <c r="P59">
        <f ca="1">'Reference dates (hide)'!K44</f>
        <v>1.968503937007874E-2</v>
      </c>
    </row>
    <row r="60" spans="1:40" x14ac:dyDescent="0.25">
      <c r="B60"/>
      <c r="C60"/>
      <c r="D60"/>
      <c r="M60" s="101">
        <f>IF('Reference dates (hide)'!I45&lt;&gt;"",'Reference dates (hide)'!I45,"")</f>
        <v>43843</v>
      </c>
      <c r="N60" s="99">
        <f t="shared" si="0"/>
        <v>2020</v>
      </c>
      <c r="O60" s="8">
        <f t="shared" si="1"/>
        <v>3</v>
      </c>
      <c r="P60">
        <f ca="1">'Reference dates (hide)'!K45</f>
        <v>1.968503937007874E-2</v>
      </c>
    </row>
    <row r="61" spans="1:40" x14ac:dyDescent="0.25">
      <c r="B61"/>
      <c r="C61"/>
      <c r="D61"/>
      <c r="M61" s="101">
        <f>IF('Reference dates (hide)'!I46&lt;&gt;"",'Reference dates (hide)'!I46,"")</f>
        <v>43850</v>
      </c>
      <c r="N61" s="99">
        <f t="shared" si="0"/>
        <v>2020</v>
      </c>
      <c r="O61" s="8">
        <f t="shared" si="1"/>
        <v>4</v>
      </c>
      <c r="P61">
        <f ca="1">'Reference dates (hide)'!K46</f>
        <v>1.968503937007874E-2</v>
      </c>
    </row>
    <row r="62" spans="1:40" x14ac:dyDescent="0.25">
      <c r="B62"/>
      <c r="C62"/>
      <c r="D62"/>
      <c r="M62" s="101">
        <f>IF('Reference dates (hide)'!I47&lt;&gt;"",'Reference dates (hide)'!I47,"")</f>
        <v>43857</v>
      </c>
      <c r="N62" s="99">
        <f t="shared" si="0"/>
        <v>2020</v>
      </c>
      <c r="O62" s="8">
        <f t="shared" si="1"/>
        <v>5</v>
      </c>
      <c r="P62">
        <f ca="1">'Reference dates (hide)'!K47</f>
        <v>1.968503937007874E-2</v>
      </c>
    </row>
    <row r="63" spans="1:40" x14ac:dyDescent="0.25">
      <c r="B63"/>
      <c r="C63"/>
      <c r="D63"/>
      <c r="M63" s="101">
        <f>IF('Reference dates (hide)'!I48&lt;&gt;"",'Reference dates (hide)'!I48,"")</f>
        <v>43864</v>
      </c>
      <c r="N63" s="99">
        <f t="shared" si="0"/>
        <v>2020</v>
      </c>
      <c r="O63" s="8">
        <f t="shared" si="1"/>
        <v>6</v>
      </c>
      <c r="P63">
        <f ca="1">'Reference dates (hide)'!K48</f>
        <v>1.968503937007874E-2</v>
      </c>
    </row>
    <row r="64" spans="1:40" x14ac:dyDescent="0.25">
      <c r="B64"/>
      <c r="C64"/>
      <c r="D64"/>
      <c r="M64" s="101">
        <f>IF('Reference dates (hide)'!I49&lt;&gt;"",'Reference dates (hide)'!I49,"")</f>
        <v>43871</v>
      </c>
      <c r="N64" s="99">
        <f t="shared" si="0"/>
        <v>2020</v>
      </c>
      <c r="O64" s="8">
        <f t="shared" si="1"/>
        <v>7</v>
      </c>
      <c r="P64">
        <f ca="1">'Reference dates (hide)'!K49</f>
        <v>1.968503937007874E-2</v>
      </c>
    </row>
    <row r="65" spans="2:16" x14ac:dyDescent="0.25">
      <c r="B65"/>
      <c r="C65"/>
      <c r="D65"/>
      <c r="M65" s="101">
        <f>IF('Reference dates (hide)'!I50&lt;&gt;"",'Reference dates (hide)'!I50,"")</f>
        <v>43878</v>
      </c>
      <c r="N65" s="99">
        <f t="shared" si="0"/>
        <v>2020</v>
      </c>
      <c r="O65" s="8">
        <f t="shared" si="1"/>
        <v>8</v>
      </c>
      <c r="P65">
        <f ca="1">'Reference dates (hide)'!K50</f>
        <v>1.968503937007874E-2</v>
      </c>
    </row>
    <row r="66" spans="2:16" x14ac:dyDescent="0.25">
      <c r="B66"/>
      <c r="C66"/>
      <c r="D66"/>
      <c r="M66" s="101">
        <f>IF('Reference dates (hide)'!I51&lt;&gt;"",'Reference dates (hide)'!I51,"")</f>
        <v>43885</v>
      </c>
      <c r="N66" s="99">
        <f t="shared" si="0"/>
        <v>2020</v>
      </c>
      <c r="O66" s="8">
        <f t="shared" si="1"/>
        <v>9</v>
      </c>
      <c r="P66">
        <f ca="1">'Reference dates (hide)'!K51</f>
        <v>1.968503937007874E-2</v>
      </c>
    </row>
    <row r="67" spans="2:16" x14ac:dyDescent="0.25">
      <c r="B67"/>
      <c r="C67"/>
      <c r="D67"/>
      <c r="M67" s="101">
        <f>IF('Reference dates (hide)'!I52&lt;&gt;"",'Reference dates (hide)'!I52,"")</f>
        <v>43892</v>
      </c>
      <c r="N67" s="99">
        <f t="shared" si="0"/>
        <v>2020</v>
      </c>
      <c r="O67" s="8">
        <f t="shared" si="1"/>
        <v>10</v>
      </c>
      <c r="P67">
        <f ca="1">'Reference dates (hide)'!K52</f>
        <v>1.968503937007874E-2</v>
      </c>
    </row>
    <row r="68" spans="2:16" x14ac:dyDescent="0.25">
      <c r="B68"/>
      <c r="C68"/>
      <c r="D68"/>
      <c r="M68" s="101">
        <f>IF('Reference dates (hide)'!I53&lt;&gt;"",'Reference dates (hide)'!I53,"")</f>
        <v>43899</v>
      </c>
      <c r="N68" s="99">
        <f t="shared" si="0"/>
        <v>2020</v>
      </c>
      <c r="O68" s="8">
        <f t="shared" si="1"/>
        <v>11</v>
      </c>
      <c r="P68">
        <f ca="1">'Reference dates (hide)'!K53</f>
        <v>1.968503937007874E-2</v>
      </c>
    </row>
    <row r="69" spans="2:16" x14ac:dyDescent="0.25">
      <c r="B69"/>
      <c r="C69"/>
      <c r="D69"/>
      <c r="M69" s="101">
        <f>IF('Reference dates (hide)'!I54&lt;&gt;"",'Reference dates (hide)'!I54,"")</f>
        <v>43906</v>
      </c>
      <c r="N69" s="99">
        <f t="shared" si="0"/>
        <v>2020</v>
      </c>
      <c r="O69" s="8">
        <f t="shared" si="1"/>
        <v>12</v>
      </c>
      <c r="P69">
        <f ca="1">'Reference dates (hide)'!K54</f>
        <v>1.968503937007874E-2</v>
      </c>
    </row>
    <row r="70" spans="2:16" x14ac:dyDescent="0.25">
      <c r="B70"/>
      <c r="C70"/>
      <c r="D70"/>
      <c r="M70" s="101">
        <f>IF('Reference dates (hide)'!I55&lt;&gt;"",'Reference dates (hide)'!I55,"")</f>
        <v>43913</v>
      </c>
      <c r="N70" s="99">
        <f t="shared" si="0"/>
        <v>2020</v>
      </c>
      <c r="O70" s="8">
        <f t="shared" si="1"/>
        <v>13</v>
      </c>
      <c r="P70">
        <f ca="1">'Reference dates (hide)'!K55</f>
        <v>1.968503937007874E-2</v>
      </c>
    </row>
    <row r="71" spans="2:16" x14ac:dyDescent="0.25">
      <c r="B71"/>
      <c r="C71"/>
      <c r="D71"/>
      <c r="M71" s="101">
        <f>IF('Reference dates (hide)'!I56&lt;&gt;"",'Reference dates (hide)'!I56,"")</f>
        <v>43920</v>
      </c>
      <c r="N71" s="99">
        <f t="shared" si="0"/>
        <v>2020</v>
      </c>
      <c r="O71" s="8">
        <f t="shared" si="1"/>
        <v>14</v>
      </c>
      <c r="P71">
        <f ca="1">'Reference dates (hide)'!K56</f>
        <v>1.968503937007874E-2</v>
      </c>
    </row>
    <row r="72" spans="2:16" x14ac:dyDescent="0.25">
      <c r="B72"/>
      <c r="C72"/>
      <c r="D72"/>
      <c r="M72" s="101">
        <f>IF('Reference dates (hide)'!I57&lt;&gt;"",'Reference dates (hide)'!I57,"")</f>
        <v>43927</v>
      </c>
      <c r="N72" s="99">
        <f t="shared" si="0"/>
        <v>2020</v>
      </c>
      <c r="O72" s="8">
        <f t="shared" si="1"/>
        <v>15</v>
      </c>
      <c r="P72">
        <f ca="1">'Reference dates (hide)'!K57</f>
        <v>1.5748031496062992E-2</v>
      </c>
    </row>
    <row r="73" spans="2:16" x14ac:dyDescent="0.25">
      <c r="B73"/>
      <c r="C73"/>
      <c r="D73"/>
      <c r="M73" s="101">
        <f>IF('Reference dates (hide)'!I58&lt;&gt;"",'Reference dates (hide)'!I58,"")</f>
        <v>43934</v>
      </c>
      <c r="N73" s="99">
        <f t="shared" si="0"/>
        <v>2020</v>
      </c>
      <c r="O73" s="8">
        <f t="shared" si="1"/>
        <v>16</v>
      </c>
      <c r="P73">
        <f ca="1">'Reference dates (hide)'!K58</f>
        <v>1.5748031496062992E-2</v>
      </c>
    </row>
    <row r="74" spans="2:16" x14ac:dyDescent="0.25">
      <c r="B74"/>
      <c r="C74"/>
      <c r="D74"/>
      <c r="M74" s="101">
        <f>IF('Reference dates (hide)'!I59&lt;&gt;"",'Reference dates (hide)'!I59,"")</f>
        <v>43941</v>
      </c>
      <c r="N74" s="99">
        <f t="shared" si="0"/>
        <v>2020</v>
      </c>
      <c r="O74" s="8">
        <f t="shared" si="1"/>
        <v>17</v>
      </c>
      <c r="P74">
        <f ca="1">'Reference dates (hide)'!K59</f>
        <v>1.968503937007874E-2</v>
      </c>
    </row>
    <row r="75" spans="2:16" x14ac:dyDescent="0.25">
      <c r="B75"/>
      <c r="C75"/>
      <c r="D75"/>
      <c r="M75" s="101">
        <f>IF('Reference dates (hide)'!I60&lt;&gt;"",'Reference dates (hide)'!I60,"")</f>
        <v>43948</v>
      </c>
      <c r="N75" s="99">
        <f t="shared" si="0"/>
        <v>2020</v>
      </c>
      <c r="O75" s="8">
        <f t="shared" si="1"/>
        <v>18</v>
      </c>
      <c r="P75">
        <f ca="1">'Reference dates (hide)'!K60</f>
        <v>1.968503937007874E-2</v>
      </c>
    </row>
    <row r="76" spans="2:16" x14ac:dyDescent="0.25">
      <c r="B76"/>
      <c r="C76"/>
      <c r="D76"/>
      <c r="M76" s="101">
        <f>IF('Reference dates (hide)'!I61&lt;&gt;"",'Reference dates (hide)'!I61,"")</f>
        <v>43955</v>
      </c>
      <c r="N76" s="99">
        <f t="shared" si="0"/>
        <v>2020</v>
      </c>
      <c r="O76" s="8">
        <f t="shared" si="1"/>
        <v>19</v>
      </c>
      <c r="P76">
        <f ca="1">'Reference dates (hide)'!K61</f>
        <v>1.5748031496062992E-2</v>
      </c>
    </row>
    <row r="77" spans="2:16" x14ac:dyDescent="0.25">
      <c r="B77"/>
      <c r="C77"/>
      <c r="D77"/>
      <c r="M77" s="101">
        <f>IF('Reference dates (hide)'!I62&lt;&gt;"",'Reference dates (hide)'!I62,"")</f>
        <v>43962</v>
      </c>
      <c r="N77" s="99">
        <f t="shared" si="0"/>
        <v>2020</v>
      </c>
      <c r="O77" s="8">
        <f t="shared" si="1"/>
        <v>20</v>
      </c>
      <c r="P77">
        <f ca="1">'Reference dates (hide)'!K62</f>
        <v>1.968503937007874E-2</v>
      </c>
    </row>
    <row r="78" spans="2:16" x14ac:dyDescent="0.25">
      <c r="B78"/>
      <c r="C78"/>
      <c r="D78"/>
      <c r="M78" s="101">
        <f>IF('Reference dates (hide)'!I63&lt;&gt;"",'Reference dates (hide)'!I63,"")</f>
        <v>43969</v>
      </c>
      <c r="N78" s="99">
        <f t="shared" si="0"/>
        <v>2020</v>
      </c>
      <c r="O78" s="8">
        <f t="shared" si="1"/>
        <v>21</v>
      </c>
      <c r="P78">
        <f ca="1">'Reference dates (hide)'!K63</f>
        <v>1.968503937007874E-2</v>
      </c>
    </row>
    <row r="79" spans="2:16" x14ac:dyDescent="0.25">
      <c r="B79"/>
      <c r="C79"/>
      <c r="D79"/>
      <c r="M79" s="101">
        <f>IF('Reference dates (hide)'!I64&lt;&gt;"",'Reference dates (hide)'!I64,"")</f>
        <v>43976</v>
      </c>
      <c r="N79" s="99">
        <f t="shared" si="0"/>
        <v>2020</v>
      </c>
      <c r="O79" s="8">
        <f t="shared" si="1"/>
        <v>22</v>
      </c>
      <c r="P79">
        <f ca="1">'Reference dates (hide)'!K64</f>
        <v>1.5748031496062992E-2</v>
      </c>
    </row>
    <row r="80" spans="2:16" x14ac:dyDescent="0.25">
      <c r="B80"/>
      <c r="C80"/>
      <c r="D80"/>
      <c r="M80" s="101">
        <f>IF('Reference dates (hide)'!I65&lt;&gt;"",'Reference dates (hide)'!I65,"")</f>
        <v>43983</v>
      </c>
      <c r="N80" s="99">
        <f t="shared" si="0"/>
        <v>2020</v>
      </c>
      <c r="O80" s="8">
        <f t="shared" si="1"/>
        <v>23</v>
      </c>
      <c r="P80">
        <f ca="1">'Reference dates (hide)'!K65</f>
        <v>1.968503937007874E-2</v>
      </c>
    </row>
    <row r="81" spans="2:16" x14ac:dyDescent="0.25">
      <c r="B81"/>
      <c r="C81"/>
      <c r="D81"/>
      <c r="M81" s="101">
        <f>IF('Reference dates (hide)'!I66&lt;&gt;"",'Reference dates (hide)'!I66,"")</f>
        <v>43990</v>
      </c>
      <c r="N81" s="99">
        <f t="shared" si="0"/>
        <v>2020</v>
      </c>
      <c r="O81" s="8">
        <f t="shared" si="1"/>
        <v>24</v>
      </c>
      <c r="P81">
        <f ca="1">'Reference dates (hide)'!K66</f>
        <v>1.968503937007874E-2</v>
      </c>
    </row>
    <row r="82" spans="2:16" x14ac:dyDescent="0.25">
      <c r="B82"/>
      <c r="C82"/>
      <c r="D82"/>
      <c r="M82" s="101">
        <f>IF('Reference dates (hide)'!I67&lt;&gt;"",'Reference dates (hide)'!I67,"")</f>
        <v>43997</v>
      </c>
      <c r="N82" s="99">
        <f t="shared" si="0"/>
        <v>2020</v>
      </c>
      <c r="O82" s="8">
        <f t="shared" si="1"/>
        <v>25</v>
      </c>
      <c r="P82">
        <f ca="1">'Reference dates (hide)'!K67</f>
        <v>1.968503937007874E-2</v>
      </c>
    </row>
    <row r="83" spans="2:16" x14ac:dyDescent="0.25">
      <c r="B83"/>
      <c r="C83"/>
      <c r="D83"/>
      <c r="M83" s="101">
        <f>IF('Reference dates (hide)'!I68&lt;&gt;"",'Reference dates (hide)'!I68,"")</f>
        <v>44004</v>
      </c>
      <c r="N83" s="99">
        <f t="shared" si="0"/>
        <v>2020</v>
      </c>
      <c r="O83" s="8">
        <f t="shared" si="1"/>
        <v>26</v>
      </c>
      <c r="P83">
        <f ca="1">'Reference dates (hide)'!K68</f>
        <v>1.968503937007874E-2</v>
      </c>
    </row>
    <row r="84" spans="2:16" x14ac:dyDescent="0.25">
      <c r="B84"/>
      <c r="C84"/>
      <c r="D84"/>
      <c r="M84" s="101">
        <f>IF('Reference dates (hide)'!I69&lt;&gt;"",'Reference dates (hide)'!I69,"")</f>
        <v>44011</v>
      </c>
      <c r="N84" s="99">
        <f t="shared" si="0"/>
        <v>2020</v>
      </c>
      <c r="O84" s="8">
        <f t="shared" si="1"/>
        <v>27</v>
      </c>
      <c r="P84">
        <f ca="1">'Reference dates (hide)'!K69</f>
        <v>1.968503937007874E-2</v>
      </c>
    </row>
    <row r="85" spans="2:16" x14ac:dyDescent="0.25">
      <c r="B85"/>
      <c r="C85"/>
      <c r="D85"/>
      <c r="M85" s="101">
        <f>IF('Reference dates (hide)'!I70&lt;&gt;"",'Reference dates (hide)'!I70,"")</f>
        <v>44018</v>
      </c>
      <c r="N85" s="99">
        <f t="shared" si="0"/>
        <v>2020</v>
      </c>
      <c r="O85" s="8">
        <f t="shared" si="1"/>
        <v>28</v>
      </c>
      <c r="P85">
        <f ca="1">'Reference dates (hide)'!K70</f>
        <v>1.968503937007874E-2</v>
      </c>
    </row>
    <row r="86" spans="2:16" x14ac:dyDescent="0.25">
      <c r="B86"/>
      <c r="C86"/>
      <c r="D86"/>
      <c r="M86" s="101">
        <f>IF('Reference dates (hide)'!I71&lt;&gt;"",'Reference dates (hide)'!I71,"")</f>
        <v>44025</v>
      </c>
      <c r="N86" s="99">
        <f t="shared" si="0"/>
        <v>2020</v>
      </c>
      <c r="O86" s="8">
        <f t="shared" si="1"/>
        <v>29</v>
      </c>
      <c r="P86">
        <f ca="1">'Reference dates (hide)'!K71</f>
        <v>1.968503937007874E-2</v>
      </c>
    </row>
    <row r="87" spans="2:16" x14ac:dyDescent="0.25">
      <c r="B87"/>
      <c r="C87"/>
      <c r="D87"/>
      <c r="M87" s="101">
        <f>IF('Reference dates (hide)'!I72&lt;&gt;"",'Reference dates (hide)'!I72,"")</f>
        <v>44032</v>
      </c>
      <c r="N87" s="99">
        <f t="shared" si="0"/>
        <v>2020</v>
      </c>
      <c r="O87" s="8">
        <f t="shared" si="1"/>
        <v>30</v>
      </c>
      <c r="P87">
        <f ca="1">'Reference dates (hide)'!K72</f>
        <v>1.968503937007874E-2</v>
      </c>
    </row>
    <row r="88" spans="2:16" x14ac:dyDescent="0.25">
      <c r="B88"/>
      <c r="C88"/>
      <c r="D88"/>
      <c r="M88" s="101">
        <f>IF('Reference dates (hide)'!I73&lt;&gt;"",'Reference dates (hide)'!I73,"")</f>
        <v>44039</v>
      </c>
      <c r="N88" s="99">
        <f t="shared" si="0"/>
        <v>2020</v>
      </c>
      <c r="O88" s="8">
        <f t="shared" si="1"/>
        <v>31</v>
      </c>
      <c r="P88">
        <f ca="1">'Reference dates (hide)'!K73</f>
        <v>1.968503937007874E-2</v>
      </c>
    </row>
    <row r="89" spans="2:16" x14ac:dyDescent="0.25">
      <c r="B89"/>
      <c r="C89"/>
      <c r="D89"/>
      <c r="M89" s="101">
        <f>IF('Reference dates (hide)'!I74&lt;&gt;"",'Reference dates (hide)'!I74,"")</f>
        <v>44046</v>
      </c>
      <c r="N89" s="99">
        <f t="shared" si="0"/>
        <v>2020</v>
      </c>
      <c r="O89" s="8">
        <f t="shared" si="1"/>
        <v>32</v>
      </c>
      <c r="P89">
        <f ca="1">'Reference dates (hide)'!K74</f>
        <v>1.968503937007874E-2</v>
      </c>
    </row>
    <row r="90" spans="2:16" x14ac:dyDescent="0.25">
      <c r="B90"/>
      <c r="C90"/>
      <c r="D90"/>
      <c r="M90" s="101">
        <f>IF('Reference dates (hide)'!I75&lt;&gt;"",'Reference dates (hide)'!I75,"")</f>
        <v>44053</v>
      </c>
      <c r="N90" s="99">
        <f t="shared" si="0"/>
        <v>2020</v>
      </c>
      <c r="O90" s="8">
        <f t="shared" si="1"/>
        <v>33</v>
      </c>
      <c r="P90">
        <f ca="1">'Reference dates (hide)'!K75</f>
        <v>1.968503937007874E-2</v>
      </c>
    </row>
    <row r="91" spans="2:16" x14ac:dyDescent="0.25">
      <c r="B91"/>
      <c r="C91"/>
      <c r="D91"/>
      <c r="M91" s="101">
        <f>IF('Reference dates (hide)'!I76&lt;&gt;"",'Reference dates (hide)'!I76,"")</f>
        <v>44060</v>
      </c>
      <c r="N91" s="99">
        <f t="shared" si="0"/>
        <v>2020</v>
      </c>
      <c r="O91" s="8">
        <f t="shared" si="1"/>
        <v>34</v>
      </c>
      <c r="P91">
        <f ca="1">'Reference dates (hide)'!K76</f>
        <v>1.968503937007874E-2</v>
      </c>
    </row>
    <row r="92" spans="2:16" x14ac:dyDescent="0.25">
      <c r="B92"/>
      <c r="C92"/>
      <c r="D92"/>
      <c r="M92" s="101">
        <f>IF('Reference dates (hide)'!I77&lt;&gt;"",'Reference dates (hide)'!I77,"")</f>
        <v>44067</v>
      </c>
      <c r="N92" s="99">
        <f t="shared" si="0"/>
        <v>2020</v>
      </c>
      <c r="O92" s="8">
        <f t="shared" si="1"/>
        <v>35</v>
      </c>
      <c r="P92">
        <f ca="1">'Reference dates (hide)'!K77</f>
        <v>1.968503937007874E-2</v>
      </c>
    </row>
    <row r="93" spans="2:16" x14ac:dyDescent="0.25">
      <c r="B93"/>
      <c r="C93"/>
      <c r="D93"/>
      <c r="M93" s="101">
        <f>IF('Reference dates (hide)'!I78&lt;&gt;"",'Reference dates (hide)'!I78,"")</f>
        <v>44074</v>
      </c>
      <c r="N93" s="99">
        <f t="shared" si="0"/>
        <v>2020</v>
      </c>
      <c r="O93" s="8">
        <f t="shared" si="1"/>
        <v>36</v>
      </c>
      <c r="P93">
        <f ca="1">'Reference dates (hide)'!K78</f>
        <v>1.5748031496062992E-2</v>
      </c>
    </row>
    <row r="94" spans="2:16" x14ac:dyDescent="0.25">
      <c r="B94"/>
      <c r="C94"/>
      <c r="D94"/>
      <c r="M94" s="101">
        <f>IF('Reference dates (hide)'!I79&lt;&gt;"",'Reference dates (hide)'!I79,"")</f>
        <v>44081</v>
      </c>
      <c r="N94" s="99">
        <f t="shared" si="0"/>
        <v>2020</v>
      </c>
      <c r="O94" s="8">
        <f t="shared" si="1"/>
        <v>37</v>
      </c>
      <c r="P94">
        <f ca="1">'Reference dates (hide)'!K79</f>
        <v>1.968503937007874E-2</v>
      </c>
    </row>
    <row r="95" spans="2:16" x14ac:dyDescent="0.25">
      <c r="B95"/>
      <c r="C95"/>
      <c r="D95"/>
      <c r="M95" s="101">
        <f>IF('Reference dates (hide)'!I80&lt;&gt;"",'Reference dates (hide)'!I80,"")</f>
        <v>44088</v>
      </c>
      <c r="N95" s="99">
        <f t="shared" si="0"/>
        <v>2020</v>
      </c>
      <c r="O95" s="8">
        <f t="shared" si="1"/>
        <v>38</v>
      </c>
      <c r="P95">
        <f ca="1">'Reference dates (hide)'!K80</f>
        <v>1.968503937007874E-2</v>
      </c>
    </row>
    <row r="96" spans="2:16" x14ac:dyDescent="0.25">
      <c r="B96"/>
      <c r="C96"/>
      <c r="D96"/>
      <c r="M96" s="101">
        <f>IF('Reference dates (hide)'!I81&lt;&gt;"",'Reference dates (hide)'!I81,"")</f>
        <v>44095</v>
      </c>
      <c r="N96" s="99">
        <f t="shared" si="0"/>
        <v>2020</v>
      </c>
      <c r="O96" s="8">
        <f t="shared" si="1"/>
        <v>39</v>
      </c>
      <c r="P96">
        <f ca="1">'Reference dates (hide)'!K81</f>
        <v>1.968503937007874E-2</v>
      </c>
    </row>
    <row r="97" spans="2:31" x14ac:dyDescent="0.25">
      <c r="B97"/>
      <c r="C97"/>
      <c r="D97"/>
      <c r="M97" s="101">
        <f>IF('Reference dates (hide)'!I82&lt;&gt;"",'Reference dates (hide)'!I82,"")</f>
        <v>44102</v>
      </c>
      <c r="N97" s="99">
        <f t="shared" si="0"/>
        <v>2020</v>
      </c>
      <c r="O97" s="8">
        <f t="shared" si="1"/>
        <v>40</v>
      </c>
      <c r="P97">
        <f ca="1">'Reference dates (hide)'!K82</f>
        <v>1.968503937007874E-2</v>
      </c>
    </row>
    <row r="98" spans="2:31" x14ac:dyDescent="0.25">
      <c r="B98"/>
      <c r="C98"/>
      <c r="D98"/>
      <c r="M98" s="101">
        <f>IF('Reference dates (hide)'!I83&lt;&gt;"",'Reference dates (hide)'!I83,"")</f>
        <v>44109</v>
      </c>
      <c r="N98" s="99">
        <f t="shared" si="0"/>
        <v>2020</v>
      </c>
      <c r="O98" s="8">
        <f t="shared" si="1"/>
        <v>41</v>
      </c>
      <c r="P98">
        <f ca="1">'Reference dates (hide)'!K83</f>
        <v>1.968503937007874E-2</v>
      </c>
    </row>
    <row r="99" spans="2:31" x14ac:dyDescent="0.25">
      <c r="B99"/>
      <c r="C99"/>
      <c r="D99"/>
      <c r="M99" s="101">
        <f>IF('Reference dates (hide)'!I84&lt;&gt;"",'Reference dates (hide)'!I84,"")</f>
        <v>44116</v>
      </c>
      <c r="N99" s="99">
        <f t="shared" si="0"/>
        <v>2020</v>
      </c>
      <c r="O99" s="8">
        <f t="shared" si="1"/>
        <v>42</v>
      </c>
      <c r="P99">
        <f ca="1">'Reference dates (hide)'!K84</f>
        <v>1.968503937007874E-2</v>
      </c>
    </row>
    <row r="100" spans="2:31" x14ac:dyDescent="0.25">
      <c r="B100"/>
      <c r="C100"/>
      <c r="D100"/>
      <c r="M100" s="101">
        <f>IF('Reference dates (hide)'!I85&lt;&gt;"",'Reference dates (hide)'!I85,"")</f>
        <v>44123</v>
      </c>
      <c r="N100" s="99">
        <f t="shared" si="0"/>
        <v>2020</v>
      </c>
      <c r="O100" s="8">
        <f t="shared" si="1"/>
        <v>43</v>
      </c>
      <c r="P100">
        <f ca="1">'Reference dates (hide)'!K85</f>
        <v>1.968503937007874E-2</v>
      </c>
    </row>
    <row r="101" spans="2:31" x14ac:dyDescent="0.25">
      <c r="B101"/>
      <c r="C101"/>
      <c r="D101"/>
      <c r="M101" s="101">
        <f>IF('Reference dates (hide)'!I86&lt;&gt;"",'Reference dates (hide)'!I86,"")</f>
        <v>44130</v>
      </c>
      <c r="N101" s="99">
        <f t="shared" si="0"/>
        <v>2020</v>
      </c>
      <c r="O101" s="8">
        <f t="shared" si="1"/>
        <v>44</v>
      </c>
      <c r="P101">
        <f ca="1">'Reference dates (hide)'!K86</f>
        <v>1.968503937007874E-2</v>
      </c>
    </row>
    <row r="102" spans="2:31" x14ac:dyDescent="0.25">
      <c r="B102"/>
      <c r="C102"/>
      <c r="D102"/>
      <c r="M102" s="101">
        <f>IF('Reference dates (hide)'!I87&lt;&gt;"",'Reference dates (hide)'!I87,"")</f>
        <v>44137</v>
      </c>
      <c r="N102" s="99">
        <f t="shared" si="0"/>
        <v>2020</v>
      </c>
      <c r="O102" s="8">
        <f t="shared" si="1"/>
        <v>45</v>
      </c>
      <c r="P102">
        <f ca="1">'Reference dates (hide)'!K87</f>
        <v>1.968503937007874E-2</v>
      </c>
    </row>
    <row r="103" spans="2:31" x14ac:dyDescent="0.25">
      <c r="B103"/>
      <c r="C103"/>
      <c r="D103"/>
      <c r="M103" s="101">
        <f>IF('Reference dates (hide)'!I88&lt;&gt;"",'Reference dates (hide)'!I88,"")</f>
        <v>44144</v>
      </c>
      <c r="N103" s="99">
        <f t="shared" si="0"/>
        <v>2020</v>
      </c>
      <c r="O103" s="8">
        <f t="shared" si="1"/>
        <v>46</v>
      </c>
      <c r="P103">
        <f ca="1">'Reference dates (hide)'!K88</f>
        <v>1.968503937007874E-2</v>
      </c>
    </row>
    <row r="104" spans="2:31" x14ac:dyDescent="0.25">
      <c r="B104"/>
      <c r="C104"/>
      <c r="D104"/>
      <c r="M104" s="101">
        <f>IF('Reference dates (hide)'!I89&lt;&gt;"",'Reference dates (hide)'!I89,"")</f>
        <v>44151</v>
      </c>
      <c r="N104" s="99">
        <f t="shared" si="0"/>
        <v>2020</v>
      </c>
      <c r="O104" s="8">
        <f t="shared" si="1"/>
        <v>47</v>
      </c>
      <c r="P104">
        <f ca="1">'Reference dates (hide)'!K89</f>
        <v>1.968503937007874E-2</v>
      </c>
    </row>
    <row r="105" spans="2:31" x14ac:dyDescent="0.25">
      <c r="B105"/>
      <c r="C105"/>
      <c r="D105"/>
      <c r="M105" s="101">
        <f>IF('Reference dates (hide)'!I90&lt;&gt;"",'Reference dates (hide)'!I90,"")</f>
        <v>44158</v>
      </c>
      <c r="N105" s="99">
        <f t="shared" si="0"/>
        <v>2020</v>
      </c>
      <c r="O105" s="8">
        <f t="shared" si="1"/>
        <v>48</v>
      </c>
      <c r="P105">
        <f ca="1">'Reference dates (hide)'!K90</f>
        <v>1.968503937007874E-2</v>
      </c>
    </row>
    <row r="106" spans="2:31" x14ac:dyDescent="0.25">
      <c r="B106"/>
      <c r="C106"/>
      <c r="D106"/>
      <c r="M106" s="101">
        <f>IF('Reference dates (hide)'!I91&lt;&gt;"",'Reference dates (hide)'!I91,"")</f>
        <v>44165</v>
      </c>
      <c r="N106" s="99">
        <f t="shared" si="0"/>
        <v>2020</v>
      </c>
      <c r="O106" s="8">
        <f t="shared" si="1"/>
        <v>49</v>
      </c>
      <c r="P106">
        <f ca="1">'Reference dates (hide)'!K91</f>
        <v>1.968503937007874E-2</v>
      </c>
    </row>
    <row r="107" spans="2:31" x14ac:dyDescent="0.25">
      <c r="B107"/>
      <c r="C107"/>
      <c r="D107"/>
      <c r="M107" s="101">
        <f>IF('Reference dates (hide)'!I92&lt;&gt;"",'Reference dates (hide)'!I92,"")</f>
        <v>44172</v>
      </c>
      <c r="N107" s="99">
        <f t="shared" si="0"/>
        <v>2020</v>
      </c>
      <c r="O107" s="8">
        <f t="shared" si="1"/>
        <v>50</v>
      </c>
      <c r="P107">
        <f ca="1">'Reference dates (hide)'!K92</f>
        <v>1.968503937007874E-2</v>
      </c>
    </row>
    <row r="108" spans="2:31" x14ac:dyDescent="0.25">
      <c r="B108"/>
      <c r="C108"/>
      <c r="D108"/>
      <c r="M108" s="101">
        <f>IF('Reference dates (hide)'!I93&lt;&gt;"",'Reference dates (hide)'!I93,"")</f>
        <v>44179</v>
      </c>
      <c r="N108" s="99">
        <f t="shared" si="0"/>
        <v>2020</v>
      </c>
      <c r="O108" s="8">
        <f t="shared" si="1"/>
        <v>51</v>
      </c>
      <c r="P108">
        <f ca="1">'Reference dates (hide)'!K93</f>
        <v>1.968503937007874E-2</v>
      </c>
    </row>
    <row r="109" spans="2:31" x14ac:dyDescent="0.25">
      <c r="B109"/>
      <c r="C109"/>
      <c r="D109"/>
      <c r="M109" s="101">
        <f>IF('Reference dates (hide)'!I94&lt;&gt;"",'Reference dates (hide)'!I94,"")</f>
        <v>44186</v>
      </c>
      <c r="N109" s="99">
        <f t="shared" si="0"/>
        <v>2020</v>
      </c>
      <c r="O109" s="8">
        <f t="shared" si="1"/>
        <v>52</v>
      </c>
      <c r="P109">
        <f ca="1">'Reference dates (hide)'!K94</f>
        <v>1.5748031496062992E-2</v>
      </c>
    </row>
    <row r="110" spans="2:31" x14ac:dyDescent="0.25">
      <c r="B110"/>
      <c r="C110"/>
      <c r="D110"/>
      <c r="M110" s="101">
        <f>IF('Reference dates (hide)'!I95&lt;&gt;"",'Reference dates (hide)'!I95,"")</f>
        <v>44193</v>
      </c>
      <c r="N110" s="99">
        <f t="shared" si="0"/>
        <v>2020</v>
      </c>
      <c r="O110" s="8">
        <f t="shared" si="1"/>
        <v>53</v>
      </c>
      <c r="P110">
        <f ca="1">'Reference dates (hide)'!K95</f>
        <v>1.1811023622047244E-2</v>
      </c>
    </row>
    <row r="111" spans="2:31" x14ac:dyDescent="0.25">
      <c r="M111">
        <f>MAX(T58:AB110)</f>
        <v>0</v>
      </c>
      <c r="Q111">
        <f>MAX(Q58:Q109)/$Q$54</f>
        <v>0</v>
      </c>
      <c r="R111">
        <f>MAX(R58:R109)/IF($R$54=0,1,$Q$54)</f>
        <v>0</v>
      </c>
      <c r="S111">
        <f>MAX(S58:S109)/IF($S$54=0,1,$Q$54)</f>
        <v>0</v>
      </c>
      <c r="Z111">
        <f>MAX(Z58:Z109)/IF($Z$52=0,1,Q$54)</f>
        <v>0</v>
      </c>
      <c r="AA111">
        <f>MAX(AA58:AA109)/IF($Z$52=0,1,R$54)</f>
        <v>0</v>
      </c>
      <c r="AB111">
        <f>MAX(AB58:AB109)/IF($Z$52=0,1,S$54)</f>
        <v>0</v>
      </c>
      <c r="AC111">
        <f>MAX(AC58:AC109)/IF($Z$52=0,1,Q$54)</f>
        <v>0</v>
      </c>
      <c r="AD111">
        <f>MAX(AD58:AD109)/IF($Z$52=0,1,R$54)</f>
        <v>0</v>
      </c>
      <c r="AE111">
        <f>MAX(AE58:AE109)/IF($Z$52=0,1,S$54)</f>
        <v>0</v>
      </c>
    </row>
    <row r="118" spans="26:26" x14ac:dyDescent="0.25">
      <c r="Z118" s="121"/>
    </row>
    <row r="119" spans="26:26" x14ac:dyDescent="0.25">
      <c r="Z119" s="121"/>
    </row>
  </sheetData>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3"/>
  <dimension ref="A1:AN119"/>
  <sheetViews>
    <sheetView topLeftCell="B37" workbookViewId="0">
      <selection activeCell="AK59" sqref="AK59"/>
    </sheetView>
  </sheetViews>
  <sheetFormatPr defaultRowHeight="13.8" x14ac:dyDescent="0.25"/>
  <cols>
    <col min="1" max="1" width="27.69921875" bestFit="1" customWidth="1"/>
    <col min="2" max="2" width="16.8984375" style="6" customWidth="1"/>
    <col min="3" max="3" width="12.09765625" style="6" bestFit="1" customWidth="1"/>
    <col min="4" max="4" width="16.09765625" style="7" bestFit="1" customWidth="1"/>
    <col min="11" max="11" width="10.8984375" bestFit="1" customWidth="1"/>
    <col min="13" max="13" width="16.69921875" bestFit="1" customWidth="1"/>
    <col min="17" max="17" width="6.8984375" customWidth="1"/>
    <col min="26" max="26" width="11.8984375" bestFit="1" customWidth="1"/>
  </cols>
  <sheetData>
    <row r="1" spans="1:19" x14ac:dyDescent="0.25">
      <c r="A1" t="s">
        <v>1069</v>
      </c>
      <c r="B1" s="6" t="s">
        <v>931</v>
      </c>
      <c r="C1" s="6" t="b">
        <f>ISERR(SUM(B25:M49))</f>
        <v>0</v>
      </c>
    </row>
    <row r="2" spans="1:19" x14ac:dyDescent="0.25">
      <c r="A2" t="s">
        <v>932</v>
      </c>
      <c r="B2"/>
    </row>
    <row r="3" spans="1:19" x14ac:dyDescent="0.25">
      <c r="B3" s="6" t="s">
        <v>933</v>
      </c>
      <c r="F3" t="s">
        <v>934</v>
      </c>
      <c r="J3" t="s">
        <v>935</v>
      </c>
    </row>
    <row r="4" spans="1:19" x14ac:dyDescent="0.25">
      <c r="B4" s="6" t="s">
        <v>936</v>
      </c>
      <c r="C4" s="6" t="s">
        <v>937</v>
      </c>
      <c r="D4" s="7" t="s">
        <v>1208</v>
      </c>
      <c r="F4" s="6" t="s">
        <v>936</v>
      </c>
      <c r="G4" s="6" t="s">
        <v>937</v>
      </c>
      <c r="H4" s="7" t="s">
        <v>1024</v>
      </c>
      <c r="J4" s="6" t="s">
        <v>936</v>
      </c>
      <c r="K4" s="6" t="s">
        <v>937</v>
      </c>
      <c r="L4" s="7" t="s">
        <v>1024</v>
      </c>
    </row>
    <row r="5" spans="1:19" x14ac:dyDescent="0.25">
      <c r="A5" t="s">
        <v>5</v>
      </c>
      <c r="B5" s="8"/>
      <c r="C5" s="6">
        <f>B5*52</f>
        <v>0</v>
      </c>
      <c r="D5" s="7">
        <f>IF($B$20=1,C5/$B$21,C5)</f>
        <v>0</v>
      </c>
      <c r="G5">
        <f>F5*$D5</f>
        <v>0</v>
      </c>
      <c r="H5">
        <f>G5/52</f>
        <v>0</v>
      </c>
      <c r="K5">
        <f>J5*D5</f>
        <v>0</v>
      </c>
      <c r="L5">
        <f>K5/52</f>
        <v>0</v>
      </c>
    </row>
    <row r="6" spans="1:19" x14ac:dyDescent="0.25">
      <c r="A6" t="s">
        <v>1209</v>
      </c>
      <c r="B6" s="8"/>
      <c r="D6" s="7">
        <f>IF($B$20=1,B6/$B$21,B6)</f>
        <v>0</v>
      </c>
      <c r="G6">
        <f>F6*52</f>
        <v>0</v>
      </c>
      <c r="H6">
        <f>F6</f>
        <v>0</v>
      </c>
      <c r="K6">
        <f>J6*52</f>
        <v>0</v>
      </c>
      <c r="L6">
        <f>J6</f>
        <v>0</v>
      </c>
    </row>
    <row r="7" spans="1:19" x14ac:dyDescent="0.25">
      <c r="A7" t="s">
        <v>1210</v>
      </c>
      <c r="B7" s="8"/>
      <c r="D7" s="7">
        <f>IF($B$20=1,B7/$B$21,B7)</f>
        <v>0</v>
      </c>
    </row>
    <row r="8" spans="1:19" x14ac:dyDescent="0.25">
      <c r="A8" t="s">
        <v>9</v>
      </c>
      <c r="B8"/>
    </row>
    <row r="9" spans="1:19" x14ac:dyDescent="0.25">
      <c r="A9" t="s">
        <v>964</v>
      </c>
      <c r="B9"/>
    </row>
    <row r="10" spans="1:19" x14ac:dyDescent="0.25">
      <c r="A10" t="s">
        <v>940</v>
      </c>
      <c r="B10"/>
      <c r="C10" s="6">
        <f xml:space="preserve"> NASR*NASRDC</f>
        <v>0</v>
      </c>
      <c r="G10">
        <f xml:space="preserve"> FU_NASR*FU_NASRDC</f>
        <v>0</v>
      </c>
      <c r="K10">
        <f xml:space="preserve"> IP_NASR*IP_NASRDC</f>
        <v>0</v>
      </c>
    </row>
    <row r="11" spans="1:19" x14ac:dyDescent="0.25">
      <c r="A11" t="s">
        <v>965</v>
      </c>
      <c r="B11"/>
    </row>
    <row r="12" spans="1:19" x14ac:dyDescent="0.25">
      <c r="A12" t="s">
        <v>859</v>
      </c>
      <c r="B12"/>
    </row>
    <row r="13" spans="1:19" x14ac:dyDescent="0.25">
      <c r="A13" t="s">
        <v>941</v>
      </c>
      <c r="B13" s="8"/>
      <c r="D13" s="7">
        <f>IF($B$20=1,B13/$B$21,B13)</f>
        <v>0</v>
      </c>
      <c r="G13">
        <f>F13*52</f>
        <v>0</v>
      </c>
      <c r="H13" s="7">
        <f>IF($B$20=1,F13/$B$21,F13)</f>
        <v>0</v>
      </c>
      <c r="K13">
        <f>J13*52</f>
        <v>0</v>
      </c>
      <c r="L13" s="7">
        <f>IF($B$20=1,J13/$B$21,J13)</f>
        <v>0</v>
      </c>
    </row>
    <row r="14" spans="1:19" x14ac:dyDescent="0.25">
      <c r="A14" t="s">
        <v>1275</v>
      </c>
      <c r="B14" s="8"/>
      <c r="H14" s="7"/>
      <c r="L14" s="7"/>
    </row>
    <row r="15" spans="1:19" x14ac:dyDescent="0.25">
      <c r="A15" t="s">
        <v>1278</v>
      </c>
      <c r="B15"/>
      <c r="D15" s="7">
        <f>IF($B$20=1,B15/$B$21,B15)</f>
        <v>0</v>
      </c>
      <c r="H15" s="7">
        <f>IF($B$20=1,F15/$B$21,F15)</f>
        <v>0</v>
      </c>
      <c r="L15" s="7">
        <f>IF($B$20=1,J15/$B$21,J15)</f>
        <v>0</v>
      </c>
    </row>
    <row r="16" spans="1:19" x14ac:dyDescent="0.25">
      <c r="A16" t="s">
        <v>861</v>
      </c>
      <c r="B16" s="8"/>
      <c r="D16" s="7">
        <f>IF($B$20=1,B16/$B$21,B16)</f>
        <v>0</v>
      </c>
      <c r="H16" s="7">
        <f>IF($B$20=1,F16/$B$21,F16)</f>
        <v>0</v>
      </c>
      <c r="L16" s="7">
        <f>IF($B$20=1,J16/$B$21,J16)</f>
        <v>0</v>
      </c>
      <c r="S16" t="s">
        <v>1213</v>
      </c>
    </row>
    <row r="17" spans="1:20" x14ac:dyDescent="0.25">
      <c r="A17" t="s">
        <v>7</v>
      </c>
      <c r="B17" s="8"/>
      <c r="D17" s="7">
        <f>IF($B$20=1,B17/$B$21,B17)</f>
        <v>0</v>
      </c>
      <c r="H17" s="7">
        <f>IF($B$20=1,F17/$B$21,F17)</f>
        <v>0</v>
      </c>
      <c r="L17" s="7">
        <f>IF($B$20=1,J17/$B$21,J17)</f>
        <v>0</v>
      </c>
      <c r="S17" t="s">
        <v>1159</v>
      </c>
    </row>
    <row r="18" spans="1:20" x14ac:dyDescent="0.25">
      <c r="A18" t="s">
        <v>1081</v>
      </c>
      <c r="B18"/>
      <c r="S18" t="s">
        <v>1187</v>
      </c>
    </row>
    <row r="19" spans="1:20" x14ac:dyDescent="0.25">
      <c r="A19" t="s">
        <v>863</v>
      </c>
      <c r="B19"/>
      <c r="S19" t="s">
        <v>1214</v>
      </c>
      <c r="T19" t="s">
        <v>1215</v>
      </c>
    </row>
    <row r="20" spans="1:20" x14ac:dyDescent="0.25">
      <c r="A20" t="s">
        <v>942</v>
      </c>
      <c r="B20"/>
      <c r="R20" t="s">
        <v>947</v>
      </c>
      <c r="S20" t="s">
        <v>984</v>
      </c>
      <c r="T20" t="s">
        <v>1216</v>
      </c>
    </row>
    <row r="21" spans="1:20" x14ac:dyDescent="0.25">
      <c r="A21" t="s">
        <v>943</v>
      </c>
      <c r="B21">
        <v>1</v>
      </c>
      <c r="D21" s="12"/>
      <c r="S21" t="s">
        <v>985</v>
      </c>
      <c r="T21" t="s">
        <v>1216</v>
      </c>
    </row>
    <row r="22" spans="1:20" x14ac:dyDescent="0.25">
      <c r="H22">
        <f>F22*$D$5</f>
        <v>0</v>
      </c>
      <c r="L22">
        <f>J22*$D$5</f>
        <v>0</v>
      </c>
      <c r="S22" t="s">
        <v>1217</v>
      </c>
      <c r="T22" t="s">
        <v>1218</v>
      </c>
    </row>
    <row r="23" spans="1:20" x14ac:dyDescent="0.25">
      <c r="S23" t="s">
        <v>1219</v>
      </c>
      <c r="T23" t="s">
        <v>1218</v>
      </c>
    </row>
    <row r="24" spans="1:20" x14ac:dyDescent="0.25">
      <c r="D24" s="7" t="s">
        <v>1023</v>
      </c>
      <c r="F24" t="s">
        <v>901</v>
      </c>
      <c r="G24" t="s">
        <v>1022</v>
      </c>
      <c r="H24" s="7" t="s">
        <v>1023</v>
      </c>
      <c r="J24" t="s">
        <v>901</v>
      </c>
      <c r="K24" t="s">
        <v>1022</v>
      </c>
      <c r="L24" s="7" t="s">
        <v>1023</v>
      </c>
      <c r="R24" t="s">
        <v>941</v>
      </c>
      <c r="S24" t="s">
        <v>25</v>
      </c>
      <c r="T24" t="s">
        <v>1218</v>
      </c>
    </row>
    <row r="25" spans="1:20" x14ac:dyDescent="0.25">
      <c r="A25" t="s">
        <v>944</v>
      </c>
      <c r="B25" s="6">
        <f>IF(B17-B16&lt;0,0,B17-B16)</f>
        <v>0</v>
      </c>
      <c r="D25" s="6">
        <f>IF(D17-D16&lt;0,0,D17-D16)</f>
        <v>0</v>
      </c>
      <c r="F25" s="8">
        <f>F5*B25</f>
        <v>0</v>
      </c>
      <c r="G25" s="8">
        <v>0</v>
      </c>
      <c r="H25" s="8"/>
      <c r="I25" s="8"/>
      <c r="J25" s="8">
        <f>(J5*B25)+IF(J17-J16&lt;=0,0,J17-J16)</f>
        <v>0</v>
      </c>
      <c r="K25" s="8">
        <f>IF(J17-J16&lt;=0,0,J17-J16)</f>
        <v>0</v>
      </c>
      <c r="L25" s="8"/>
      <c r="S25" t="s">
        <v>1220</v>
      </c>
      <c r="T25" t="s">
        <v>1218</v>
      </c>
    </row>
    <row r="26" spans="1:20" x14ac:dyDescent="0.25">
      <c r="A26" t="s">
        <v>945</v>
      </c>
      <c r="B26" s="9">
        <f>(1-NASLDC)*NASL</f>
        <v>0</v>
      </c>
      <c r="D26" s="11"/>
      <c r="F26" s="8">
        <f>FU_NASL*(1-FU_NASLDC)</f>
        <v>0</v>
      </c>
      <c r="G26" s="8"/>
      <c r="H26" s="8"/>
      <c r="I26" s="8"/>
      <c r="J26" s="8">
        <f>IP_NASL*(1-IP_NASLDC)</f>
        <v>0</v>
      </c>
      <c r="K26" s="8"/>
      <c r="L26" s="8"/>
      <c r="R26" t="s">
        <v>1221</v>
      </c>
      <c r="S26" t="s">
        <v>25</v>
      </c>
      <c r="T26" t="s">
        <v>1218</v>
      </c>
    </row>
    <row r="27" spans="1:20" x14ac:dyDescent="0.25">
      <c r="A27" t="s">
        <v>946</v>
      </c>
      <c r="B27" s="6">
        <f>NASR*(1-NASRDC)</f>
        <v>0</v>
      </c>
      <c r="D27" s="11"/>
      <c r="F27" s="8">
        <f>FU_NASR*(1-FU_NASRDC)</f>
        <v>0</v>
      </c>
      <c r="G27" s="8"/>
      <c r="H27" s="8"/>
      <c r="I27" s="8"/>
      <c r="J27" s="8">
        <f>IP_NASR*(1-IP_NASRDC)</f>
        <v>0</v>
      </c>
      <c r="K27" s="8"/>
      <c r="L27" s="8"/>
      <c r="S27" t="s">
        <v>1220</v>
      </c>
      <c r="T27" t="s">
        <v>1218</v>
      </c>
    </row>
    <row r="28" spans="1:20" x14ac:dyDescent="0.25">
      <c r="D28" s="11"/>
      <c r="F28" s="8"/>
      <c r="G28" s="8"/>
      <c r="H28" s="8"/>
      <c r="I28" s="8"/>
      <c r="J28" s="8"/>
      <c r="K28" s="8"/>
      <c r="L28" s="8"/>
      <c r="R28" t="s">
        <v>1093</v>
      </c>
      <c r="S28" t="s">
        <v>984</v>
      </c>
      <c r="T28" t="s">
        <v>1216</v>
      </c>
    </row>
    <row r="29" spans="1:20" ht="14.4" x14ac:dyDescent="0.3">
      <c r="A29" s="10" t="s">
        <v>947</v>
      </c>
      <c r="D29" s="12"/>
      <c r="F29" s="8"/>
      <c r="G29" s="8"/>
      <c r="H29" s="8"/>
      <c r="I29" s="8"/>
      <c r="J29" s="8"/>
      <c r="K29" s="8"/>
      <c r="L29" s="8"/>
      <c r="S29" t="s">
        <v>985</v>
      </c>
      <c r="T29" t="s">
        <v>1216</v>
      </c>
    </row>
    <row r="30" spans="1:20" x14ac:dyDescent="0.25">
      <c r="A30" t="s">
        <v>948</v>
      </c>
      <c r="B30" s="6">
        <f>B5*(NASL+NASR+ROTT)</f>
        <v>0</v>
      </c>
      <c r="F30" s="8">
        <f>H5*(F8+F10+F18)</f>
        <v>0</v>
      </c>
      <c r="G30" s="8"/>
      <c r="H30" s="8"/>
      <c r="I30" s="8"/>
      <c r="J30" s="8">
        <f>L5*(J8+J10+J18)</f>
        <v>0</v>
      </c>
      <c r="K30" s="8"/>
      <c r="L30" s="8"/>
    </row>
    <row r="31" spans="1:20" x14ac:dyDescent="0.25">
      <c r="A31" t="s">
        <v>949</v>
      </c>
      <c r="B31" s="6">
        <f>B5*(B26+B27)</f>
        <v>0</v>
      </c>
      <c r="F31" s="8">
        <f>H5*(F26+F27)</f>
        <v>0</v>
      </c>
      <c r="G31" s="8"/>
      <c r="H31" s="8"/>
      <c r="I31" s="8"/>
      <c r="J31" s="8">
        <f>L5*(J26+J27)</f>
        <v>0</v>
      </c>
      <c r="K31" s="8"/>
      <c r="L31" s="8"/>
      <c r="R31" t="s">
        <v>941</v>
      </c>
      <c r="S31" t="s">
        <v>25</v>
      </c>
      <c r="T31" t="s">
        <v>1218</v>
      </c>
    </row>
    <row r="32" spans="1:20" x14ac:dyDescent="0.25">
      <c r="F32" s="8"/>
      <c r="G32" s="8"/>
      <c r="H32" s="8"/>
      <c r="I32" s="8"/>
      <c r="J32" s="8"/>
      <c r="K32" s="8"/>
      <c r="L32" s="8"/>
      <c r="S32" t="s">
        <v>1220</v>
      </c>
      <c r="T32" t="s">
        <v>1218</v>
      </c>
    </row>
    <row r="33" spans="1:20" x14ac:dyDescent="0.25">
      <c r="A33" t="s">
        <v>950</v>
      </c>
      <c r="B33" s="6">
        <f>B31-B30+B5</f>
        <v>0</v>
      </c>
      <c r="C33" s="6">
        <f>B33*52</f>
        <v>0</v>
      </c>
      <c r="D33" s="7">
        <f>IF($B$20=1,C33/$B$21,C33)</f>
        <v>0</v>
      </c>
      <c r="F33" s="8">
        <f>(F31-F30+H5)/52</f>
        <v>0</v>
      </c>
      <c r="G33" s="8"/>
      <c r="H33" s="8">
        <f>(F31-F30+H5)*52</f>
        <v>0</v>
      </c>
      <c r="I33" s="8"/>
      <c r="J33" s="8">
        <f>(J31-J30+L5)/52</f>
        <v>0</v>
      </c>
      <c r="K33" s="8"/>
      <c r="L33" s="8">
        <f>(J31-J30+L5)*52</f>
        <v>0</v>
      </c>
      <c r="R33" t="s">
        <v>1221</v>
      </c>
      <c r="S33" t="s">
        <v>25</v>
      </c>
      <c r="T33" t="s">
        <v>1218</v>
      </c>
    </row>
    <row r="34" spans="1:20" x14ac:dyDescent="0.25">
      <c r="F34" s="8"/>
      <c r="G34" s="8"/>
      <c r="H34" s="8"/>
      <c r="I34" s="8"/>
      <c r="J34" s="8"/>
      <c r="K34" s="8"/>
      <c r="L34" s="8"/>
      <c r="S34" t="s">
        <v>1220</v>
      </c>
      <c r="T34" t="s">
        <v>1218</v>
      </c>
    </row>
    <row r="35" spans="1:20" x14ac:dyDescent="0.25">
      <c r="F35" s="8"/>
      <c r="G35" s="8"/>
      <c r="H35" s="8"/>
      <c r="I35" s="8"/>
      <c r="J35" s="8"/>
      <c r="K35" s="8"/>
      <c r="L35" s="8"/>
      <c r="R35" t="s">
        <v>1093</v>
      </c>
      <c r="S35" t="s">
        <v>984</v>
      </c>
      <c r="T35" t="s">
        <v>1218</v>
      </c>
    </row>
    <row r="36" spans="1:20" ht="14.4" x14ac:dyDescent="0.3">
      <c r="A36" s="10" t="s">
        <v>951</v>
      </c>
      <c r="F36" s="8"/>
      <c r="G36" s="8"/>
      <c r="H36" s="8"/>
      <c r="I36" s="8"/>
      <c r="J36" s="8"/>
      <c r="K36" s="8"/>
      <c r="L36" s="8"/>
      <c r="S36" t="s">
        <v>985</v>
      </c>
      <c r="T36" t="s">
        <v>1218</v>
      </c>
    </row>
    <row r="37" spans="1:20" x14ac:dyDescent="0.25">
      <c r="A37" t="s">
        <v>948</v>
      </c>
      <c r="B37" s="6">
        <f>B13*(B8+B10+B18)</f>
        <v>0</v>
      </c>
      <c r="F37" s="8">
        <f>F13*(F8+F10)</f>
        <v>0</v>
      </c>
      <c r="G37" s="8"/>
      <c r="H37" s="8"/>
      <c r="I37" s="8"/>
      <c r="J37" s="8">
        <f>J13*(J8+J10)</f>
        <v>0</v>
      </c>
      <c r="K37" s="8"/>
      <c r="L37" s="8"/>
      <c r="S37" t="s">
        <v>1222</v>
      </c>
      <c r="T37" t="s">
        <v>1218</v>
      </c>
    </row>
    <row r="38" spans="1:20" x14ac:dyDescent="0.25">
      <c r="A38" t="s">
        <v>949</v>
      </c>
      <c r="B38" s="6">
        <f>B13*(B26+B27)</f>
        <v>0</v>
      </c>
      <c r="F38" s="8">
        <f>F13*(F26+F27)</f>
        <v>0</v>
      </c>
      <c r="G38" s="8"/>
      <c r="H38" s="8"/>
      <c r="I38" s="8"/>
      <c r="J38" s="8">
        <f>J13*(J26+J27)</f>
        <v>0</v>
      </c>
      <c r="K38" s="8"/>
      <c r="L38" s="8"/>
    </row>
    <row r="39" spans="1:20" x14ac:dyDescent="0.25">
      <c r="F39" s="8"/>
      <c r="G39" s="8"/>
      <c r="H39" s="8"/>
      <c r="I39" s="8"/>
      <c r="J39" s="8"/>
      <c r="K39" s="8"/>
      <c r="L39" s="8"/>
      <c r="R39" t="s">
        <v>1203</v>
      </c>
      <c r="T39" t="s">
        <v>1218</v>
      </c>
    </row>
    <row r="40" spans="1:20" x14ac:dyDescent="0.25">
      <c r="A40" t="s">
        <v>952</v>
      </c>
      <c r="B40" s="6">
        <f>B13+B38-B37</f>
        <v>0</v>
      </c>
      <c r="C40" s="6">
        <f>B40*52</f>
        <v>0</v>
      </c>
      <c r="D40" s="7">
        <f>IF($B$20=1,C40/$B$21,C40)</f>
        <v>0</v>
      </c>
      <c r="F40" s="8">
        <f>F13+F38-F37</f>
        <v>0</v>
      </c>
      <c r="G40" s="8"/>
      <c r="H40" s="8">
        <f>F40*52</f>
        <v>0</v>
      </c>
      <c r="I40" s="8"/>
      <c r="J40" s="8">
        <f>J13+J38-J37</f>
        <v>0</v>
      </c>
      <c r="K40" s="8"/>
      <c r="L40" s="8">
        <f>J40*52</f>
        <v>0</v>
      </c>
    </row>
    <row r="41" spans="1:20" x14ac:dyDescent="0.25">
      <c r="F41" s="8"/>
      <c r="G41" s="8"/>
      <c r="H41" s="8"/>
      <c r="I41" s="8"/>
      <c r="J41" s="8"/>
      <c r="K41" s="8"/>
      <c r="L41" s="8"/>
    </row>
    <row r="42" spans="1:20" x14ac:dyDescent="0.25">
      <c r="F42" s="8"/>
      <c r="G42" s="8"/>
      <c r="H42" s="8"/>
      <c r="I42" s="8"/>
      <c r="J42" s="8"/>
      <c r="K42" s="8"/>
      <c r="L42" s="8"/>
    </row>
    <row r="43" spans="1:20" ht="14.4" x14ac:dyDescent="0.3">
      <c r="A43" s="10" t="s">
        <v>953</v>
      </c>
      <c r="F43" s="8"/>
      <c r="G43" s="8"/>
      <c r="H43" s="8"/>
      <c r="I43" s="8"/>
      <c r="J43" s="8"/>
      <c r="K43" s="8"/>
      <c r="L43" s="8"/>
    </row>
    <row r="44" spans="1:20" x14ac:dyDescent="0.25">
      <c r="A44" t="s">
        <v>954</v>
      </c>
      <c r="F44" s="8"/>
      <c r="G44" s="8"/>
      <c r="H44" s="8"/>
      <c r="I44" s="8"/>
      <c r="J44" s="8"/>
      <c r="K44" s="8"/>
      <c r="L44" s="8"/>
    </row>
    <row r="45" spans="1:20" x14ac:dyDescent="0.25">
      <c r="F45" s="8"/>
      <c r="G45" s="8"/>
      <c r="H45" s="8"/>
      <c r="I45" s="8"/>
      <c r="J45" s="8"/>
      <c r="K45" s="8"/>
      <c r="L45" s="8"/>
    </row>
    <row r="46" spans="1:20" x14ac:dyDescent="0.25">
      <c r="A46" t="s">
        <v>948</v>
      </c>
      <c r="B46" s="6">
        <f>B25*(B8+B10+B18)</f>
        <v>0</v>
      </c>
      <c r="F46" s="8">
        <f>F25*(F8+F10)</f>
        <v>0</v>
      </c>
      <c r="G46" s="8"/>
      <c r="H46" s="8"/>
      <c r="I46" s="8"/>
      <c r="J46" s="8">
        <f>J25*(J8+J10)</f>
        <v>0</v>
      </c>
      <c r="K46" s="8"/>
      <c r="L46" s="8"/>
    </row>
    <row r="47" spans="1:20" x14ac:dyDescent="0.25">
      <c r="A47" t="s">
        <v>949</v>
      </c>
      <c r="B47" s="6">
        <f>B25*(B26+B27)</f>
        <v>0</v>
      </c>
      <c r="F47" s="8">
        <f>F25*(F26+F27)</f>
        <v>0</v>
      </c>
      <c r="G47" s="8"/>
      <c r="H47" s="8"/>
      <c r="I47" s="8"/>
      <c r="J47" s="8">
        <f>J25*(J26+J27)</f>
        <v>0</v>
      </c>
      <c r="K47" s="8"/>
      <c r="L47" s="8"/>
    </row>
    <row r="48" spans="1:20" x14ac:dyDescent="0.25">
      <c r="F48" s="8" t="s">
        <v>901</v>
      </c>
      <c r="G48" s="8"/>
      <c r="H48" s="8"/>
      <c r="I48" s="8"/>
      <c r="J48" s="8" t="s">
        <v>901</v>
      </c>
      <c r="K48" s="8"/>
      <c r="L48" s="8"/>
    </row>
    <row r="49" spans="1:40" x14ac:dyDescent="0.25">
      <c r="A49" t="s">
        <v>955</v>
      </c>
      <c r="B49" s="6">
        <f>B25+B47-B46</f>
        <v>0</v>
      </c>
      <c r="C49" s="6">
        <f>B49</f>
        <v>0</v>
      </c>
      <c r="D49" s="7">
        <f>IF($B$20=1,C49/$B$21,C49)</f>
        <v>0</v>
      </c>
      <c r="F49" s="8">
        <f>F25+F47-F46</f>
        <v>0</v>
      </c>
      <c r="G49" s="8">
        <f>F49</f>
        <v>0</v>
      </c>
      <c r="H49" s="8">
        <f>IF($F$20=1,G49/$F$21,G49)</f>
        <v>0</v>
      </c>
      <c r="I49" s="8"/>
      <c r="J49" s="8">
        <f>J25+J47-J46</f>
        <v>0</v>
      </c>
      <c r="K49" s="8">
        <f>J49</f>
        <v>0</v>
      </c>
      <c r="L49" s="8">
        <f>IF($J$20=1,K49/$J$21,K49)</f>
        <v>0</v>
      </c>
    </row>
    <row r="50" spans="1:40" x14ac:dyDescent="0.25">
      <c r="F50" t="s">
        <v>1022</v>
      </c>
      <c r="J50" t="s">
        <v>1022</v>
      </c>
    </row>
    <row r="51" spans="1:40" x14ac:dyDescent="0.25">
      <c r="F51">
        <v>0</v>
      </c>
      <c r="H51">
        <v>0</v>
      </c>
      <c r="J51">
        <f>K25*(1+(J8*(1-J9))-(J8+J10+J18)+(J10*(1-J11)))</f>
        <v>0</v>
      </c>
      <c r="K51">
        <f>J51</f>
        <v>0</v>
      </c>
      <c r="L51" s="8">
        <f>IF($J$20=1,K51/$J$21,K51)</f>
        <v>0</v>
      </c>
    </row>
    <row r="52" spans="1:40" x14ac:dyDescent="0.25">
      <c r="A52" s="1" t="s">
        <v>956</v>
      </c>
      <c r="M52" t="s">
        <v>1016</v>
      </c>
      <c r="Z52">
        <f>1-(NASL*NASLDC)</f>
        <v>1</v>
      </c>
    </row>
    <row r="53" spans="1:40" x14ac:dyDescent="0.25">
      <c r="A53" t="s">
        <v>1141</v>
      </c>
      <c r="B53" s="92" t="s">
        <v>1142</v>
      </c>
    </row>
    <row r="54" spans="1:40" x14ac:dyDescent="0.25">
      <c r="M54" t="s">
        <v>1207</v>
      </c>
      <c r="Q54">
        <f>(1-ROTT)*(1-(NASR*NASRDC) - (NASL*NASLDC))</f>
        <v>1</v>
      </c>
      <c r="R54">
        <f>(1-FU_ROTT)*(1-(FU_NASR*FU_NASRDC) - (FU_NASL*FU_NASLDC))</f>
        <v>1</v>
      </c>
      <c r="S54">
        <f>(1-IP_ROTT)*(1-(IP_NASR*IP_NASRDC) - (IP_NASL*IP_NASLDC))</f>
        <v>1</v>
      </c>
      <c r="Z54">
        <f>1-(NASL*NASLDC)</f>
        <v>1</v>
      </c>
      <c r="AA54">
        <f>1-(FU_NASL*FU_NASLDC)</f>
        <v>1</v>
      </c>
      <c r="AB54">
        <f>1-(IP_NASL*IP_NASLDC)</f>
        <v>1</v>
      </c>
    </row>
    <row r="55" spans="1:40" x14ac:dyDescent="0.25">
      <c r="A55" t="s">
        <v>1143</v>
      </c>
      <c r="B55" s="100">
        <f>'Reference dates (hide)'!B40</f>
        <v>43831</v>
      </c>
      <c r="C55" s="6" t="s">
        <v>1150</v>
      </c>
      <c r="G55" s="7"/>
      <c r="Q55" s="116" t="str">
        <f ca="1">IF(OFFSET('Control Sheet'!E$45,MID($A$1,6,LEN($A$1)-6),0,1,1)=0,"",OFFSET('Control Sheet'!E$45,MID($A$1,6,LEN($A$1)-6),0,1,1))</f>
        <v/>
      </c>
      <c r="R55" s="116" t="str">
        <f ca="1">IF(OFFSET('Control Sheet'!F$45,MID($A$1,6,LEN($A$1)-6),0,1,1)=0,"",OFFSET('Control Sheet'!F$45,MID($A$1,6,LEN($A$1)-6),0,1,1))</f>
        <v/>
      </c>
      <c r="S55" s="116" t="str">
        <f ca="1">IF(OFFSET('Control Sheet'!G$45,MID($A$1,6,LEN($A$1)-6),0,1,1)=0,"",OFFSET('Control Sheet'!G$45,MID($A$1,6,LEN($A$1)-6),0,1,1))</f>
        <v/>
      </c>
      <c r="T55" s="118" t="str">
        <f ca="1">IF(OFFSET('Control Sheet'!I$45,MID($A$1,6,LEN($A$1)-6),0,1,1)="0","",OFFSET('Control Sheet'!I$45,MID($A$1,6,LEN($A$1)-6),0,1,1))</f>
        <v/>
      </c>
      <c r="U55" s="118" t="str">
        <f ca="1">IF(OFFSET('Control Sheet'!J$45,MID($A$1,6,LEN($A$1)-6),0,1,1)=0,"",OFFSET('Control Sheet'!J$45,MID($A$1,6,LEN($A$1)-6),0,1,1))</f>
        <v/>
      </c>
      <c r="V55" s="118" t="str">
        <f ca="1">IF(OFFSET('Control Sheet'!K$45,MID($A$1,6,LEN($A$1)-6),0,1,1)=0,"",OFFSET('Control Sheet'!K$45,MID($A$1,6,LEN($A$1)-6),0,1,1))</f>
        <v/>
      </c>
    </row>
    <row r="56" spans="1:40" ht="14.4" x14ac:dyDescent="0.3">
      <c r="A56" t="s">
        <v>1202</v>
      </c>
      <c r="C56" s="6" t="s">
        <v>1204</v>
      </c>
      <c r="D56" s="6"/>
      <c r="E56" s="7"/>
      <c r="F56" t="s">
        <v>860</v>
      </c>
      <c r="N56" s="6"/>
      <c r="O56" s="6"/>
      <c r="P56" s="7"/>
      <c r="Q56" s="93" t="s">
        <v>1236</v>
      </c>
      <c r="R56" s="6"/>
      <c r="T56" s="107" t="s">
        <v>1093</v>
      </c>
      <c r="Z56" s="93" t="s">
        <v>1212</v>
      </c>
      <c r="AC56" s="108" t="s">
        <v>1276</v>
      </c>
      <c r="AF56" s="1" t="s">
        <v>1306</v>
      </c>
      <c r="AI56" t="s">
        <v>1275</v>
      </c>
      <c r="AL56" t="s">
        <v>1312</v>
      </c>
    </row>
    <row r="57" spans="1:40" x14ac:dyDescent="0.25">
      <c r="A57" s="1" t="s">
        <v>1144</v>
      </c>
      <c r="B57" s="1" t="s">
        <v>1151</v>
      </c>
      <c r="C57" s="94" t="s">
        <v>1203</v>
      </c>
      <c r="D57" s="94" t="s">
        <v>984</v>
      </c>
      <c r="E57" s="111" t="s">
        <v>985</v>
      </c>
      <c r="F57" s="1" t="s">
        <v>951</v>
      </c>
      <c r="G57" s="1" t="s">
        <v>1205</v>
      </c>
      <c r="H57" s="1" t="s">
        <v>1206</v>
      </c>
      <c r="I57" s="1" t="s">
        <v>25</v>
      </c>
      <c r="J57" s="1" t="s">
        <v>1220</v>
      </c>
      <c r="K57" s="1" t="s">
        <v>1266</v>
      </c>
      <c r="M57" s="1" t="s">
        <v>1144</v>
      </c>
      <c r="N57" s="94" t="s">
        <v>1159</v>
      </c>
      <c r="O57" s="94" t="s">
        <v>1151</v>
      </c>
      <c r="P57" s="7" t="s">
        <v>1201</v>
      </c>
      <c r="Q57" s="6" t="s">
        <v>1196</v>
      </c>
      <c r="R57" s="6" t="s">
        <v>1197</v>
      </c>
      <c r="S57" s="7" t="s">
        <v>1198</v>
      </c>
      <c r="T57" s="109" t="s">
        <v>1188</v>
      </c>
      <c r="U57" s="109" t="s">
        <v>1189</v>
      </c>
      <c r="V57" s="109" t="s">
        <v>1190</v>
      </c>
      <c r="W57" s="110" t="s">
        <v>1191</v>
      </c>
      <c r="X57" s="110" t="s">
        <v>1192</v>
      </c>
      <c r="Y57" s="110" t="s">
        <v>1193</v>
      </c>
      <c r="Z57" s="57">
        <v>1</v>
      </c>
      <c r="AA57">
        <v>2</v>
      </c>
      <c r="AB57">
        <v>3</v>
      </c>
      <c r="AC57" t="s">
        <v>1146</v>
      </c>
      <c r="AD57" t="s">
        <v>1147</v>
      </c>
      <c r="AE57" t="s">
        <v>1148</v>
      </c>
      <c r="AF57" t="s">
        <v>1146</v>
      </c>
      <c r="AG57" t="s">
        <v>1147</v>
      </c>
      <c r="AH57" t="s">
        <v>1148</v>
      </c>
      <c r="AI57" t="s">
        <v>1146</v>
      </c>
      <c r="AJ57" t="s">
        <v>1147</v>
      </c>
      <c r="AK57" t="s">
        <v>1148</v>
      </c>
      <c r="AL57" t="s">
        <v>1146</v>
      </c>
      <c r="AM57" t="s">
        <v>1147</v>
      </c>
      <c r="AN57" t="s">
        <v>1148</v>
      </c>
    </row>
    <row r="58" spans="1:40" x14ac:dyDescent="0.25">
      <c r="B58"/>
      <c r="C58"/>
      <c r="D58"/>
      <c r="M58" s="101">
        <f>IF(B55&lt;&gt;"",B55-WEEKDAY(B55,3),"")</f>
        <v>43829</v>
      </c>
      <c r="N58" s="99">
        <f>YEAR(M58)</f>
        <v>2019</v>
      </c>
      <c r="O58" s="8">
        <f>WEEKNUM(M58,21)</f>
        <v>1</v>
      </c>
      <c r="P58">
        <f ca="1">'Reference dates (hide)'!K43</f>
        <v>7.874015748031496E-3</v>
      </c>
    </row>
    <row r="59" spans="1:40" x14ac:dyDescent="0.25">
      <c r="B59"/>
      <c r="C59"/>
      <c r="D59"/>
      <c r="M59" s="101">
        <f>IF('Reference dates (hide)'!I44&lt;&gt;"",'Reference dates (hide)'!I44,"")</f>
        <v>43836</v>
      </c>
      <c r="N59" s="99">
        <f t="shared" ref="N59:N110" si="0">YEAR(M59)</f>
        <v>2020</v>
      </c>
      <c r="O59" s="8">
        <f t="shared" ref="O59:O110" si="1">WEEKNUM(M59,21)</f>
        <v>2</v>
      </c>
      <c r="P59">
        <f ca="1">'Reference dates (hide)'!K44</f>
        <v>1.968503937007874E-2</v>
      </c>
    </row>
    <row r="60" spans="1:40" x14ac:dyDescent="0.25">
      <c r="B60"/>
      <c r="C60"/>
      <c r="D60"/>
      <c r="M60" s="101">
        <f>IF('Reference dates (hide)'!I45&lt;&gt;"",'Reference dates (hide)'!I45,"")</f>
        <v>43843</v>
      </c>
      <c r="N60" s="99">
        <f t="shared" si="0"/>
        <v>2020</v>
      </c>
      <c r="O60" s="8">
        <f t="shared" si="1"/>
        <v>3</v>
      </c>
      <c r="P60">
        <f ca="1">'Reference dates (hide)'!K45</f>
        <v>1.968503937007874E-2</v>
      </c>
    </row>
    <row r="61" spans="1:40" x14ac:dyDescent="0.25">
      <c r="B61"/>
      <c r="C61"/>
      <c r="D61"/>
      <c r="M61" s="101">
        <f>IF('Reference dates (hide)'!I46&lt;&gt;"",'Reference dates (hide)'!I46,"")</f>
        <v>43850</v>
      </c>
      <c r="N61" s="99">
        <f t="shared" si="0"/>
        <v>2020</v>
      </c>
      <c r="O61" s="8">
        <f t="shared" si="1"/>
        <v>4</v>
      </c>
      <c r="P61">
        <f ca="1">'Reference dates (hide)'!K46</f>
        <v>1.968503937007874E-2</v>
      </c>
    </row>
    <row r="62" spans="1:40" x14ac:dyDescent="0.25">
      <c r="B62"/>
      <c r="C62"/>
      <c r="D62"/>
      <c r="M62" s="101">
        <f>IF('Reference dates (hide)'!I47&lt;&gt;"",'Reference dates (hide)'!I47,"")</f>
        <v>43857</v>
      </c>
      <c r="N62" s="99">
        <f t="shared" si="0"/>
        <v>2020</v>
      </c>
      <c r="O62" s="8">
        <f t="shared" si="1"/>
        <v>5</v>
      </c>
      <c r="P62">
        <f ca="1">'Reference dates (hide)'!K47</f>
        <v>1.968503937007874E-2</v>
      </c>
    </row>
    <row r="63" spans="1:40" x14ac:dyDescent="0.25">
      <c r="B63"/>
      <c r="C63"/>
      <c r="D63"/>
      <c r="M63" s="101">
        <f>IF('Reference dates (hide)'!I48&lt;&gt;"",'Reference dates (hide)'!I48,"")</f>
        <v>43864</v>
      </c>
      <c r="N63" s="99">
        <f t="shared" si="0"/>
        <v>2020</v>
      </c>
      <c r="O63" s="8">
        <f t="shared" si="1"/>
        <v>6</v>
      </c>
      <c r="P63">
        <f ca="1">'Reference dates (hide)'!K48</f>
        <v>1.968503937007874E-2</v>
      </c>
    </row>
    <row r="64" spans="1:40" x14ac:dyDescent="0.25">
      <c r="B64"/>
      <c r="C64"/>
      <c r="D64"/>
      <c r="M64" s="101">
        <f>IF('Reference dates (hide)'!I49&lt;&gt;"",'Reference dates (hide)'!I49,"")</f>
        <v>43871</v>
      </c>
      <c r="N64" s="99">
        <f t="shared" si="0"/>
        <v>2020</v>
      </c>
      <c r="O64" s="8">
        <f t="shared" si="1"/>
        <v>7</v>
      </c>
      <c r="P64">
        <f ca="1">'Reference dates (hide)'!K49</f>
        <v>1.968503937007874E-2</v>
      </c>
    </row>
    <row r="65" spans="2:16" x14ac:dyDescent="0.25">
      <c r="B65"/>
      <c r="C65"/>
      <c r="D65"/>
      <c r="M65" s="101">
        <f>IF('Reference dates (hide)'!I50&lt;&gt;"",'Reference dates (hide)'!I50,"")</f>
        <v>43878</v>
      </c>
      <c r="N65" s="99">
        <f t="shared" si="0"/>
        <v>2020</v>
      </c>
      <c r="O65" s="8">
        <f t="shared" si="1"/>
        <v>8</v>
      </c>
      <c r="P65">
        <f ca="1">'Reference dates (hide)'!K50</f>
        <v>1.968503937007874E-2</v>
      </c>
    </row>
    <row r="66" spans="2:16" x14ac:dyDescent="0.25">
      <c r="B66"/>
      <c r="C66"/>
      <c r="D66"/>
      <c r="M66" s="101">
        <f>IF('Reference dates (hide)'!I51&lt;&gt;"",'Reference dates (hide)'!I51,"")</f>
        <v>43885</v>
      </c>
      <c r="N66" s="99">
        <f t="shared" si="0"/>
        <v>2020</v>
      </c>
      <c r="O66" s="8">
        <f t="shared" si="1"/>
        <v>9</v>
      </c>
      <c r="P66">
        <f ca="1">'Reference dates (hide)'!K51</f>
        <v>1.968503937007874E-2</v>
      </c>
    </row>
    <row r="67" spans="2:16" x14ac:dyDescent="0.25">
      <c r="B67"/>
      <c r="C67"/>
      <c r="D67"/>
      <c r="M67" s="101">
        <f>IF('Reference dates (hide)'!I52&lt;&gt;"",'Reference dates (hide)'!I52,"")</f>
        <v>43892</v>
      </c>
      <c r="N67" s="99">
        <f t="shared" si="0"/>
        <v>2020</v>
      </c>
      <c r="O67" s="8">
        <f t="shared" si="1"/>
        <v>10</v>
      </c>
      <c r="P67">
        <f ca="1">'Reference dates (hide)'!K52</f>
        <v>1.968503937007874E-2</v>
      </c>
    </row>
    <row r="68" spans="2:16" x14ac:dyDescent="0.25">
      <c r="B68"/>
      <c r="C68"/>
      <c r="D68"/>
      <c r="M68" s="101">
        <f>IF('Reference dates (hide)'!I53&lt;&gt;"",'Reference dates (hide)'!I53,"")</f>
        <v>43899</v>
      </c>
      <c r="N68" s="99">
        <f t="shared" si="0"/>
        <v>2020</v>
      </c>
      <c r="O68" s="8">
        <f t="shared" si="1"/>
        <v>11</v>
      </c>
      <c r="P68">
        <f ca="1">'Reference dates (hide)'!K53</f>
        <v>1.968503937007874E-2</v>
      </c>
    </row>
    <row r="69" spans="2:16" x14ac:dyDescent="0.25">
      <c r="B69"/>
      <c r="C69"/>
      <c r="D69"/>
      <c r="M69" s="101">
        <f>IF('Reference dates (hide)'!I54&lt;&gt;"",'Reference dates (hide)'!I54,"")</f>
        <v>43906</v>
      </c>
      <c r="N69" s="99">
        <f t="shared" si="0"/>
        <v>2020</v>
      </c>
      <c r="O69" s="8">
        <f t="shared" si="1"/>
        <v>12</v>
      </c>
      <c r="P69">
        <f ca="1">'Reference dates (hide)'!K54</f>
        <v>1.968503937007874E-2</v>
      </c>
    </row>
    <row r="70" spans="2:16" x14ac:dyDescent="0.25">
      <c r="B70"/>
      <c r="C70"/>
      <c r="D70"/>
      <c r="M70" s="101">
        <f>IF('Reference dates (hide)'!I55&lt;&gt;"",'Reference dates (hide)'!I55,"")</f>
        <v>43913</v>
      </c>
      <c r="N70" s="99">
        <f t="shared" si="0"/>
        <v>2020</v>
      </c>
      <c r="O70" s="8">
        <f t="shared" si="1"/>
        <v>13</v>
      </c>
      <c r="P70">
        <f ca="1">'Reference dates (hide)'!K55</f>
        <v>1.968503937007874E-2</v>
      </c>
    </row>
    <row r="71" spans="2:16" x14ac:dyDescent="0.25">
      <c r="B71"/>
      <c r="C71"/>
      <c r="D71"/>
      <c r="M71" s="101">
        <f>IF('Reference dates (hide)'!I56&lt;&gt;"",'Reference dates (hide)'!I56,"")</f>
        <v>43920</v>
      </c>
      <c r="N71" s="99">
        <f t="shared" si="0"/>
        <v>2020</v>
      </c>
      <c r="O71" s="8">
        <f t="shared" si="1"/>
        <v>14</v>
      </c>
      <c r="P71">
        <f ca="1">'Reference dates (hide)'!K56</f>
        <v>1.968503937007874E-2</v>
      </c>
    </row>
    <row r="72" spans="2:16" x14ac:dyDescent="0.25">
      <c r="B72"/>
      <c r="C72"/>
      <c r="D72"/>
      <c r="M72" s="101">
        <f>IF('Reference dates (hide)'!I57&lt;&gt;"",'Reference dates (hide)'!I57,"")</f>
        <v>43927</v>
      </c>
      <c r="N72" s="99">
        <f t="shared" si="0"/>
        <v>2020</v>
      </c>
      <c r="O72" s="8">
        <f t="shared" si="1"/>
        <v>15</v>
      </c>
      <c r="P72">
        <f ca="1">'Reference dates (hide)'!K57</f>
        <v>1.5748031496062992E-2</v>
      </c>
    </row>
    <row r="73" spans="2:16" x14ac:dyDescent="0.25">
      <c r="B73"/>
      <c r="C73"/>
      <c r="D73"/>
      <c r="M73" s="101">
        <f>IF('Reference dates (hide)'!I58&lt;&gt;"",'Reference dates (hide)'!I58,"")</f>
        <v>43934</v>
      </c>
      <c r="N73" s="99">
        <f t="shared" si="0"/>
        <v>2020</v>
      </c>
      <c r="O73" s="8">
        <f t="shared" si="1"/>
        <v>16</v>
      </c>
      <c r="P73">
        <f ca="1">'Reference dates (hide)'!K58</f>
        <v>1.5748031496062992E-2</v>
      </c>
    </row>
    <row r="74" spans="2:16" x14ac:dyDescent="0.25">
      <c r="B74"/>
      <c r="C74"/>
      <c r="D74"/>
      <c r="M74" s="101">
        <f>IF('Reference dates (hide)'!I59&lt;&gt;"",'Reference dates (hide)'!I59,"")</f>
        <v>43941</v>
      </c>
      <c r="N74" s="99">
        <f t="shared" si="0"/>
        <v>2020</v>
      </c>
      <c r="O74" s="8">
        <f t="shared" si="1"/>
        <v>17</v>
      </c>
      <c r="P74">
        <f ca="1">'Reference dates (hide)'!K59</f>
        <v>1.968503937007874E-2</v>
      </c>
    </row>
    <row r="75" spans="2:16" x14ac:dyDescent="0.25">
      <c r="B75"/>
      <c r="C75"/>
      <c r="D75"/>
      <c r="M75" s="101">
        <f>IF('Reference dates (hide)'!I60&lt;&gt;"",'Reference dates (hide)'!I60,"")</f>
        <v>43948</v>
      </c>
      <c r="N75" s="99">
        <f t="shared" si="0"/>
        <v>2020</v>
      </c>
      <c r="O75" s="8">
        <f t="shared" si="1"/>
        <v>18</v>
      </c>
      <c r="P75">
        <f ca="1">'Reference dates (hide)'!K60</f>
        <v>1.968503937007874E-2</v>
      </c>
    </row>
    <row r="76" spans="2:16" x14ac:dyDescent="0.25">
      <c r="B76"/>
      <c r="C76"/>
      <c r="D76"/>
      <c r="M76" s="101">
        <f>IF('Reference dates (hide)'!I61&lt;&gt;"",'Reference dates (hide)'!I61,"")</f>
        <v>43955</v>
      </c>
      <c r="N76" s="99">
        <f t="shared" si="0"/>
        <v>2020</v>
      </c>
      <c r="O76" s="8">
        <f t="shared" si="1"/>
        <v>19</v>
      </c>
      <c r="P76">
        <f ca="1">'Reference dates (hide)'!K61</f>
        <v>1.5748031496062992E-2</v>
      </c>
    </row>
    <row r="77" spans="2:16" x14ac:dyDescent="0.25">
      <c r="B77"/>
      <c r="C77"/>
      <c r="D77"/>
      <c r="M77" s="101">
        <f>IF('Reference dates (hide)'!I62&lt;&gt;"",'Reference dates (hide)'!I62,"")</f>
        <v>43962</v>
      </c>
      <c r="N77" s="99">
        <f t="shared" si="0"/>
        <v>2020</v>
      </c>
      <c r="O77" s="8">
        <f t="shared" si="1"/>
        <v>20</v>
      </c>
      <c r="P77">
        <f ca="1">'Reference dates (hide)'!K62</f>
        <v>1.968503937007874E-2</v>
      </c>
    </row>
    <row r="78" spans="2:16" x14ac:dyDescent="0.25">
      <c r="B78"/>
      <c r="C78"/>
      <c r="D78"/>
      <c r="M78" s="101">
        <f>IF('Reference dates (hide)'!I63&lt;&gt;"",'Reference dates (hide)'!I63,"")</f>
        <v>43969</v>
      </c>
      <c r="N78" s="99">
        <f t="shared" si="0"/>
        <v>2020</v>
      </c>
      <c r="O78" s="8">
        <f t="shared" si="1"/>
        <v>21</v>
      </c>
      <c r="P78">
        <f ca="1">'Reference dates (hide)'!K63</f>
        <v>1.968503937007874E-2</v>
      </c>
    </row>
    <row r="79" spans="2:16" x14ac:dyDescent="0.25">
      <c r="B79"/>
      <c r="C79"/>
      <c r="D79"/>
      <c r="M79" s="101">
        <f>IF('Reference dates (hide)'!I64&lt;&gt;"",'Reference dates (hide)'!I64,"")</f>
        <v>43976</v>
      </c>
      <c r="N79" s="99">
        <f t="shared" si="0"/>
        <v>2020</v>
      </c>
      <c r="O79" s="8">
        <f t="shared" si="1"/>
        <v>22</v>
      </c>
      <c r="P79">
        <f ca="1">'Reference dates (hide)'!K64</f>
        <v>1.5748031496062992E-2</v>
      </c>
    </row>
    <row r="80" spans="2:16" x14ac:dyDescent="0.25">
      <c r="B80"/>
      <c r="C80"/>
      <c r="D80"/>
      <c r="M80" s="101">
        <f>IF('Reference dates (hide)'!I65&lt;&gt;"",'Reference dates (hide)'!I65,"")</f>
        <v>43983</v>
      </c>
      <c r="N80" s="99">
        <f t="shared" si="0"/>
        <v>2020</v>
      </c>
      <c r="O80" s="8">
        <f t="shared" si="1"/>
        <v>23</v>
      </c>
      <c r="P80">
        <f ca="1">'Reference dates (hide)'!K65</f>
        <v>1.968503937007874E-2</v>
      </c>
    </row>
    <row r="81" spans="2:16" x14ac:dyDescent="0.25">
      <c r="B81"/>
      <c r="C81"/>
      <c r="D81"/>
      <c r="M81" s="101">
        <f>IF('Reference dates (hide)'!I66&lt;&gt;"",'Reference dates (hide)'!I66,"")</f>
        <v>43990</v>
      </c>
      <c r="N81" s="99">
        <f t="shared" si="0"/>
        <v>2020</v>
      </c>
      <c r="O81" s="8">
        <f t="shared" si="1"/>
        <v>24</v>
      </c>
      <c r="P81">
        <f ca="1">'Reference dates (hide)'!K66</f>
        <v>1.968503937007874E-2</v>
      </c>
    </row>
    <row r="82" spans="2:16" x14ac:dyDescent="0.25">
      <c r="B82"/>
      <c r="C82"/>
      <c r="D82"/>
      <c r="M82" s="101">
        <f>IF('Reference dates (hide)'!I67&lt;&gt;"",'Reference dates (hide)'!I67,"")</f>
        <v>43997</v>
      </c>
      <c r="N82" s="99">
        <f t="shared" si="0"/>
        <v>2020</v>
      </c>
      <c r="O82" s="8">
        <f t="shared" si="1"/>
        <v>25</v>
      </c>
      <c r="P82">
        <f ca="1">'Reference dates (hide)'!K67</f>
        <v>1.968503937007874E-2</v>
      </c>
    </row>
    <row r="83" spans="2:16" x14ac:dyDescent="0.25">
      <c r="B83"/>
      <c r="C83"/>
      <c r="D83"/>
      <c r="M83" s="101">
        <f>IF('Reference dates (hide)'!I68&lt;&gt;"",'Reference dates (hide)'!I68,"")</f>
        <v>44004</v>
      </c>
      <c r="N83" s="99">
        <f t="shared" si="0"/>
        <v>2020</v>
      </c>
      <c r="O83" s="8">
        <f t="shared" si="1"/>
        <v>26</v>
      </c>
      <c r="P83">
        <f ca="1">'Reference dates (hide)'!K68</f>
        <v>1.968503937007874E-2</v>
      </c>
    </row>
    <row r="84" spans="2:16" x14ac:dyDescent="0.25">
      <c r="B84"/>
      <c r="C84"/>
      <c r="D84"/>
      <c r="M84" s="101">
        <f>IF('Reference dates (hide)'!I69&lt;&gt;"",'Reference dates (hide)'!I69,"")</f>
        <v>44011</v>
      </c>
      <c r="N84" s="99">
        <f t="shared" si="0"/>
        <v>2020</v>
      </c>
      <c r="O84" s="8">
        <f t="shared" si="1"/>
        <v>27</v>
      </c>
      <c r="P84">
        <f ca="1">'Reference dates (hide)'!K69</f>
        <v>1.968503937007874E-2</v>
      </c>
    </row>
    <row r="85" spans="2:16" x14ac:dyDescent="0.25">
      <c r="B85"/>
      <c r="C85"/>
      <c r="D85"/>
      <c r="M85" s="101">
        <f>IF('Reference dates (hide)'!I70&lt;&gt;"",'Reference dates (hide)'!I70,"")</f>
        <v>44018</v>
      </c>
      <c r="N85" s="99">
        <f t="shared" si="0"/>
        <v>2020</v>
      </c>
      <c r="O85" s="8">
        <f t="shared" si="1"/>
        <v>28</v>
      </c>
      <c r="P85">
        <f ca="1">'Reference dates (hide)'!K70</f>
        <v>1.968503937007874E-2</v>
      </c>
    </row>
    <row r="86" spans="2:16" x14ac:dyDescent="0.25">
      <c r="B86"/>
      <c r="C86"/>
      <c r="D86"/>
      <c r="M86" s="101">
        <f>IF('Reference dates (hide)'!I71&lt;&gt;"",'Reference dates (hide)'!I71,"")</f>
        <v>44025</v>
      </c>
      <c r="N86" s="99">
        <f t="shared" si="0"/>
        <v>2020</v>
      </c>
      <c r="O86" s="8">
        <f t="shared" si="1"/>
        <v>29</v>
      </c>
      <c r="P86">
        <f ca="1">'Reference dates (hide)'!K71</f>
        <v>1.968503937007874E-2</v>
      </c>
    </row>
    <row r="87" spans="2:16" x14ac:dyDescent="0.25">
      <c r="B87"/>
      <c r="C87"/>
      <c r="D87"/>
      <c r="M87" s="101">
        <f>IF('Reference dates (hide)'!I72&lt;&gt;"",'Reference dates (hide)'!I72,"")</f>
        <v>44032</v>
      </c>
      <c r="N87" s="99">
        <f t="shared" si="0"/>
        <v>2020</v>
      </c>
      <c r="O87" s="8">
        <f t="shared" si="1"/>
        <v>30</v>
      </c>
      <c r="P87">
        <f ca="1">'Reference dates (hide)'!K72</f>
        <v>1.968503937007874E-2</v>
      </c>
    </row>
    <row r="88" spans="2:16" x14ac:dyDescent="0.25">
      <c r="B88"/>
      <c r="C88"/>
      <c r="D88"/>
      <c r="M88" s="101">
        <f>IF('Reference dates (hide)'!I73&lt;&gt;"",'Reference dates (hide)'!I73,"")</f>
        <v>44039</v>
      </c>
      <c r="N88" s="99">
        <f t="shared" si="0"/>
        <v>2020</v>
      </c>
      <c r="O88" s="8">
        <f t="shared" si="1"/>
        <v>31</v>
      </c>
      <c r="P88">
        <f ca="1">'Reference dates (hide)'!K73</f>
        <v>1.968503937007874E-2</v>
      </c>
    </row>
    <row r="89" spans="2:16" x14ac:dyDescent="0.25">
      <c r="B89"/>
      <c r="C89"/>
      <c r="D89"/>
      <c r="M89" s="101">
        <f>IF('Reference dates (hide)'!I74&lt;&gt;"",'Reference dates (hide)'!I74,"")</f>
        <v>44046</v>
      </c>
      <c r="N89" s="99">
        <f t="shared" si="0"/>
        <v>2020</v>
      </c>
      <c r="O89" s="8">
        <f t="shared" si="1"/>
        <v>32</v>
      </c>
      <c r="P89">
        <f ca="1">'Reference dates (hide)'!K74</f>
        <v>1.968503937007874E-2</v>
      </c>
    </row>
    <row r="90" spans="2:16" x14ac:dyDescent="0.25">
      <c r="B90"/>
      <c r="C90"/>
      <c r="D90"/>
      <c r="M90" s="101">
        <f>IF('Reference dates (hide)'!I75&lt;&gt;"",'Reference dates (hide)'!I75,"")</f>
        <v>44053</v>
      </c>
      <c r="N90" s="99">
        <f t="shared" si="0"/>
        <v>2020</v>
      </c>
      <c r="O90" s="8">
        <f t="shared" si="1"/>
        <v>33</v>
      </c>
      <c r="P90">
        <f ca="1">'Reference dates (hide)'!K75</f>
        <v>1.968503937007874E-2</v>
      </c>
    </row>
    <row r="91" spans="2:16" x14ac:dyDescent="0.25">
      <c r="B91"/>
      <c r="C91"/>
      <c r="D91"/>
      <c r="M91" s="101">
        <f>IF('Reference dates (hide)'!I76&lt;&gt;"",'Reference dates (hide)'!I76,"")</f>
        <v>44060</v>
      </c>
      <c r="N91" s="99">
        <f t="shared" si="0"/>
        <v>2020</v>
      </c>
      <c r="O91" s="8">
        <f t="shared" si="1"/>
        <v>34</v>
      </c>
      <c r="P91">
        <f ca="1">'Reference dates (hide)'!K76</f>
        <v>1.968503937007874E-2</v>
      </c>
    </row>
    <row r="92" spans="2:16" x14ac:dyDescent="0.25">
      <c r="B92"/>
      <c r="C92"/>
      <c r="D92"/>
      <c r="M92" s="101">
        <f>IF('Reference dates (hide)'!I77&lt;&gt;"",'Reference dates (hide)'!I77,"")</f>
        <v>44067</v>
      </c>
      <c r="N92" s="99">
        <f t="shared" si="0"/>
        <v>2020</v>
      </c>
      <c r="O92" s="8">
        <f t="shared" si="1"/>
        <v>35</v>
      </c>
      <c r="P92">
        <f ca="1">'Reference dates (hide)'!K77</f>
        <v>1.968503937007874E-2</v>
      </c>
    </row>
    <row r="93" spans="2:16" x14ac:dyDescent="0.25">
      <c r="B93"/>
      <c r="C93"/>
      <c r="D93"/>
      <c r="M93" s="101">
        <f>IF('Reference dates (hide)'!I78&lt;&gt;"",'Reference dates (hide)'!I78,"")</f>
        <v>44074</v>
      </c>
      <c r="N93" s="99">
        <f t="shared" si="0"/>
        <v>2020</v>
      </c>
      <c r="O93" s="8">
        <f t="shared" si="1"/>
        <v>36</v>
      </c>
      <c r="P93">
        <f ca="1">'Reference dates (hide)'!K78</f>
        <v>1.5748031496062992E-2</v>
      </c>
    </row>
    <row r="94" spans="2:16" x14ac:dyDescent="0.25">
      <c r="B94"/>
      <c r="C94"/>
      <c r="D94"/>
      <c r="M94" s="101">
        <f>IF('Reference dates (hide)'!I79&lt;&gt;"",'Reference dates (hide)'!I79,"")</f>
        <v>44081</v>
      </c>
      <c r="N94" s="99">
        <f t="shared" si="0"/>
        <v>2020</v>
      </c>
      <c r="O94" s="8">
        <f t="shared" si="1"/>
        <v>37</v>
      </c>
      <c r="P94">
        <f ca="1">'Reference dates (hide)'!K79</f>
        <v>1.968503937007874E-2</v>
      </c>
    </row>
    <row r="95" spans="2:16" x14ac:dyDescent="0.25">
      <c r="B95"/>
      <c r="C95"/>
      <c r="D95"/>
      <c r="M95" s="101">
        <f>IF('Reference dates (hide)'!I80&lt;&gt;"",'Reference dates (hide)'!I80,"")</f>
        <v>44088</v>
      </c>
      <c r="N95" s="99">
        <f t="shared" si="0"/>
        <v>2020</v>
      </c>
      <c r="O95" s="8">
        <f t="shared" si="1"/>
        <v>38</v>
      </c>
      <c r="P95">
        <f ca="1">'Reference dates (hide)'!K80</f>
        <v>1.968503937007874E-2</v>
      </c>
    </row>
    <row r="96" spans="2:16" x14ac:dyDescent="0.25">
      <c r="B96"/>
      <c r="C96"/>
      <c r="D96"/>
      <c r="M96" s="101">
        <f>IF('Reference dates (hide)'!I81&lt;&gt;"",'Reference dates (hide)'!I81,"")</f>
        <v>44095</v>
      </c>
      <c r="N96" s="99">
        <f t="shared" si="0"/>
        <v>2020</v>
      </c>
      <c r="O96" s="8">
        <f t="shared" si="1"/>
        <v>39</v>
      </c>
      <c r="P96">
        <f ca="1">'Reference dates (hide)'!K81</f>
        <v>1.968503937007874E-2</v>
      </c>
    </row>
    <row r="97" spans="2:31" x14ac:dyDescent="0.25">
      <c r="B97"/>
      <c r="C97"/>
      <c r="D97"/>
      <c r="M97" s="101">
        <f>IF('Reference dates (hide)'!I82&lt;&gt;"",'Reference dates (hide)'!I82,"")</f>
        <v>44102</v>
      </c>
      <c r="N97" s="99">
        <f t="shared" si="0"/>
        <v>2020</v>
      </c>
      <c r="O97" s="8">
        <f t="shared" si="1"/>
        <v>40</v>
      </c>
      <c r="P97">
        <f ca="1">'Reference dates (hide)'!K82</f>
        <v>1.968503937007874E-2</v>
      </c>
    </row>
    <row r="98" spans="2:31" x14ac:dyDescent="0.25">
      <c r="B98"/>
      <c r="C98"/>
      <c r="D98"/>
      <c r="M98" s="101">
        <f>IF('Reference dates (hide)'!I83&lt;&gt;"",'Reference dates (hide)'!I83,"")</f>
        <v>44109</v>
      </c>
      <c r="N98" s="99">
        <f t="shared" si="0"/>
        <v>2020</v>
      </c>
      <c r="O98" s="8">
        <f t="shared" si="1"/>
        <v>41</v>
      </c>
      <c r="P98">
        <f ca="1">'Reference dates (hide)'!K83</f>
        <v>1.968503937007874E-2</v>
      </c>
    </row>
    <row r="99" spans="2:31" x14ac:dyDescent="0.25">
      <c r="B99"/>
      <c r="C99"/>
      <c r="D99"/>
      <c r="M99" s="101">
        <f>IF('Reference dates (hide)'!I84&lt;&gt;"",'Reference dates (hide)'!I84,"")</f>
        <v>44116</v>
      </c>
      <c r="N99" s="99">
        <f t="shared" si="0"/>
        <v>2020</v>
      </c>
      <c r="O99" s="8">
        <f t="shared" si="1"/>
        <v>42</v>
      </c>
      <c r="P99">
        <f ca="1">'Reference dates (hide)'!K84</f>
        <v>1.968503937007874E-2</v>
      </c>
    </row>
    <row r="100" spans="2:31" x14ac:dyDescent="0.25">
      <c r="B100"/>
      <c r="C100"/>
      <c r="D100"/>
      <c r="M100" s="101">
        <f>IF('Reference dates (hide)'!I85&lt;&gt;"",'Reference dates (hide)'!I85,"")</f>
        <v>44123</v>
      </c>
      <c r="N100" s="99">
        <f t="shared" si="0"/>
        <v>2020</v>
      </c>
      <c r="O100" s="8">
        <f t="shared" si="1"/>
        <v>43</v>
      </c>
      <c r="P100">
        <f ca="1">'Reference dates (hide)'!K85</f>
        <v>1.968503937007874E-2</v>
      </c>
    </row>
    <row r="101" spans="2:31" x14ac:dyDescent="0.25">
      <c r="B101"/>
      <c r="C101"/>
      <c r="D101"/>
      <c r="M101" s="101">
        <f>IF('Reference dates (hide)'!I86&lt;&gt;"",'Reference dates (hide)'!I86,"")</f>
        <v>44130</v>
      </c>
      <c r="N101" s="99">
        <f t="shared" si="0"/>
        <v>2020</v>
      </c>
      <c r="O101" s="8">
        <f t="shared" si="1"/>
        <v>44</v>
      </c>
      <c r="P101">
        <f ca="1">'Reference dates (hide)'!K86</f>
        <v>1.968503937007874E-2</v>
      </c>
    </row>
    <row r="102" spans="2:31" x14ac:dyDescent="0.25">
      <c r="B102"/>
      <c r="C102"/>
      <c r="D102"/>
      <c r="M102" s="101">
        <f>IF('Reference dates (hide)'!I87&lt;&gt;"",'Reference dates (hide)'!I87,"")</f>
        <v>44137</v>
      </c>
      <c r="N102" s="99">
        <f t="shared" si="0"/>
        <v>2020</v>
      </c>
      <c r="O102" s="8">
        <f t="shared" si="1"/>
        <v>45</v>
      </c>
      <c r="P102">
        <f ca="1">'Reference dates (hide)'!K87</f>
        <v>1.968503937007874E-2</v>
      </c>
    </row>
    <row r="103" spans="2:31" x14ac:dyDescent="0.25">
      <c r="B103"/>
      <c r="C103"/>
      <c r="D103"/>
      <c r="M103" s="101">
        <f>IF('Reference dates (hide)'!I88&lt;&gt;"",'Reference dates (hide)'!I88,"")</f>
        <v>44144</v>
      </c>
      <c r="N103" s="99">
        <f t="shared" si="0"/>
        <v>2020</v>
      </c>
      <c r="O103" s="8">
        <f t="shared" si="1"/>
        <v>46</v>
      </c>
      <c r="P103">
        <f ca="1">'Reference dates (hide)'!K88</f>
        <v>1.968503937007874E-2</v>
      </c>
    </row>
    <row r="104" spans="2:31" x14ac:dyDescent="0.25">
      <c r="B104"/>
      <c r="C104"/>
      <c r="D104"/>
      <c r="M104" s="101">
        <f>IF('Reference dates (hide)'!I89&lt;&gt;"",'Reference dates (hide)'!I89,"")</f>
        <v>44151</v>
      </c>
      <c r="N104" s="99">
        <f t="shared" si="0"/>
        <v>2020</v>
      </c>
      <c r="O104" s="8">
        <f t="shared" si="1"/>
        <v>47</v>
      </c>
      <c r="P104">
        <f ca="1">'Reference dates (hide)'!K89</f>
        <v>1.968503937007874E-2</v>
      </c>
    </row>
    <row r="105" spans="2:31" x14ac:dyDescent="0.25">
      <c r="B105"/>
      <c r="C105"/>
      <c r="D105"/>
      <c r="M105" s="101">
        <f>IF('Reference dates (hide)'!I90&lt;&gt;"",'Reference dates (hide)'!I90,"")</f>
        <v>44158</v>
      </c>
      <c r="N105" s="99">
        <f t="shared" si="0"/>
        <v>2020</v>
      </c>
      <c r="O105" s="8">
        <f t="shared" si="1"/>
        <v>48</v>
      </c>
      <c r="P105">
        <f ca="1">'Reference dates (hide)'!K90</f>
        <v>1.968503937007874E-2</v>
      </c>
    </row>
    <row r="106" spans="2:31" x14ac:dyDescent="0.25">
      <c r="B106"/>
      <c r="C106"/>
      <c r="D106"/>
      <c r="M106" s="101">
        <f>IF('Reference dates (hide)'!I91&lt;&gt;"",'Reference dates (hide)'!I91,"")</f>
        <v>44165</v>
      </c>
      <c r="N106" s="99">
        <f t="shared" si="0"/>
        <v>2020</v>
      </c>
      <c r="O106" s="8">
        <f t="shared" si="1"/>
        <v>49</v>
      </c>
      <c r="P106">
        <f ca="1">'Reference dates (hide)'!K91</f>
        <v>1.968503937007874E-2</v>
      </c>
    </row>
    <row r="107" spans="2:31" x14ac:dyDescent="0.25">
      <c r="B107"/>
      <c r="C107"/>
      <c r="D107"/>
      <c r="M107" s="101">
        <f>IF('Reference dates (hide)'!I92&lt;&gt;"",'Reference dates (hide)'!I92,"")</f>
        <v>44172</v>
      </c>
      <c r="N107" s="99">
        <f t="shared" si="0"/>
        <v>2020</v>
      </c>
      <c r="O107" s="8">
        <f t="shared" si="1"/>
        <v>50</v>
      </c>
      <c r="P107">
        <f ca="1">'Reference dates (hide)'!K92</f>
        <v>1.968503937007874E-2</v>
      </c>
    </row>
    <row r="108" spans="2:31" x14ac:dyDescent="0.25">
      <c r="B108"/>
      <c r="C108"/>
      <c r="D108"/>
      <c r="M108" s="101">
        <f>IF('Reference dates (hide)'!I93&lt;&gt;"",'Reference dates (hide)'!I93,"")</f>
        <v>44179</v>
      </c>
      <c r="N108" s="99">
        <f t="shared" si="0"/>
        <v>2020</v>
      </c>
      <c r="O108" s="8">
        <f t="shared" si="1"/>
        <v>51</v>
      </c>
      <c r="P108">
        <f ca="1">'Reference dates (hide)'!K93</f>
        <v>1.968503937007874E-2</v>
      </c>
    </row>
    <row r="109" spans="2:31" x14ac:dyDescent="0.25">
      <c r="B109"/>
      <c r="C109"/>
      <c r="D109"/>
      <c r="M109" s="101">
        <f>IF('Reference dates (hide)'!I94&lt;&gt;"",'Reference dates (hide)'!I94,"")</f>
        <v>44186</v>
      </c>
      <c r="N109" s="99">
        <f t="shared" si="0"/>
        <v>2020</v>
      </c>
      <c r="O109" s="8">
        <f t="shared" si="1"/>
        <v>52</v>
      </c>
      <c r="P109">
        <f ca="1">'Reference dates (hide)'!K94</f>
        <v>1.5748031496062992E-2</v>
      </c>
    </row>
    <row r="110" spans="2:31" x14ac:dyDescent="0.25">
      <c r="B110"/>
      <c r="C110"/>
      <c r="D110"/>
      <c r="M110" s="101">
        <f>IF('Reference dates (hide)'!I95&lt;&gt;"",'Reference dates (hide)'!I95,"")</f>
        <v>44193</v>
      </c>
      <c r="N110" s="99">
        <f t="shared" si="0"/>
        <v>2020</v>
      </c>
      <c r="O110" s="8">
        <f t="shared" si="1"/>
        <v>53</v>
      </c>
      <c r="P110">
        <f ca="1">'Reference dates (hide)'!K95</f>
        <v>1.1811023622047244E-2</v>
      </c>
    </row>
    <row r="111" spans="2:31" x14ac:dyDescent="0.25">
      <c r="M111">
        <f>MAX(T58:AB110)</f>
        <v>0</v>
      </c>
      <c r="Q111">
        <f>MAX(Q58:Q109)/$Q$54</f>
        <v>0</v>
      </c>
      <c r="R111">
        <f>MAX(R58:R109)/IF($R$54=0,1,$Q$54)</f>
        <v>0</v>
      </c>
      <c r="S111">
        <f>MAX(S58:S109)/IF($S$54=0,1,$Q$54)</f>
        <v>0</v>
      </c>
      <c r="Z111">
        <f>MAX(Z58:Z109)/IF($Z$52=0,1,Q$54)</f>
        <v>0</v>
      </c>
      <c r="AA111">
        <f>MAX(AA58:AA109)/IF($Z$52=0,1,R$54)</f>
        <v>0</v>
      </c>
      <c r="AB111">
        <f>MAX(AB58:AB109)/IF($Z$52=0,1,S$54)</f>
        <v>0</v>
      </c>
      <c r="AC111">
        <f>MAX(AC58:AC109)/IF($Z$52=0,1,Q$54)</f>
        <v>0</v>
      </c>
      <c r="AD111">
        <f>MAX(AD58:AD109)/IF($Z$52=0,1,R$54)</f>
        <v>0</v>
      </c>
      <c r="AE111">
        <f>MAX(AE58:AE109)/IF($Z$52=0,1,S$54)</f>
        <v>0</v>
      </c>
    </row>
    <row r="118" spans="26:26" x14ac:dyDescent="0.25">
      <c r="Z118" s="121"/>
    </row>
    <row r="119" spans="26:26" x14ac:dyDescent="0.25">
      <c r="Z119" s="121"/>
    </row>
  </sheetData>
  <pageMargins left="0.7" right="0.7" top="0.75" bottom="0.75" header="0.3" footer="0.3"/>
  <legacyDrawing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4"/>
  <dimension ref="A1:AN119"/>
  <sheetViews>
    <sheetView workbookViewId="0">
      <selection activeCell="AK59" sqref="AK59"/>
    </sheetView>
  </sheetViews>
  <sheetFormatPr defaultRowHeight="13.8" x14ac:dyDescent="0.25"/>
  <cols>
    <col min="1" max="1" width="27.69921875" bestFit="1" customWidth="1"/>
    <col min="2" max="2" width="16.8984375" style="6" customWidth="1"/>
    <col min="3" max="3" width="12.09765625" style="6" bestFit="1" customWidth="1"/>
    <col min="4" max="4" width="16.09765625" style="7" bestFit="1" customWidth="1"/>
    <col min="11" max="11" width="10.8984375" bestFit="1" customWidth="1"/>
    <col min="13" max="13" width="16.69921875" bestFit="1" customWidth="1"/>
    <col min="17" max="17" width="6.8984375" customWidth="1"/>
    <col min="26" max="26" width="11.8984375" bestFit="1" customWidth="1"/>
  </cols>
  <sheetData>
    <row r="1" spans="1:19" x14ac:dyDescent="0.25">
      <c r="A1" t="s">
        <v>1070</v>
      </c>
      <c r="B1" s="6" t="s">
        <v>931</v>
      </c>
      <c r="C1" s="6" t="b">
        <f>ISERR(SUM(B25:M49))</f>
        <v>0</v>
      </c>
    </row>
    <row r="2" spans="1:19" x14ac:dyDescent="0.25">
      <c r="A2" t="s">
        <v>932</v>
      </c>
      <c r="B2"/>
    </row>
    <row r="3" spans="1:19" x14ac:dyDescent="0.25">
      <c r="B3" s="6" t="s">
        <v>933</v>
      </c>
      <c r="F3" t="s">
        <v>934</v>
      </c>
      <c r="J3" t="s">
        <v>935</v>
      </c>
    </row>
    <row r="4" spans="1:19" x14ac:dyDescent="0.25">
      <c r="B4" s="6" t="s">
        <v>936</v>
      </c>
      <c r="C4" s="6" t="s">
        <v>937</v>
      </c>
      <c r="D4" s="7" t="s">
        <v>1208</v>
      </c>
      <c r="F4" s="6" t="s">
        <v>936</v>
      </c>
      <c r="G4" s="6" t="s">
        <v>937</v>
      </c>
      <c r="H4" s="7" t="s">
        <v>1024</v>
      </c>
      <c r="J4" s="6" t="s">
        <v>936</v>
      </c>
      <c r="K4" s="6" t="s">
        <v>937</v>
      </c>
      <c r="L4" s="7" t="s">
        <v>1024</v>
      </c>
    </row>
    <row r="5" spans="1:19" x14ac:dyDescent="0.25">
      <c r="A5" t="s">
        <v>5</v>
      </c>
      <c r="B5" s="8"/>
      <c r="C5" s="6">
        <f>B5*52</f>
        <v>0</v>
      </c>
      <c r="D5" s="7">
        <f>IF($B$20=1,C5/$B$21,C5)</f>
        <v>0</v>
      </c>
      <c r="G5">
        <f>F5*$D5</f>
        <v>0</v>
      </c>
      <c r="H5">
        <f>G5/52</f>
        <v>0</v>
      </c>
      <c r="K5">
        <f>J5*D5</f>
        <v>0</v>
      </c>
      <c r="L5">
        <f>K5/52</f>
        <v>0</v>
      </c>
    </row>
    <row r="6" spans="1:19" x14ac:dyDescent="0.25">
      <c r="A6" t="s">
        <v>1209</v>
      </c>
      <c r="B6" s="8"/>
      <c r="D6" s="7">
        <f>IF($B$20=1,B6/$B$21,B6)</f>
        <v>0</v>
      </c>
      <c r="G6">
        <f>F6*52</f>
        <v>0</v>
      </c>
      <c r="H6">
        <f>F6</f>
        <v>0</v>
      </c>
      <c r="K6">
        <f>J6*52</f>
        <v>0</v>
      </c>
      <c r="L6">
        <f>J6</f>
        <v>0</v>
      </c>
    </row>
    <row r="7" spans="1:19" x14ac:dyDescent="0.25">
      <c r="A7" t="s">
        <v>1210</v>
      </c>
      <c r="B7" s="8"/>
      <c r="D7" s="7">
        <f>IF($B$20=1,B7/$B$21,B7)</f>
        <v>0</v>
      </c>
    </row>
    <row r="8" spans="1:19" x14ac:dyDescent="0.25">
      <c r="A8" t="s">
        <v>9</v>
      </c>
      <c r="B8"/>
    </row>
    <row r="9" spans="1:19" x14ac:dyDescent="0.25">
      <c r="A9" t="s">
        <v>964</v>
      </c>
      <c r="B9"/>
    </row>
    <row r="10" spans="1:19" x14ac:dyDescent="0.25">
      <c r="A10" t="s">
        <v>940</v>
      </c>
      <c r="B10"/>
      <c r="C10" s="6">
        <f xml:space="preserve"> NASR*NASRDC</f>
        <v>0</v>
      </c>
      <c r="G10">
        <f xml:space="preserve"> FU_NASR*FU_NASRDC</f>
        <v>0</v>
      </c>
      <c r="K10">
        <f xml:space="preserve"> IP_NASR*IP_NASRDC</f>
        <v>0</v>
      </c>
    </row>
    <row r="11" spans="1:19" x14ac:dyDescent="0.25">
      <c r="A11" t="s">
        <v>965</v>
      </c>
      <c r="B11"/>
    </row>
    <row r="12" spans="1:19" x14ac:dyDescent="0.25">
      <c r="A12" t="s">
        <v>859</v>
      </c>
      <c r="B12"/>
    </row>
    <row r="13" spans="1:19" x14ac:dyDescent="0.25">
      <c r="A13" t="s">
        <v>941</v>
      </c>
      <c r="B13" s="8"/>
      <c r="D13" s="7">
        <f>IF($B$20=1,B13/$B$21,B13)</f>
        <v>0</v>
      </c>
      <c r="G13">
        <f>F13*52</f>
        <v>0</v>
      </c>
      <c r="H13" s="7">
        <f>IF($B$20=1,F13/$B$21,F13)</f>
        <v>0</v>
      </c>
      <c r="K13">
        <f>J13*52</f>
        <v>0</v>
      </c>
      <c r="L13" s="7">
        <f>IF($B$20=1,J13/$B$21,J13)</f>
        <v>0</v>
      </c>
    </row>
    <row r="14" spans="1:19" x14ac:dyDescent="0.25">
      <c r="A14" t="s">
        <v>1275</v>
      </c>
      <c r="B14" s="8"/>
      <c r="H14" s="7"/>
      <c r="L14" s="7"/>
    </row>
    <row r="15" spans="1:19" x14ac:dyDescent="0.25">
      <c r="A15" t="s">
        <v>1278</v>
      </c>
      <c r="B15"/>
      <c r="D15" s="7">
        <f>IF($B$20=1,B15/$B$21,B15)</f>
        <v>0</v>
      </c>
      <c r="H15" s="7">
        <f>IF($B$20=1,F15/$B$21,F15)</f>
        <v>0</v>
      </c>
      <c r="L15" s="7">
        <f>IF($B$20=1,J15/$B$21,J15)</f>
        <v>0</v>
      </c>
    </row>
    <row r="16" spans="1:19" x14ac:dyDescent="0.25">
      <c r="A16" t="s">
        <v>861</v>
      </c>
      <c r="B16" s="8"/>
      <c r="D16" s="7">
        <f>IF($B$20=1,B16/$B$21,B16)</f>
        <v>0</v>
      </c>
      <c r="H16" s="7">
        <f>IF($B$20=1,F16/$B$21,F16)</f>
        <v>0</v>
      </c>
      <c r="L16" s="7">
        <f>IF($B$20=1,J16/$B$21,J16)</f>
        <v>0</v>
      </c>
      <c r="S16" t="s">
        <v>1213</v>
      </c>
    </row>
    <row r="17" spans="1:20" x14ac:dyDescent="0.25">
      <c r="A17" t="s">
        <v>7</v>
      </c>
      <c r="B17" s="8"/>
      <c r="D17" s="7">
        <f>IF($B$20=1,B17/$B$21,B17)</f>
        <v>0</v>
      </c>
      <c r="H17" s="7">
        <f>IF($B$20=1,F17/$B$21,F17)</f>
        <v>0</v>
      </c>
      <c r="L17" s="7">
        <f>IF($B$20=1,J17/$B$21,J17)</f>
        <v>0</v>
      </c>
      <c r="S17" t="s">
        <v>1159</v>
      </c>
    </row>
    <row r="18" spans="1:20" x14ac:dyDescent="0.25">
      <c r="A18" t="s">
        <v>1081</v>
      </c>
      <c r="B18"/>
      <c r="S18" t="s">
        <v>1187</v>
      </c>
    </row>
    <row r="19" spans="1:20" x14ac:dyDescent="0.25">
      <c r="A19" t="s">
        <v>863</v>
      </c>
      <c r="B19"/>
      <c r="S19" t="s">
        <v>1214</v>
      </c>
      <c r="T19" t="s">
        <v>1215</v>
      </c>
    </row>
    <row r="20" spans="1:20" x14ac:dyDescent="0.25">
      <c r="A20" t="s">
        <v>942</v>
      </c>
      <c r="B20"/>
      <c r="R20" t="s">
        <v>947</v>
      </c>
      <c r="S20" t="s">
        <v>984</v>
      </c>
      <c r="T20" t="s">
        <v>1216</v>
      </c>
    </row>
    <row r="21" spans="1:20" x14ac:dyDescent="0.25">
      <c r="A21" t="s">
        <v>943</v>
      </c>
      <c r="B21">
        <v>1</v>
      </c>
      <c r="D21" s="12"/>
      <c r="S21" t="s">
        <v>985</v>
      </c>
      <c r="T21" t="s">
        <v>1216</v>
      </c>
    </row>
    <row r="22" spans="1:20" x14ac:dyDescent="0.25">
      <c r="H22">
        <f>F22*$D$5</f>
        <v>0</v>
      </c>
      <c r="L22">
        <f>J22*$D$5</f>
        <v>0</v>
      </c>
      <c r="S22" t="s">
        <v>1217</v>
      </c>
      <c r="T22" t="s">
        <v>1218</v>
      </c>
    </row>
    <row r="23" spans="1:20" x14ac:dyDescent="0.25">
      <c r="S23" t="s">
        <v>1219</v>
      </c>
      <c r="T23" t="s">
        <v>1218</v>
      </c>
    </row>
    <row r="24" spans="1:20" x14ac:dyDescent="0.25">
      <c r="D24" s="7" t="s">
        <v>1023</v>
      </c>
      <c r="F24" t="s">
        <v>901</v>
      </c>
      <c r="G24" t="s">
        <v>1022</v>
      </c>
      <c r="H24" s="7" t="s">
        <v>1023</v>
      </c>
      <c r="J24" t="s">
        <v>901</v>
      </c>
      <c r="K24" t="s">
        <v>1022</v>
      </c>
      <c r="L24" s="7" t="s">
        <v>1023</v>
      </c>
      <c r="R24" t="s">
        <v>941</v>
      </c>
      <c r="S24" t="s">
        <v>25</v>
      </c>
      <c r="T24" t="s">
        <v>1218</v>
      </c>
    </row>
    <row r="25" spans="1:20" x14ac:dyDescent="0.25">
      <c r="A25" t="s">
        <v>944</v>
      </c>
      <c r="B25" s="6">
        <f>IF(B17-B16&lt;0,0,B17-B16)</f>
        <v>0</v>
      </c>
      <c r="D25" s="6">
        <f>IF(D17-D16&lt;0,0,D17-D16)</f>
        <v>0</v>
      </c>
      <c r="F25" s="8">
        <f>F5*B25</f>
        <v>0</v>
      </c>
      <c r="G25" s="8">
        <v>0</v>
      </c>
      <c r="H25" s="8"/>
      <c r="I25" s="8"/>
      <c r="J25" s="8">
        <f>(J5*B25)+IF(J17-J16&lt;=0,0,J17-J16)</f>
        <v>0</v>
      </c>
      <c r="K25" s="8">
        <f>IF(J17-J16&lt;=0,0,J17-J16)</f>
        <v>0</v>
      </c>
      <c r="L25" s="8"/>
      <c r="S25" t="s">
        <v>1220</v>
      </c>
      <c r="T25" t="s">
        <v>1218</v>
      </c>
    </row>
    <row r="26" spans="1:20" x14ac:dyDescent="0.25">
      <c r="A26" t="s">
        <v>945</v>
      </c>
      <c r="B26" s="9">
        <f>(1-NASLDC)*NASL</f>
        <v>0</v>
      </c>
      <c r="D26" s="11"/>
      <c r="F26" s="8">
        <f>FU_NASL*(1-FU_NASLDC)</f>
        <v>0</v>
      </c>
      <c r="G26" s="8"/>
      <c r="H26" s="8"/>
      <c r="I26" s="8"/>
      <c r="J26" s="8">
        <f>IP_NASL*(1-IP_NASLDC)</f>
        <v>0</v>
      </c>
      <c r="K26" s="8"/>
      <c r="L26" s="8"/>
      <c r="R26" t="s">
        <v>1221</v>
      </c>
      <c r="S26" t="s">
        <v>25</v>
      </c>
      <c r="T26" t="s">
        <v>1218</v>
      </c>
    </row>
    <row r="27" spans="1:20" x14ac:dyDescent="0.25">
      <c r="A27" t="s">
        <v>946</v>
      </c>
      <c r="B27" s="6">
        <f>NASR*(1-NASRDC)</f>
        <v>0</v>
      </c>
      <c r="D27" s="11"/>
      <c r="F27" s="8">
        <f>FU_NASR*(1-FU_NASRDC)</f>
        <v>0</v>
      </c>
      <c r="G27" s="8"/>
      <c r="H27" s="8"/>
      <c r="I27" s="8"/>
      <c r="J27" s="8">
        <f>IP_NASR*(1-IP_NASRDC)</f>
        <v>0</v>
      </c>
      <c r="K27" s="8"/>
      <c r="L27" s="8"/>
      <c r="S27" t="s">
        <v>1220</v>
      </c>
      <c r="T27" t="s">
        <v>1218</v>
      </c>
    </row>
    <row r="28" spans="1:20" x14ac:dyDescent="0.25">
      <c r="D28" s="11"/>
      <c r="F28" s="8"/>
      <c r="G28" s="8"/>
      <c r="H28" s="8"/>
      <c r="I28" s="8"/>
      <c r="J28" s="8"/>
      <c r="K28" s="8"/>
      <c r="L28" s="8"/>
      <c r="R28" t="s">
        <v>1093</v>
      </c>
      <c r="S28" t="s">
        <v>984</v>
      </c>
      <c r="T28" t="s">
        <v>1216</v>
      </c>
    </row>
    <row r="29" spans="1:20" ht="14.4" x14ac:dyDescent="0.3">
      <c r="A29" s="10" t="s">
        <v>947</v>
      </c>
      <c r="D29" s="12"/>
      <c r="F29" s="8"/>
      <c r="G29" s="8"/>
      <c r="H29" s="8"/>
      <c r="I29" s="8"/>
      <c r="J29" s="8"/>
      <c r="K29" s="8"/>
      <c r="L29" s="8"/>
      <c r="S29" t="s">
        <v>985</v>
      </c>
      <c r="T29" t="s">
        <v>1216</v>
      </c>
    </row>
    <row r="30" spans="1:20" x14ac:dyDescent="0.25">
      <c r="A30" t="s">
        <v>948</v>
      </c>
      <c r="B30" s="6">
        <f>B5*(NASL+NASR+ROTT)</f>
        <v>0</v>
      </c>
      <c r="F30" s="8">
        <f>H5*(F8+F10+F18)</f>
        <v>0</v>
      </c>
      <c r="G30" s="8"/>
      <c r="H30" s="8"/>
      <c r="I30" s="8"/>
      <c r="J30" s="8">
        <f>L5*(J8+J10+J18)</f>
        <v>0</v>
      </c>
      <c r="K30" s="8"/>
      <c r="L30" s="8"/>
    </row>
    <row r="31" spans="1:20" x14ac:dyDescent="0.25">
      <c r="A31" t="s">
        <v>949</v>
      </c>
      <c r="B31" s="6">
        <f>B5*(B26+B27)</f>
        <v>0</v>
      </c>
      <c r="F31" s="8">
        <f>H5*(F26+F27)</f>
        <v>0</v>
      </c>
      <c r="G31" s="8"/>
      <c r="H31" s="8"/>
      <c r="I31" s="8"/>
      <c r="J31" s="8">
        <f>L5*(J26+J27)</f>
        <v>0</v>
      </c>
      <c r="K31" s="8"/>
      <c r="L31" s="8"/>
      <c r="R31" t="s">
        <v>941</v>
      </c>
      <c r="S31" t="s">
        <v>25</v>
      </c>
      <c r="T31" t="s">
        <v>1218</v>
      </c>
    </row>
    <row r="32" spans="1:20" x14ac:dyDescent="0.25">
      <c r="F32" s="8"/>
      <c r="G32" s="8"/>
      <c r="H32" s="8"/>
      <c r="I32" s="8"/>
      <c r="J32" s="8"/>
      <c r="K32" s="8"/>
      <c r="L32" s="8"/>
      <c r="S32" t="s">
        <v>1220</v>
      </c>
      <c r="T32" t="s">
        <v>1218</v>
      </c>
    </row>
    <row r="33" spans="1:20" x14ac:dyDescent="0.25">
      <c r="A33" t="s">
        <v>950</v>
      </c>
      <c r="B33" s="6">
        <f>B31-B30+B5</f>
        <v>0</v>
      </c>
      <c r="C33" s="6">
        <f>B33*52</f>
        <v>0</v>
      </c>
      <c r="D33" s="7">
        <f>IF($B$20=1,C33/$B$21,C33)</f>
        <v>0</v>
      </c>
      <c r="F33" s="8">
        <f>(F31-F30+H5)/52</f>
        <v>0</v>
      </c>
      <c r="G33" s="8"/>
      <c r="H33" s="8">
        <f>(F31-F30+H5)*52</f>
        <v>0</v>
      </c>
      <c r="I33" s="8"/>
      <c r="J33" s="8">
        <f>(J31-J30+L5)/52</f>
        <v>0</v>
      </c>
      <c r="K33" s="8"/>
      <c r="L33" s="8">
        <f>(J31-J30+L5)*52</f>
        <v>0</v>
      </c>
      <c r="R33" t="s">
        <v>1221</v>
      </c>
      <c r="S33" t="s">
        <v>25</v>
      </c>
      <c r="T33" t="s">
        <v>1218</v>
      </c>
    </row>
    <row r="34" spans="1:20" x14ac:dyDescent="0.25">
      <c r="F34" s="8"/>
      <c r="G34" s="8"/>
      <c r="H34" s="8"/>
      <c r="I34" s="8"/>
      <c r="J34" s="8"/>
      <c r="K34" s="8"/>
      <c r="L34" s="8"/>
      <c r="S34" t="s">
        <v>1220</v>
      </c>
      <c r="T34" t="s">
        <v>1218</v>
      </c>
    </row>
    <row r="35" spans="1:20" x14ac:dyDescent="0.25">
      <c r="F35" s="8"/>
      <c r="G35" s="8"/>
      <c r="H35" s="8"/>
      <c r="I35" s="8"/>
      <c r="J35" s="8"/>
      <c r="K35" s="8"/>
      <c r="L35" s="8"/>
      <c r="R35" t="s">
        <v>1093</v>
      </c>
      <c r="S35" t="s">
        <v>984</v>
      </c>
      <c r="T35" t="s">
        <v>1218</v>
      </c>
    </row>
    <row r="36" spans="1:20" ht="14.4" x14ac:dyDescent="0.3">
      <c r="A36" s="10" t="s">
        <v>951</v>
      </c>
      <c r="F36" s="8"/>
      <c r="G36" s="8"/>
      <c r="H36" s="8"/>
      <c r="I36" s="8"/>
      <c r="J36" s="8"/>
      <c r="K36" s="8"/>
      <c r="L36" s="8"/>
      <c r="S36" t="s">
        <v>985</v>
      </c>
      <c r="T36" t="s">
        <v>1218</v>
      </c>
    </row>
    <row r="37" spans="1:20" x14ac:dyDescent="0.25">
      <c r="A37" t="s">
        <v>948</v>
      </c>
      <c r="B37" s="6">
        <f>B13*(B8+B10+B18)</f>
        <v>0</v>
      </c>
      <c r="F37" s="8">
        <f>F13*(F8+F10)</f>
        <v>0</v>
      </c>
      <c r="G37" s="8"/>
      <c r="H37" s="8"/>
      <c r="I37" s="8"/>
      <c r="J37" s="8">
        <f>J13*(J8+J10)</f>
        <v>0</v>
      </c>
      <c r="K37" s="8"/>
      <c r="L37" s="8"/>
      <c r="S37" t="s">
        <v>1222</v>
      </c>
      <c r="T37" t="s">
        <v>1218</v>
      </c>
    </row>
    <row r="38" spans="1:20" x14ac:dyDescent="0.25">
      <c r="A38" t="s">
        <v>949</v>
      </c>
      <c r="B38" s="6">
        <f>B13*(B26+B27)</f>
        <v>0</v>
      </c>
      <c r="F38" s="8">
        <f>F13*(F26+F27)</f>
        <v>0</v>
      </c>
      <c r="G38" s="8"/>
      <c r="H38" s="8"/>
      <c r="I38" s="8"/>
      <c r="J38" s="8">
        <f>J13*(J26+J27)</f>
        <v>0</v>
      </c>
      <c r="K38" s="8"/>
      <c r="L38" s="8"/>
    </row>
    <row r="39" spans="1:20" x14ac:dyDescent="0.25">
      <c r="F39" s="8"/>
      <c r="G39" s="8"/>
      <c r="H39" s="8"/>
      <c r="I39" s="8"/>
      <c r="J39" s="8"/>
      <c r="K39" s="8"/>
      <c r="L39" s="8"/>
      <c r="R39" t="s">
        <v>1203</v>
      </c>
      <c r="T39" t="s">
        <v>1218</v>
      </c>
    </row>
    <row r="40" spans="1:20" x14ac:dyDescent="0.25">
      <c r="A40" t="s">
        <v>952</v>
      </c>
      <c r="B40" s="6">
        <f>B13+B38-B37</f>
        <v>0</v>
      </c>
      <c r="C40" s="6">
        <f>B40*52</f>
        <v>0</v>
      </c>
      <c r="D40" s="7">
        <f>IF($B$20=1,C40/$B$21,C40)</f>
        <v>0</v>
      </c>
      <c r="F40" s="8">
        <f>F13+F38-F37</f>
        <v>0</v>
      </c>
      <c r="G40" s="8"/>
      <c r="H40" s="8">
        <f>F40*52</f>
        <v>0</v>
      </c>
      <c r="I40" s="8"/>
      <c r="J40" s="8">
        <f>J13+J38-J37</f>
        <v>0</v>
      </c>
      <c r="K40" s="8"/>
      <c r="L40" s="8">
        <f>J40*52</f>
        <v>0</v>
      </c>
    </row>
    <row r="41" spans="1:20" x14ac:dyDescent="0.25">
      <c r="F41" s="8"/>
      <c r="G41" s="8"/>
      <c r="H41" s="8"/>
      <c r="I41" s="8"/>
      <c r="J41" s="8"/>
      <c r="K41" s="8"/>
      <c r="L41" s="8"/>
    </row>
    <row r="42" spans="1:20" x14ac:dyDescent="0.25">
      <c r="F42" s="8"/>
      <c r="G42" s="8"/>
      <c r="H42" s="8"/>
      <c r="I42" s="8"/>
      <c r="J42" s="8"/>
      <c r="K42" s="8"/>
      <c r="L42" s="8"/>
    </row>
    <row r="43" spans="1:20" ht="14.4" x14ac:dyDescent="0.3">
      <c r="A43" s="10" t="s">
        <v>953</v>
      </c>
      <c r="F43" s="8"/>
      <c r="G43" s="8"/>
      <c r="H43" s="8"/>
      <c r="I43" s="8"/>
      <c r="J43" s="8"/>
      <c r="K43" s="8"/>
      <c r="L43" s="8"/>
    </row>
    <row r="44" spans="1:20" x14ac:dyDescent="0.25">
      <c r="A44" t="s">
        <v>954</v>
      </c>
      <c r="F44" s="8"/>
      <c r="G44" s="8"/>
      <c r="H44" s="8"/>
      <c r="I44" s="8"/>
      <c r="J44" s="8"/>
      <c r="K44" s="8"/>
      <c r="L44" s="8"/>
    </row>
    <row r="45" spans="1:20" x14ac:dyDescent="0.25">
      <c r="F45" s="8"/>
      <c r="G45" s="8"/>
      <c r="H45" s="8"/>
      <c r="I45" s="8"/>
      <c r="J45" s="8"/>
      <c r="K45" s="8"/>
      <c r="L45" s="8"/>
    </row>
    <row r="46" spans="1:20" x14ac:dyDescent="0.25">
      <c r="A46" t="s">
        <v>948</v>
      </c>
      <c r="B46" s="6">
        <f>B25*(B8+B10+B18)</f>
        <v>0</v>
      </c>
      <c r="F46" s="8">
        <f>F25*(F8+F10)</f>
        <v>0</v>
      </c>
      <c r="G46" s="8"/>
      <c r="H46" s="8"/>
      <c r="I46" s="8"/>
      <c r="J46" s="8">
        <f>J25*(J8+J10)</f>
        <v>0</v>
      </c>
      <c r="K46" s="8"/>
      <c r="L46" s="8"/>
    </row>
    <row r="47" spans="1:20" x14ac:dyDescent="0.25">
      <c r="A47" t="s">
        <v>949</v>
      </c>
      <c r="B47" s="6">
        <f>B25*(B26+B27)</f>
        <v>0</v>
      </c>
      <c r="F47" s="8">
        <f>F25*(F26+F27)</f>
        <v>0</v>
      </c>
      <c r="G47" s="8"/>
      <c r="H47" s="8"/>
      <c r="I47" s="8"/>
      <c r="J47" s="8">
        <f>J25*(J26+J27)</f>
        <v>0</v>
      </c>
      <c r="K47" s="8"/>
      <c r="L47" s="8"/>
    </row>
    <row r="48" spans="1:20" x14ac:dyDescent="0.25">
      <c r="F48" s="8" t="s">
        <v>901</v>
      </c>
      <c r="G48" s="8"/>
      <c r="H48" s="8"/>
      <c r="I48" s="8"/>
      <c r="J48" s="8" t="s">
        <v>901</v>
      </c>
      <c r="K48" s="8"/>
      <c r="L48" s="8"/>
    </row>
    <row r="49" spans="1:40" x14ac:dyDescent="0.25">
      <c r="A49" t="s">
        <v>955</v>
      </c>
      <c r="B49" s="6">
        <f>B25+B47-B46</f>
        <v>0</v>
      </c>
      <c r="C49" s="6">
        <f>B49</f>
        <v>0</v>
      </c>
      <c r="D49" s="7">
        <f>IF($B$20=1,C49/$B$21,C49)</f>
        <v>0</v>
      </c>
      <c r="F49" s="8">
        <f>F25+F47-F46</f>
        <v>0</v>
      </c>
      <c r="G49" s="8">
        <f>F49</f>
        <v>0</v>
      </c>
      <c r="H49" s="8">
        <f>IF($F$20=1,G49/$F$21,G49)</f>
        <v>0</v>
      </c>
      <c r="I49" s="8"/>
      <c r="J49" s="8">
        <f>J25+J47-J46</f>
        <v>0</v>
      </c>
      <c r="K49" s="8">
        <f>J49</f>
        <v>0</v>
      </c>
      <c r="L49" s="8">
        <f>IF($J$20=1,K49/$J$21,K49)</f>
        <v>0</v>
      </c>
    </row>
    <row r="50" spans="1:40" x14ac:dyDescent="0.25">
      <c r="F50" t="s">
        <v>1022</v>
      </c>
      <c r="J50" t="s">
        <v>1022</v>
      </c>
    </row>
    <row r="51" spans="1:40" x14ac:dyDescent="0.25">
      <c r="F51">
        <v>0</v>
      </c>
      <c r="H51">
        <v>0</v>
      </c>
      <c r="J51">
        <f>K25*(1+(J8*(1-J9))-(J8+J10+J18)+(J10*(1-J11)))</f>
        <v>0</v>
      </c>
      <c r="K51">
        <f>J51</f>
        <v>0</v>
      </c>
      <c r="L51" s="8">
        <f>IF($J$20=1,K51/$J$21,K51)</f>
        <v>0</v>
      </c>
    </row>
    <row r="52" spans="1:40" x14ac:dyDescent="0.25">
      <c r="A52" s="1" t="s">
        <v>956</v>
      </c>
      <c r="M52" t="s">
        <v>1016</v>
      </c>
      <c r="Z52">
        <f>1-(NASL*NASLDC)</f>
        <v>1</v>
      </c>
    </row>
    <row r="53" spans="1:40" x14ac:dyDescent="0.25">
      <c r="A53" t="s">
        <v>1141</v>
      </c>
      <c r="B53" s="92" t="s">
        <v>1142</v>
      </c>
    </row>
    <row r="54" spans="1:40" x14ac:dyDescent="0.25">
      <c r="M54" t="s">
        <v>1207</v>
      </c>
      <c r="Q54">
        <f>(1-ROTT)*(1-(NASR*NASRDC) - (NASL*NASLDC))</f>
        <v>1</v>
      </c>
      <c r="R54">
        <f>(1-FU_ROTT)*(1-(FU_NASR*FU_NASRDC) - (FU_NASL*FU_NASLDC))</f>
        <v>1</v>
      </c>
      <c r="S54">
        <f>(1-IP_ROTT)*(1-(IP_NASR*IP_NASRDC) - (IP_NASL*IP_NASLDC))</f>
        <v>1</v>
      </c>
      <c r="Z54">
        <f>1-(NASL*NASLDC)</f>
        <v>1</v>
      </c>
      <c r="AA54">
        <f>1-(FU_NASL*FU_NASLDC)</f>
        <v>1</v>
      </c>
      <c r="AB54">
        <f>1-(IP_NASL*IP_NASLDC)</f>
        <v>1</v>
      </c>
    </row>
    <row r="55" spans="1:40" x14ac:dyDescent="0.25">
      <c r="A55" t="s">
        <v>1143</v>
      </c>
      <c r="B55" s="100">
        <f>'Reference dates (hide)'!B40</f>
        <v>43831</v>
      </c>
      <c r="C55" s="6" t="s">
        <v>1150</v>
      </c>
      <c r="G55" s="7"/>
      <c r="Q55" s="116" t="str">
        <f ca="1">IF(OFFSET('Control Sheet'!E$45,MID($A$1,6,LEN($A$1)-6),0,1,1)=0,"",OFFSET('Control Sheet'!E$45,MID($A$1,6,LEN($A$1)-6),0,1,1))</f>
        <v/>
      </c>
      <c r="R55" s="116" t="str">
        <f ca="1">IF(OFFSET('Control Sheet'!F$45,MID($A$1,6,LEN($A$1)-6),0,1,1)=0,"",OFFSET('Control Sheet'!F$45,MID($A$1,6,LEN($A$1)-6),0,1,1))</f>
        <v/>
      </c>
      <c r="S55" s="116" t="str">
        <f ca="1">IF(OFFSET('Control Sheet'!G$45,MID($A$1,6,LEN($A$1)-6),0,1,1)=0,"",OFFSET('Control Sheet'!G$45,MID($A$1,6,LEN($A$1)-6),0,1,1))</f>
        <v/>
      </c>
      <c r="T55" s="118" t="str">
        <f ca="1">IF(OFFSET('Control Sheet'!I$45,MID($A$1,6,LEN($A$1)-6),0,1,1)="0","",OFFSET('Control Sheet'!I$45,MID($A$1,6,LEN($A$1)-6),0,1,1))</f>
        <v/>
      </c>
      <c r="U55" s="118" t="str">
        <f ca="1">IF(OFFSET('Control Sheet'!J$45,MID($A$1,6,LEN($A$1)-6),0,1,1)=0,"",OFFSET('Control Sheet'!J$45,MID($A$1,6,LEN($A$1)-6),0,1,1))</f>
        <v/>
      </c>
      <c r="V55" s="118" t="str">
        <f ca="1">IF(OFFSET('Control Sheet'!K$45,MID($A$1,6,LEN($A$1)-6),0,1,1)=0,"",OFFSET('Control Sheet'!K$45,MID($A$1,6,LEN($A$1)-6),0,1,1))</f>
        <v/>
      </c>
    </row>
    <row r="56" spans="1:40" ht="14.4" x14ac:dyDescent="0.3">
      <c r="A56" t="s">
        <v>1202</v>
      </c>
      <c r="C56" s="6" t="s">
        <v>1204</v>
      </c>
      <c r="D56" s="6"/>
      <c r="E56" s="7"/>
      <c r="F56" t="s">
        <v>860</v>
      </c>
      <c r="N56" s="6"/>
      <c r="O56" s="6"/>
      <c r="P56" s="7"/>
      <c r="Q56" s="93" t="s">
        <v>1236</v>
      </c>
      <c r="R56" s="6"/>
      <c r="T56" s="107" t="s">
        <v>1093</v>
      </c>
      <c r="Z56" s="93" t="s">
        <v>1212</v>
      </c>
      <c r="AC56" s="108" t="s">
        <v>1276</v>
      </c>
      <c r="AF56" s="1" t="s">
        <v>1306</v>
      </c>
      <c r="AI56" t="s">
        <v>1275</v>
      </c>
      <c r="AL56" t="s">
        <v>1312</v>
      </c>
    </row>
    <row r="57" spans="1:40" x14ac:dyDescent="0.25">
      <c r="A57" s="1" t="s">
        <v>1144</v>
      </c>
      <c r="B57" s="1" t="s">
        <v>1151</v>
      </c>
      <c r="C57" s="94" t="s">
        <v>1203</v>
      </c>
      <c r="D57" s="94" t="s">
        <v>984</v>
      </c>
      <c r="E57" s="111" t="s">
        <v>985</v>
      </c>
      <c r="F57" s="1" t="s">
        <v>951</v>
      </c>
      <c r="G57" s="1" t="s">
        <v>1205</v>
      </c>
      <c r="H57" s="1" t="s">
        <v>1206</v>
      </c>
      <c r="I57" s="1" t="s">
        <v>25</v>
      </c>
      <c r="J57" s="1" t="s">
        <v>1220</v>
      </c>
      <c r="K57" s="1" t="s">
        <v>1266</v>
      </c>
      <c r="M57" s="1" t="s">
        <v>1144</v>
      </c>
      <c r="N57" s="94" t="s">
        <v>1159</v>
      </c>
      <c r="O57" s="94" t="s">
        <v>1151</v>
      </c>
      <c r="P57" s="7" t="s">
        <v>1201</v>
      </c>
      <c r="Q57" s="6" t="s">
        <v>1196</v>
      </c>
      <c r="R57" s="6" t="s">
        <v>1197</v>
      </c>
      <c r="S57" s="7" t="s">
        <v>1198</v>
      </c>
      <c r="T57" s="109" t="s">
        <v>1188</v>
      </c>
      <c r="U57" s="109" t="s">
        <v>1189</v>
      </c>
      <c r="V57" s="109" t="s">
        <v>1190</v>
      </c>
      <c r="W57" s="110" t="s">
        <v>1191</v>
      </c>
      <c r="X57" s="110" t="s">
        <v>1192</v>
      </c>
      <c r="Y57" s="110" t="s">
        <v>1193</v>
      </c>
      <c r="Z57" s="57">
        <v>1</v>
      </c>
      <c r="AA57">
        <v>2</v>
      </c>
      <c r="AB57">
        <v>3</v>
      </c>
      <c r="AC57" t="s">
        <v>1146</v>
      </c>
      <c r="AD57" t="s">
        <v>1147</v>
      </c>
      <c r="AE57" t="s">
        <v>1148</v>
      </c>
      <c r="AF57" t="s">
        <v>1146</v>
      </c>
      <c r="AG57" t="s">
        <v>1147</v>
      </c>
      <c r="AH57" t="s">
        <v>1148</v>
      </c>
      <c r="AI57" t="s">
        <v>1146</v>
      </c>
      <c r="AJ57" t="s">
        <v>1147</v>
      </c>
      <c r="AK57" t="s">
        <v>1148</v>
      </c>
      <c r="AL57" t="s">
        <v>1146</v>
      </c>
      <c r="AM57" t="s">
        <v>1147</v>
      </c>
      <c r="AN57" t="s">
        <v>1148</v>
      </c>
    </row>
    <row r="58" spans="1:40" x14ac:dyDescent="0.25">
      <c r="B58"/>
      <c r="C58"/>
      <c r="D58"/>
      <c r="M58" s="101">
        <f>IF(B55&lt;&gt;"",B55-WEEKDAY(B55,3),"")</f>
        <v>43829</v>
      </c>
      <c r="N58" s="99">
        <f>YEAR(M58)</f>
        <v>2019</v>
      </c>
      <c r="O58" s="8">
        <f>WEEKNUM(M58,21)</f>
        <v>1</v>
      </c>
      <c r="P58">
        <f ca="1">'Reference dates (hide)'!K43</f>
        <v>7.874015748031496E-3</v>
      </c>
    </row>
    <row r="59" spans="1:40" x14ac:dyDescent="0.25">
      <c r="B59"/>
      <c r="C59"/>
      <c r="D59"/>
      <c r="M59" s="101">
        <f>IF('Reference dates (hide)'!I44&lt;&gt;"",'Reference dates (hide)'!I44,"")</f>
        <v>43836</v>
      </c>
      <c r="N59" s="99">
        <f t="shared" ref="N59:N110" si="0">YEAR(M59)</f>
        <v>2020</v>
      </c>
      <c r="O59" s="8">
        <f t="shared" ref="O59:O110" si="1">WEEKNUM(M59,21)</f>
        <v>2</v>
      </c>
      <c r="P59">
        <f ca="1">'Reference dates (hide)'!K44</f>
        <v>1.968503937007874E-2</v>
      </c>
    </row>
    <row r="60" spans="1:40" x14ac:dyDescent="0.25">
      <c r="B60"/>
      <c r="C60"/>
      <c r="D60"/>
      <c r="M60" s="101">
        <f>IF('Reference dates (hide)'!I45&lt;&gt;"",'Reference dates (hide)'!I45,"")</f>
        <v>43843</v>
      </c>
      <c r="N60" s="99">
        <f t="shared" si="0"/>
        <v>2020</v>
      </c>
      <c r="O60" s="8">
        <f t="shared" si="1"/>
        <v>3</v>
      </c>
      <c r="P60">
        <f ca="1">'Reference dates (hide)'!K45</f>
        <v>1.968503937007874E-2</v>
      </c>
    </row>
    <row r="61" spans="1:40" x14ac:dyDescent="0.25">
      <c r="B61"/>
      <c r="C61"/>
      <c r="D61"/>
      <c r="M61" s="101">
        <f>IF('Reference dates (hide)'!I46&lt;&gt;"",'Reference dates (hide)'!I46,"")</f>
        <v>43850</v>
      </c>
      <c r="N61" s="99">
        <f t="shared" si="0"/>
        <v>2020</v>
      </c>
      <c r="O61" s="8">
        <f t="shared" si="1"/>
        <v>4</v>
      </c>
      <c r="P61">
        <f ca="1">'Reference dates (hide)'!K46</f>
        <v>1.968503937007874E-2</v>
      </c>
    </row>
    <row r="62" spans="1:40" x14ac:dyDescent="0.25">
      <c r="B62"/>
      <c r="C62"/>
      <c r="D62"/>
      <c r="M62" s="101">
        <f>IF('Reference dates (hide)'!I47&lt;&gt;"",'Reference dates (hide)'!I47,"")</f>
        <v>43857</v>
      </c>
      <c r="N62" s="99">
        <f t="shared" si="0"/>
        <v>2020</v>
      </c>
      <c r="O62" s="8">
        <f t="shared" si="1"/>
        <v>5</v>
      </c>
      <c r="P62">
        <f ca="1">'Reference dates (hide)'!K47</f>
        <v>1.968503937007874E-2</v>
      </c>
    </row>
    <row r="63" spans="1:40" x14ac:dyDescent="0.25">
      <c r="B63"/>
      <c r="C63"/>
      <c r="D63"/>
      <c r="M63" s="101">
        <f>IF('Reference dates (hide)'!I48&lt;&gt;"",'Reference dates (hide)'!I48,"")</f>
        <v>43864</v>
      </c>
      <c r="N63" s="99">
        <f t="shared" si="0"/>
        <v>2020</v>
      </c>
      <c r="O63" s="8">
        <f t="shared" si="1"/>
        <v>6</v>
      </c>
      <c r="P63">
        <f ca="1">'Reference dates (hide)'!K48</f>
        <v>1.968503937007874E-2</v>
      </c>
    </row>
    <row r="64" spans="1:40" x14ac:dyDescent="0.25">
      <c r="B64"/>
      <c r="C64"/>
      <c r="D64"/>
      <c r="M64" s="101">
        <f>IF('Reference dates (hide)'!I49&lt;&gt;"",'Reference dates (hide)'!I49,"")</f>
        <v>43871</v>
      </c>
      <c r="N64" s="99">
        <f t="shared" si="0"/>
        <v>2020</v>
      </c>
      <c r="O64" s="8">
        <f t="shared" si="1"/>
        <v>7</v>
      </c>
      <c r="P64">
        <f ca="1">'Reference dates (hide)'!K49</f>
        <v>1.968503937007874E-2</v>
      </c>
    </row>
    <row r="65" spans="2:16" x14ac:dyDescent="0.25">
      <c r="B65"/>
      <c r="C65"/>
      <c r="D65"/>
      <c r="M65" s="101">
        <f>IF('Reference dates (hide)'!I50&lt;&gt;"",'Reference dates (hide)'!I50,"")</f>
        <v>43878</v>
      </c>
      <c r="N65" s="99">
        <f t="shared" si="0"/>
        <v>2020</v>
      </c>
      <c r="O65" s="8">
        <f t="shared" si="1"/>
        <v>8</v>
      </c>
      <c r="P65">
        <f ca="1">'Reference dates (hide)'!K50</f>
        <v>1.968503937007874E-2</v>
      </c>
    </row>
    <row r="66" spans="2:16" x14ac:dyDescent="0.25">
      <c r="B66"/>
      <c r="C66"/>
      <c r="D66"/>
      <c r="M66" s="101">
        <f>IF('Reference dates (hide)'!I51&lt;&gt;"",'Reference dates (hide)'!I51,"")</f>
        <v>43885</v>
      </c>
      <c r="N66" s="99">
        <f t="shared" si="0"/>
        <v>2020</v>
      </c>
      <c r="O66" s="8">
        <f t="shared" si="1"/>
        <v>9</v>
      </c>
      <c r="P66">
        <f ca="1">'Reference dates (hide)'!K51</f>
        <v>1.968503937007874E-2</v>
      </c>
    </row>
    <row r="67" spans="2:16" x14ac:dyDescent="0.25">
      <c r="B67"/>
      <c r="C67"/>
      <c r="D67"/>
      <c r="M67" s="101">
        <f>IF('Reference dates (hide)'!I52&lt;&gt;"",'Reference dates (hide)'!I52,"")</f>
        <v>43892</v>
      </c>
      <c r="N67" s="99">
        <f t="shared" si="0"/>
        <v>2020</v>
      </c>
      <c r="O67" s="8">
        <f t="shared" si="1"/>
        <v>10</v>
      </c>
      <c r="P67">
        <f ca="1">'Reference dates (hide)'!K52</f>
        <v>1.968503937007874E-2</v>
      </c>
    </row>
    <row r="68" spans="2:16" x14ac:dyDescent="0.25">
      <c r="B68"/>
      <c r="C68"/>
      <c r="D68"/>
      <c r="M68" s="101">
        <f>IF('Reference dates (hide)'!I53&lt;&gt;"",'Reference dates (hide)'!I53,"")</f>
        <v>43899</v>
      </c>
      <c r="N68" s="99">
        <f t="shared" si="0"/>
        <v>2020</v>
      </c>
      <c r="O68" s="8">
        <f t="shared" si="1"/>
        <v>11</v>
      </c>
      <c r="P68">
        <f ca="1">'Reference dates (hide)'!K53</f>
        <v>1.968503937007874E-2</v>
      </c>
    </row>
    <row r="69" spans="2:16" x14ac:dyDescent="0.25">
      <c r="B69"/>
      <c r="C69"/>
      <c r="D69"/>
      <c r="M69" s="101">
        <f>IF('Reference dates (hide)'!I54&lt;&gt;"",'Reference dates (hide)'!I54,"")</f>
        <v>43906</v>
      </c>
      <c r="N69" s="99">
        <f t="shared" si="0"/>
        <v>2020</v>
      </c>
      <c r="O69" s="8">
        <f t="shared" si="1"/>
        <v>12</v>
      </c>
      <c r="P69">
        <f ca="1">'Reference dates (hide)'!K54</f>
        <v>1.968503937007874E-2</v>
      </c>
    </row>
    <row r="70" spans="2:16" x14ac:dyDescent="0.25">
      <c r="B70"/>
      <c r="C70"/>
      <c r="D70"/>
      <c r="M70" s="101">
        <f>IF('Reference dates (hide)'!I55&lt;&gt;"",'Reference dates (hide)'!I55,"")</f>
        <v>43913</v>
      </c>
      <c r="N70" s="99">
        <f t="shared" si="0"/>
        <v>2020</v>
      </c>
      <c r="O70" s="8">
        <f t="shared" si="1"/>
        <v>13</v>
      </c>
      <c r="P70">
        <f ca="1">'Reference dates (hide)'!K55</f>
        <v>1.968503937007874E-2</v>
      </c>
    </row>
    <row r="71" spans="2:16" x14ac:dyDescent="0.25">
      <c r="B71"/>
      <c r="C71"/>
      <c r="D71"/>
      <c r="M71" s="101">
        <f>IF('Reference dates (hide)'!I56&lt;&gt;"",'Reference dates (hide)'!I56,"")</f>
        <v>43920</v>
      </c>
      <c r="N71" s="99">
        <f t="shared" si="0"/>
        <v>2020</v>
      </c>
      <c r="O71" s="8">
        <f t="shared" si="1"/>
        <v>14</v>
      </c>
      <c r="P71">
        <f ca="1">'Reference dates (hide)'!K56</f>
        <v>1.968503937007874E-2</v>
      </c>
    </row>
    <row r="72" spans="2:16" x14ac:dyDescent="0.25">
      <c r="B72"/>
      <c r="C72"/>
      <c r="D72"/>
      <c r="M72" s="101">
        <f>IF('Reference dates (hide)'!I57&lt;&gt;"",'Reference dates (hide)'!I57,"")</f>
        <v>43927</v>
      </c>
      <c r="N72" s="99">
        <f t="shared" si="0"/>
        <v>2020</v>
      </c>
      <c r="O72" s="8">
        <f t="shared" si="1"/>
        <v>15</v>
      </c>
      <c r="P72">
        <f ca="1">'Reference dates (hide)'!K57</f>
        <v>1.5748031496062992E-2</v>
      </c>
    </row>
    <row r="73" spans="2:16" x14ac:dyDescent="0.25">
      <c r="B73"/>
      <c r="C73"/>
      <c r="D73"/>
      <c r="M73" s="101">
        <f>IF('Reference dates (hide)'!I58&lt;&gt;"",'Reference dates (hide)'!I58,"")</f>
        <v>43934</v>
      </c>
      <c r="N73" s="99">
        <f t="shared" si="0"/>
        <v>2020</v>
      </c>
      <c r="O73" s="8">
        <f t="shared" si="1"/>
        <v>16</v>
      </c>
      <c r="P73">
        <f ca="1">'Reference dates (hide)'!K58</f>
        <v>1.5748031496062992E-2</v>
      </c>
    </row>
    <row r="74" spans="2:16" x14ac:dyDescent="0.25">
      <c r="B74"/>
      <c r="C74"/>
      <c r="D74"/>
      <c r="M74" s="101">
        <f>IF('Reference dates (hide)'!I59&lt;&gt;"",'Reference dates (hide)'!I59,"")</f>
        <v>43941</v>
      </c>
      <c r="N74" s="99">
        <f t="shared" si="0"/>
        <v>2020</v>
      </c>
      <c r="O74" s="8">
        <f t="shared" si="1"/>
        <v>17</v>
      </c>
      <c r="P74">
        <f ca="1">'Reference dates (hide)'!K59</f>
        <v>1.968503937007874E-2</v>
      </c>
    </row>
    <row r="75" spans="2:16" x14ac:dyDescent="0.25">
      <c r="B75"/>
      <c r="C75"/>
      <c r="D75"/>
      <c r="M75" s="101">
        <f>IF('Reference dates (hide)'!I60&lt;&gt;"",'Reference dates (hide)'!I60,"")</f>
        <v>43948</v>
      </c>
      <c r="N75" s="99">
        <f t="shared" si="0"/>
        <v>2020</v>
      </c>
      <c r="O75" s="8">
        <f t="shared" si="1"/>
        <v>18</v>
      </c>
      <c r="P75">
        <f ca="1">'Reference dates (hide)'!K60</f>
        <v>1.968503937007874E-2</v>
      </c>
    </row>
    <row r="76" spans="2:16" x14ac:dyDescent="0.25">
      <c r="B76"/>
      <c r="C76"/>
      <c r="D76"/>
      <c r="M76" s="101">
        <f>IF('Reference dates (hide)'!I61&lt;&gt;"",'Reference dates (hide)'!I61,"")</f>
        <v>43955</v>
      </c>
      <c r="N76" s="99">
        <f t="shared" si="0"/>
        <v>2020</v>
      </c>
      <c r="O76" s="8">
        <f t="shared" si="1"/>
        <v>19</v>
      </c>
      <c r="P76">
        <f ca="1">'Reference dates (hide)'!K61</f>
        <v>1.5748031496062992E-2</v>
      </c>
    </row>
    <row r="77" spans="2:16" x14ac:dyDescent="0.25">
      <c r="B77"/>
      <c r="C77"/>
      <c r="D77"/>
      <c r="M77" s="101">
        <f>IF('Reference dates (hide)'!I62&lt;&gt;"",'Reference dates (hide)'!I62,"")</f>
        <v>43962</v>
      </c>
      <c r="N77" s="99">
        <f t="shared" si="0"/>
        <v>2020</v>
      </c>
      <c r="O77" s="8">
        <f t="shared" si="1"/>
        <v>20</v>
      </c>
      <c r="P77">
        <f ca="1">'Reference dates (hide)'!K62</f>
        <v>1.968503937007874E-2</v>
      </c>
    </row>
    <row r="78" spans="2:16" x14ac:dyDescent="0.25">
      <c r="B78"/>
      <c r="C78"/>
      <c r="D78"/>
      <c r="M78" s="101">
        <f>IF('Reference dates (hide)'!I63&lt;&gt;"",'Reference dates (hide)'!I63,"")</f>
        <v>43969</v>
      </c>
      <c r="N78" s="99">
        <f t="shared" si="0"/>
        <v>2020</v>
      </c>
      <c r="O78" s="8">
        <f t="shared" si="1"/>
        <v>21</v>
      </c>
      <c r="P78">
        <f ca="1">'Reference dates (hide)'!K63</f>
        <v>1.968503937007874E-2</v>
      </c>
    </row>
    <row r="79" spans="2:16" x14ac:dyDescent="0.25">
      <c r="B79"/>
      <c r="C79"/>
      <c r="D79"/>
      <c r="M79" s="101">
        <f>IF('Reference dates (hide)'!I64&lt;&gt;"",'Reference dates (hide)'!I64,"")</f>
        <v>43976</v>
      </c>
      <c r="N79" s="99">
        <f t="shared" si="0"/>
        <v>2020</v>
      </c>
      <c r="O79" s="8">
        <f t="shared" si="1"/>
        <v>22</v>
      </c>
      <c r="P79">
        <f ca="1">'Reference dates (hide)'!K64</f>
        <v>1.5748031496062992E-2</v>
      </c>
    </row>
    <row r="80" spans="2:16" x14ac:dyDescent="0.25">
      <c r="B80"/>
      <c r="C80"/>
      <c r="D80"/>
      <c r="M80" s="101">
        <f>IF('Reference dates (hide)'!I65&lt;&gt;"",'Reference dates (hide)'!I65,"")</f>
        <v>43983</v>
      </c>
      <c r="N80" s="99">
        <f t="shared" si="0"/>
        <v>2020</v>
      </c>
      <c r="O80" s="8">
        <f t="shared" si="1"/>
        <v>23</v>
      </c>
      <c r="P80">
        <f ca="1">'Reference dates (hide)'!K65</f>
        <v>1.968503937007874E-2</v>
      </c>
    </row>
    <row r="81" spans="2:16" x14ac:dyDescent="0.25">
      <c r="B81"/>
      <c r="C81"/>
      <c r="D81"/>
      <c r="M81" s="101">
        <f>IF('Reference dates (hide)'!I66&lt;&gt;"",'Reference dates (hide)'!I66,"")</f>
        <v>43990</v>
      </c>
      <c r="N81" s="99">
        <f t="shared" si="0"/>
        <v>2020</v>
      </c>
      <c r="O81" s="8">
        <f t="shared" si="1"/>
        <v>24</v>
      </c>
      <c r="P81">
        <f ca="1">'Reference dates (hide)'!K66</f>
        <v>1.968503937007874E-2</v>
      </c>
    </row>
    <row r="82" spans="2:16" x14ac:dyDescent="0.25">
      <c r="B82"/>
      <c r="C82"/>
      <c r="D82"/>
      <c r="M82" s="101">
        <f>IF('Reference dates (hide)'!I67&lt;&gt;"",'Reference dates (hide)'!I67,"")</f>
        <v>43997</v>
      </c>
      <c r="N82" s="99">
        <f t="shared" si="0"/>
        <v>2020</v>
      </c>
      <c r="O82" s="8">
        <f t="shared" si="1"/>
        <v>25</v>
      </c>
      <c r="P82">
        <f ca="1">'Reference dates (hide)'!K67</f>
        <v>1.968503937007874E-2</v>
      </c>
    </row>
    <row r="83" spans="2:16" x14ac:dyDescent="0.25">
      <c r="B83"/>
      <c r="C83"/>
      <c r="D83"/>
      <c r="M83" s="101">
        <f>IF('Reference dates (hide)'!I68&lt;&gt;"",'Reference dates (hide)'!I68,"")</f>
        <v>44004</v>
      </c>
      <c r="N83" s="99">
        <f t="shared" si="0"/>
        <v>2020</v>
      </c>
      <c r="O83" s="8">
        <f t="shared" si="1"/>
        <v>26</v>
      </c>
      <c r="P83">
        <f ca="1">'Reference dates (hide)'!K68</f>
        <v>1.968503937007874E-2</v>
      </c>
    </row>
    <row r="84" spans="2:16" x14ac:dyDescent="0.25">
      <c r="B84"/>
      <c r="C84"/>
      <c r="D84"/>
      <c r="M84" s="101">
        <f>IF('Reference dates (hide)'!I69&lt;&gt;"",'Reference dates (hide)'!I69,"")</f>
        <v>44011</v>
      </c>
      <c r="N84" s="99">
        <f t="shared" si="0"/>
        <v>2020</v>
      </c>
      <c r="O84" s="8">
        <f t="shared" si="1"/>
        <v>27</v>
      </c>
      <c r="P84">
        <f ca="1">'Reference dates (hide)'!K69</f>
        <v>1.968503937007874E-2</v>
      </c>
    </row>
    <row r="85" spans="2:16" x14ac:dyDescent="0.25">
      <c r="B85"/>
      <c r="C85"/>
      <c r="D85"/>
      <c r="M85" s="101">
        <f>IF('Reference dates (hide)'!I70&lt;&gt;"",'Reference dates (hide)'!I70,"")</f>
        <v>44018</v>
      </c>
      <c r="N85" s="99">
        <f t="shared" si="0"/>
        <v>2020</v>
      </c>
      <c r="O85" s="8">
        <f t="shared" si="1"/>
        <v>28</v>
      </c>
      <c r="P85">
        <f ca="1">'Reference dates (hide)'!K70</f>
        <v>1.968503937007874E-2</v>
      </c>
    </row>
    <row r="86" spans="2:16" x14ac:dyDescent="0.25">
      <c r="B86"/>
      <c r="C86"/>
      <c r="D86"/>
      <c r="M86" s="101">
        <f>IF('Reference dates (hide)'!I71&lt;&gt;"",'Reference dates (hide)'!I71,"")</f>
        <v>44025</v>
      </c>
      <c r="N86" s="99">
        <f t="shared" si="0"/>
        <v>2020</v>
      </c>
      <c r="O86" s="8">
        <f t="shared" si="1"/>
        <v>29</v>
      </c>
      <c r="P86">
        <f ca="1">'Reference dates (hide)'!K71</f>
        <v>1.968503937007874E-2</v>
      </c>
    </row>
    <row r="87" spans="2:16" x14ac:dyDescent="0.25">
      <c r="B87"/>
      <c r="C87"/>
      <c r="D87"/>
      <c r="M87" s="101">
        <f>IF('Reference dates (hide)'!I72&lt;&gt;"",'Reference dates (hide)'!I72,"")</f>
        <v>44032</v>
      </c>
      <c r="N87" s="99">
        <f t="shared" si="0"/>
        <v>2020</v>
      </c>
      <c r="O87" s="8">
        <f t="shared" si="1"/>
        <v>30</v>
      </c>
      <c r="P87">
        <f ca="1">'Reference dates (hide)'!K72</f>
        <v>1.968503937007874E-2</v>
      </c>
    </row>
    <row r="88" spans="2:16" x14ac:dyDescent="0.25">
      <c r="B88"/>
      <c r="C88"/>
      <c r="D88"/>
      <c r="M88" s="101">
        <f>IF('Reference dates (hide)'!I73&lt;&gt;"",'Reference dates (hide)'!I73,"")</f>
        <v>44039</v>
      </c>
      <c r="N88" s="99">
        <f t="shared" si="0"/>
        <v>2020</v>
      </c>
      <c r="O88" s="8">
        <f t="shared" si="1"/>
        <v>31</v>
      </c>
      <c r="P88">
        <f ca="1">'Reference dates (hide)'!K73</f>
        <v>1.968503937007874E-2</v>
      </c>
    </row>
    <row r="89" spans="2:16" x14ac:dyDescent="0.25">
      <c r="B89"/>
      <c r="C89"/>
      <c r="D89"/>
      <c r="M89" s="101">
        <f>IF('Reference dates (hide)'!I74&lt;&gt;"",'Reference dates (hide)'!I74,"")</f>
        <v>44046</v>
      </c>
      <c r="N89" s="99">
        <f t="shared" si="0"/>
        <v>2020</v>
      </c>
      <c r="O89" s="8">
        <f t="shared" si="1"/>
        <v>32</v>
      </c>
      <c r="P89">
        <f ca="1">'Reference dates (hide)'!K74</f>
        <v>1.968503937007874E-2</v>
      </c>
    </row>
    <row r="90" spans="2:16" x14ac:dyDescent="0.25">
      <c r="B90"/>
      <c r="C90"/>
      <c r="D90"/>
      <c r="M90" s="101">
        <f>IF('Reference dates (hide)'!I75&lt;&gt;"",'Reference dates (hide)'!I75,"")</f>
        <v>44053</v>
      </c>
      <c r="N90" s="99">
        <f t="shared" si="0"/>
        <v>2020</v>
      </c>
      <c r="O90" s="8">
        <f t="shared" si="1"/>
        <v>33</v>
      </c>
      <c r="P90">
        <f ca="1">'Reference dates (hide)'!K75</f>
        <v>1.968503937007874E-2</v>
      </c>
    </row>
    <row r="91" spans="2:16" x14ac:dyDescent="0.25">
      <c r="B91"/>
      <c r="C91"/>
      <c r="D91"/>
      <c r="M91" s="101">
        <f>IF('Reference dates (hide)'!I76&lt;&gt;"",'Reference dates (hide)'!I76,"")</f>
        <v>44060</v>
      </c>
      <c r="N91" s="99">
        <f t="shared" si="0"/>
        <v>2020</v>
      </c>
      <c r="O91" s="8">
        <f t="shared" si="1"/>
        <v>34</v>
      </c>
      <c r="P91">
        <f ca="1">'Reference dates (hide)'!K76</f>
        <v>1.968503937007874E-2</v>
      </c>
    </row>
    <row r="92" spans="2:16" x14ac:dyDescent="0.25">
      <c r="B92"/>
      <c r="C92"/>
      <c r="D92"/>
      <c r="M92" s="101">
        <f>IF('Reference dates (hide)'!I77&lt;&gt;"",'Reference dates (hide)'!I77,"")</f>
        <v>44067</v>
      </c>
      <c r="N92" s="99">
        <f t="shared" si="0"/>
        <v>2020</v>
      </c>
      <c r="O92" s="8">
        <f t="shared" si="1"/>
        <v>35</v>
      </c>
      <c r="P92">
        <f ca="1">'Reference dates (hide)'!K77</f>
        <v>1.968503937007874E-2</v>
      </c>
    </row>
    <row r="93" spans="2:16" x14ac:dyDescent="0.25">
      <c r="B93"/>
      <c r="C93"/>
      <c r="D93"/>
      <c r="M93" s="101">
        <f>IF('Reference dates (hide)'!I78&lt;&gt;"",'Reference dates (hide)'!I78,"")</f>
        <v>44074</v>
      </c>
      <c r="N93" s="99">
        <f t="shared" si="0"/>
        <v>2020</v>
      </c>
      <c r="O93" s="8">
        <f t="shared" si="1"/>
        <v>36</v>
      </c>
      <c r="P93">
        <f ca="1">'Reference dates (hide)'!K78</f>
        <v>1.5748031496062992E-2</v>
      </c>
    </row>
    <row r="94" spans="2:16" x14ac:dyDescent="0.25">
      <c r="B94"/>
      <c r="C94"/>
      <c r="D94"/>
      <c r="M94" s="101">
        <f>IF('Reference dates (hide)'!I79&lt;&gt;"",'Reference dates (hide)'!I79,"")</f>
        <v>44081</v>
      </c>
      <c r="N94" s="99">
        <f t="shared" si="0"/>
        <v>2020</v>
      </c>
      <c r="O94" s="8">
        <f t="shared" si="1"/>
        <v>37</v>
      </c>
      <c r="P94">
        <f ca="1">'Reference dates (hide)'!K79</f>
        <v>1.968503937007874E-2</v>
      </c>
    </row>
    <row r="95" spans="2:16" x14ac:dyDescent="0.25">
      <c r="B95"/>
      <c r="C95"/>
      <c r="D95"/>
      <c r="M95" s="101">
        <f>IF('Reference dates (hide)'!I80&lt;&gt;"",'Reference dates (hide)'!I80,"")</f>
        <v>44088</v>
      </c>
      <c r="N95" s="99">
        <f t="shared" si="0"/>
        <v>2020</v>
      </c>
      <c r="O95" s="8">
        <f t="shared" si="1"/>
        <v>38</v>
      </c>
      <c r="P95">
        <f ca="1">'Reference dates (hide)'!K80</f>
        <v>1.968503937007874E-2</v>
      </c>
    </row>
    <row r="96" spans="2:16" x14ac:dyDescent="0.25">
      <c r="B96"/>
      <c r="C96"/>
      <c r="D96"/>
      <c r="M96" s="101">
        <f>IF('Reference dates (hide)'!I81&lt;&gt;"",'Reference dates (hide)'!I81,"")</f>
        <v>44095</v>
      </c>
      <c r="N96" s="99">
        <f t="shared" si="0"/>
        <v>2020</v>
      </c>
      <c r="O96" s="8">
        <f t="shared" si="1"/>
        <v>39</v>
      </c>
      <c r="P96">
        <f ca="1">'Reference dates (hide)'!K81</f>
        <v>1.968503937007874E-2</v>
      </c>
    </row>
    <row r="97" spans="2:31" x14ac:dyDescent="0.25">
      <c r="B97"/>
      <c r="C97"/>
      <c r="D97"/>
      <c r="M97" s="101">
        <f>IF('Reference dates (hide)'!I82&lt;&gt;"",'Reference dates (hide)'!I82,"")</f>
        <v>44102</v>
      </c>
      <c r="N97" s="99">
        <f t="shared" si="0"/>
        <v>2020</v>
      </c>
      <c r="O97" s="8">
        <f t="shared" si="1"/>
        <v>40</v>
      </c>
      <c r="P97">
        <f ca="1">'Reference dates (hide)'!K82</f>
        <v>1.968503937007874E-2</v>
      </c>
    </row>
    <row r="98" spans="2:31" x14ac:dyDescent="0.25">
      <c r="B98"/>
      <c r="C98"/>
      <c r="D98"/>
      <c r="M98" s="101">
        <f>IF('Reference dates (hide)'!I83&lt;&gt;"",'Reference dates (hide)'!I83,"")</f>
        <v>44109</v>
      </c>
      <c r="N98" s="99">
        <f t="shared" si="0"/>
        <v>2020</v>
      </c>
      <c r="O98" s="8">
        <f t="shared" si="1"/>
        <v>41</v>
      </c>
      <c r="P98">
        <f ca="1">'Reference dates (hide)'!K83</f>
        <v>1.968503937007874E-2</v>
      </c>
    </row>
    <row r="99" spans="2:31" x14ac:dyDescent="0.25">
      <c r="B99"/>
      <c r="C99"/>
      <c r="D99"/>
      <c r="M99" s="101">
        <f>IF('Reference dates (hide)'!I84&lt;&gt;"",'Reference dates (hide)'!I84,"")</f>
        <v>44116</v>
      </c>
      <c r="N99" s="99">
        <f t="shared" si="0"/>
        <v>2020</v>
      </c>
      <c r="O99" s="8">
        <f t="shared" si="1"/>
        <v>42</v>
      </c>
      <c r="P99">
        <f ca="1">'Reference dates (hide)'!K84</f>
        <v>1.968503937007874E-2</v>
      </c>
    </row>
    <row r="100" spans="2:31" x14ac:dyDescent="0.25">
      <c r="B100"/>
      <c r="C100"/>
      <c r="D100"/>
      <c r="M100" s="101">
        <f>IF('Reference dates (hide)'!I85&lt;&gt;"",'Reference dates (hide)'!I85,"")</f>
        <v>44123</v>
      </c>
      <c r="N100" s="99">
        <f t="shared" si="0"/>
        <v>2020</v>
      </c>
      <c r="O100" s="8">
        <f t="shared" si="1"/>
        <v>43</v>
      </c>
      <c r="P100">
        <f ca="1">'Reference dates (hide)'!K85</f>
        <v>1.968503937007874E-2</v>
      </c>
    </row>
    <row r="101" spans="2:31" x14ac:dyDescent="0.25">
      <c r="B101"/>
      <c r="C101"/>
      <c r="D101"/>
      <c r="M101" s="101">
        <f>IF('Reference dates (hide)'!I86&lt;&gt;"",'Reference dates (hide)'!I86,"")</f>
        <v>44130</v>
      </c>
      <c r="N101" s="99">
        <f t="shared" si="0"/>
        <v>2020</v>
      </c>
      <c r="O101" s="8">
        <f t="shared" si="1"/>
        <v>44</v>
      </c>
      <c r="P101">
        <f ca="1">'Reference dates (hide)'!K86</f>
        <v>1.968503937007874E-2</v>
      </c>
    </row>
    <row r="102" spans="2:31" x14ac:dyDescent="0.25">
      <c r="B102"/>
      <c r="C102"/>
      <c r="D102"/>
      <c r="M102" s="101">
        <f>IF('Reference dates (hide)'!I87&lt;&gt;"",'Reference dates (hide)'!I87,"")</f>
        <v>44137</v>
      </c>
      <c r="N102" s="99">
        <f t="shared" si="0"/>
        <v>2020</v>
      </c>
      <c r="O102" s="8">
        <f t="shared" si="1"/>
        <v>45</v>
      </c>
      <c r="P102">
        <f ca="1">'Reference dates (hide)'!K87</f>
        <v>1.968503937007874E-2</v>
      </c>
    </row>
    <row r="103" spans="2:31" x14ac:dyDescent="0.25">
      <c r="B103"/>
      <c r="C103"/>
      <c r="D103"/>
      <c r="M103" s="101">
        <f>IF('Reference dates (hide)'!I88&lt;&gt;"",'Reference dates (hide)'!I88,"")</f>
        <v>44144</v>
      </c>
      <c r="N103" s="99">
        <f t="shared" si="0"/>
        <v>2020</v>
      </c>
      <c r="O103" s="8">
        <f t="shared" si="1"/>
        <v>46</v>
      </c>
      <c r="P103">
        <f ca="1">'Reference dates (hide)'!K88</f>
        <v>1.968503937007874E-2</v>
      </c>
    </row>
    <row r="104" spans="2:31" x14ac:dyDescent="0.25">
      <c r="B104"/>
      <c r="C104"/>
      <c r="D104"/>
      <c r="M104" s="101">
        <f>IF('Reference dates (hide)'!I89&lt;&gt;"",'Reference dates (hide)'!I89,"")</f>
        <v>44151</v>
      </c>
      <c r="N104" s="99">
        <f t="shared" si="0"/>
        <v>2020</v>
      </c>
      <c r="O104" s="8">
        <f t="shared" si="1"/>
        <v>47</v>
      </c>
      <c r="P104">
        <f ca="1">'Reference dates (hide)'!K89</f>
        <v>1.968503937007874E-2</v>
      </c>
    </row>
    <row r="105" spans="2:31" x14ac:dyDescent="0.25">
      <c r="B105"/>
      <c r="C105"/>
      <c r="D105"/>
      <c r="M105" s="101">
        <f>IF('Reference dates (hide)'!I90&lt;&gt;"",'Reference dates (hide)'!I90,"")</f>
        <v>44158</v>
      </c>
      <c r="N105" s="99">
        <f t="shared" si="0"/>
        <v>2020</v>
      </c>
      <c r="O105" s="8">
        <f t="shared" si="1"/>
        <v>48</v>
      </c>
      <c r="P105">
        <f ca="1">'Reference dates (hide)'!K90</f>
        <v>1.968503937007874E-2</v>
      </c>
    </row>
    <row r="106" spans="2:31" x14ac:dyDescent="0.25">
      <c r="B106"/>
      <c r="C106"/>
      <c r="D106"/>
      <c r="M106" s="101">
        <f>IF('Reference dates (hide)'!I91&lt;&gt;"",'Reference dates (hide)'!I91,"")</f>
        <v>44165</v>
      </c>
      <c r="N106" s="99">
        <f t="shared" si="0"/>
        <v>2020</v>
      </c>
      <c r="O106" s="8">
        <f t="shared" si="1"/>
        <v>49</v>
      </c>
      <c r="P106">
        <f ca="1">'Reference dates (hide)'!K91</f>
        <v>1.968503937007874E-2</v>
      </c>
    </row>
    <row r="107" spans="2:31" x14ac:dyDescent="0.25">
      <c r="B107"/>
      <c r="C107"/>
      <c r="D107"/>
      <c r="M107" s="101">
        <f>IF('Reference dates (hide)'!I92&lt;&gt;"",'Reference dates (hide)'!I92,"")</f>
        <v>44172</v>
      </c>
      <c r="N107" s="99">
        <f t="shared" si="0"/>
        <v>2020</v>
      </c>
      <c r="O107" s="8">
        <f t="shared" si="1"/>
        <v>50</v>
      </c>
      <c r="P107">
        <f ca="1">'Reference dates (hide)'!K92</f>
        <v>1.968503937007874E-2</v>
      </c>
    </row>
    <row r="108" spans="2:31" x14ac:dyDescent="0.25">
      <c r="B108"/>
      <c r="C108"/>
      <c r="D108"/>
      <c r="M108" s="101">
        <f>IF('Reference dates (hide)'!I93&lt;&gt;"",'Reference dates (hide)'!I93,"")</f>
        <v>44179</v>
      </c>
      <c r="N108" s="99">
        <f t="shared" si="0"/>
        <v>2020</v>
      </c>
      <c r="O108" s="8">
        <f t="shared" si="1"/>
        <v>51</v>
      </c>
      <c r="P108">
        <f ca="1">'Reference dates (hide)'!K93</f>
        <v>1.968503937007874E-2</v>
      </c>
    </row>
    <row r="109" spans="2:31" x14ac:dyDescent="0.25">
      <c r="B109"/>
      <c r="C109"/>
      <c r="D109"/>
      <c r="M109" s="101">
        <f>IF('Reference dates (hide)'!I94&lt;&gt;"",'Reference dates (hide)'!I94,"")</f>
        <v>44186</v>
      </c>
      <c r="N109" s="99">
        <f t="shared" si="0"/>
        <v>2020</v>
      </c>
      <c r="O109" s="8">
        <f t="shared" si="1"/>
        <v>52</v>
      </c>
      <c r="P109">
        <f ca="1">'Reference dates (hide)'!K94</f>
        <v>1.5748031496062992E-2</v>
      </c>
    </row>
    <row r="110" spans="2:31" x14ac:dyDescent="0.25">
      <c r="B110"/>
      <c r="C110"/>
      <c r="D110"/>
      <c r="M110" s="101">
        <f>IF('Reference dates (hide)'!I95&lt;&gt;"",'Reference dates (hide)'!I95,"")</f>
        <v>44193</v>
      </c>
      <c r="N110" s="99">
        <f t="shared" si="0"/>
        <v>2020</v>
      </c>
      <c r="O110" s="8">
        <f t="shared" si="1"/>
        <v>53</v>
      </c>
      <c r="P110">
        <f ca="1">'Reference dates (hide)'!K95</f>
        <v>1.1811023622047244E-2</v>
      </c>
    </row>
    <row r="111" spans="2:31" x14ac:dyDescent="0.25">
      <c r="M111">
        <f>MAX(T58:AB110)</f>
        <v>0</v>
      </c>
      <c r="Q111">
        <f>MAX(Q58:Q109)/$Q$54</f>
        <v>0</v>
      </c>
      <c r="R111">
        <f>MAX(R58:R109)/IF($R$54=0,1,$Q$54)</f>
        <v>0</v>
      </c>
      <c r="S111">
        <f>MAX(S58:S109)/IF($S$54=0,1,$Q$54)</f>
        <v>0</v>
      </c>
      <c r="Z111">
        <f>MAX(Z58:Z109)/IF($Z$52=0,1,Q$54)</f>
        <v>0</v>
      </c>
      <c r="AA111">
        <f>MAX(AA58:AA109)/IF($Z$52=0,1,R$54)</f>
        <v>0</v>
      </c>
      <c r="AB111">
        <f>MAX(AB58:AB109)/IF($Z$52=0,1,S$54)</f>
        <v>0</v>
      </c>
      <c r="AC111">
        <f>MAX(AC58:AC109)/IF($Z$52=0,1,Q$54)</f>
        <v>0</v>
      </c>
      <c r="AD111">
        <f>MAX(AD58:AD109)/IF($Z$52=0,1,R$54)</f>
        <v>0</v>
      </c>
      <c r="AE111">
        <f>MAX(AE58:AE109)/IF($Z$52=0,1,S$54)</f>
        <v>0</v>
      </c>
    </row>
    <row r="118" spans="26:26" x14ac:dyDescent="0.25">
      <c r="Z118" s="121"/>
    </row>
    <row r="119" spans="26:26" x14ac:dyDescent="0.25">
      <c r="Z119" s="121"/>
    </row>
  </sheetData>
  <pageMargins left="0.7" right="0.7" top="0.75" bottom="0.75" header="0.3" footer="0.3"/>
  <legacyDrawing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5"/>
  <dimension ref="A1:AN119"/>
  <sheetViews>
    <sheetView workbookViewId="0">
      <selection activeCell="AK59" sqref="AK59"/>
    </sheetView>
  </sheetViews>
  <sheetFormatPr defaultRowHeight="13.8" x14ac:dyDescent="0.25"/>
  <cols>
    <col min="1" max="1" width="27.69921875" bestFit="1" customWidth="1"/>
    <col min="2" max="2" width="16.8984375" style="6" customWidth="1"/>
    <col min="3" max="3" width="12.09765625" style="6" bestFit="1" customWidth="1"/>
    <col min="4" max="4" width="16.09765625" style="7" bestFit="1" customWidth="1"/>
    <col min="11" max="11" width="10.8984375" bestFit="1" customWidth="1"/>
    <col min="13" max="13" width="16.69921875" bestFit="1" customWidth="1"/>
    <col min="17" max="17" width="6.8984375" customWidth="1"/>
    <col min="26" max="26" width="11.8984375" bestFit="1" customWidth="1"/>
  </cols>
  <sheetData>
    <row r="1" spans="1:19" x14ac:dyDescent="0.25">
      <c r="A1" t="s">
        <v>1071</v>
      </c>
      <c r="B1" s="6" t="s">
        <v>931</v>
      </c>
      <c r="C1" s="6" t="b">
        <f>ISERR(SUM(B25:M49))</f>
        <v>0</v>
      </c>
    </row>
    <row r="2" spans="1:19" x14ac:dyDescent="0.25">
      <c r="A2" t="s">
        <v>932</v>
      </c>
      <c r="B2"/>
    </row>
    <row r="3" spans="1:19" x14ac:dyDescent="0.25">
      <c r="B3" s="6" t="s">
        <v>933</v>
      </c>
      <c r="F3" t="s">
        <v>934</v>
      </c>
      <c r="J3" t="s">
        <v>935</v>
      </c>
    </row>
    <row r="4" spans="1:19" x14ac:dyDescent="0.25">
      <c r="B4" s="6" t="s">
        <v>936</v>
      </c>
      <c r="C4" s="6" t="s">
        <v>937</v>
      </c>
      <c r="D4" s="7" t="s">
        <v>1208</v>
      </c>
      <c r="F4" s="6" t="s">
        <v>936</v>
      </c>
      <c r="G4" s="6" t="s">
        <v>937</v>
      </c>
      <c r="H4" s="7" t="s">
        <v>1024</v>
      </c>
      <c r="J4" s="6" t="s">
        <v>936</v>
      </c>
      <c r="K4" s="6" t="s">
        <v>937</v>
      </c>
      <c r="L4" s="7" t="s">
        <v>1024</v>
      </c>
    </row>
    <row r="5" spans="1:19" x14ac:dyDescent="0.25">
      <c r="A5" t="s">
        <v>5</v>
      </c>
      <c r="B5" s="8"/>
      <c r="C5" s="6">
        <f>B5*52</f>
        <v>0</v>
      </c>
      <c r="D5" s="7">
        <f>IF($B$20=1,C5/$B$21,C5)</f>
        <v>0</v>
      </c>
      <c r="G5">
        <f>F5*$D5</f>
        <v>0</v>
      </c>
      <c r="H5">
        <f>G5/52</f>
        <v>0</v>
      </c>
      <c r="K5">
        <f>J5*D5</f>
        <v>0</v>
      </c>
      <c r="L5">
        <f>K5/52</f>
        <v>0</v>
      </c>
    </row>
    <row r="6" spans="1:19" x14ac:dyDescent="0.25">
      <c r="A6" t="s">
        <v>1209</v>
      </c>
      <c r="B6" s="8"/>
      <c r="D6" s="7">
        <f>IF($B$20=1,B6/$B$21,B6)</f>
        <v>0</v>
      </c>
      <c r="G6">
        <f>F6*52</f>
        <v>0</v>
      </c>
      <c r="H6">
        <f>F6</f>
        <v>0</v>
      </c>
      <c r="K6">
        <f>J6*52</f>
        <v>0</v>
      </c>
      <c r="L6">
        <f>J6</f>
        <v>0</v>
      </c>
    </row>
    <row r="7" spans="1:19" x14ac:dyDescent="0.25">
      <c r="A7" t="s">
        <v>1210</v>
      </c>
      <c r="B7" s="8"/>
      <c r="D7" s="7">
        <f>IF($B$20=1,B7/$B$21,B7)</f>
        <v>0</v>
      </c>
    </row>
    <row r="8" spans="1:19" x14ac:dyDescent="0.25">
      <c r="A8" t="s">
        <v>9</v>
      </c>
      <c r="B8"/>
    </row>
    <row r="9" spans="1:19" x14ac:dyDescent="0.25">
      <c r="A9" t="s">
        <v>964</v>
      </c>
      <c r="B9"/>
    </row>
    <row r="10" spans="1:19" x14ac:dyDescent="0.25">
      <c r="A10" t="s">
        <v>940</v>
      </c>
      <c r="B10"/>
      <c r="C10" s="6">
        <f xml:space="preserve"> NASR*NASRDC</f>
        <v>0</v>
      </c>
      <c r="G10">
        <f xml:space="preserve"> FU_NASR*FU_NASRDC</f>
        <v>0</v>
      </c>
      <c r="K10">
        <f xml:space="preserve"> IP_NASR*IP_NASRDC</f>
        <v>0</v>
      </c>
    </row>
    <row r="11" spans="1:19" x14ac:dyDescent="0.25">
      <c r="A11" t="s">
        <v>965</v>
      </c>
      <c r="B11"/>
    </row>
    <row r="12" spans="1:19" x14ac:dyDescent="0.25">
      <c r="A12" t="s">
        <v>859</v>
      </c>
      <c r="B12"/>
    </row>
    <row r="13" spans="1:19" x14ac:dyDescent="0.25">
      <c r="A13" t="s">
        <v>941</v>
      </c>
      <c r="B13" s="8"/>
      <c r="D13" s="7">
        <f>IF($B$20=1,B13/$B$21,B13)</f>
        <v>0</v>
      </c>
      <c r="G13">
        <f>F13*52</f>
        <v>0</v>
      </c>
      <c r="H13" s="7">
        <f>IF($B$20=1,F13/$B$21,F13)</f>
        <v>0</v>
      </c>
      <c r="K13">
        <f>J13*52</f>
        <v>0</v>
      </c>
      <c r="L13" s="7">
        <f>IF($B$20=1,J13/$B$21,J13)</f>
        <v>0</v>
      </c>
    </row>
    <row r="14" spans="1:19" x14ac:dyDescent="0.25">
      <c r="A14" t="s">
        <v>1275</v>
      </c>
      <c r="B14" s="8"/>
      <c r="H14" s="7"/>
      <c r="L14" s="7"/>
    </row>
    <row r="15" spans="1:19" x14ac:dyDescent="0.25">
      <c r="A15" t="s">
        <v>1278</v>
      </c>
      <c r="B15"/>
      <c r="D15" s="7">
        <f>IF($B$20=1,B15/$B$21,B15)</f>
        <v>0</v>
      </c>
      <c r="H15" s="7">
        <f>IF($B$20=1,F15/$B$21,F15)</f>
        <v>0</v>
      </c>
      <c r="L15" s="7">
        <f>IF($B$20=1,J15/$B$21,J15)</f>
        <v>0</v>
      </c>
    </row>
    <row r="16" spans="1:19" x14ac:dyDescent="0.25">
      <c r="A16" t="s">
        <v>861</v>
      </c>
      <c r="B16" s="8"/>
      <c r="D16" s="7">
        <f>IF($B$20=1,B16/$B$21,B16)</f>
        <v>0</v>
      </c>
      <c r="H16" s="7">
        <f>IF($B$20=1,F16/$B$21,F16)</f>
        <v>0</v>
      </c>
      <c r="L16" s="7">
        <f>IF($B$20=1,J16/$B$21,J16)</f>
        <v>0</v>
      </c>
      <c r="S16" t="s">
        <v>1213</v>
      </c>
    </row>
    <row r="17" spans="1:20" x14ac:dyDescent="0.25">
      <c r="A17" t="s">
        <v>7</v>
      </c>
      <c r="B17" s="8"/>
      <c r="D17" s="7">
        <f>IF($B$20=1,B17/$B$21,B17)</f>
        <v>0</v>
      </c>
      <c r="H17" s="7">
        <f>IF($B$20=1,F17/$B$21,F17)</f>
        <v>0</v>
      </c>
      <c r="L17" s="7">
        <f>IF($B$20=1,J17/$B$21,J17)</f>
        <v>0</v>
      </c>
      <c r="S17" t="s">
        <v>1159</v>
      </c>
    </row>
    <row r="18" spans="1:20" x14ac:dyDescent="0.25">
      <c r="A18" t="s">
        <v>1081</v>
      </c>
      <c r="B18"/>
      <c r="S18" t="s">
        <v>1187</v>
      </c>
    </row>
    <row r="19" spans="1:20" x14ac:dyDescent="0.25">
      <c r="A19" t="s">
        <v>863</v>
      </c>
      <c r="B19"/>
      <c r="S19" t="s">
        <v>1214</v>
      </c>
      <c r="T19" t="s">
        <v>1215</v>
      </c>
    </row>
    <row r="20" spans="1:20" x14ac:dyDescent="0.25">
      <c r="A20" t="s">
        <v>942</v>
      </c>
      <c r="B20"/>
      <c r="R20" t="s">
        <v>947</v>
      </c>
      <c r="S20" t="s">
        <v>984</v>
      </c>
      <c r="T20" t="s">
        <v>1216</v>
      </c>
    </row>
    <row r="21" spans="1:20" x14ac:dyDescent="0.25">
      <c r="A21" t="s">
        <v>943</v>
      </c>
      <c r="B21">
        <v>1</v>
      </c>
      <c r="D21" s="12"/>
      <c r="S21" t="s">
        <v>985</v>
      </c>
      <c r="T21" t="s">
        <v>1216</v>
      </c>
    </row>
    <row r="22" spans="1:20" x14ac:dyDescent="0.25">
      <c r="H22">
        <f>F22*$D$5</f>
        <v>0</v>
      </c>
      <c r="L22">
        <f>J22*$D$5</f>
        <v>0</v>
      </c>
      <c r="S22" t="s">
        <v>1217</v>
      </c>
      <c r="T22" t="s">
        <v>1218</v>
      </c>
    </row>
    <row r="23" spans="1:20" x14ac:dyDescent="0.25">
      <c r="S23" t="s">
        <v>1219</v>
      </c>
      <c r="T23" t="s">
        <v>1218</v>
      </c>
    </row>
    <row r="24" spans="1:20" x14ac:dyDescent="0.25">
      <c r="D24" s="7" t="s">
        <v>1023</v>
      </c>
      <c r="F24" t="s">
        <v>901</v>
      </c>
      <c r="G24" t="s">
        <v>1022</v>
      </c>
      <c r="H24" s="7" t="s">
        <v>1023</v>
      </c>
      <c r="J24" t="s">
        <v>901</v>
      </c>
      <c r="K24" t="s">
        <v>1022</v>
      </c>
      <c r="L24" s="7" t="s">
        <v>1023</v>
      </c>
      <c r="R24" t="s">
        <v>941</v>
      </c>
      <c r="S24" t="s">
        <v>25</v>
      </c>
      <c r="T24" t="s">
        <v>1218</v>
      </c>
    </row>
    <row r="25" spans="1:20" x14ac:dyDescent="0.25">
      <c r="A25" t="s">
        <v>944</v>
      </c>
      <c r="B25" s="6">
        <f>IF(B17-B16&lt;0,0,B17-B16)</f>
        <v>0</v>
      </c>
      <c r="D25" s="6">
        <f>IF(D17-D16&lt;0,0,D17-D16)</f>
        <v>0</v>
      </c>
      <c r="F25" s="8">
        <f>F5*B25</f>
        <v>0</v>
      </c>
      <c r="G25" s="8">
        <v>0</v>
      </c>
      <c r="H25" s="8"/>
      <c r="I25" s="8"/>
      <c r="J25" s="8">
        <f>(J5*B25)+IF(J17-J16&lt;=0,0,J17-J16)</f>
        <v>0</v>
      </c>
      <c r="K25" s="8">
        <f>IF(J17-J16&lt;=0,0,J17-J16)</f>
        <v>0</v>
      </c>
      <c r="L25" s="8"/>
      <c r="S25" t="s">
        <v>1220</v>
      </c>
      <c r="T25" t="s">
        <v>1218</v>
      </c>
    </row>
    <row r="26" spans="1:20" x14ac:dyDescent="0.25">
      <c r="A26" t="s">
        <v>945</v>
      </c>
      <c r="B26" s="9">
        <f>(1-NASLDC)*NASL</f>
        <v>0</v>
      </c>
      <c r="D26" s="11"/>
      <c r="F26" s="8">
        <f>FU_NASL*(1-FU_NASLDC)</f>
        <v>0</v>
      </c>
      <c r="G26" s="8"/>
      <c r="H26" s="8"/>
      <c r="I26" s="8"/>
      <c r="J26" s="8">
        <f>IP_NASL*(1-IP_NASLDC)</f>
        <v>0</v>
      </c>
      <c r="K26" s="8"/>
      <c r="L26" s="8"/>
      <c r="R26" t="s">
        <v>1221</v>
      </c>
      <c r="S26" t="s">
        <v>25</v>
      </c>
      <c r="T26" t="s">
        <v>1218</v>
      </c>
    </row>
    <row r="27" spans="1:20" x14ac:dyDescent="0.25">
      <c r="A27" t="s">
        <v>946</v>
      </c>
      <c r="B27" s="6">
        <f>NASR*(1-NASRDC)</f>
        <v>0</v>
      </c>
      <c r="D27" s="11"/>
      <c r="F27" s="8">
        <f>FU_NASR*(1-FU_NASRDC)</f>
        <v>0</v>
      </c>
      <c r="G27" s="8"/>
      <c r="H27" s="8"/>
      <c r="I27" s="8"/>
      <c r="J27" s="8">
        <f>IP_NASR*(1-IP_NASRDC)</f>
        <v>0</v>
      </c>
      <c r="K27" s="8"/>
      <c r="L27" s="8"/>
      <c r="S27" t="s">
        <v>1220</v>
      </c>
      <c r="T27" t="s">
        <v>1218</v>
      </c>
    </row>
    <row r="28" spans="1:20" x14ac:dyDescent="0.25">
      <c r="D28" s="11"/>
      <c r="F28" s="8"/>
      <c r="G28" s="8"/>
      <c r="H28" s="8"/>
      <c r="I28" s="8"/>
      <c r="J28" s="8"/>
      <c r="K28" s="8"/>
      <c r="L28" s="8"/>
      <c r="R28" t="s">
        <v>1093</v>
      </c>
      <c r="S28" t="s">
        <v>984</v>
      </c>
      <c r="T28" t="s">
        <v>1216</v>
      </c>
    </row>
    <row r="29" spans="1:20" ht="14.4" x14ac:dyDescent="0.3">
      <c r="A29" s="10" t="s">
        <v>947</v>
      </c>
      <c r="D29" s="12"/>
      <c r="F29" s="8"/>
      <c r="G29" s="8"/>
      <c r="H29" s="8"/>
      <c r="I29" s="8"/>
      <c r="J29" s="8"/>
      <c r="K29" s="8"/>
      <c r="L29" s="8"/>
      <c r="S29" t="s">
        <v>985</v>
      </c>
      <c r="T29" t="s">
        <v>1216</v>
      </c>
    </row>
    <row r="30" spans="1:20" x14ac:dyDescent="0.25">
      <c r="A30" t="s">
        <v>948</v>
      </c>
      <c r="B30" s="6">
        <f>B5*(NASL+NASR+ROTT)</f>
        <v>0</v>
      </c>
      <c r="F30" s="8">
        <f>H5*(F8+F10+F18)</f>
        <v>0</v>
      </c>
      <c r="G30" s="8"/>
      <c r="H30" s="8"/>
      <c r="I30" s="8"/>
      <c r="J30" s="8">
        <f>L5*(J8+J10+J18)</f>
        <v>0</v>
      </c>
      <c r="K30" s="8"/>
      <c r="L30" s="8"/>
    </row>
    <row r="31" spans="1:20" x14ac:dyDescent="0.25">
      <c r="A31" t="s">
        <v>949</v>
      </c>
      <c r="B31" s="6">
        <f>B5*(B26+B27)</f>
        <v>0</v>
      </c>
      <c r="F31" s="8">
        <f>H5*(F26+F27)</f>
        <v>0</v>
      </c>
      <c r="G31" s="8"/>
      <c r="H31" s="8"/>
      <c r="I31" s="8"/>
      <c r="J31" s="8">
        <f>L5*(J26+J27)</f>
        <v>0</v>
      </c>
      <c r="K31" s="8"/>
      <c r="L31" s="8"/>
      <c r="R31" t="s">
        <v>941</v>
      </c>
      <c r="S31" t="s">
        <v>25</v>
      </c>
      <c r="T31" t="s">
        <v>1218</v>
      </c>
    </row>
    <row r="32" spans="1:20" x14ac:dyDescent="0.25">
      <c r="F32" s="8"/>
      <c r="G32" s="8"/>
      <c r="H32" s="8"/>
      <c r="I32" s="8"/>
      <c r="J32" s="8"/>
      <c r="K32" s="8"/>
      <c r="L32" s="8"/>
      <c r="S32" t="s">
        <v>1220</v>
      </c>
      <c r="T32" t="s">
        <v>1218</v>
      </c>
    </row>
    <row r="33" spans="1:20" x14ac:dyDescent="0.25">
      <c r="A33" t="s">
        <v>950</v>
      </c>
      <c r="B33" s="6">
        <f>B31-B30+B5</f>
        <v>0</v>
      </c>
      <c r="C33" s="6">
        <f>B33*52</f>
        <v>0</v>
      </c>
      <c r="D33" s="7">
        <f>IF($B$20=1,C33/$B$21,C33)</f>
        <v>0</v>
      </c>
      <c r="F33" s="8">
        <f>(F31-F30+H5)/52</f>
        <v>0</v>
      </c>
      <c r="G33" s="8"/>
      <c r="H33" s="8">
        <f>(F31-F30+H5)*52</f>
        <v>0</v>
      </c>
      <c r="I33" s="8"/>
      <c r="J33" s="8">
        <f>(J31-J30+L5)/52</f>
        <v>0</v>
      </c>
      <c r="K33" s="8"/>
      <c r="L33" s="8">
        <f>(J31-J30+L5)*52</f>
        <v>0</v>
      </c>
      <c r="R33" t="s">
        <v>1221</v>
      </c>
      <c r="S33" t="s">
        <v>25</v>
      </c>
      <c r="T33" t="s">
        <v>1218</v>
      </c>
    </row>
    <row r="34" spans="1:20" x14ac:dyDescent="0.25">
      <c r="F34" s="8"/>
      <c r="G34" s="8"/>
      <c r="H34" s="8"/>
      <c r="I34" s="8"/>
      <c r="J34" s="8"/>
      <c r="K34" s="8"/>
      <c r="L34" s="8"/>
      <c r="S34" t="s">
        <v>1220</v>
      </c>
      <c r="T34" t="s">
        <v>1218</v>
      </c>
    </row>
    <row r="35" spans="1:20" x14ac:dyDescent="0.25">
      <c r="F35" s="8"/>
      <c r="G35" s="8"/>
      <c r="H35" s="8"/>
      <c r="I35" s="8"/>
      <c r="J35" s="8"/>
      <c r="K35" s="8"/>
      <c r="L35" s="8"/>
      <c r="R35" t="s">
        <v>1093</v>
      </c>
      <c r="S35" t="s">
        <v>984</v>
      </c>
      <c r="T35" t="s">
        <v>1218</v>
      </c>
    </row>
    <row r="36" spans="1:20" ht="14.4" x14ac:dyDescent="0.3">
      <c r="A36" s="10" t="s">
        <v>951</v>
      </c>
      <c r="F36" s="8"/>
      <c r="G36" s="8"/>
      <c r="H36" s="8"/>
      <c r="I36" s="8"/>
      <c r="J36" s="8"/>
      <c r="K36" s="8"/>
      <c r="L36" s="8"/>
      <c r="S36" t="s">
        <v>985</v>
      </c>
      <c r="T36" t="s">
        <v>1218</v>
      </c>
    </row>
    <row r="37" spans="1:20" x14ac:dyDescent="0.25">
      <c r="A37" t="s">
        <v>948</v>
      </c>
      <c r="B37" s="6">
        <f>B13*(B8+B10+B18)</f>
        <v>0</v>
      </c>
      <c r="F37" s="8">
        <f>F13*(F8+F10)</f>
        <v>0</v>
      </c>
      <c r="G37" s="8"/>
      <c r="H37" s="8"/>
      <c r="I37" s="8"/>
      <c r="J37" s="8">
        <f>J13*(J8+J10)</f>
        <v>0</v>
      </c>
      <c r="K37" s="8"/>
      <c r="L37" s="8"/>
      <c r="S37" t="s">
        <v>1222</v>
      </c>
      <c r="T37" t="s">
        <v>1218</v>
      </c>
    </row>
    <row r="38" spans="1:20" x14ac:dyDescent="0.25">
      <c r="A38" t="s">
        <v>949</v>
      </c>
      <c r="B38" s="6">
        <f>B13*(B26+B27)</f>
        <v>0</v>
      </c>
      <c r="F38" s="8">
        <f>F13*(F26+F27)</f>
        <v>0</v>
      </c>
      <c r="G38" s="8"/>
      <c r="H38" s="8"/>
      <c r="I38" s="8"/>
      <c r="J38" s="8">
        <f>J13*(J26+J27)</f>
        <v>0</v>
      </c>
      <c r="K38" s="8"/>
      <c r="L38" s="8"/>
    </row>
    <row r="39" spans="1:20" x14ac:dyDescent="0.25">
      <c r="F39" s="8"/>
      <c r="G39" s="8"/>
      <c r="H39" s="8"/>
      <c r="I39" s="8"/>
      <c r="J39" s="8"/>
      <c r="K39" s="8"/>
      <c r="L39" s="8"/>
      <c r="R39" t="s">
        <v>1203</v>
      </c>
      <c r="T39" t="s">
        <v>1218</v>
      </c>
    </row>
    <row r="40" spans="1:20" x14ac:dyDescent="0.25">
      <c r="A40" t="s">
        <v>952</v>
      </c>
      <c r="B40" s="6">
        <f>B13+B38-B37</f>
        <v>0</v>
      </c>
      <c r="C40" s="6">
        <f>B40*52</f>
        <v>0</v>
      </c>
      <c r="D40" s="7">
        <f>IF($B$20=1,C40/$B$21,C40)</f>
        <v>0</v>
      </c>
      <c r="F40" s="8">
        <f>F13+F38-F37</f>
        <v>0</v>
      </c>
      <c r="G40" s="8"/>
      <c r="H40" s="8">
        <f>F40*52</f>
        <v>0</v>
      </c>
      <c r="I40" s="8"/>
      <c r="J40" s="8">
        <f>J13+J38-J37</f>
        <v>0</v>
      </c>
      <c r="K40" s="8"/>
      <c r="L40" s="8">
        <f>J40*52</f>
        <v>0</v>
      </c>
    </row>
    <row r="41" spans="1:20" x14ac:dyDescent="0.25">
      <c r="F41" s="8"/>
      <c r="G41" s="8"/>
      <c r="H41" s="8"/>
      <c r="I41" s="8"/>
      <c r="J41" s="8"/>
      <c r="K41" s="8"/>
      <c r="L41" s="8"/>
    </row>
    <row r="42" spans="1:20" x14ac:dyDescent="0.25">
      <c r="F42" s="8"/>
      <c r="G42" s="8"/>
      <c r="H42" s="8"/>
      <c r="I42" s="8"/>
      <c r="J42" s="8"/>
      <c r="K42" s="8"/>
      <c r="L42" s="8"/>
    </row>
    <row r="43" spans="1:20" ht="14.4" x14ac:dyDescent="0.3">
      <c r="A43" s="10" t="s">
        <v>953</v>
      </c>
      <c r="F43" s="8"/>
      <c r="G43" s="8"/>
      <c r="H43" s="8"/>
      <c r="I43" s="8"/>
      <c r="J43" s="8"/>
      <c r="K43" s="8"/>
      <c r="L43" s="8"/>
    </row>
    <row r="44" spans="1:20" x14ac:dyDescent="0.25">
      <c r="A44" t="s">
        <v>954</v>
      </c>
      <c r="F44" s="8"/>
      <c r="G44" s="8"/>
      <c r="H44" s="8"/>
      <c r="I44" s="8"/>
      <c r="J44" s="8"/>
      <c r="K44" s="8"/>
      <c r="L44" s="8"/>
    </row>
    <row r="45" spans="1:20" x14ac:dyDescent="0.25">
      <c r="F45" s="8"/>
      <c r="G45" s="8"/>
      <c r="H45" s="8"/>
      <c r="I45" s="8"/>
      <c r="J45" s="8"/>
      <c r="K45" s="8"/>
      <c r="L45" s="8"/>
    </row>
    <row r="46" spans="1:20" x14ac:dyDescent="0.25">
      <c r="A46" t="s">
        <v>948</v>
      </c>
      <c r="B46" s="6">
        <f>B25*(B8+B10+B18)</f>
        <v>0</v>
      </c>
      <c r="F46" s="8">
        <f>F25*(F8+F10)</f>
        <v>0</v>
      </c>
      <c r="G46" s="8"/>
      <c r="H46" s="8"/>
      <c r="I46" s="8"/>
      <c r="J46" s="8">
        <f>J25*(J8+J10)</f>
        <v>0</v>
      </c>
      <c r="K46" s="8"/>
      <c r="L46" s="8"/>
    </row>
    <row r="47" spans="1:20" x14ac:dyDescent="0.25">
      <c r="A47" t="s">
        <v>949</v>
      </c>
      <c r="B47" s="6">
        <f>B25*(B26+B27)</f>
        <v>0</v>
      </c>
      <c r="F47" s="8">
        <f>F25*(F26+F27)</f>
        <v>0</v>
      </c>
      <c r="G47" s="8"/>
      <c r="H47" s="8"/>
      <c r="I47" s="8"/>
      <c r="J47" s="8">
        <f>J25*(J26+J27)</f>
        <v>0</v>
      </c>
      <c r="K47" s="8"/>
      <c r="L47" s="8"/>
    </row>
    <row r="48" spans="1:20" x14ac:dyDescent="0.25">
      <c r="F48" s="8" t="s">
        <v>901</v>
      </c>
      <c r="G48" s="8"/>
      <c r="H48" s="8"/>
      <c r="I48" s="8"/>
      <c r="J48" s="8" t="s">
        <v>901</v>
      </c>
      <c r="K48" s="8"/>
      <c r="L48" s="8"/>
    </row>
    <row r="49" spans="1:40" x14ac:dyDescent="0.25">
      <c r="A49" t="s">
        <v>955</v>
      </c>
      <c r="B49" s="6">
        <f>B25+B47-B46</f>
        <v>0</v>
      </c>
      <c r="C49" s="6">
        <f>B49</f>
        <v>0</v>
      </c>
      <c r="D49" s="7">
        <f>IF($B$20=1,C49/$B$21,C49)</f>
        <v>0</v>
      </c>
      <c r="F49" s="8">
        <f>F25+F47-F46</f>
        <v>0</v>
      </c>
      <c r="G49" s="8">
        <f>F49</f>
        <v>0</v>
      </c>
      <c r="H49" s="8">
        <f>IF($F$20=1,G49/$F$21,G49)</f>
        <v>0</v>
      </c>
      <c r="I49" s="8"/>
      <c r="J49" s="8">
        <f>J25+J47-J46</f>
        <v>0</v>
      </c>
      <c r="K49" s="8">
        <f>J49</f>
        <v>0</v>
      </c>
      <c r="L49" s="8">
        <f>IF($J$20=1,K49/$J$21,K49)</f>
        <v>0</v>
      </c>
    </row>
    <row r="50" spans="1:40" x14ac:dyDescent="0.25">
      <c r="F50" t="s">
        <v>1022</v>
      </c>
      <c r="J50" t="s">
        <v>1022</v>
      </c>
    </row>
    <row r="51" spans="1:40" x14ac:dyDescent="0.25">
      <c r="F51">
        <v>0</v>
      </c>
      <c r="H51">
        <v>0</v>
      </c>
      <c r="J51">
        <f>K25*(1+(J8*(1-J9))-(J8+J10+J18)+(J10*(1-J11)))</f>
        <v>0</v>
      </c>
      <c r="K51">
        <f>J51</f>
        <v>0</v>
      </c>
      <c r="L51" s="8">
        <f>IF($J$20=1,K51/$J$21,K51)</f>
        <v>0</v>
      </c>
    </row>
    <row r="52" spans="1:40" x14ac:dyDescent="0.25">
      <c r="A52" s="1" t="s">
        <v>956</v>
      </c>
      <c r="M52" t="s">
        <v>1016</v>
      </c>
      <c r="Z52">
        <f>1-(NASL*NASLDC)</f>
        <v>1</v>
      </c>
    </row>
    <row r="53" spans="1:40" x14ac:dyDescent="0.25">
      <c r="A53" t="s">
        <v>1141</v>
      </c>
      <c r="B53" s="92" t="s">
        <v>1142</v>
      </c>
    </row>
    <row r="54" spans="1:40" x14ac:dyDescent="0.25">
      <c r="M54" t="s">
        <v>1207</v>
      </c>
      <c r="Q54">
        <f>(1-ROTT)*(1-(NASR*NASRDC) - (NASL*NASLDC))</f>
        <v>1</v>
      </c>
      <c r="R54">
        <f>(1-FU_ROTT)*(1-(FU_NASR*FU_NASRDC) - (FU_NASL*FU_NASLDC))</f>
        <v>1</v>
      </c>
      <c r="S54">
        <f>(1-IP_ROTT)*(1-(IP_NASR*IP_NASRDC) - (IP_NASL*IP_NASLDC))</f>
        <v>1</v>
      </c>
      <c r="Z54">
        <f>1-(NASL*NASLDC)</f>
        <v>1</v>
      </c>
      <c r="AA54">
        <f>1-(FU_NASL*FU_NASLDC)</f>
        <v>1</v>
      </c>
      <c r="AB54">
        <f>1-(IP_NASL*IP_NASLDC)</f>
        <v>1</v>
      </c>
    </row>
    <row r="55" spans="1:40" x14ac:dyDescent="0.25">
      <c r="A55" t="s">
        <v>1143</v>
      </c>
      <c r="B55" s="100">
        <f>'Reference dates (hide)'!B40</f>
        <v>43831</v>
      </c>
      <c r="C55" s="6" t="s">
        <v>1150</v>
      </c>
      <c r="G55" s="7"/>
      <c r="Q55" s="116" t="str">
        <f ca="1">IF(OFFSET('Control Sheet'!E$45,MID($A$1,6,LEN($A$1)-6),0,1,1)=0,"",OFFSET('Control Sheet'!E$45,MID($A$1,6,LEN($A$1)-6),0,1,1))</f>
        <v/>
      </c>
      <c r="R55" s="116" t="str">
        <f ca="1">IF(OFFSET('Control Sheet'!F$45,MID($A$1,6,LEN($A$1)-6),0,1,1)=0,"",OFFSET('Control Sheet'!F$45,MID($A$1,6,LEN($A$1)-6),0,1,1))</f>
        <v/>
      </c>
      <c r="S55" s="116" t="str">
        <f ca="1">IF(OFFSET('Control Sheet'!G$45,MID($A$1,6,LEN($A$1)-6),0,1,1)=0,"",OFFSET('Control Sheet'!G$45,MID($A$1,6,LEN($A$1)-6),0,1,1))</f>
        <v/>
      </c>
      <c r="T55" s="118" t="str">
        <f ca="1">IF(OFFSET('Control Sheet'!I$45,MID($A$1,6,LEN($A$1)-6),0,1,1)="0","",OFFSET('Control Sheet'!I$45,MID($A$1,6,LEN($A$1)-6),0,1,1))</f>
        <v/>
      </c>
      <c r="U55" s="118" t="str">
        <f ca="1">IF(OFFSET('Control Sheet'!J$45,MID($A$1,6,LEN($A$1)-6),0,1,1)=0,"",OFFSET('Control Sheet'!J$45,MID($A$1,6,LEN($A$1)-6),0,1,1))</f>
        <v/>
      </c>
      <c r="V55" s="118" t="str">
        <f ca="1">IF(OFFSET('Control Sheet'!K$45,MID($A$1,6,LEN($A$1)-6),0,1,1)=0,"",OFFSET('Control Sheet'!K$45,MID($A$1,6,LEN($A$1)-6),0,1,1))</f>
        <v/>
      </c>
    </row>
    <row r="56" spans="1:40" ht="14.4" x14ac:dyDescent="0.3">
      <c r="A56" t="s">
        <v>1202</v>
      </c>
      <c r="C56" s="6" t="s">
        <v>1204</v>
      </c>
      <c r="D56" s="6"/>
      <c r="E56" s="7"/>
      <c r="F56" t="s">
        <v>860</v>
      </c>
      <c r="N56" s="6"/>
      <c r="O56" s="6"/>
      <c r="P56" s="7"/>
      <c r="Q56" s="93" t="s">
        <v>1236</v>
      </c>
      <c r="R56" s="6"/>
      <c r="T56" s="107" t="s">
        <v>1093</v>
      </c>
      <c r="Z56" s="93" t="s">
        <v>1212</v>
      </c>
      <c r="AC56" s="108" t="s">
        <v>1276</v>
      </c>
      <c r="AF56" s="1" t="s">
        <v>1306</v>
      </c>
      <c r="AI56" t="s">
        <v>1275</v>
      </c>
      <c r="AL56" t="s">
        <v>1312</v>
      </c>
    </row>
    <row r="57" spans="1:40" x14ac:dyDescent="0.25">
      <c r="A57" s="1" t="s">
        <v>1144</v>
      </c>
      <c r="B57" s="1" t="s">
        <v>1151</v>
      </c>
      <c r="C57" s="94" t="s">
        <v>1203</v>
      </c>
      <c r="D57" s="94" t="s">
        <v>984</v>
      </c>
      <c r="E57" s="111" t="s">
        <v>985</v>
      </c>
      <c r="F57" s="1" t="s">
        <v>951</v>
      </c>
      <c r="G57" s="1" t="s">
        <v>1205</v>
      </c>
      <c r="H57" s="1" t="s">
        <v>1206</v>
      </c>
      <c r="I57" s="1" t="s">
        <v>25</v>
      </c>
      <c r="J57" s="1" t="s">
        <v>1220</v>
      </c>
      <c r="K57" s="1" t="s">
        <v>1266</v>
      </c>
      <c r="M57" s="1" t="s">
        <v>1144</v>
      </c>
      <c r="N57" s="94" t="s">
        <v>1159</v>
      </c>
      <c r="O57" s="94" t="s">
        <v>1151</v>
      </c>
      <c r="P57" s="7" t="s">
        <v>1201</v>
      </c>
      <c r="Q57" s="6" t="s">
        <v>1196</v>
      </c>
      <c r="R57" s="6" t="s">
        <v>1197</v>
      </c>
      <c r="S57" s="7" t="s">
        <v>1198</v>
      </c>
      <c r="T57" s="109" t="s">
        <v>1188</v>
      </c>
      <c r="U57" s="109" t="s">
        <v>1189</v>
      </c>
      <c r="V57" s="109" t="s">
        <v>1190</v>
      </c>
      <c r="W57" s="110" t="s">
        <v>1191</v>
      </c>
      <c r="X57" s="110" t="s">
        <v>1192</v>
      </c>
      <c r="Y57" s="110" t="s">
        <v>1193</v>
      </c>
      <c r="Z57" s="57">
        <v>1</v>
      </c>
      <c r="AA57">
        <v>2</v>
      </c>
      <c r="AB57">
        <v>3</v>
      </c>
      <c r="AC57" t="s">
        <v>1146</v>
      </c>
      <c r="AD57" t="s">
        <v>1147</v>
      </c>
      <c r="AE57" t="s">
        <v>1148</v>
      </c>
      <c r="AF57" t="s">
        <v>1146</v>
      </c>
      <c r="AG57" t="s">
        <v>1147</v>
      </c>
      <c r="AH57" t="s">
        <v>1148</v>
      </c>
      <c r="AI57" t="s">
        <v>1146</v>
      </c>
      <c r="AJ57" t="s">
        <v>1147</v>
      </c>
      <c r="AK57" t="s">
        <v>1148</v>
      </c>
      <c r="AL57" t="s">
        <v>1146</v>
      </c>
      <c r="AM57" t="s">
        <v>1147</v>
      </c>
      <c r="AN57" t="s">
        <v>1148</v>
      </c>
    </row>
    <row r="58" spans="1:40" x14ac:dyDescent="0.25">
      <c r="B58"/>
      <c r="C58"/>
      <c r="D58"/>
      <c r="M58" s="101">
        <f>IF(B55&lt;&gt;"",B55-WEEKDAY(B55,3),"")</f>
        <v>43829</v>
      </c>
      <c r="N58" s="99">
        <f>YEAR(M58)</f>
        <v>2019</v>
      </c>
      <c r="O58" s="8">
        <f>WEEKNUM(M58,21)</f>
        <v>1</v>
      </c>
      <c r="P58">
        <f ca="1">'Reference dates (hide)'!K43</f>
        <v>7.874015748031496E-3</v>
      </c>
    </row>
    <row r="59" spans="1:40" x14ac:dyDescent="0.25">
      <c r="B59"/>
      <c r="C59"/>
      <c r="D59"/>
      <c r="M59" s="101">
        <f>IF('Reference dates (hide)'!I44&lt;&gt;"",'Reference dates (hide)'!I44,"")</f>
        <v>43836</v>
      </c>
      <c r="N59" s="99">
        <f t="shared" ref="N59:N110" si="0">YEAR(M59)</f>
        <v>2020</v>
      </c>
      <c r="O59" s="8">
        <f t="shared" ref="O59:O110" si="1">WEEKNUM(M59,21)</f>
        <v>2</v>
      </c>
      <c r="P59">
        <f ca="1">'Reference dates (hide)'!K44</f>
        <v>1.968503937007874E-2</v>
      </c>
    </row>
    <row r="60" spans="1:40" x14ac:dyDescent="0.25">
      <c r="B60"/>
      <c r="C60"/>
      <c r="D60"/>
      <c r="M60" s="101">
        <f>IF('Reference dates (hide)'!I45&lt;&gt;"",'Reference dates (hide)'!I45,"")</f>
        <v>43843</v>
      </c>
      <c r="N60" s="99">
        <f t="shared" si="0"/>
        <v>2020</v>
      </c>
      <c r="O60" s="8">
        <f t="shared" si="1"/>
        <v>3</v>
      </c>
      <c r="P60">
        <f ca="1">'Reference dates (hide)'!K45</f>
        <v>1.968503937007874E-2</v>
      </c>
    </row>
    <row r="61" spans="1:40" x14ac:dyDescent="0.25">
      <c r="B61"/>
      <c r="C61"/>
      <c r="D61"/>
      <c r="M61" s="101">
        <f>IF('Reference dates (hide)'!I46&lt;&gt;"",'Reference dates (hide)'!I46,"")</f>
        <v>43850</v>
      </c>
      <c r="N61" s="99">
        <f t="shared" si="0"/>
        <v>2020</v>
      </c>
      <c r="O61" s="8">
        <f t="shared" si="1"/>
        <v>4</v>
      </c>
      <c r="P61">
        <f ca="1">'Reference dates (hide)'!K46</f>
        <v>1.968503937007874E-2</v>
      </c>
    </row>
    <row r="62" spans="1:40" x14ac:dyDescent="0.25">
      <c r="B62"/>
      <c r="C62"/>
      <c r="D62"/>
      <c r="M62" s="101">
        <f>IF('Reference dates (hide)'!I47&lt;&gt;"",'Reference dates (hide)'!I47,"")</f>
        <v>43857</v>
      </c>
      <c r="N62" s="99">
        <f t="shared" si="0"/>
        <v>2020</v>
      </c>
      <c r="O62" s="8">
        <f t="shared" si="1"/>
        <v>5</v>
      </c>
      <c r="P62">
        <f ca="1">'Reference dates (hide)'!K47</f>
        <v>1.968503937007874E-2</v>
      </c>
    </row>
    <row r="63" spans="1:40" x14ac:dyDescent="0.25">
      <c r="B63"/>
      <c r="C63"/>
      <c r="D63"/>
      <c r="M63" s="101">
        <f>IF('Reference dates (hide)'!I48&lt;&gt;"",'Reference dates (hide)'!I48,"")</f>
        <v>43864</v>
      </c>
      <c r="N63" s="99">
        <f t="shared" si="0"/>
        <v>2020</v>
      </c>
      <c r="O63" s="8">
        <f t="shared" si="1"/>
        <v>6</v>
      </c>
      <c r="P63">
        <f ca="1">'Reference dates (hide)'!K48</f>
        <v>1.968503937007874E-2</v>
      </c>
    </row>
    <row r="64" spans="1:40" x14ac:dyDescent="0.25">
      <c r="B64"/>
      <c r="C64"/>
      <c r="D64"/>
      <c r="M64" s="101">
        <f>IF('Reference dates (hide)'!I49&lt;&gt;"",'Reference dates (hide)'!I49,"")</f>
        <v>43871</v>
      </c>
      <c r="N64" s="99">
        <f t="shared" si="0"/>
        <v>2020</v>
      </c>
      <c r="O64" s="8">
        <f t="shared" si="1"/>
        <v>7</v>
      </c>
      <c r="P64">
        <f ca="1">'Reference dates (hide)'!K49</f>
        <v>1.968503937007874E-2</v>
      </c>
    </row>
    <row r="65" spans="2:16" x14ac:dyDescent="0.25">
      <c r="B65"/>
      <c r="C65"/>
      <c r="D65"/>
      <c r="M65" s="101">
        <f>IF('Reference dates (hide)'!I50&lt;&gt;"",'Reference dates (hide)'!I50,"")</f>
        <v>43878</v>
      </c>
      <c r="N65" s="99">
        <f t="shared" si="0"/>
        <v>2020</v>
      </c>
      <c r="O65" s="8">
        <f t="shared" si="1"/>
        <v>8</v>
      </c>
      <c r="P65">
        <f ca="1">'Reference dates (hide)'!K50</f>
        <v>1.968503937007874E-2</v>
      </c>
    </row>
    <row r="66" spans="2:16" x14ac:dyDescent="0.25">
      <c r="B66"/>
      <c r="C66"/>
      <c r="D66"/>
      <c r="M66" s="101">
        <f>IF('Reference dates (hide)'!I51&lt;&gt;"",'Reference dates (hide)'!I51,"")</f>
        <v>43885</v>
      </c>
      <c r="N66" s="99">
        <f t="shared" si="0"/>
        <v>2020</v>
      </c>
      <c r="O66" s="8">
        <f t="shared" si="1"/>
        <v>9</v>
      </c>
      <c r="P66">
        <f ca="1">'Reference dates (hide)'!K51</f>
        <v>1.968503937007874E-2</v>
      </c>
    </row>
    <row r="67" spans="2:16" x14ac:dyDescent="0.25">
      <c r="B67"/>
      <c r="C67"/>
      <c r="D67"/>
      <c r="M67" s="101">
        <f>IF('Reference dates (hide)'!I52&lt;&gt;"",'Reference dates (hide)'!I52,"")</f>
        <v>43892</v>
      </c>
      <c r="N67" s="99">
        <f t="shared" si="0"/>
        <v>2020</v>
      </c>
      <c r="O67" s="8">
        <f t="shared" si="1"/>
        <v>10</v>
      </c>
      <c r="P67">
        <f ca="1">'Reference dates (hide)'!K52</f>
        <v>1.968503937007874E-2</v>
      </c>
    </row>
    <row r="68" spans="2:16" x14ac:dyDescent="0.25">
      <c r="B68"/>
      <c r="C68"/>
      <c r="D68"/>
      <c r="M68" s="101">
        <f>IF('Reference dates (hide)'!I53&lt;&gt;"",'Reference dates (hide)'!I53,"")</f>
        <v>43899</v>
      </c>
      <c r="N68" s="99">
        <f t="shared" si="0"/>
        <v>2020</v>
      </c>
      <c r="O68" s="8">
        <f t="shared" si="1"/>
        <v>11</v>
      </c>
      <c r="P68">
        <f ca="1">'Reference dates (hide)'!K53</f>
        <v>1.968503937007874E-2</v>
      </c>
    </row>
    <row r="69" spans="2:16" x14ac:dyDescent="0.25">
      <c r="B69"/>
      <c r="C69"/>
      <c r="D69"/>
      <c r="M69" s="101">
        <f>IF('Reference dates (hide)'!I54&lt;&gt;"",'Reference dates (hide)'!I54,"")</f>
        <v>43906</v>
      </c>
      <c r="N69" s="99">
        <f t="shared" si="0"/>
        <v>2020</v>
      </c>
      <c r="O69" s="8">
        <f t="shared" si="1"/>
        <v>12</v>
      </c>
      <c r="P69">
        <f ca="1">'Reference dates (hide)'!K54</f>
        <v>1.968503937007874E-2</v>
      </c>
    </row>
    <row r="70" spans="2:16" x14ac:dyDescent="0.25">
      <c r="B70"/>
      <c r="C70"/>
      <c r="D70"/>
      <c r="M70" s="101">
        <f>IF('Reference dates (hide)'!I55&lt;&gt;"",'Reference dates (hide)'!I55,"")</f>
        <v>43913</v>
      </c>
      <c r="N70" s="99">
        <f t="shared" si="0"/>
        <v>2020</v>
      </c>
      <c r="O70" s="8">
        <f t="shared" si="1"/>
        <v>13</v>
      </c>
      <c r="P70">
        <f ca="1">'Reference dates (hide)'!K55</f>
        <v>1.968503937007874E-2</v>
      </c>
    </row>
    <row r="71" spans="2:16" x14ac:dyDescent="0.25">
      <c r="B71"/>
      <c r="C71"/>
      <c r="D71"/>
      <c r="M71" s="101">
        <f>IF('Reference dates (hide)'!I56&lt;&gt;"",'Reference dates (hide)'!I56,"")</f>
        <v>43920</v>
      </c>
      <c r="N71" s="99">
        <f t="shared" si="0"/>
        <v>2020</v>
      </c>
      <c r="O71" s="8">
        <f t="shared" si="1"/>
        <v>14</v>
      </c>
      <c r="P71">
        <f ca="1">'Reference dates (hide)'!K56</f>
        <v>1.968503937007874E-2</v>
      </c>
    </row>
    <row r="72" spans="2:16" x14ac:dyDescent="0.25">
      <c r="B72"/>
      <c r="C72"/>
      <c r="D72"/>
      <c r="M72" s="101">
        <f>IF('Reference dates (hide)'!I57&lt;&gt;"",'Reference dates (hide)'!I57,"")</f>
        <v>43927</v>
      </c>
      <c r="N72" s="99">
        <f t="shared" si="0"/>
        <v>2020</v>
      </c>
      <c r="O72" s="8">
        <f t="shared" si="1"/>
        <v>15</v>
      </c>
      <c r="P72">
        <f ca="1">'Reference dates (hide)'!K57</f>
        <v>1.5748031496062992E-2</v>
      </c>
    </row>
    <row r="73" spans="2:16" x14ac:dyDescent="0.25">
      <c r="B73"/>
      <c r="C73"/>
      <c r="D73"/>
      <c r="M73" s="101">
        <f>IF('Reference dates (hide)'!I58&lt;&gt;"",'Reference dates (hide)'!I58,"")</f>
        <v>43934</v>
      </c>
      <c r="N73" s="99">
        <f t="shared" si="0"/>
        <v>2020</v>
      </c>
      <c r="O73" s="8">
        <f t="shared" si="1"/>
        <v>16</v>
      </c>
      <c r="P73">
        <f ca="1">'Reference dates (hide)'!K58</f>
        <v>1.5748031496062992E-2</v>
      </c>
    </row>
    <row r="74" spans="2:16" x14ac:dyDescent="0.25">
      <c r="B74"/>
      <c r="C74"/>
      <c r="D74"/>
      <c r="M74" s="101">
        <f>IF('Reference dates (hide)'!I59&lt;&gt;"",'Reference dates (hide)'!I59,"")</f>
        <v>43941</v>
      </c>
      <c r="N74" s="99">
        <f t="shared" si="0"/>
        <v>2020</v>
      </c>
      <c r="O74" s="8">
        <f t="shared" si="1"/>
        <v>17</v>
      </c>
      <c r="P74">
        <f ca="1">'Reference dates (hide)'!K59</f>
        <v>1.968503937007874E-2</v>
      </c>
    </row>
    <row r="75" spans="2:16" x14ac:dyDescent="0.25">
      <c r="B75"/>
      <c r="C75"/>
      <c r="D75"/>
      <c r="M75" s="101">
        <f>IF('Reference dates (hide)'!I60&lt;&gt;"",'Reference dates (hide)'!I60,"")</f>
        <v>43948</v>
      </c>
      <c r="N75" s="99">
        <f t="shared" si="0"/>
        <v>2020</v>
      </c>
      <c r="O75" s="8">
        <f t="shared" si="1"/>
        <v>18</v>
      </c>
      <c r="P75">
        <f ca="1">'Reference dates (hide)'!K60</f>
        <v>1.968503937007874E-2</v>
      </c>
    </row>
    <row r="76" spans="2:16" x14ac:dyDescent="0.25">
      <c r="B76"/>
      <c r="C76"/>
      <c r="D76"/>
      <c r="M76" s="101">
        <f>IF('Reference dates (hide)'!I61&lt;&gt;"",'Reference dates (hide)'!I61,"")</f>
        <v>43955</v>
      </c>
      <c r="N76" s="99">
        <f t="shared" si="0"/>
        <v>2020</v>
      </c>
      <c r="O76" s="8">
        <f t="shared" si="1"/>
        <v>19</v>
      </c>
      <c r="P76">
        <f ca="1">'Reference dates (hide)'!K61</f>
        <v>1.5748031496062992E-2</v>
      </c>
    </row>
    <row r="77" spans="2:16" x14ac:dyDescent="0.25">
      <c r="B77"/>
      <c r="C77"/>
      <c r="D77"/>
      <c r="M77" s="101">
        <f>IF('Reference dates (hide)'!I62&lt;&gt;"",'Reference dates (hide)'!I62,"")</f>
        <v>43962</v>
      </c>
      <c r="N77" s="99">
        <f t="shared" si="0"/>
        <v>2020</v>
      </c>
      <c r="O77" s="8">
        <f t="shared" si="1"/>
        <v>20</v>
      </c>
      <c r="P77">
        <f ca="1">'Reference dates (hide)'!K62</f>
        <v>1.968503937007874E-2</v>
      </c>
    </row>
    <row r="78" spans="2:16" x14ac:dyDescent="0.25">
      <c r="B78"/>
      <c r="C78"/>
      <c r="D78"/>
      <c r="M78" s="101">
        <f>IF('Reference dates (hide)'!I63&lt;&gt;"",'Reference dates (hide)'!I63,"")</f>
        <v>43969</v>
      </c>
      <c r="N78" s="99">
        <f t="shared" si="0"/>
        <v>2020</v>
      </c>
      <c r="O78" s="8">
        <f t="shared" si="1"/>
        <v>21</v>
      </c>
      <c r="P78">
        <f ca="1">'Reference dates (hide)'!K63</f>
        <v>1.968503937007874E-2</v>
      </c>
    </row>
    <row r="79" spans="2:16" x14ac:dyDescent="0.25">
      <c r="B79"/>
      <c r="C79"/>
      <c r="D79"/>
      <c r="M79" s="101">
        <f>IF('Reference dates (hide)'!I64&lt;&gt;"",'Reference dates (hide)'!I64,"")</f>
        <v>43976</v>
      </c>
      <c r="N79" s="99">
        <f t="shared" si="0"/>
        <v>2020</v>
      </c>
      <c r="O79" s="8">
        <f t="shared" si="1"/>
        <v>22</v>
      </c>
      <c r="P79">
        <f ca="1">'Reference dates (hide)'!K64</f>
        <v>1.5748031496062992E-2</v>
      </c>
    </row>
    <row r="80" spans="2:16" x14ac:dyDescent="0.25">
      <c r="B80"/>
      <c r="C80"/>
      <c r="D80"/>
      <c r="M80" s="101">
        <f>IF('Reference dates (hide)'!I65&lt;&gt;"",'Reference dates (hide)'!I65,"")</f>
        <v>43983</v>
      </c>
      <c r="N80" s="99">
        <f t="shared" si="0"/>
        <v>2020</v>
      </c>
      <c r="O80" s="8">
        <f t="shared" si="1"/>
        <v>23</v>
      </c>
      <c r="P80">
        <f ca="1">'Reference dates (hide)'!K65</f>
        <v>1.968503937007874E-2</v>
      </c>
    </row>
    <row r="81" spans="2:16" x14ac:dyDescent="0.25">
      <c r="B81"/>
      <c r="C81"/>
      <c r="D81"/>
      <c r="M81" s="101">
        <f>IF('Reference dates (hide)'!I66&lt;&gt;"",'Reference dates (hide)'!I66,"")</f>
        <v>43990</v>
      </c>
      <c r="N81" s="99">
        <f t="shared" si="0"/>
        <v>2020</v>
      </c>
      <c r="O81" s="8">
        <f t="shared" si="1"/>
        <v>24</v>
      </c>
      <c r="P81">
        <f ca="1">'Reference dates (hide)'!K66</f>
        <v>1.968503937007874E-2</v>
      </c>
    </row>
    <row r="82" spans="2:16" x14ac:dyDescent="0.25">
      <c r="B82"/>
      <c r="C82"/>
      <c r="D82"/>
      <c r="M82" s="101">
        <f>IF('Reference dates (hide)'!I67&lt;&gt;"",'Reference dates (hide)'!I67,"")</f>
        <v>43997</v>
      </c>
      <c r="N82" s="99">
        <f t="shared" si="0"/>
        <v>2020</v>
      </c>
      <c r="O82" s="8">
        <f t="shared" si="1"/>
        <v>25</v>
      </c>
      <c r="P82">
        <f ca="1">'Reference dates (hide)'!K67</f>
        <v>1.968503937007874E-2</v>
      </c>
    </row>
    <row r="83" spans="2:16" x14ac:dyDescent="0.25">
      <c r="B83"/>
      <c r="C83"/>
      <c r="D83"/>
      <c r="M83" s="101">
        <f>IF('Reference dates (hide)'!I68&lt;&gt;"",'Reference dates (hide)'!I68,"")</f>
        <v>44004</v>
      </c>
      <c r="N83" s="99">
        <f t="shared" si="0"/>
        <v>2020</v>
      </c>
      <c r="O83" s="8">
        <f t="shared" si="1"/>
        <v>26</v>
      </c>
      <c r="P83">
        <f ca="1">'Reference dates (hide)'!K68</f>
        <v>1.968503937007874E-2</v>
      </c>
    </row>
    <row r="84" spans="2:16" x14ac:dyDescent="0.25">
      <c r="B84"/>
      <c r="C84"/>
      <c r="D84"/>
      <c r="M84" s="101">
        <f>IF('Reference dates (hide)'!I69&lt;&gt;"",'Reference dates (hide)'!I69,"")</f>
        <v>44011</v>
      </c>
      <c r="N84" s="99">
        <f t="shared" si="0"/>
        <v>2020</v>
      </c>
      <c r="O84" s="8">
        <f t="shared" si="1"/>
        <v>27</v>
      </c>
      <c r="P84">
        <f ca="1">'Reference dates (hide)'!K69</f>
        <v>1.968503937007874E-2</v>
      </c>
    </row>
    <row r="85" spans="2:16" x14ac:dyDescent="0.25">
      <c r="B85"/>
      <c r="C85"/>
      <c r="D85"/>
      <c r="M85" s="101">
        <f>IF('Reference dates (hide)'!I70&lt;&gt;"",'Reference dates (hide)'!I70,"")</f>
        <v>44018</v>
      </c>
      <c r="N85" s="99">
        <f t="shared" si="0"/>
        <v>2020</v>
      </c>
      <c r="O85" s="8">
        <f t="shared" si="1"/>
        <v>28</v>
      </c>
      <c r="P85">
        <f ca="1">'Reference dates (hide)'!K70</f>
        <v>1.968503937007874E-2</v>
      </c>
    </row>
    <row r="86" spans="2:16" x14ac:dyDescent="0.25">
      <c r="B86"/>
      <c r="C86"/>
      <c r="D86"/>
      <c r="M86" s="101">
        <f>IF('Reference dates (hide)'!I71&lt;&gt;"",'Reference dates (hide)'!I71,"")</f>
        <v>44025</v>
      </c>
      <c r="N86" s="99">
        <f t="shared" si="0"/>
        <v>2020</v>
      </c>
      <c r="O86" s="8">
        <f t="shared" si="1"/>
        <v>29</v>
      </c>
      <c r="P86">
        <f ca="1">'Reference dates (hide)'!K71</f>
        <v>1.968503937007874E-2</v>
      </c>
    </row>
    <row r="87" spans="2:16" x14ac:dyDescent="0.25">
      <c r="B87"/>
      <c r="C87"/>
      <c r="D87"/>
      <c r="M87" s="101">
        <f>IF('Reference dates (hide)'!I72&lt;&gt;"",'Reference dates (hide)'!I72,"")</f>
        <v>44032</v>
      </c>
      <c r="N87" s="99">
        <f t="shared" si="0"/>
        <v>2020</v>
      </c>
      <c r="O87" s="8">
        <f t="shared" si="1"/>
        <v>30</v>
      </c>
      <c r="P87">
        <f ca="1">'Reference dates (hide)'!K72</f>
        <v>1.968503937007874E-2</v>
      </c>
    </row>
    <row r="88" spans="2:16" x14ac:dyDescent="0.25">
      <c r="B88"/>
      <c r="C88"/>
      <c r="D88"/>
      <c r="M88" s="101">
        <f>IF('Reference dates (hide)'!I73&lt;&gt;"",'Reference dates (hide)'!I73,"")</f>
        <v>44039</v>
      </c>
      <c r="N88" s="99">
        <f t="shared" si="0"/>
        <v>2020</v>
      </c>
      <c r="O88" s="8">
        <f t="shared" si="1"/>
        <v>31</v>
      </c>
      <c r="P88">
        <f ca="1">'Reference dates (hide)'!K73</f>
        <v>1.968503937007874E-2</v>
      </c>
    </row>
    <row r="89" spans="2:16" x14ac:dyDescent="0.25">
      <c r="B89"/>
      <c r="C89"/>
      <c r="D89"/>
      <c r="M89" s="101">
        <f>IF('Reference dates (hide)'!I74&lt;&gt;"",'Reference dates (hide)'!I74,"")</f>
        <v>44046</v>
      </c>
      <c r="N89" s="99">
        <f t="shared" si="0"/>
        <v>2020</v>
      </c>
      <c r="O89" s="8">
        <f t="shared" si="1"/>
        <v>32</v>
      </c>
      <c r="P89">
        <f ca="1">'Reference dates (hide)'!K74</f>
        <v>1.968503937007874E-2</v>
      </c>
    </row>
    <row r="90" spans="2:16" x14ac:dyDescent="0.25">
      <c r="B90"/>
      <c r="C90"/>
      <c r="D90"/>
      <c r="M90" s="101">
        <f>IF('Reference dates (hide)'!I75&lt;&gt;"",'Reference dates (hide)'!I75,"")</f>
        <v>44053</v>
      </c>
      <c r="N90" s="99">
        <f t="shared" si="0"/>
        <v>2020</v>
      </c>
      <c r="O90" s="8">
        <f t="shared" si="1"/>
        <v>33</v>
      </c>
      <c r="P90">
        <f ca="1">'Reference dates (hide)'!K75</f>
        <v>1.968503937007874E-2</v>
      </c>
    </row>
    <row r="91" spans="2:16" x14ac:dyDescent="0.25">
      <c r="B91"/>
      <c r="C91"/>
      <c r="D91"/>
      <c r="M91" s="101">
        <f>IF('Reference dates (hide)'!I76&lt;&gt;"",'Reference dates (hide)'!I76,"")</f>
        <v>44060</v>
      </c>
      <c r="N91" s="99">
        <f t="shared" si="0"/>
        <v>2020</v>
      </c>
      <c r="O91" s="8">
        <f t="shared" si="1"/>
        <v>34</v>
      </c>
      <c r="P91">
        <f ca="1">'Reference dates (hide)'!K76</f>
        <v>1.968503937007874E-2</v>
      </c>
    </row>
    <row r="92" spans="2:16" x14ac:dyDescent="0.25">
      <c r="B92"/>
      <c r="C92"/>
      <c r="D92"/>
      <c r="M92" s="101">
        <f>IF('Reference dates (hide)'!I77&lt;&gt;"",'Reference dates (hide)'!I77,"")</f>
        <v>44067</v>
      </c>
      <c r="N92" s="99">
        <f t="shared" si="0"/>
        <v>2020</v>
      </c>
      <c r="O92" s="8">
        <f t="shared" si="1"/>
        <v>35</v>
      </c>
      <c r="P92">
        <f ca="1">'Reference dates (hide)'!K77</f>
        <v>1.968503937007874E-2</v>
      </c>
    </row>
    <row r="93" spans="2:16" x14ac:dyDescent="0.25">
      <c r="B93"/>
      <c r="C93"/>
      <c r="D93"/>
      <c r="M93" s="101">
        <f>IF('Reference dates (hide)'!I78&lt;&gt;"",'Reference dates (hide)'!I78,"")</f>
        <v>44074</v>
      </c>
      <c r="N93" s="99">
        <f t="shared" si="0"/>
        <v>2020</v>
      </c>
      <c r="O93" s="8">
        <f t="shared" si="1"/>
        <v>36</v>
      </c>
      <c r="P93">
        <f ca="1">'Reference dates (hide)'!K78</f>
        <v>1.5748031496062992E-2</v>
      </c>
    </row>
    <row r="94" spans="2:16" x14ac:dyDescent="0.25">
      <c r="B94"/>
      <c r="C94"/>
      <c r="D94"/>
      <c r="M94" s="101">
        <f>IF('Reference dates (hide)'!I79&lt;&gt;"",'Reference dates (hide)'!I79,"")</f>
        <v>44081</v>
      </c>
      <c r="N94" s="99">
        <f t="shared" si="0"/>
        <v>2020</v>
      </c>
      <c r="O94" s="8">
        <f t="shared" si="1"/>
        <v>37</v>
      </c>
      <c r="P94">
        <f ca="1">'Reference dates (hide)'!K79</f>
        <v>1.968503937007874E-2</v>
      </c>
    </row>
    <row r="95" spans="2:16" x14ac:dyDescent="0.25">
      <c r="B95"/>
      <c r="C95"/>
      <c r="D95"/>
      <c r="M95" s="101">
        <f>IF('Reference dates (hide)'!I80&lt;&gt;"",'Reference dates (hide)'!I80,"")</f>
        <v>44088</v>
      </c>
      <c r="N95" s="99">
        <f t="shared" si="0"/>
        <v>2020</v>
      </c>
      <c r="O95" s="8">
        <f t="shared" si="1"/>
        <v>38</v>
      </c>
      <c r="P95">
        <f ca="1">'Reference dates (hide)'!K80</f>
        <v>1.968503937007874E-2</v>
      </c>
    </row>
    <row r="96" spans="2:16" x14ac:dyDescent="0.25">
      <c r="B96"/>
      <c r="C96"/>
      <c r="D96"/>
      <c r="M96" s="101">
        <f>IF('Reference dates (hide)'!I81&lt;&gt;"",'Reference dates (hide)'!I81,"")</f>
        <v>44095</v>
      </c>
      <c r="N96" s="99">
        <f t="shared" si="0"/>
        <v>2020</v>
      </c>
      <c r="O96" s="8">
        <f t="shared" si="1"/>
        <v>39</v>
      </c>
      <c r="P96">
        <f ca="1">'Reference dates (hide)'!K81</f>
        <v>1.968503937007874E-2</v>
      </c>
    </row>
    <row r="97" spans="2:31" x14ac:dyDescent="0.25">
      <c r="B97"/>
      <c r="C97"/>
      <c r="D97"/>
      <c r="M97" s="101">
        <f>IF('Reference dates (hide)'!I82&lt;&gt;"",'Reference dates (hide)'!I82,"")</f>
        <v>44102</v>
      </c>
      <c r="N97" s="99">
        <f t="shared" si="0"/>
        <v>2020</v>
      </c>
      <c r="O97" s="8">
        <f t="shared" si="1"/>
        <v>40</v>
      </c>
      <c r="P97">
        <f ca="1">'Reference dates (hide)'!K82</f>
        <v>1.968503937007874E-2</v>
      </c>
    </row>
    <row r="98" spans="2:31" x14ac:dyDescent="0.25">
      <c r="B98"/>
      <c r="C98"/>
      <c r="D98"/>
      <c r="M98" s="101">
        <f>IF('Reference dates (hide)'!I83&lt;&gt;"",'Reference dates (hide)'!I83,"")</f>
        <v>44109</v>
      </c>
      <c r="N98" s="99">
        <f t="shared" si="0"/>
        <v>2020</v>
      </c>
      <c r="O98" s="8">
        <f t="shared" si="1"/>
        <v>41</v>
      </c>
      <c r="P98">
        <f ca="1">'Reference dates (hide)'!K83</f>
        <v>1.968503937007874E-2</v>
      </c>
    </row>
    <row r="99" spans="2:31" x14ac:dyDescent="0.25">
      <c r="B99"/>
      <c r="C99"/>
      <c r="D99"/>
      <c r="M99" s="101">
        <f>IF('Reference dates (hide)'!I84&lt;&gt;"",'Reference dates (hide)'!I84,"")</f>
        <v>44116</v>
      </c>
      <c r="N99" s="99">
        <f t="shared" si="0"/>
        <v>2020</v>
      </c>
      <c r="O99" s="8">
        <f t="shared" si="1"/>
        <v>42</v>
      </c>
      <c r="P99">
        <f ca="1">'Reference dates (hide)'!K84</f>
        <v>1.968503937007874E-2</v>
      </c>
    </row>
    <row r="100" spans="2:31" x14ac:dyDescent="0.25">
      <c r="B100"/>
      <c r="C100"/>
      <c r="D100"/>
      <c r="M100" s="101">
        <f>IF('Reference dates (hide)'!I85&lt;&gt;"",'Reference dates (hide)'!I85,"")</f>
        <v>44123</v>
      </c>
      <c r="N100" s="99">
        <f t="shared" si="0"/>
        <v>2020</v>
      </c>
      <c r="O100" s="8">
        <f t="shared" si="1"/>
        <v>43</v>
      </c>
      <c r="P100">
        <f ca="1">'Reference dates (hide)'!K85</f>
        <v>1.968503937007874E-2</v>
      </c>
    </row>
    <row r="101" spans="2:31" x14ac:dyDescent="0.25">
      <c r="B101"/>
      <c r="C101"/>
      <c r="D101"/>
      <c r="M101" s="101">
        <f>IF('Reference dates (hide)'!I86&lt;&gt;"",'Reference dates (hide)'!I86,"")</f>
        <v>44130</v>
      </c>
      <c r="N101" s="99">
        <f t="shared" si="0"/>
        <v>2020</v>
      </c>
      <c r="O101" s="8">
        <f t="shared" si="1"/>
        <v>44</v>
      </c>
      <c r="P101">
        <f ca="1">'Reference dates (hide)'!K86</f>
        <v>1.968503937007874E-2</v>
      </c>
    </row>
    <row r="102" spans="2:31" x14ac:dyDescent="0.25">
      <c r="B102"/>
      <c r="C102"/>
      <c r="D102"/>
      <c r="M102" s="101">
        <f>IF('Reference dates (hide)'!I87&lt;&gt;"",'Reference dates (hide)'!I87,"")</f>
        <v>44137</v>
      </c>
      <c r="N102" s="99">
        <f t="shared" si="0"/>
        <v>2020</v>
      </c>
      <c r="O102" s="8">
        <f t="shared" si="1"/>
        <v>45</v>
      </c>
      <c r="P102">
        <f ca="1">'Reference dates (hide)'!K87</f>
        <v>1.968503937007874E-2</v>
      </c>
    </row>
    <row r="103" spans="2:31" x14ac:dyDescent="0.25">
      <c r="B103"/>
      <c r="C103"/>
      <c r="D103"/>
      <c r="M103" s="101">
        <f>IF('Reference dates (hide)'!I88&lt;&gt;"",'Reference dates (hide)'!I88,"")</f>
        <v>44144</v>
      </c>
      <c r="N103" s="99">
        <f t="shared" si="0"/>
        <v>2020</v>
      </c>
      <c r="O103" s="8">
        <f t="shared" si="1"/>
        <v>46</v>
      </c>
      <c r="P103">
        <f ca="1">'Reference dates (hide)'!K88</f>
        <v>1.968503937007874E-2</v>
      </c>
    </row>
    <row r="104" spans="2:31" x14ac:dyDescent="0.25">
      <c r="B104"/>
      <c r="C104"/>
      <c r="D104"/>
      <c r="M104" s="101">
        <f>IF('Reference dates (hide)'!I89&lt;&gt;"",'Reference dates (hide)'!I89,"")</f>
        <v>44151</v>
      </c>
      <c r="N104" s="99">
        <f t="shared" si="0"/>
        <v>2020</v>
      </c>
      <c r="O104" s="8">
        <f t="shared" si="1"/>
        <v>47</v>
      </c>
      <c r="P104">
        <f ca="1">'Reference dates (hide)'!K89</f>
        <v>1.968503937007874E-2</v>
      </c>
    </row>
    <row r="105" spans="2:31" x14ac:dyDescent="0.25">
      <c r="B105"/>
      <c r="C105"/>
      <c r="D105"/>
      <c r="M105" s="101">
        <f>IF('Reference dates (hide)'!I90&lt;&gt;"",'Reference dates (hide)'!I90,"")</f>
        <v>44158</v>
      </c>
      <c r="N105" s="99">
        <f t="shared" si="0"/>
        <v>2020</v>
      </c>
      <c r="O105" s="8">
        <f t="shared" si="1"/>
        <v>48</v>
      </c>
      <c r="P105">
        <f ca="1">'Reference dates (hide)'!K90</f>
        <v>1.968503937007874E-2</v>
      </c>
    </row>
    <row r="106" spans="2:31" x14ac:dyDescent="0.25">
      <c r="B106"/>
      <c r="C106"/>
      <c r="D106"/>
      <c r="M106" s="101">
        <f>IF('Reference dates (hide)'!I91&lt;&gt;"",'Reference dates (hide)'!I91,"")</f>
        <v>44165</v>
      </c>
      <c r="N106" s="99">
        <f t="shared" si="0"/>
        <v>2020</v>
      </c>
      <c r="O106" s="8">
        <f t="shared" si="1"/>
        <v>49</v>
      </c>
      <c r="P106">
        <f ca="1">'Reference dates (hide)'!K91</f>
        <v>1.968503937007874E-2</v>
      </c>
    </row>
    <row r="107" spans="2:31" x14ac:dyDescent="0.25">
      <c r="B107"/>
      <c r="C107"/>
      <c r="D107"/>
      <c r="M107" s="101">
        <f>IF('Reference dates (hide)'!I92&lt;&gt;"",'Reference dates (hide)'!I92,"")</f>
        <v>44172</v>
      </c>
      <c r="N107" s="99">
        <f t="shared" si="0"/>
        <v>2020</v>
      </c>
      <c r="O107" s="8">
        <f t="shared" si="1"/>
        <v>50</v>
      </c>
      <c r="P107">
        <f ca="1">'Reference dates (hide)'!K92</f>
        <v>1.968503937007874E-2</v>
      </c>
    </row>
    <row r="108" spans="2:31" x14ac:dyDescent="0.25">
      <c r="B108"/>
      <c r="C108"/>
      <c r="D108"/>
      <c r="M108" s="101">
        <f>IF('Reference dates (hide)'!I93&lt;&gt;"",'Reference dates (hide)'!I93,"")</f>
        <v>44179</v>
      </c>
      <c r="N108" s="99">
        <f t="shared" si="0"/>
        <v>2020</v>
      </c>
      <c r="O108" s="8">
        <f t="shared" si="1"/>
        <v>51</v>
      </c>
      <c r="P108">
        <f ca="1">'Reference dates (hide)'!K93</f>
        <v>1.968503937007874E-2</v>
      </c>
    </row>
    <row r="109" spans="2:31" x14ac:dyDescent="0.25">
      <c r="B109"/>
      <c r="C109"/>
      <c r="D109"/>
      <c r="M109" s="101">
        <f>IF('Reference dates (hide)'!I94&lt;&gt;"",'Reference dates (hide)'!I94,"")</f>
        <v>44186</v>
      </c>
      <c r="N109" s="99">
        <f t="shared" si="0"/>
        <v>2020</v>
      </c>
      <c r="O109" s="8">
        <f t="shared" si="1"/>
        <v>52</v>
      </c>
      <c r="P109">
        <f ca="1">'Reference dates (hide)'!K94</f>
        <v>1.5748031496062992E-2</v>
      </c>
    </row>
    <row r="110" spans="2:31" x14ac:dyDescent="0.25">
      <c r="B110"/>
      <c r="C110"/>
      <c r="D110"/>
      <c r="M110" s="101">
        <f>IF('Reference dates (hide)'!I95&lt;&gt;"",'Reference dates (hide)'!I95,"")</f>
        <v>44193</v>
      </c>
      <c r="N110" s="99">
        <f t="shared" si="0"/>
        <v>2020</v>
      </c>
      <c r="O110" s="8">
        <f t="shared" si="1"/>
        <v>53</v>
      </c>
      <c r="P110">
        <f ca="1">'Reference dates (hide)'!K95</f>
        <v>1.1811023622047244E-2</v>
      </c>
    </row>
    <row r="111" spans="2:31" x14ac:dyDescent="0.25">
      <c r="M111">
        <f>MAX(T58:AB110)</f>
        <v>0</v>
      </c>
      <c r="Q111">
        <f>MAX(Q58:Q109)/$Q$54</f>
        <v>0</v>
      </c>
      <c r="R111">
        <f>MAX(R58:R109)/IF($R$54=0,1,$Q$54)</f>
        <v>0</v>
      </c>
      <c r="S111">
        <f>MAX(S58:S109)/IF($S$54=0,1,$Q$54)</f>
        <v>0</v>
      </c>
      <c r="Z111">
        <f>MAX(Z58:Z109)/IF($Z$52=0,1,Q$54)</f>
        <v>0</v>
      </c>
      <c r="AA111">
        <f>MAX(AA58:AA109)/IF($Z$52=0,1,R$54)</f>
        <v>0</v>
      </c>
      <c r="AB111">
        <f>MAX(AB58:AB109)/IF($Z$52=0,1,S$54)</f>
        <v>0</v>
      </c>
      <c r="AC111">
        <f>MAX(AC58:AC109)/IF($Z$52=0,1,Q$54)</f>
        <v>0</v>
      </c>
      <c r="AD111">
        <f>MAX(AD58:AD109)/IF($Z$52=0,1,R$54)</f>
        <v>0</v>
      </c>
      <c r="AE111">
        <f>MAX(AE58:AE109)/IF($Z$52=0,1,S$54)</f>
        <v>0</v>
      </c>
    </row>
    <row r="118" spans="26:26" x14ac:dyDescent="0.25">
      <c r="Z118" s="121"/>
    </row>
    <row r="119" spans="26:26" x14ac:dyDescent="0.25">
      <c r="Z119" s="121"/>
    </row>
  </sheetData>
  <pageMargins left="0.7" right="0.7" top="0.75" bottom="0.75" header="0.3" footer="0.3"/>
  <legacyDrawing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6"/>
  <dimension ref="A1:AN119"/>
  <sheetViews>
    <sheetView workbookViewId="0">
      <selection activeCell="AK59" sqref="AK59"/>
    </sheetView>
  </sheetViews>
  <sheetFormatPr defaultRowHeight="13.8" x14ac:dyDescent="0.25"/>
  <cols>
    <col min="1" max="1" width="27.69921875" bestFit="1" customWidth="1"/>
    <col min="2" max="2" width="16.8984375" style="6" customWidth="1"/>
    <col min="3" max="3" width="12.09765625" style="6" bestFit="1" customWidth="1"/>
    <col min="4" max="4" width="16.09765625" style="7" bestFit="1" customWidth="1"/>
    <col min="11" max="11" width="10.8984375" bestFit="1" customWidth="1"/>
    <col min="13" max="13" width="16.69921875" bestFit="1" customWidth="1"/>
    <col min="17" max="17" width="6.8984375" customWidth="1"/>
    <col min="26" max="26" width="11.8984375" bestFit="1" customWidth="1"/>
  </cols>
  <sheetData>
    <row r="1" spans="1:19" x14ac:dyDescent="0.25">
      <c r="A1" t="s">
        <v>1072</v>
      </c>
      <c r="B1" s="6" t="s">
        <v>931</v>
      </c>
      <c r="C1" s="6" t="b">
        <f>ISERR(SUM(B25:M49))</f>
        <v>0</v>
      </c>
    </row>
    <row r="2" spans="1:19" x14ac:dyDescent="0.25">
      <c r="A2" t="s">
        <v>932</v>
      </c>
      <c r="B2"/>
    </row>
    <row r="3" spans="1:19" x14ac:dyDescent="0.25">
      <c r="B3" s="6" t="s">
        <v>933</v>
      </c>
      <c r="F3" t="s">
        <v>934</v>
      </c>
      <c r="J3" t="s">
        <v>935</v>
      </c>
    </row>
    <row r="4" spans="1:19" x14ac:dyDescent="0.25">
      <c r="B4" s="6" t="s">
        <v>936</v>
      </c>
      <c r="C4" s="6" t="s">
        <v>937</v>
      </c>
      <c r="D4" s="7" t="s">
        <v>1208</v>
      </c>
      <c r="F4" s="6" t="s">
        <v>936</v>
      </c>
      <c r="G4" s="6" t="s">
        <v>937</v>
      </c>
      <c r="H4" s="7" t="s">
        <v>1024</v>
      </c>
      <c r="J4" s="6" t="s">
        <v>936</v>
      </c>
      <c r="K4" s="6" t="s">
        <v>937</v>
      </c>
      <c r="L4" s="7" t="s">
        <v>1024</v>
      </c>
    </row>
    <row r="5" spans="1:19" x14ac:dyDescent="0.25">
      <c r="A5" t="s">
        <v>5</v>
      </c>
      <c r="B5" s="8"/>
      <c r="C5" s="6">
        <f>B5*52</f>
        <v>0</v>
      </c>
      <c r="D5" s="7">
        <f>IF($B$20=1,C5/$B$21,C5)</f>
        <v>0</v>
      </c>
      <c r="G5">
        <f>F5*$D5</f>
        <v>0</v>
      </c>
      <c r="H5">
        <f>G5/52</f>
        <v>0</v>
      </c>
      <c r="K5">
        <f>J5*D5</f>
        <v>0</v>
      </c>
      <c r="L5">
        <f>K5/52</f>
        <v>0</v>
      </c>
    </row>
    <row r="6" spans="1:19" x14ac:dyDescent="0.25">
      <c r="A6" t="s">
        <v>1209</v>
      </c>
      <c r="B6" s="8"/>
      <c r="D6" s="7">
        <f>IF($B$20=1,B6/$B$21,B6)</f>
        <v>0</v>
      </c>
      <c r="G6">
        <f>F6*52</f>
        <v>0</v>
      </c>
      <c r="H6">
        <f>F6</f>
        <v>0</v>
      </c>
      <c r="K6">
        <f>J6*52</f>
        <v>0</v>
      </c>
      <c r="L6">
        <f>J6</f>
        <v>0</v>
      </c>
    </row>
    <row r="7" spans="1:19" x14ac:dyDescent="0.25">
      <c r="A7" t="s">
        <v>1210</v>
      </c>
      <c r="B7" s="8"/>
      <c r="D7" s="7">
        <f>IF($B$20=1,B7/$B$21,B7)</f>
        <v>0</v>
      </c>
    </row>
    <row r="8" spans="1:19" x14ac:dyDescent="0.25">
      <c r="A8" t="s">
        <v>9</v>
      </c>
      <c r="B8"/>
    </row>
    <row r="9" spans="1:19" x14ac:dyDescent="0.25">
      <c r="A9" t="s">
        <v>964</v>
      </c>
      <c r="B9"/>
    </row>
    <row r="10" spans="1:19" x14ac:dyDescent="0.25">
      <c r="A10" t="s">
        <v>940</v>
      </c>
      <c r="B10"/>
      <c r="C10" s="6">
        <f xml:space="preserve"> NASR*NASRDC</f>
        <v>0</v>
      </c>
      <c r="G10">
        <f xml:space="preserve"> FU_NASR*FU_NASRDC</f>
        <v>0</v>
      </c>
      <c r="K10">
        <f xml:space="preserve"> IP_NASR*IP_NASRDC</f>
        <v>0</v>
      </c>
    </row>
    <row r="11" spans="1:19" x14ac:dyDescent="0.25">
      <c r="A11" t="s">
        <v>965</v>
      </c>
      <c r="B11"/>
    </row>
    <row r="12" spans="1:19" x14ac:dyDescent="0.25">
      <c r="A12" t="s">
        <v>859</v>
      </c>
      <c r="B12"/>
    </row>
    <row r="13" spans="1:19" x14ac:dyDescent="0.25">
      <c r="A13" t="s">
        <v>941</v>
      </c>
      <c r="B13" s="8"/>
      <c r="D13" s="7">
        <f>IF($B$20=1,B13/$B$21,B13)</f>
        <v>0</v>
      </c>
      <c r="G13">
        <f>F13*52</f>
        <v>0</v>
      </c>
      <c r="H13" s="7">
        <f>IF($B$20=1,F13/$B$21,F13)</f>
        <v>0</v>
      </c>
      <c r="K13">
        <f>J13*52</f>
        <v>0</v>
      </c>
      <c r="L13" s="7">
        <f>IF($B$20=1,J13/$B$21,J13)</f>
        <v>0</v>
      </c>
    </row>
    <row r="14" spans="1:19" x14ac:dyDescent="0.25">
      <c r="A14" t="s">
        <v>1275</v>
      </c>
      <c r="B14" s="8"/>
      <c r="H14" s="7"/>
      <c r="L14" s="7"/>
    </row>
    <row r="15" spans="1:19" x14ac:dyDescent="0.25">
      <c r="A15" t="s">
        <v>1278</v>
      </c>
      <c r="B15"/>
      <c r="D15" s="7">
        <f>IF($B$20=1,B15/$B$21,B15)</f>
        <v>0</v>
      </c>
      <c r="H15" s="7">
        <f>IF($B$20=1,F15/$B$21,F15)</f>
        <v>0</v>
      </c>
      <c r="L15" s="7">
        <f>IF($B$20=1,J15/$B$21,J15)</f>
        <v>0</v>
      </c>
    </row>
    <row r="16" spans="1:19" x14ac:dyDescent="0.25">
      <c r="A16" t="s">
        <v>861</v>
      </c>
      <c r="B16" s="8"/>
      <c r="D16" s="7">
        <f>IF($B$20=1,B16/$B$21,B16)</f>
        <v>0</v>
      </c>
      <c r="H16" s="7">
        <f>IF($B$20=1,F16/$B$21,F16)</f>
        <v>0</v>
      </c>
      <c r="L16" s="7">
        <f>IF($B$20=1,J16/$B$21,J16)</f>
        <v>0</v>
      </c>
      <c r="S16" t="s">
        <v>1213</v>
      </c>
    </row>
    <row r="17" spans="1:20" x14ac:dyDescent="0.25">
      <c r="A17" t="s">
        <v>7</v>
      </c>
      <c r="B17" s="8"/>
      <c r="D17" s="7">
        <f>IF($B$20=1,B17/$B$21,B17)</f>
        <v>0</v>
      </c>
      <c r="H17" s="7">
        <f>IF($B$20=1,F17/$B$21,F17)</f>
        <v>0</v>
      </c>
      <c r="L17" s="7">
        <f>IF($B$20=1,J17/$B$21,J17)</f>
        <v>0</v>
      </c>
      <c r="S17" t="s">
        <v>1159</v>
      </c>
    </row>
    <row r="18" spans="1:20" x14ac:dyDescent="0.25">
      <c r="A18" t="s">
        <v>1081</v>
      </c>
      <c r="B18"/>
      <c r="S18" t="s">
        <v>1187</v>
      </c>
    </row>
    <row r="19" spans="1:20" x14ac:dyDescent="0.25">
      <c r="A19" t="s">
        <v>863</v>
      </c>
      <c r="B19"/>
      <c r="S19" t="s">
        <v>1214</v>
      </c>
      <c r="T19" t="s">
        <v>1215</v>
      </c>
    </row>
    <row r="20" spans="1:20" x14ac:dyDescent="0.25">
      <c r="A20" t="s">
        <v>942</v>
      </c>
      <c r="B20"/>
      <c r="R20" t="s">
        <v>947</v>
      </c>
      <c r="S20" t="s">
        <v>984</v>
      </c>
      <c r="T20" t="s">
        <v>1216</v>
      </c>
    </row>
    <row r="21" spans="1:20" x14ac:dyDescent="0.25">
      <c r="A21" t="s">
        <v>943</v>
      </c>
      <c r="B21">
        <v>1</v>
      </c>
      <c r="D21" s="12"/>
      <c r="S21" t="s">
        <v>985</v>
      </c>
      <c r="T21" t="s">
        <v>1216</v>
      </c>
    </row>
    <row r="22" spans="1:20" x14ac:dyDescent="0.25">
      <c r="H22">
        <f>F22*$D$5</f>
        <v>0</v>
      </c>
      <c r="L22">
        <f>J22*$D$5</f>
        <v>0</v>
      </c>
      <c r="S22" t="s">
        <v>1217</v>
      </c>
      <c r="T22" t="s">
        <v>1218</v>
      </c>
    </row>
    <row r="23" spans="1:20" x14ac:dyDescent="0.25">
      <c r="S23" t="s">
        <v>1219</v>
      </c>
      <c r="T23" t="s">
        <v>1218</v>
      </c>
    </row>
    <row r="24" spans="1:20" x14ac:dyDescent="0.25">
      <c r="D24" s="7" t="s">
        <v>1023</v>
      </c>
      <c r="F24" t="s">
        <v>901</v>
      </c>
      <c r="G24" t="s">
        <v>1022</v>
      </c>
      <c r="H24" s="7" t="s">
        <v>1023</v>
      </c>
      <c r="J24" t="s">
        <v>901</v>
      </c>
      <c r="K24" t="s">
        <v>1022</v>
      </c>
      <c r="L24" s="7" t="s">
        <v>1023</v>
      </c>
      <c r="R24" t="s">
        <v>941</v>
      </c>
      <c r="S24" t="s">
        <v>25</v>
      </c>
      <c r="T24" t="s">
        <v>1218</v>
      </c>
    </row>
    <row r="25" spans="1:20" x14ac:dyDescent="0.25">
      <c r="A25" t="s">
        <v>944</v>
      </c>
      <c r="B25" s="6">
        <f>IF(B17-B16&lt;0,0,B17-B16)</f>
        <v>0</v>
      </c>
      <c r="D25" s="6">
        <f>IF(D17-D16&lt;0,0,D17-D16)</f>
        <v>0</v>
      </c>
      <c r="F25" s="8">
        <f>F5*B25</f>
        <v>0</v>
      </c>
      <c r="G25" s="8">
        <v>0</v>
      </c>
      <c r="H25" s="8"/>
      <c r="I25" s="8"/>
      <c r="J25" s="8">
        <f>(J5*B25)+IF(J17-J16&lt;=0,0,J17-J16)</f>
        <v>0</v>
      </c>
      <c r="K25" s="8">
        <f>IF(J17-J16&lt;=0,0,J17-J16)</f>
        <v>0</v>
      </c>
      <c r="L25" s="8"/>
      <c r="S25" t="s">
        <v>1220</v>
      </c>
      <c r="T25" t="s">
        <v>1218</v>
      </c>
    </row>
    <row r="26" spans="1:20" x14ac:dyDescent="0.25">
      <c r="A26" t="s">
        <v>945</v>
      </c>
      <c r="B26" s="9">
        <f>(1-NASLDC)*NASL</f>
        <v>0</v>
      </c>
      <c r="D26" s="11"/>
      <c r="F26" s="8">
        <f>FU_NASL*(1-FU_NASLDC)</f>
        <v>0</v>
      </c>
      <c r="G26" s="8"/>
      <c r="H26" s="8"/>
      <c r="I26" s="8"/>
      <c r="J26" s="8">
        <f>IP_NASL*(1-IP_NASLDC)</f>
        <v>0</v>
      </c>
      <c r="K26" s="8"/>
      <c r="L26" s="8"/>
      <c r="R26" t="s">
        <v>1221</v>
      </c>
      <c r="S26" t="s">
        <v>25</v>
      </c>
      <c r="T26" t="s">
        <v>1218</v>
      </c>
    </row>
    <row r="27" spans="1:20" x14ac:dyDescent="0.25">
      <c r="A27" t="s">
        <v>946</v>
      </c>
      <c r="B27" s="6">
        <f>NASR*(1-NASRDC)</f>
        <v>0</v>
      </c>
      <c r="D27" s="11"/>
      <c r="F27" s="8">
        <f>FU_NASR*(1-FU_NASRDC)</f>
        <v>0</v>
      </c>
      <c r="G27" s="8"/>
      <c r="H27" s="8"/>
      <c r="I27" s="8"/>
      <c r="J27" s="8">
        <f>IP_NASR*(1-IP_NASRDC)</f>
        <v>0</v>
      </c>
      <c r="K27" s="8"/>
      <c r="L27" s="8"/>
      <c r="S27" t="s">
        <v>1220</v>
      </c>
      <c r="T27" t="s">
        <v>1218</v>
      </c>
    </row>
    <row r="28" spans="1:20" x14ac:dyDescent="0.25">
      <c r="D28" s="11"/>
      <c r="F28" s="8"/>
      <c r="G28" s="8"/>
      <c r="H28" s="8"/>
      <c r="I28" s="8"/>
      <c r="J28" s="8"/>
      <c r="K28" s="8"/>
      <c r="L28" s="8"/>
      <c r="R28" t="s">
        <v>1093</v>
      </c>
      <c r="S28" t="s">
        <v>984</v>
      </c>
      <c r="T28" t="s">
        <v>1216</v>
      </c>
    </row>
    <row r="29" spans="1:20" ht="14.4" x14ac:dyDescent="0.3">
      <c r="A29" s="10" t="s">
        <v>947</v>
      </c>
      <c r="D29" s="12"/>
      <c r="F29" s="8"/>
      <c r="G29" s="8"/>
      <c r="H29" s="8"/>
      <c r="I29" s="8"/>
      <c r="J29" s="8"/>
      <c r="K29" s="8"/>
      <c r="L29" s="8"/>
      <c r="S29" t="s">
        <v>985</v>
      </c>
      <c r="T29" t="s">
        <v>1216</v>
      </c>
    </row>
    <row r="30" spans="1:20" x14ac:dyDescent="0.25">
      <c r="A30" t="s">
        <v>948</v>
      </c>
      <c r="B30" s="6">
        <f>B5*(NASL+NASR+ROTT)</f>
        <v>0</v>
      </c>
      <c r="F30" s="8">
        <f>H5*(F8+F10+F18)</f>
        <v>0</v>
      </c>
      <c r="G30" s="8"/>
      <c r="H30" s="8"/>
      <c r="I30" s="8"/>
      <c r="J30" s="8">
        <f>L5*(J8+J10+J18)</f>
        <v>0</v>
      </c>
      <c r="K30" s="8"/>
      <c r="L30" s="8"/>
    </row>
    <row r="31" spans="1:20" x14ac:dyDescent="0.25">
      <c r="A31" t="s">
        <v>949</v>
      </c>
      <c r="B31" s="6">
        <f>B5*(B26+B27)</f>
        <v>0</v>
      </c>
      <c r="F31" s="8">
        <f>H5*(F26+F27)</f>
        <v>0</v>
      </c>
      <c r="G31" s="8"/>
      <c r="H31" s="8"/>
      <c r="I31" s="8"/>
      <c r="J31" s="8">
        <f>L5*(J26+J27)</f>
        <v>0</v>
      </c>
      <c r="K31" s="8"/>
      <c r="L31" s="8"/>
      <c r="R31" t="s">
        <v>941</v>
      </c>
      <c r="S31" t="s">
        <v>25</v>
      </c>
      <c r="T31" t="s">
        <v>1218</v>
      </c>
    </row>
    <row r="32" spans="1:20" x14ac:dyDescent="0.25">
      <c r="F32" s="8"/>
      <c r="G32" s="8"/>
      <c r="H32" s="8"/>
      <c r="I32" s="8"/>
      <c r="J32" s="8"/>
      <c r="K32" s="8"/>
      <c r="L32" s="8"/>
      <c r="S32" t="s">
        <v>1220</v>
      </c>
      <c r="T32" t="s">
        <v>1218</v>
      </c>
    </row>
    <row r="33" spans="1:20" x14ac:dyDescent="0.25">
      <c r="A33" t="s">
        <v>950</v>
      </c>
      <c r="B33" s="6">
        <f>B31-B30+B5</f>
        <v>0</v>
      </c>
      <c r="C33" s="6">
        <f>B33*52</f>
        <v>0</v>
      </c>
      <c r="D33" s="7">
        <f>IF($B$20=1,C33/$B$21,C33)</f>
        <v>0</v>
      </c>
      <c r="F33" s="8">
        <f>(F31-F30+H5)/52</f>
        <v>0</v>
      </c>
      <c r="G33" s="8"/>
      <c r="H33" s="8">
        <f>(F31-F30+H5)*52</f>
        <v>0</v>
      </c>
      <c r="I33" s="8"/>
      <c r="J33" s="8">
        <f>(J31-J30+L5)/52</f>
        <v>0</v>
      </c>
      <c r="K33" s="8"/>
      <c r="L33" s="8">
        <f>(J31-J30+L5)*52</f>
        <v>0</v>
      </c>
      <c r="R33" t="s">
        <v>1221</v>
      </c>
      <c r="S33" t="s">
        <v>25</v>
      </c>
      <c r="T33" t="s">
        <v>1218</v>
      </c>
    </row>
    <row r="34" spans="1:20" x14ac:dyDescent="0.25">
      <c r="F34" s="8"/>
      <c r="G34" s="8"/>
      <c r="H34" s="8"/>
      <c r="I34" s="8"/>
      <c r="J34" s="8"/>
      <c r="K34" s="8"/>
      <c r="L34" s="8"/>
      <c r="S34" t="s">
        <v>1220</v>
      </c>
      <c r="T34" t="s">
        <v>1218</v>
      </c>
    </row>
    <row r="35" spans="1:20" x14ac:dyDescent="0.25">
      <c r="F35" s="8"/>
      <c r="G35" s="8"/>
      <c r="H35" s="8"/>
      <c r="I35" s="8"/>
      <c r="J35" s="8"/>
      <c r="K35" s="8"/>
      <c r="L35" s="8"/>
      <c r="R35" t="s">
        <v>1093</v>
      </c>
      <c r="S35" t="s">
        <v>984</v>
      </c>
      <c r="T35" t="s">
        <v>1218</v>
      </c>
    </row>
    <row r="36" spans="1:20" ht="14.4" x14ac:dyDescent="0.3">
      <c r="A36" s="10" t="s">
        <v>951</v>
      </c>
      <c r="F36" s="8"/>
      <c r="G36" s="8"/>
      <c r="H36" s="8"/>
      <c r="I36" s="8"/>
      <c r="J36" s="8"/>
      <c r="K36" s="8"/>
      <c r="L36" s="8"/>
      <c r="S36" t="s">
        <v>985</v>
      </c>
      <c r="T36" t="s">
        <v>1218</v>
      </c>
    </row>
    <row r="37" spans="1:20" x14ac:dyDescent="0.25">
      <c r="A37" t="s">
        <v>948</v>
      </c>
      <c r="B37" s="6">
        <f>B13*(B8+B10+B18)</f>
        <v>0</v>
      </c>
      <c r="F37" s="8">
        <f>F13*(F8+F10)</f>
        <v>0</v>
      </c>
      <c r="G37" s="8"/>
      <c r="H37" s="8"/>
      <c r="I37" s="8"/>
      <c r="J37" s="8">
        <f>J13*(J8+J10)</f>
        <v>0</v>
      </c>
      <c r="K37" s="8"/>
      <c r="L37" s="8"/>
      <c r="S37" t="s">
        <v>1222</v>
      </c>
      <c r="T37" t="s">
        <v>1218</v>
      </c>
    </row>
    <row r="38" spans="1:20" x14ac:dyDescent="0.25">
      <c r="A38" t="s">
        <v>949</v>
      </c>
      <c r="B38" s="6">
        <f>B13*(B26+B27)</f>
        <v>0</v>
      </c>
      <c r="F38" s="8">
        <f>F13*(F26+F27)</f>
        <v>0</v>
      </c>
      <c r="G38" s="8"/>
      <c r="H38" s="8"/>
      <c r="I38" s="8"/>
      <c r="J38" s="8">
        <f>J13*(J26+J27)</f>
        <v>0</v>
      </c>
      <c r="K38" s="8"/>
      <c r="L38" s="8"/>
    </row>
    <row r="39" spans="1:20" x14ac:dyDescent="0.25">
      <c r="F39" s="8"/>
      <c r="G39" s="8"/>
      <c r="H39" s="8"/>
      <c r="I39" s="8"/>
      <c r="J39" s="8"/>
      <c r="K39" s="8"/>
      <c r="L39" s="8"/>
      <c r="R39" t="s">
        <v>1203</v>
      </c>
      <c r="T39" t="s">
        <v>1218</v>
      </c>
    </row>
    <row r="40" spans="1:20" x14ac:dyDescent="0.25">
      <c r="A40" t="s">
        <v>952</v>
      </c>
      <c r="B40" s="6">
        <f>B13+B38-B37</f>
        <v>0</v>
      </c>
      <c r="C40" s="6">
        <f>B40*52</f>
        <v>0</v>
      </c>
      <c r="D40" s="7">
        <f>IF($B$20=1,C40/$B$21,C40)</f>
        <v>0</v>
      </c>
      <c r="F40" s="8">
        <f>F13+F38-F37</f>
        <v>0</v>
      </c>
      <c r="G40" s="8"/>
      <c r="H40" s="8">
        <f>F40*52</f>
        <v>0</v>
      </c>
      <c r="I40" s="8"/>
      <c r="J40" s="8">
        <f>J13+J38-J37</f>
        <v>0</v>
      </c>
      <c r="K40" s="8"/>
      <c r="L40" s="8">
        <f>J40*52</f>
        <v>0</v>
      </c>
    </row>
    <row r="41" spans="1:20" x14ac:dyDescent="0.25">
      <c r="F41" s="8"/>
      <c r="G41" s="8"/>
      <c r="H41" s="8"/>
      <c r="I41" s="8"/>
      <c r="J41" s="8"/>
      <c r="K41" s="8"/>
      <c r="L41" s="8"/>
    </row>
    <row r="42" spans="1:20" x14ac:dyDescent="0.25">
      <c r="F42" s="8"/>
      <c r="G42" s="8"/>
      <c r="H42" s="8"/>
      <c r="I42" s="8"/>
      <c r="J42" s="8"/>
      <c r="K42" s="8"/>
      <c r="L42" s="8"/>
    </row>
    <row r="43" spans="1:20" ht="14.4" x14ac:dyDescent="0.3">
      <c r="A43" s="10" t="s">
        <v>953</v>
      </c>
      <c r="F43" s="8"/>
      <c r="G43" s="8"/>
      <c r="H43" s="8"/>
      <c r="I43" s="8"/>
      <c r="J43" s="8"/>
      <c r="K43" s="8"/>
      <c r="L43" s="8"/>
    </row>
    <row r="44" spans="1:20" x14ac:dyDescent="0.25">
      <c r="A44" t="s">
        <v>954</v>
      </c>
      <c r="F44" s="8"/>
      <c r="G44" s="8"/>
      <c r="H44" s="8"/>
      <c r="I44" s="8"/>
      <c r="J44" s="8"/>
      <c r="K44" s="8"/>
      <c r="L44" s="8"/>
    </row>
    <row r="45" spans="1:20" x14ac:dyDescent="0.25">
      <c r="F45" s="8"/>
      <c r="G45" s="8"/>
      <c r="H45" s="8"/>
      <c r="I45" s="8"/>
      <c r="J45" s="8"/>
      <c r="K45" s="8"/>
      <c r="L45" s="8"/>
    </row>
    <row r="46" spans="1:20" x14ac:dyDescent="0.25">
      <c r="A46" t="s">
        <v>948</v>
      </c>
      <c r="B46" s="6">
        <f>B25*(B8+B10+B18)</f>
        <v>0</v>
      </c>
      <c r="F46" s="8">
        <f>F25*(F8+F10)</f>
        <v>0</v>
      </c>
      <c r="G46" s="8"/>
      <c r="H46" s="8"/>
      <c r="I46" s="8"/>
      <c r="J46" s="8">
        <f>J25*(J8+J10)</f>
        <v>0</v>
      </c>
      <c r="K46" s="8"/>
      <c r="L46" s="8"/>
    </row>
    <row r="47" spans="1:20" x14ac:dyDescent="0.25">
      <c r="A47" t="s">
        <v>949</v>
      </c>
      <c r="B47" s="6">
        <f>B25*(B26+B27)</f>
        <v>0</v>
      </c>
      <c r="F47" s="8">
        <f>F25*(F26+F27)</f>
        <v>0</v>
      </c>
      <c r="G47" s="8"/>
      <c r="H47" s="8"/>
      <c r="I47" s="8"/>
      <c r="J47" s="8">
        <f>J25*(J26+J27)</f>
        <v>0</v>
      </c>
      <c r="K47" s="8"/>
      <c r="L47" s="8"/>
    </row>
    <row r="48" spans="1:20" x14ac:dyDescent="0.25">
      <c r="F48" s="8" t="s">
        <v>901</v>
      </c>
      <c r="G48" s="8"/>
      <c r="H48" s="8"/>
      <c r="I48" s="8"/>
      <c r="J48" s="8" t="s">
        <v>901</v>
      </c>
      <c r="K48" s="8"/>
      <c r="L48" s="8"/>
    </row>
    <row r="49" spans="1:40" x14ac:dyDescent="0.25">
      <c r="A49" t="s">
        <v>955</v>
      </c>
      <c r="B49" s="6">
        <f>B25+B47-B46</f>
        <v>0</v>
      </c>
      <c r="C49" s="6">
        <f>B49</f>
        <v>0</v>
      </c>
      <c r="D49" s="7">
        <f>IF($B$20=1,C49/$B$21,C49)</f>
        <v>0</v>
      </c>
      <c r="F49" s="8">
        <f>F25+F47-F46</f>
        <v>0</v>
      </c>
      <c r="G49" s="8">
        <f>F49</f>
        <v>0</v>
      </c>
      <c r="H49" s="8">
        <f>IF($F$20=1,G49/$F$21,G49)</f>
        <v>0</v>
      </c>
      <c r="I49" s="8"/>
      <c r="J49" s="8">
        <f>J25+J47-J46</f>
        <v>0</v>
      </c>
      <c r="K49" s="8">
        <f>J49</f>
        <v>0</v>
      </c>
      <c r="L49" s="8">
        <f>IF($J$20=1,K49/$J$21,K49)</f>
        <v>0</v>
      </c>
    </row>
    <row r="50" spans="1:40" x14ac:dyDescent="0.25">
      <c r="F50" t="s">
        <v>1022</v>
      </c>
      <c r="J50" t="s">
        <v>1022</v>
      </c>
    </row>
    <row r="51" spans="1:40" x14ac:dyDescent="0.25">
      <c r="F51">
        <v>0</v>
      </c>
      <c r="H51">
        <v>0</v>
      </c>
      <c r="J51">
        <f>K25*(1+(J8*(1-J9))-(J8+J10+J18)+(J10*(1-J11)))</f>
        <v>0</v>
      </c>
      <c r="K51">
        <f>J51</f>
        <v>0</v>
      </c>
      <c r="L51" s="8">
        <f>IF($J$20=1,K51/$J$21,K51)</f>
        <v>0</v>
      </c>
    </row>
    <row r="52" spans="1:40" x14ac:dyDescent="0.25">
      <c r="A52" s="1" t="s">
        <v>956</v>
      </c>
      <c r="M52" t="s">
        <v>1016</v>
      </c>
      <c r="Z52">
        <f>1-(NASL*NASLDC)</f>
        <v>1</v>
      </c>
    </row>
    <row r="53" spans="1:40" x14ac:dyDescent="0.25">
      <c r="A53" t="s">
        <v>1141</v>
      </c>
      <c r="B53" s="92" t="s">
        <v>1142</v>
      </c>
    </row>
    <row r="54" spans="1:40" x14ac:dyDescent="0.25">
      <c r="M54" t="s">
        <v>1207</v>
      </c>
      <c r="Q54">
        <f>(1-ROTT)*(1-(NASR*NASRDC) - (NASL*NASLDC))</f>
        <v>1</v>
      </c>
      <c r="R54">
        <f>(1-FU_ROTT)*(1-(FU_NASR*FU_NASRDC) - (FU_NASL*FU_NASLDC))</f>
        <v>1</v>
      </c>
      <c r="S54">
        <f>(1-IP_ROTT)*(1-(IP_NASR*IP_NASRDC) - (IP_NASL*IP_NASLDC))</f>
        <v>1</v>
      </c>
      <c r="Z54">
        <f>1-(NASL*NASLDC)</f>
        <v>1</v>
      </c>
      <c r="AA54">
        <f>1-(FU_NASL*FU_NASLDC)</f>
        <v>1</v>
      </c>
      <c r="AB54">
        <f>1-(IP_NASL*IP_NASLDC)</f>
        <v>1</v>
      </c>
    </row>
    <row r="55" spans="1:40" x14ac:dyDescent="0.25">
      <c r="A55" t="s">
        <v>1143</v>
      </c>
      <c r="B55" s="100">
        <f>'Reference dates (hide)'!B40</f>
        <v>43831</v>
      </c>
      <c r="C55" s="6" t="s">
        <v>1150</v>
      </c>
      <c r="G55" s="7"/>
      <c r="Q55" s="116" t="str">
        <f ca="1">IF(OFFSET('Control Sheet'!E$45,MID($A$1,6,LEN($A$1)-6),0,1,1)=0,"",OFFSET('Control Sheet'!E$45,MID($A$1,6,LEN($A$1)-6),0,1,1))</f>
        <v/>
      </c>
      <c r="R55" s="116" t="str">
        <f ca="1">IF(OFFSET('Control Sheet'!F$45,MID($A$1,6,LEN($A$1)-6),0,1,1)=0,"",OFFSET('Control Sheet'!F$45,MID($A$1,6,LEN($A$1)-6),0,1,1))</f>
        <v/>
      </c>
      <c r="S55" s="116" t="str">
        <f ca="1">IF(OFFSET('Control Sheet'!G$45,MID($A$1,6,LEN($A$1)-6),0,1,1)=0,"",OFFSET('Control Sheet'!G$45,MID($A$1,6,LEN($A$1)-6),0,1,1))</f>
        <v/>
      </c>
      <c r="T55" s="118" t="str">
        <f ca="1">IF(OFFSET('Control Sheet'!I$45,MID($A$1,6,LEN($A$1)-6),0,1,1)="0","",OFFSET('Control Sheet'!I$45,MID($A$1,6,LEN($A$1)-6),0,1,1))</f>
        <v/>
      </c>
      <c r="U55" s="118" t="str">
        <f ca="1">IF(OFFSET('Control Sheet'!J$45,MID($A$1,6,LEN($A$1)-6),0,1,1)=0,"",OFFSET('Control Sheet'!J$45,MID($A$1,6,LEN($A$1)-6),0,1,1))</f>
        <v/>
      </c>
      <c r="V55" s="118" t="str">
        <f ca="1">IF(OFFSET('Control Sheet'!K$45,MID($A$1,6,LEN($A$1)-6),0,1,1)=0,"",OFFSET('Control Sheet'!K$45,MID($A$1,6,LEN($A$1)-6),0,1,1))</f>
        <v/>
      </c>
    </row>
    <row r="56" spans="1:40" ht="14.4" x14ac:dyDescent="0.3">
      <c r="A56" t="s">
        <v>1202</v>
      </c>
      <c r="C56" s="6" t="s">
        <v>1204</v>
      </c>
      <c r="D56" s="6"/>
      <c r="E56" s="7"/>
      <c r="F56" t="s">
        <v>860</v>
      </c>
      <c r="N56" s="6"/>
      <c r="O56" s="6"/>
      <c r="P56" s="7"/>
      <c r="Q56" s="93" t="s">
        <v>1236</v>
      </c>
      <c r="R56" s="6"/>
      <c r="T56" s="107" t="s">
        <v>1093</v>
      </c>
      <c r="Z56" s="93" t="s">
        <v>1212</v>
      </c>
      <c r="AC56" s="108" t="s">
        <v>1276</v>
      </c>
      <c r="AF56" s="1" t="s">
        <v>1306</v>
      </c>
      <c r="AI56" t="s">
        <v>1275</v>
      </c>
      <c r="AL56" t="s">
        <v>1312</v>
      </c>
    </row>
    <row r="57" spans="1:40" x14ac:dyDescent="0.25">
      <c r="A57" s="1" t="s">
        <v>1144</v>
      </c>
      <c r="B57" s="1" t="s">
        <v>1151</v>
      </c>
      <c r="C57" s="94" t="s">
        <v>1203</v>
      </c>
      <c r="D57" s="94" t="s">
        <v>984</v>
      </c>
      <c r="E57" s="111" t="s">
        <v>985</v>
      </c>
      <c r="F57" s="1" t="s">
        <v>951</v>
      </c>
      <c r="G57" s="1" t="s">
        <v>1205</v>
      </c>
      <c r="H57" s="1" t="s">
        <v>1206</v>
      </c>
      <c r="I57" s="1" t="s">
        <v>25</v>
      </c>
      <c r="J57" s="1" t="s">
        <v>1220</v>
      </c>
      <c r="K57" s="1" t="s">
        <v>1266</v>
      </c>
      <c r="M57" s="1" t="s">
        <v>1144</v>
      </c>
      <c r="N57" s="94" t="s">
        <v>1159</v>
      </c>
      <c r="O57" s="94" t="s">
        <v>1151</v>
      </c>
      <c r="P57" s="7" t="s">
        <v>1201</v>
      </c>
      <c r="Q57" s="6" t="s">
        <v>1196</v>
      </c>
      <c r="R57" s="6" t="s">
        <v>1197</v>
      </c>
      <c r="S57" s="7" t="s">
        <v>1198</v>
      </c>
      <c r="T57" s="109" t="s">
        <v>1188</v>
      </c>
      <c r="U57" s="109" t="s">
        <v>1189</v>
      </c>
      <c r="V57" s="109" t="s">
        <v>1190</v>
      </c>
      <c r="W57" s="110" t="s">
        <v>1191</v>
      </c>
      <c r="X57" s="110" t="s">
        <v>1192</v>
      </c>
      <c r="Y57" s="110" t="s">
        <v>1193</v>
      </c>
      <c r="Z57" s="57">
        <v>1</v>
      </c>
      <c r="AA57">
        <v>2</v>
      </c>
      <c r="AB57">
        <v>3</v>
      </c>
      <c r="AC57" t="s">
        <v>1146</v>
      </c>
      <c r="AD57" t="s">
        <v>1147</v>
      </c>
      <c r="AE57" t="s">
        <v>1148</v>
      </c>
      <c r="AF57" t="s">
        <v>1146</v>
      </c>
      <c r="AG57" t="s">
        <v>1147</v>
      </c>
      <c r="AH57" t="s">
        <v>1148</v>
      </c>
      <c r="AI57" t="s">
        <v>1146</v>
      </c>
      <c r="AJ57" t="s">
        <v>1147</v>
      </c>
      <c r="AK57" t="s">
        <v>1148</v>
      </c>
      <c r="AL57" t="s">
        <v>1146</v>
      </c>
      <c r="AM57" t="s">
        <v>1147</v>
      </c>
      <c r="AN57" t="s">
        <v>1148</v>
      </c>
    </row>
    <row r="58" spans="1:40" x14ac:dyDescent="0.25">
      <c r="B58"/>
      <c r="C58"/>
      <c r="D58"/>
      <c r="M58" s="101">
        <f>IF(B55&lt;&gt;"",B55-WEEKDAY(B55,3),"")</f>
        <v>43829</v>
      </c>
      <c r="N58" s="99">
        <f>YEAR(M58)</f>
        <v>2019</v>
      </c>
      <c r="O58" s="8">
        <f>WEEKNUM(M58,21)</f>
        <v>1</v>
      </c>
      <c r="P58">
        <f ca="1">'Reference dates (hide)'!K43</f>
        <v>7.874015748031496E-3</v>
      </c>
    </row>
    <row r="59" spans="1:40" x14ac:dyDescent="0.25">
      <c r="B59"/>
      <c r="C59"/>
      <c r="D59"/>
      <c r="M59" s="101">
        <f>IF('Reference dates (hide)'!I44&lt;&gt;"",'Reference dates (hide)'!I44,"")</f>
        <v>43836</v>
      </c>
      <c r="N59" s="99">
        <f t="shared" ref="N59:N110" si="0">YEAR(M59)</f>
        <v>2020</v>
      </c>
      <c r="O59" s="8">
        <f t="shared" ref="O59:O110" si="1">WEEKNUM(M59,21)</f>
        <v>2</v>
      </c>
      <c r="P59">
        <f ca="1">'Reference dates (hide)'!K44</f>
        <v>1.968503937007874E-2</v>
      </c>
    </row>
    <row r="60" spans="1:40" x14ac:dyDescent="0.25">
      <c r="B60"/>
      <c r="C60"/>
      <c r="D60"/>
      <c r="M60" s="101">
        <f>IF('Reference dates (hide)'!I45&lt;&gt;"",'Reference dates (hide)'!I45,"")</f>
        <v>43843</v>
      </c>
      <c r="N60" s="99">
        <f t="shared" si="0"/>
        <v>2020</v>
      </c>
      <c r="O60" s="8">
        <f t="shared" si="1"/>
        <v>3</v>
      </c>
      <c r="P60">
        <f ca="1">'Reference dates (hide)'!K45</f>
        <v>1.968503937007874E-2</v>
      </c>
    </row>
    <row r="61" spans="1:40" x14ac:dyDescent="0.25">
      <c r="B61"/>
      <c r="C61"/>
      <c r="D61"/>
      <c r="M61" s="101">
        <f>IF('Reference dates (hide)'!I46&lt;&gt;"",'Reference dates (hide)'!I46,"")</f>
        <v>43850</v>
      </c>
      <c r="N61" s="99">
        <f t="shared" si="0"/>
        <v>2020</v>
      </c>
      <c r="O61" s="8">
        <f t="shared" si="1"/>
        <v>4</v>
      </c>
      <c r="P61">
        <f ca="1">'Reference dates (hide)'!K46</f>
        <v>1.968503937007874E-2</v>
      </c>
    </row>
    <row r="62" spans="1:40" x14ac:dyDescent="0.25">
      <c r="B62"/>
      <c r="C62"/>
      <c r="D62"/>
      <c r="M62" s="101">
        <f>IF('Reference dates (hide)'!I47&lt;&gt;"",'Reference dates (hide)'!I47,"")</f>
        <v>43857</v>
      </c>
      <c r="N62" s="99">
        <f t="shared" si="0"/>
        <v>2020</v>
      </c>
      <c r="O62" s="8">
        <f t="shared" si="1"/>
        <v>5</v>
      </c>
      <c r="P62">
        <f ca="1">'Reference dates (hide)'!K47</f>
        <v>1.968503937007874E-2</v>
      </c>
    </row>
    <row r="63" spans="1:40" x14ac:dyDescent="0.25">
      <c r="B63"/>
      <c r="C63"/>
      <c r="D63"/>
      <c r="M63" s="101">
        <f>IF('Reference dates (hide)'!I48&lt;&gt;"",'Reference dates (hide)'!I48,"")</f>
        <v>43864</v>
      </c>
      <c r="N63" s="99">
        <f t="shared" si="0"/>
        <v>2020</v>
      </c>
      <c r="O63" s="8">
        <f t="shared" si="1"/>
        <v>6</v>
      </c>
      <c r="P63">
        <f ca="1">'Reference dates (hide)'!K48</f>
        <v>1.968503937007874E-2</v>
      </c>
    </row>
    <row r="64" spans="1:40" x14ac:dyDescent="0.25">
      <c r="B64"/>
      <c r="C64"/>
      <c r="D64"/>
      <c r="M64" s="101">
        <f>IF('Reference dates (hide)'!I49&lt;&gt;"",'Reference dates (hide)'!I49,"")</f>
        <v>43871</v>
      </c>
      <c r="N64" s="99">
        <f t="shared" si="0"/>
        <v>2020</v>
      </c>
      <c r="O64" s="8">
        <f t="shared" si="1"/>
        <v>7</v>
      </c>
      <c r="P64">
        <f ca="1">'Reference dates (hide)'!K49</f>
        <v>1.968503937007874E-2</v>
      </c>
    </row>
    <row r="65" spans="2:16" x14ac:dyDescent="0.25">
      <c r="B65"/>
      <c r="C65"/>
      <c r="D65"/>
      <c r="M65" s="101">
        <f>IF('Reference dates (hide)'!I50&lt;&gt;"",'Reference dates (hide)'!I50,"")</f>
        <v>43878</v>
      </c>
      <c r="N65" s="99">
        <f t="shared" si="0"/>
        <v>2020</v>
      </c>
      <c r="O65" s="8">
        <f t="shared" si="1"/>
        <v>8</v>
      </c>
      <c r="P65">
        <f ca="1">'Reference dates (hide)'!K50</f>
        <v>1.968503937007874E-2</v>
      </c>
    </row>
    <row r="66" spans="2:16" x14ac:dyDescent="0.25">
      <c r="B66"/>
      <c r="C66"/>
      <c r="D66"/>
      <c r="M66" s="101">
        <f>IF('Reference dates (hide)'!I51&lt;&gt;"",'Reference dates (hide)'!I51,"")</f>
        <v>43885</v>
      </c>
      <c r="N66" s="99">
        <f t="shared" si="0"/>
        <v>2020</v>
      </c>
      <c r="O66" s="8">
        <f t="shared" si="1"/>
        <v>9</v>
      </c>
      <c r="P66">
        <f ca="1">'Reference dates (hide)'!K51</f>
        <v>1.968503937007874E-2</v>
      </c>
    </row>
    <row r="67" spans="2:16" x14ac:dyDescent="0.25">
      <c r="B67"/>
      <c r="C67"/>
      <c r="D67"/>
      <c r="M67" s="101">
        <f>IF('Reference dates (hide)'!I52&lt;&gt;"",'Reference dates (hide)'!I52,"")</f>
        <v>43892</v>
      </c>
      <c r="N67" s="99">
        <f t="shared" si="0"/>
        <v>2020</v>
      </c>
      <c r="O67" s="8">
        <f t="shared" si="1"/>
        <v>10</v>
      </c>
      <c r="P67">
        <f ca="1">'Reference dates (hide)'!K52</f>
        <v>1.968503937007874E-2</v>
      </c>
    </row>
    <row r="68" spans="2:16" x14ac:dyDescent="0.25">
      <c r="B68"/>
      <c r="C68"/>
      <c r="D68"/>
      <c r="M68" s="101">
        <f>IF('Reference dates (hide)'!I53&lt;&gt;"",'Reference dates (hide)'!I53,"")</f>
        <v>43899</v>
      </c>
      <c r="N68" s="99">
        <f t="shared" si="0"/>
        <v>2020</v>
      </c>
      <c r="O68" s="8">
        <f t="shared" si="1"/>
        <v>11</v>
      </c>
      <c r="P68">
        <f ca="1">'Reference dates (hide)'!K53</f>
        <v>1.968503937007874E-2</v>
      </c>
    </row>
    <row r="69" spans="2:16" x14ac:dyDescent="0.25">
      <c r="B69"/>
      <c r="C69"/>
      <c r="D69"/>
      <c r="M69" s="101">
        <f>IF('Reference dates (hide)'!I54&lt;&gt;"",'Reference dates (hide)'!I54,"")</f>
        <v>43906</v>
      </c>
      <c r="N69" s="99">
        <f t="shared" si="0"/>
        <v>2020</v>
      </c>
      <c r="O69" s="8">
        <f t="shared" si="1"/>
        <v>12</v>
      </c>
      <c r="P69">
        <f ca="1">'Reference dates (hide)'!K54</f>
        <v>1.968503937007874E-2</v>
      </c>
    </row>
    <row r="70" spans="2:16" x14ac:dyDescent="0.25">
      <c r="B70"/>
      <c r="C70"/>
      <c r="D70"/>
      <c r="M70" s="101">
        <f>IF('Reference dates (hide)'!I55&lt;&gt;"",'Reference dates (hide)'!I55,"")</f>
        <v>43913</v>
      </c>
      <c r="N70" s="99">
        <f t="shared" si="0"/>
        <v>2020</v>
      </c>
      <c r="O70" s="8">
        <f t="shared" si="1"/>
        <v>13</v>
      </c>
      <c r="P70">
        <f ca="1">'Reference dates (hide)'!K55</f>
        <v>1.968503937007874E-2</v>
      </c>
    </row>
    <row r="71" spans="2:16" x14ac:dyDescent="0.25">
      <c r="B71"/>
      <c r="C71"/>
      <c r="D71"/>
      <c r="M71" s="101">
        <f>IF('Reference dates (hide)'!I56&lt;&gt;"",'Reference dates (hide)'!I56,"")</f>
        <v>43920</v>
      </c>
      <c r="N71" s="99">
        <f t="shared" si="0"/>
        <v>2020</v>
      </c>
      <c r="O71" s="8">
        <f t="shared" si="1"/>
        <v>14</v>
      </c>
      <c r="P71">
        <f ca="1">'Reference dates (hide)'!K56</f>
        <v>1.968503937007874E-2</v>
      </c>
    </row>
    <row r="72" spans="2:16" x14ac:dyDescent="0.25">
      <c r="B72"/>
      <c r="C72"/>
      <c r="D72"/>
      <c r="M72" s="101">
        <f>IF('Reference dates (hide)'!I57&lt;&gt;"",'Reference dates (hide)'!I57,"")</f>
        <v>43927</v>
      </c>
      <c r="N72" s="99">
        <f t="shared" si="0"/>
        <v>2020</v>
      </c>
      <c r="O72" s="8">
        <f t="shared" si="1"/>
        <v>15</v>
      </c>
      <c r="P72">
        <f ca="1">'Reference dates (hide)'!K57</f>
        <v>1.5748031496062992E-2</v>
      </c>
    </row>
    <row r="73" spans="2:16" x14ac:dyDescent="0.25">
      <c r="B73"/>
      <c r="C73"/>
      <c r="D73"/>
      <c r="M73" s="101">
        <f>IF('Reference dates (hide)'!I58&lt;&gt;"",'Reference dates (hide)'!I58,"")</f>
        <v>43934</v>
      </c>
      <c r="N73" s="99">
        <f t="shared" si="0"/>
        <v>2020</v>
      </c>
      <c r="O73" s="8">
        <f t="shared" si="1"/>
        <v>16</v>
      </c>
      <c r="P73">
        <f ca="1">'Reference dates (hide)'!K58</f>
        <v>1.5748031496062992E-2</v>
      </c>
    </row>
    <row r="74" spans="2:16" x14ac:dyDescent="0.25">
      <c r="B74"/>
      <c r="C74"/>
      <c r="D74"/>
      <c r="M74" s="101">
        <f>IF('Reference dates (hide)'!I59&lt;&gt;"",'Reference dates (hide)'!I59,"")</f>
        <v>43941</v>
      </c>
      <c r="N74" s="99">
        <f t="shared" si="0"/>
        <v>2020</v>
      </c>
      <c r="O74" s="8">
        <f t="shared" si="1"/>
        <v>17</v>
      </c>
      <c r="P74">
        <f ca="1">'Reference dates (hide)'!K59</f>
        <v>1.968503937007874E-2</v>
      </c>
    </row>
    <row r="75" spans="2:16" x14ac:dyDescent="0.25">
      <c r="B75"/>
      <c r="C75"/>
      <c r="D75"/>
      <c r="M75" s="101">
        <f>IF('Reference dates (hide)'!I60&lt;&gt;"",'Reference dates (hide)'!I60,"")</f>
        <v>43948</v>
      </c>
      <c r="N75" s="99">
        <f t="shared" si="0"/>
        <v>2020</v>
      </c>
      <c r="O75" s="8">
        <f t="shared" si="1"/>
        <v>18</v>
      </c>
      <c r="P75">
        <f ca="1">'Reference dates (hide)'!K60</f>
        <v>1.968503937007874E-2</v>
      </c>
    </row>
    <row r="76" spans="2:16" x14ac:dyDescent="0.25">
      <c r="B76"/>
      <c r="C76"/>
      <c r="D76"/>
      <c r="M76" s="101">
        <f>IF('Reference dates (hide)'!I61&lt;&gt;"",'Reference dates (hide)'!I61,"")</f>
        <v>43955</v>
      </c>
      <c r="N76" s="99">
        <f t="shared" si="0"/>
        <v>2020</v>
      </c>
      <c r="O76" s="8">
        <f t="shared" si="1"/>
        <v>19</v>
      </c>
      <c r="P76">
        <f ca="1">'Reference dates (hide)'!K61</f>
        <v>1.5748031496062992E-2</v>
      </c>
    </row>
    <row r="77" spans="2:16" x14ac:dyDescent="0.25">
      <c r="B77"/>
      <c r="C77"/>
      <c r="D77"/>
      <c r="M77" s="101">
        <f>IF('Reference dates (hide)'!I62&lt;&gt;"",'Reference dates (hide)'!I62,"")</f>
        <v>43962</v>
      </c>
      <c r="N77" s="99">
        <f t="shared" si="0"/>
        <v>2020</v>
      </c>
      <c r="O77" s="8">
        <f t="shared" si="1"/>
        <v>20</v>
      </c>
      <c r="P77">
        <f ca="1">'Reference dates (hide)'!K62</f>
        <v>1.968503937007874E-2</v>
      </c>
    </row>
    <row r="78" spans="2:16" x14ac:dyDescent="0.25">
      <c r="B78"/>
      <c r="C78"/>
      <c r="D78"/>
      <c r="M78" s="101">
        <f>IF('Reference dates (hide)'!I63&lt;&gt;"",'Reference dates (hide)'!I63,"")</f>
        <v>43969</v>
      </c>
      <c r="N78" s="99">
        <f t="shared" si="0"/>
        <v>2020</v>
      </c>
      <c r="O78" s="8">
        <f t="shared" si="1"/>
        <v>21</v>
      </c>
      <c r="P78">
        <f ca="1">'Reference dates (hide)'!K63</f>
        <v>1.968503937007874E-2</v>
      </c>
    </row>
    <row r="79" spans="2:16" x14ac:dyDescent="0.25">
      <c r="B79"/>
      <c r="C79"/>
      <c r="D79"/>
      <c r="M79" s="101">
        <f>IF('Reference dates (hide)'!I64&lt;&gt;"",'Reference dates (hide)'!I64,"")</f>
        <v>43976</v>
      </c>
      <c r="N79" s="99">
        <f t="shared" si="0"/>
        <v>2020</v>
      </c>
      <c r="O79" s="8">
        <f t="shared" si="1"/>
        <v>22</v>
      </c>
      <c r="P79">
        <f ca="1">'Reference dates (hide)'!K64</f>
        <v>1.5748031496062992E-2</v>
      </c>
    </row>
    <row r="80" spans="2:16" x14ac:dyDescent="0.25">
      <c r="B80"/>
      <c r="C80"/>
      <c r="D80"/>
      <c r="M80" s="101">
        <f>IF('Reference dates (hide)'!I65&lt;&gt;"",'Reference dates (hide)'!I65,"")</f>
        <v>43983</v>
      </c>
      <c r="N80" s="99">
        <f t="shared" si="0"/>
        <v>2020</v>
      </c>
      <c r="O80" s="8">
        <f t="shared" si="1"/>
        <v>23</v>
      </c>
      <c r="P80">
        <f ca="1">'Reference dates (hide)'!K65</f>
        <v>1.968503937007874E-2</v>
      </c>
    </row>
    <row r="81" spans="2:16" x14ac:dyDescent="0.25">
      <c r="B81"/>
      <c r="C81"/>
      <c r="D81"/>
      <c r="M81" s="101">
        <f>IF('Reference dates (hide)'!I66&lt;&gt;"",'Reference dates (hide)'!I66,"")</f>
        <v>43990</v>
      </c>
      <c r="N81" s="99">
        <f t="shared" si="0"/>
        <v>2020</v>
      </c>
      <c r="O81" s="8">
        <f t="shared" si="1"/>
        <v>24</v>
      </c>
      <c r="P81">
        <f ca="1">'Reference dates (hide)'!K66</f>
        <v>1.968503937007874E-2</v>
      </c>
    </row>
    <row r="82" spans="2:16" x14ac:dyDescent="0.25">
      <c r="B82"/>
      <c r="C82"/>
      <c r="D82"/>
      <c r="M82" s="101">
        <f>IF('Reference dates (hide)'!I67&lt;&gt;"",'Reference dates (hide)'!I67,"")</f>
        <v>43997</v>
      </c>
      <c r="N82" s="99">
        <f t="shared" si="0"/>
        <v>2020</v>
      </c>
      <c r="O82" s="8">
        <f t="shared" si="1"/>
        <v>25</v>
      </c>
      <c r="P82">
        <f ca="1">'Reference dates (hide)'!K67</f>
        <v>1.968503937007874E-2</v>
      </c>
    </row>
    <row r="83" spans="2:16" x14ac:dyDescent="0.25">
      <c r="B83"/>
      <c r="C83"/>
      <c r="D83"/>
      <c r="M83" s="101">
        <f>IF('Reference dates (hide)'!I68&lt;&gt;"",'Reference dates (hide)'!I68,"")</f>
        <v>44004</v>
      </c>
      <c r="N83" s="99">
        <f t="shared" si="0"/>
        <v>2020</v>
      </c>
      <c r="O83" s="8">
        <f t="shared" si="1"/>
        <v>26</v>
      </c>
      <c r="P83">
        <f ca="1">'Reference dates (hide)'!K68</f>
        <v>1.968503937007874E-2</v>
      </c>
    </row>
    <row r="84" spans="2:16" x14ac:dyDescent="0.25">
      <c r="B84"/>
      <c r="C84"/>
      <c r="D84"/>
      <c r="M84" s="101">
        <f>IF('Reference dates (hide)'!I69&lt;&gt;"",'Reference dates (hide)'!I69,"")</f>
        <v>44011</v>
      </c>
      <c r="N84" s="99">
        <f t="shared" si="0"/>
        <v>2020</v>
      </c>
      <c r="O84" s="8">
        <f t="shared" si="1"/>
        <v>27</v>
      </c>
      <c r="P84">
        <f ca="1">'Reference dates (hide)'!K69</f>
        <v>1.968503937007874E-2</v>
      </c>
    </row>
    <row r="85" spans="2:16" x14ac:dyDescent="0.25">
      <c r="B85"/>
      <c r="C85"/>
      <c r="D85"/>
      <c r="M85" s="101">
        <f>IF('Reference dates (hide)'!I70&lt;&gt;"",'Reference dates (hide)'!I70,"")</f>
        <v>44018</v>
      </c>
      <c r="N85" s="99">
        <f t="shared" si="0"/>
        <v>2020</v>
      </c>
      <c r="O85" s="8">
        <f t="shared" si="1"/>
        <v>28</v>
      </c>
      <c r="P85">
        <f ca="1">'Reference dates (hide)'!K70</f>
        <v>1.968503937007874E-2</v>
      </c>
    </row>
    <row r="86" spans="2:16" x14ac:dyDescent="0.25">
      <c r="B86"/>
      <c r="C86"/>
      <c r="D86"/>
      <c r="M86" s="101">
        <f>IF('Reference dates (hide)'!I71&lt;&gt;"",'Reference dates (hide)'!I71,"")</f>
        <v>44025</v>
      </c>
      <c r="N86" s="99">
        <f t="shared" si="0"/>
        <v>2020</v>
      </c>
      <c r="O86" s="8">
        <f t="shared" si="1"/>
        <v>29</v>
      </c>
      <c r="P86">
        <f ca="1">'Reference dates (hide)'!K71</f>
        <v>1.968503937007874E-2</v>
      </c>
    </row>
    <row r="87" spans="2:16" x14ac:dyDescent="0.25">
      <c r="B87"/>
      <c r="C87"/>
      <c r="D87"/>
      <c r="M87" s="101">
        <f>IF('Reference dates (hide)'!I72&lt;&gt;"",'Reference dates (hide)'!I72,"")</f>
        <v>44032</v>
      </c>
      <c r="N87" s="99">
        <f t="shared" si="0"/>
        <v>2020</v>
      </c>
      <c r="O87" s="8">
        <f t="shared" si="1"/>
        <v>30</v>
      </c>
      <c r="P87">
        <f ca="1">'Reference dates (hide)'!K72</f>
        <v>1.968503937007874E-2</v>
      </c>
    </row>
    <row r="88" spans="2:16" x14ac:dyDescent="0.25">
      <c r="B88"/>
      <c r="C88"/>
      <c r="D88"/>
      <c r="M88" s="101">
        <f>IF('Reference dates (hide)'!I73&lt;&gt;"",'Reference dates (hide)'!I73,"")</f>
        <v>44039</v>
      </c>
      <c r="N88" s="99">
        <f t="shared" si="0"/>
        <v>2020</v>
      </c>
      <c r="O88" s="8">
        <f t="shared" si="1"/>
        <v>31</v>
      </c>
      <c r="P88">
        <f ca="1">'Reference dates (hide)'!K73</f>
        <v>1.968503937007874E-2</v>
      </c>
    </row>
    <row r="89" spans="2:16" x14ac:dyDescent="0.25">
      <c r="B89"/>
      <c r="C89"/>
      <c r="D89"/>
      <c r="M89" s="101">
        <f>IF('Reference dates (hide)'!I74&lt;&gt;"",'Reference dates (hide)'!I74,"")</f>
        <v>44046</v>
      </c>
      <c r="N89" s="99">
        <f t="shared" si="0"/>
        <v>2020</v>
      </c>
      <c r="O89" s="8">
        <f t="shared" si="1"/>
        <v>32</v>
      </c>
      <c r="P89">
        <f ca="1">'Reference dates (hide)'!K74</f>
        <v>1.968503937007874E-2</v>
      </c>
    </row>
    <row r="90" spans="2:16" x14ac:dyDescent="0.25">
      <c r="B90"/>
      <c r="C90"/>
      <c r="D90"/>
      <c r="M90" s="101">
        <f>IF('Reference dates (hide)'!I75&lt;&gt;"",'Reference dates (hide)'!I75,"")</f>
        <v>44053</v>
      </c>
      <c r="N90" s="99">
        <f t="shared" si="0"/>
        <v>2020</v>
      </c>
      <c r="O90" s="8">
        <f t="shared" si="1"/>
        <v>33</v>
      </c>
      <c r="P90">
        <f ca="1">'Reference dates (hide)'!K75</f>
        <v>1.968503937007874E-2</v>
      </c>
    </row>
    <row r="91" spans="2:16" x14ac:dyDescent="0.25">
      <c r="B91"/>
      <c r="C91"/>
      <c r="D91"/>
      <c r="M91" s="101">
        <f>IF('Reference dates (hide)'!I76&lt;&gt;"",'Reference dates (hide)'!I76,"")</f>
        <v>44060</v>
      </c>
      <c r="N91" s="99">
        <f t="shared" si="0"/>
        <v>2020</v>
      </c>
      <c r="O91" s="8">
        <f t="shared" si="1"/>
        <v>34</v>
      </c>
      <c r="P91">
        <f ca="1">'Reference dates (hide)'!K76</f>
        <v>1.968503937007874E-2</v>
      </c>
    </row>
    <row r="92" spans="2:16" x14ac:dyDescent="0.25">
      <c r="B92"/>
      <c r="C92"/>
      <c r="D92"/>
      <c r="M92" s="101">
        <f>IF('Reference dates (hide)'!I77&lt;&gt;"",'Reference dates (hide)'!I77,"")</f>
        <v>44067</v>
      </c>
      <c r="N92" s="99">
        <f t="shared" si="0"/>
        <v>2020</v>
      </c>
      <c r="O92" s="8">
        <f t="shared" si="1"/>
        <v>35</v>
      </c>
      <c r="P92">
        <f ca="1">'Reference dates (hide)'!K77</f>
        <v>1.968503937007874E-2</v>
      </c>
    </row>
    <row r="93" spans="2:16" x14ac:dyDescent="0.25">
      <c r="B93"/>
      <c r="C93"/>
      <c r="D93"/>
      <c r="M93" s="101">
        <f>IF('Reference dates (hide)'!I78&lt;&gt;"",'Reference dates (hide)'!I78,"")</f>
        <v>44074</v>
      </c>
      <c r="N93" s="99">
        <f t="shared" si="0"/>
        <v>2020</v>
      </c>
      <c r="O93" s="8">
        <f t="shared" si="1"/>
        <v>36</v>
      </c>
      <c r="P93">
        <f ca="1">'Reference dates (hide)'!K78</f>
        <v>1.5748031496062992E-2</v>
      </c>
    </row>
    <row r="94" spans="2:16" x14ac:dyDescent="0.25">
      <c r="B94"/>
      <c r="C94"/>
      <c r="D94"/>
      <c r="M94" s="101">
        <f>IF('Reference dates (hide)'!I79&lt;&gt;"",'Reference dates (hide)'!I79,"")</f>
        <v>44081</v>
      </c>
      <c r="N94" s="99">
        <f t="shared" si="0"/>
        <v>2020</v>
      </c>
      <c r="O94" s="8">
        <f t="shared" si="1"/>
        <v>37</v>
      </c>
      <c r="P94">
        <f ca="1">'Reference dates (hide)'!K79</f>
        <v>1.968503937007874E-2</v>
      </c>
    </row>
    <row r="95" spans="2:16" x14ac:dyDescent="0.25">
      <c r="B95"/>
      <c r="C95"/>
      <c r="D95"/>
      <c r="M95" s="101">
        <f>IF('Reference dates (hide)'!I80&lt;&gt;"",'Reference dates (hide)'!I80,"")</f>
        <v>44088</v>
      </c>
      <c r="N95" s="99">
        <f t="shared" si="0"/>
        <v>2020</v>
      </c>
      <c r="O95" s="8">
        <f t="shared" si="1"/>
        <v>38</v>
      </c>
      <c r="P95">
        <f ca="1">'Reference dates (hide)'!K80</f>
        <v>1.968503937007874E-2</v>
      </c>
    </row>
    <row r="96" spans="2:16" x14ac:dyDescent="0.25">
      <c r="B96"/>
      <c r="C96"/>
      <c r="D96"/>
      <c r="M96" s="101">
        <f>IF('Reference dates (hide)'!I81&lt;&gt;"",'Reference dates (hide)'!I81,"")</f>
        <v>44095</v>
      </c>
      <c r="N96" s="99">
        <f t="shared" si="0"/>
        <v>2020</v>
      </c>
      <c r="O96" s="8">
        <f t="shared" si="1"/>
        <v>39</v>
      </c>
      <c r="P96">
        <f ca="1">'Reference dates (hide)'!K81</f>
        <v>1.968503937007874E-2</v>
      </c>
    </row>
    <row r="97" spans="2:31" x14ac:dyDescent="0.25">
      <c r="B97"/>
      <c r="C97"/>
      <c r="D97"/>
      <c r="M97" s="101">
        <f>IF('Reference dates (hide)'!I82&lt;&gt;"",'Reference dates (hide)'!I82,"")</f>
        <v>44102</v>
      </c>
      <c r="N97" s="99">
        <f t="shared" si="0"/>
        <v>2020</v>
      </c>
      <c r="O97" s="8">
        <f t="shared" si="1"/>
        <v>40</v>
      </c>
      <c r="P97">
        <f ca="1">'Reference dates (hide)'!K82</f>
        <v>1.968503937007874E-2</v>
      </c>
    </row>
    <row r="98" spans="2:31" x14ac:dyDescent="0.25">
      <c r="B98"/>
      <c r="C98"/>
      <c r="D98"/>
      <c r="M98" s="101">
        <f>IF('Reference dates (hide)'!I83&lt;&gt;"",'Reference dates (hide)'!I83,"")</f>
        <v>44109</v>
      </c>
      <c r="N98" s="99">
        <f t="shared" si="0"/>
        <v>2020</v>
      </c>
      <c r="O98" s="8">
        <f t="shared" si="1"/>
        <v>41</v>
      </c>
      <c r="P98">
        <f ca="1">'Reference dates (hide)'!K83</f>
        <v>1.968503937007874E-2</v>
      </c>
    </row>
    <row r="99" spans="2:31" x14ac:dyDescent="0.25">
      <c r="B99"/>
      <c r="C99"/>
      <c r="D99"/>
      <c r="M99" s="101">
        <f>IF('Reference dates (hide)'!I84&lt;&gt;"",'Reference dates (hide)'!I84,"")</f>
        <v>44116</v>
      </c>
      <c r="N99" s="99">
        <f t="shared" si="0"/>
        <v>2020</v>
      </c>
      <c r="O99" s="8">
        <f t="shared" si="1"/>
        <v>42</v>
      </c>
      <c r="P99">
        <f ca="1">'Reference dates (hide)'!K84</f>
        <v>1.968503937007874E-2</v>
      </c>
    </row>
    <row r="100" spans="2:31" x14ac:dyDescent="0.25">
      <c r="B100"/>
      <c r="C100"/>
      <c r="D100"/>
      <c r="M100" s="101">
        <f>IF('Reference dates (hide)'!I85&lt;&gt;"",'Reference dates (hide)'!I85,"")</f>
        <v>44123</v>
      </c>
      <c r="N100" s="99">
        <f t="shared" si="0"/>
        <v>2020</v>
      </c>
      <c r="O100" s="8">
        <f t="shared" si="1"/>
        <v>43</v>
      </c>
      <c r="P100">
        <f ca="1">'Reference dates (hide)'!K85</f>
        <v>1.968503937007874E-2</v>
      </c>
    </row>
    <row r="101" spans="2:31" x14ac:dyDescent="0.25">
      <c r="B101"/>
      <c r="C101"/>
      <c r="D101"/>
      <c r="M101" s="101">
        <f>IF('Reference dates (hide)'!I86&lt;&gt;"",'Reference dates (hide)'!I86,"")</f>
        <v>44130</v>
      </c>
      <c r="N101" s="99">
        <f t="shared" si="0"/>
        <v>2020</v>
      </c>
      <c r="O101" s="8">
        <f t="shared" si="1"/>
        <v>44</v>
      </c>
      <c r="P101">
        <f ca="1">'Reference dates (hide)'!K86</f>
        <v>1.968503937007874E-2</v>
      </c>
    </row>
    <row r="102" spans="2:31" x14ac:dyDescent="0.25">
      <c r="B102"/>
      <c r="C102"/>
      <c r="D102"/>
      <c r="M102" s="101">
        <f>IF('Reference dates (hide)'!I87&lt;&gt;"",'Reference dates (hide)'!I87,"")</f>
        <v>44137</v>
      </c>
      <c r="N102" s="99">
        <f t="shared" si="0"/>
        <v>2020</v>
      </c>
      <c r="O102" s="8">
        <f t="shared" si="1"/>
        <v>45</v>
      </c>
      <c r="P102">
        <f ca="1">'Reference dates (hide)'!K87</f>
        <v>1.968503937007874E-2</v>
      </c>
    </row>
    <row r="103" spans="2:31" x14ac:dyDescent="0.25">
      <c r="B103"/>
      <c r="C103"/>
      <c r="D103"/>
      <c r="M103" s="101">
        <f>IF('Reference dates (hide)'!I88&lt;&gt;"",'Reference dates (hide)'!I88,"")</f>
        <v>44144</v>
      </c>
      <c r="N103" s="99">
        <f t="shared" si="0"/>
        <v>2020</v>
      </c>
      <c r="O103" s="8">
        <f t="shared" si="1"/>
        <v>46</v>
      </c>
      <c r="P103">
        <f ca="1">'Reference dates (hide)'!K88</f>
        <v>1.968503937007874E-2</v>
      </c>
    </row>
    <row r="104" spans="2:31" x14ac:dyDescent="0.25">
      <c r="B104"/>
      <c r="C104"/>
      <c r="D104"/>
      <c r="M104" s="101">
        <f>IF('Reference dates (hide)'!I89&lt;&gt;"",'Reference dates (hide)'!I89,"")</f>
        <v>44151</v>
      </c>
      <c r="N104" s="99">
        <f t="shared" si="0"/>
        <v>2020</v>
      </c>
      <c r="O104" s="8">
        <f t="shared" si="1"/>
        <v>47</v>
      </c>
      <c r="P104">
        <f ca="1">'Reference dates (hide)'!K89</f>
        <v>1.968503937007874E-2</v>
      </c>
    </row>
    <row r="105" spans="2:31" x14ac:dyDescent="0.25">
      <c r="B105"/>
      <c r="C105"/>
      <c r="D105"/>
      <c r="M105" s="101">
        <f>IF('Reference dates (hide)'!I90&lt;&gt;"",'Reference dates (hide)'!I90,"")</f>
        <v>44158</v>
      </c>
      <c r="N105" s="99">
        <f t="shared" si="0"/>
        <v>2020</v>
      </c>
      <c r="O105" s="8">
        <f t="shared" si="1"/>
        <v>48</v>
      </c>
      <c r="P105">
        <f ca="1">'Reference dates (hide)'!K90</f>
        <v>1.968503937007874E-2</v>
      </c>
    </row>
    <row r="106" spans="2:31" x14ac:dyDescent="0.25">
      <c r="B106"/>
      <c r="C106"/>
      <c r="D106"/>
      <c r="M106" s="101">
        <f>IF('Reference dates (hide)'!I91&lt;&gt;"",'Reference dates (hide)'!I91,"")</f>
        <v>44165</v>
      </c>
      <c r="N106" s="99">
        <f t="shared" si="0"/>
        <v>2020</v>
      </c>
      <c r="O106" s="8">
        <f t="shared" si="1"/>
        <v>49</v>
      </c>
      <c r="P106">
        <f ca="1">'Reference dates (hide)'!K91</f>
        <v>1.968503937007874E-2</v>
      </c>
    </row>
    <row r="107" spans="2:31" x14ac:dyDescent="0.25">
      <c r="B107"/>
      <c r="C107"/>
      <c r="D107"/>
      <c r="M107" s="101">
        <f>IF('Reference dates (hide)'!I92&lt;&gt;"",'Reference dates (hide)'!I92,"")</f>
        <v>44172</v>
      </c>
      <c r="N107" s="99">
        <f t="shared" si="0"/>
        <v>2020</v>
      </c>
      <c r="O107" s="8">
        <f t="shared" si="1"/>
        <v>50</v>
      </c>
      <c r="P107">
        <f ca="1">'Reference dates (hide)'!K92</f>
        <v>1.968503937007874E-2</v>
      </c>
    </row>
    <row r="108" spans="2:31" x14ac:dyDescent="0.25">
      <c r="B108"/>
      <c r="C108"/>
      <c r="D108"/>
      <c r="M108" s="101">
        <f>IF('Reference dates (hide)'!I93&lt;&gt;"",'Reference dates (hide)'!I93,"")</f>
        <v>44179</v>
      </c>
      <c r="N108" s="99">
        <f t="shared" si="0"/>
        <v>2020</v>
      </c>
      <c r="O108" s="8">
        <f t="shared" si="1"/>
        <v>51</v>
      </c>
      <c r="P108">
        <f ca="1">'Reference dates (hide)'!K93</f>
        <v>1.968503937007874E-2</v>
      </c>
    </row>
    <row r="109" spans="2:31" x14ac:dyDescent="0.25">
      <c r="B109"/>
      <c r="C109"/>
      <c r="D109"/>
      <c r="M109" s="101">
        <f>IF('Reference dates (hide)'!I94&lt;&gt;"",'Reference dates (hide)'!I94,"")</f>
        <v>44186</v>
      </c>
      <c r="N109" s="99">
        <f t="shared" si="0"/>
        <v>2020</v>
      </c>
      <c r="O109" s="8">
        <f t="shared" si="1"/>
        <v>52</v>
      </c>
      <c r="P109">
        <f ca="1">'Reference dates (hide)'!K94</f>
        <v>1.5748031496062992E-2</v>
      </c>
    </row>
    <row r="110" spans="2:31" x14ac:dyDescent="0.25">
      <c r="B110"/>
      <c r="C110"/>
      <c r="D110"/>
      <c r="M110" s="101">
        <f>IF('Reference dates (hide)'!I95&lt;&gt;"",'Reference dates (hide)'!I95,"")</f>
        <v>44193</v>
      </c>
      <c r="N110" s="99">
        <f t="shared" si="0"/>
        <v>2020</v>
      </c>
      <c r="O110" s="8">
        <f t="shared" si="1"/>
        <v>53</v>
      </c>
      <c r="P110">
        <f ca="1">'Reference dates (hide)'!K95</f>
        <v>1.1811023622047244E-2</v>
      </c>
    </row>
    <row r="111" spans="2:31" x14ac:dyDescent="0.25">
      <c r="M111">
        <f>MAX(T58:AB110)</f>
        <v>0</v>
      </c>
      <c r="Q111">
        <f>MAX(Q58:Q109)/$Q$54</f>
        <v>0</v>
      </c>
      <c r="R111">
        <f>MAX(R58:R109)/IF($R$54=0,1,$Q$54)</f>
        <v>0</v>
      </c>
      <c r="S111">
        <f>MAX(S58:S109)/IF($S$54=0,1,$Q$54)</f>
        <v>0</v>
      </c>
      <c r="Z111">
        <f>MAX(Z58:Z109)/IF($Z$52=0,1,Q$54)</f>
        <v>0</v>
      </c>
      <c r="AA111">
        <f>MAX(AA58:AA109)/IF($Z$52=0,1,R$54)</f>
        <v>0</v>
      </c>
      <c r="AB111">
        <f>MAX(AB58:AB109)/IF($Z$52=0,1,S$54)</f>
        <v>0</v>
      </c>
      <c r="AC111">
        <f>MAX(AC58:AC109)/IF($Z$52=0,1,Q$54)</f>
        <v>0</v>
      </c>
      <c r="AD111">
        <f>MAX(AD58:AD109)/IF($Z$52=0,1,R$54)</f>
        <v>0</v>
      </c>
      <c r="AE111">
        <f>MAX(AE58:AE109)/IF($Z$52=0,1,S$54)</f>
        <v>0</v>
      </c>
    </row>
    <row r="118" spans="26:26" x14ac:dyDescent="0.25">
      <c r="Z118" s="121"/>
    </row>
    <row r="119" spans="26:26" x14ac:dyDescent="0.25">
      <c r="Z119" s="121"/>
    </row>
  </sheetData>
  <pageMargins left="0.7" right="0.7" top="0.75" bottom="0.75" header="0.3" footer="0.3"/>
  <legacyDrawing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AN119"/>
  <sheetViews>
    <sheetView workbookViewId="0">
      <selection activeCell="AK59" sqref="AK59"/>
    </sheetView>
  </sheetViews>
  <sheetFormatPr defaultRowHeight="13.8" x14ac:dyDescent="0.25"/>
  <cols>
    <col min="1" max="1" width="27.69921875" bestFit="1" customWidth="1"/>
    <col min="2" max="2" width="16.8984375" style="6" customWidth="1"/>
    <col min="3" max="3" width="12.09765625" style="6" bestFit="1" customWidth="1"/>
    <col min="4" max="4" width="16.09765625" style="7" bestFit="1" customWidth="1"/>
    <col min="11" max="11" width="10.8984375" bestFit="1" customWidth="1"/>
    <col min="13" max="13" width="16.69921875" bestFit="1" customWidth="1"/>
    <col min="17" max="17" width="6.8984375" customWidth="1"/>
    <col min="26" max="26" width="11.8984375" bestFit="1" customWidth="1"/>
  </cols>
  <sheetData>
    <row r="1" spans="1:19" x14ac:dyDescent="0.25">
      <c r="A1" t="s">
        <v>1073</v>
      </c>
      <c r="B1" s="6" t="s">
        <v>931</v>
      </c>
      <c r="C1" s="6" t="b">
        <f>ISERR(SUM(B25:M49))</f>
        <v>0</v>
      </c>
    </row>
    <row r="2" spans="1:19" x14ac:dyDescent="0.25">
      <c r="A2" t="s">
        <v>932</v>
      </c>
      <c r="B2"/>
    </row>
    <row r="3" spans="1:19" x14ac:dyDescent="0.25">
      <c r="B3" s="6" t="s">
        <v>933</v>
      </c>
      <c r="F3" t="s">
        <v>934</v>
      </c>
      <c r="J3" t="s">
        <v>935</v>
      </c>
    </row>
    <row r="4" spans="1:19" x14ac:dyDescent="0.25">
      <c r="B4" s="6" t="s">
        <v>936</v>
      </c>
      <c r="C4" s="6" t="s">
        <v>937</v>
      </c>
      <c r="D4" s="7" t="s">
        <v>1208</v>
      </c>
      <c r="F4" s="6" t="s">
        <v>936</v>
      </c>
      <c r="G4" s="6" t="s">
        <v>937</v>
      </c>
      <c r="H4" s="7" t="s">
        <v>1024</v>
      </c>
      <c r="J4" s="6" t="s">
        <v>936</v>
      </c>
      <c r="K4" s="6" t="s">
        <v>937</v>
      </c>
      <c r="L4" s="7" t="s">
        <v>1024</v>
      </c>
    </row>
    <row r="5" spans="1:19" x14ac:dyDescent="0.25">
      <c r="A5" t="s">
        <v>5</v>
      </c>
      <c r="B5" s="8"/>
      <c r="C5" s="6">
        <f>B5*52</f>
        <v>0</v>
      </c>
      <c r="D5" s="7">
        <f>IF($B$20=1,C5/$B$21,C5)</f>
        <v>0</v>
      </c>
      <c r="G5">
        <f>F5*$D5</f>
        <v>0</v>
      </c>
      <c r="H5">
        <f>G5/52</f>
        <v>0</v>
      </c>
      <c r="K5">
        <f>J5*D5</f>
        <v>0</v>
      </c>
      <c r="L5">
        <f>K5/52</f>
        <v>0</v>
      </c>
    </row>
    <row r="6" spans="1:19" x14ac:dyDescent="0.25">
      <c r="A6" t="s">
        <v>1209</v>
      </c>
      <c r="B6" s="8"/>
      <c r="D6" s="7">
        <f>IF($B$20=1,B6/$B$21,B6)</f>
        <v>0</v>
      </c>
      <c r="G6">
        <f>F6*52</f>
        <v>0</v>
      </c>
      <c r="H6">
        <f>F6</f>
        <v>0</v>
      </c>
      <c r="K6">
        <f>J6*52</f>
        <v>0</v>
      </c>
      <c r="L6">
        <f>J6</f>
        <v>0</v>
      </c>
    </row>
    <row r="7" spans="1:19" x14ac:dyDescent="0.25">
      <c r="A7" t="s">
        <v>1210</v>
      </c>
      <c r="B7" s="8"/>
      <c r="D7" s="7">
        <f>IF($B$20=1,B7/$B$21,B7)</f>
        <v>0</v>
      </c>
    </row>
    <row r="8" spans="1:19" x14ac:dyDescent="0.25">
      <c r="A8" t="s">
        <v>9</v>
      </c>
      <c r="B8"/>
    </row>
    <row r="9" spans="1:19" x14ac:dyDescent="0.25">
      <c r="A9" t="s">
        <v>964</v>
      </c>
      <c r="B9"/>
    </row>
    <row r="10" spans="1:19" x14ac:dyDescent="0.25">
      <c r="A10" t="s">
        <v>940</v>
      </c>
      <c r="B10"/>
      <c r="C10" s="6">
        <f xml:space="preserve"> NASR*NASRDC</f>
        <v>0</v>
      </c>
      <c r="G10">
        <f xml:space="preserve"> FU_NASR*FU_NASRDC</f>
        <v>0</v>
      </c>
      <c r="K10">
        <f xml:space="preserve"> IP_NASR*IP_NASRDC</f>
        <v>0</v>
      </c>
    </row>
    <row r="11" spans="1:19" x14ac:dyDescent="0.25">
      <c r="A11" t="s">
        <v>965</v>
      </c>
      <c r="B11"/>
    </row>
    <row r="12" spans="1:19" x14ac:dyDescent="0.25">
      <c r="A12" t="s">
        <v>859</v>
      </c>
      <c r="B12"/>
    </row>
    <row r="13" spans="1:19" x14ac:dyDescent="0.25">
      <c r="A13" t="s">
        <v>941</v>
      </c>
      <c r="B13" s="8"/>
      <c r="D13" s="7">
        <f>IF($B$20=1,B13/$B$21,B13)</f>
        <v>0</v>
      </c>
      <c r="G13">
        <f>F13*52</f>
        <v>0</v>
      </c>
      <c r="H13" s="7">
        <f>IF($B$20=1,F13/$B$21,F13)</f>
        <v>0</v>
      </c>
      <c r="K13">
        <f>J13*52</f>
        <v>0</v>
      </c>
      <c r="L13" s="7">
        <f>IF($B$20=1,J13/$B$21,J13)</f>
        <v>0</v>
      </c>
    </row>
    <row r="14" spans="1:19" x14ac:dyDescent="0.25">
      <c r="A14" t="s">
        <v>1275</v>
      </c>
      <c r="B14" s="8"/>
      <c r="H14" s="7"/>
      <c r="L14" s="7"/>
    </row>
    <row r="15" spans="1:19" x14ac:dyDescent="0.25">
      <c r="A15" t="s">
        <v>1278</v>
      </c>
      <c r="B15"/>
      <c r="D15" s="7">
        <f>IF($B$20=1,B15/$B$21,B15)</f>
        <v>0</v>
      </c>
      <c r="H15" s="7">
        <f>IF($B$20=1,F15/$B$21,F15)</f>
        <v>0</v>
      </c>
      <c r="L15" s="7">
        <f>IF($B$20=1,J15/$B$21,J15)</f>
        <v>0</v>
      </c>
    </row>
    <row r="16" spans="1:19" x14ac:dyDescent="0.25">
      <c r="A16" t="s">
        <v>861</v>
      </c>
      <c r="B16" s="8"/>
      <c r="D16" s="7">
        <f>IF($B$20=1,B16/$B$21,B16)</f>
        <v>0</v>
      </c>
      <c r="H16" s="7">
        <f>IF($B$20=1,F16/$B$21,F16)</f>
        <v>0</v>
      </c>
      <c r="L16" s="7">
        <f>IF($B$20=1,J16/$B$21,J16)</f>
        <v>0</v>
      </c>
      <c r="S16" t="s">
        <v>1213</v>
      </c>
    </row>
    <row r="17" spans="1:20" x14ac:dyDescent="0.25">
      <c r="A17" t="s">
        <v>7</v>
      </c>
      <c r="B17" s="8"/>
      <c r="D17" s="7">
        <f>IF($B$20=1,B17/$B$21,B17)</f>
        <v>0</v>
      </c>
      <c r="H17" s="7">
        <f>IF($B$20=1,F17/$B$21,F17)</f>
        <v>0</v>
      </c>
      <c r="L17" s="7">
        <f>IF($B$20=1,J17/$B$21,J17)</f>
        <v>0</v>
      </c>
      <c r="S17" t="s">
        <v>1159</v>
      </c>
    </row>
    <row r="18" spans="1:20" x14ac:dyDescent="0.25">
      <c r="A18" t="s">
        <v>1081</v>
      </c>
      <c r="B18"/>
      <c r="S18" t="s">
        <v>1187</v>
      </c>
    </row>
    <row r="19" spans="1:20" x14ac:dyDescent="0.25">
      <c r="A19" t="s">
        <v>863</v>
      </c>
      <c r="B19"/>
      <c r="S19" t="s">
        <v>1214</v>
      </c>
      <c r="T19" t="s">
        <v>1215</v>
      </c>
    </row>
    <row r="20" spans="1:20" x14ac:dyDescent="0.25">
      <c r="A20" t="s">
        <v>942</v>
      </c>
      <c r="B20"/>
      <c r="R20" t="s">
        <v>947</v>
      </c>
      <c r="S20" t="s">
        <v>984</v>
      </c>
      <c r="T20" t="s">
        <v>1216</v>
      </c>
    </row>
    <row r="21" spans="1:20" x14ac:dyDescent="0.25">
      <c r="A21" t="s">
        <v>943</v>
      </c>
      <c r="B21">
        <v>1</v>
      </c>
      <c r="D21" s="12"/>
      <c r="S21" t="s">
        <v>985</v>
      </c>
      <c r="T21" t="s">
        <v>1216</v>
      </c>
    </row>
    <row r="22" spans="1:20" x14ac:dyDescent="0.25">
      <c r="H22">
        <f>F22*$D$5</f>
        <v>0</v>
      </c>
      <c r="L22">
        <f>J22*$D$5</f>
        <v>0</v>
      </c>
      <c r="S22" t="s">
        <v>1217</v>
      </c>
      <c r="T22" t="s">
        <v>1218</v>
      </c>
    </row>
    <row r="23" spans="1:20" x14ac:dyDescent="0.25">
      <c r="S23" t="s">
        <v>1219</v>
      </c>
      <c r="T23" t="s">
        <v>1218</v>
      </c>
    </row>
    <row r="24" spans="1:20" x14ac:dyDescent="0.25">
      <c r="D24" s="7" t="s">
        <v>1023</v>
      </c>
      <c r="F24" t="s">
        <v>901</v>
      </c>
      <c r="G24" t="s">
        <v>1022</v>
      </c>
      <c r="H24" s="7" t="s">
        <v>1023</v>
      </c>
      <c r="J24" t="s">
        <v>901</v>
      </c>
      <c r="K24" t="s">
        <v>1022</v>
      </c>
      <c r="L24" s="7" t="s">
        <v>1023</v>
      </c>
      <c r="R24" t="s">
        <v>941</v>
      </c>
      <c r="S24" t="s">
        <v>25</v>
      </c>
      <c r="T24" t="s">
        <v>1218</v>
      </c>
    </row>
    <row r="25" spans="1:20" x14ac:dyDescent="0.25">
      <c r="A25" t="s">
        <v>944</v>
      </c>
      <c r="B25" s="6">
        <f>IF(B17-B16&lt;0,0,B17-B16)</f>
        <v>0</v>
      </c>
      <c r="D25" s="6">
        <f>IF(D17-D16&lt;0,0,D17-D16)</f>
        <v>0</v>
      </c>
      <c r="F25" s="8">
        <f>F5*B25</f>
        <v>0</v>
      </c>
      <c r="G25" s="8">
        <v>0</v>
      </c>
      <c r="H25" s="8"/>
      <c r="I25" s="8"/>
      <c r="J25" s="8">
        <f>(J5*B25)+IF(J17-J16&lt;=0,0,J17-J16)</f>
        <v>0</v>
      </c>
      <c r="K25" s="8">
        <f>IF(J17-J16&lt;=0,0,J17-J16)</f>
        <v>0</v>
      </c>
      <c r="L25" s="8"/>
      <c r="S25" t="s">
        <v>1220</v>
      </c>
      <c r="T25" t="s">
        <v>1218</v>
      </c>
    </row>
    <row r="26" spans="1:20" x14ac:dyDescent="0.25">
      <c r="A26" t="s">
        <v>945</v>
      </c>
      <c r="B26" s="9">
        <f>(1-NASLDC)*NASL</f>
        <v>0</v>
      </c>
      <c r="D26" s="11"/>
      <c r="F26" s="8">
        <f>FU_NASL*(1-FU_NASLDC)</f>
        <v>0</v>
      </c>
      <c r="G26" s="8"/>
      <c r="H26" s="8"/>
      <c r="I26" s="8"/>
      <c r="J26" s="8">
        <f>IP_NASL*(1-IP_NASLDC)</f>
        <v>0</v>
      </c>
      <c r="K26" s="8"/>
      <c r="L26" s="8"/>
      <c r="R26" t="s">
        <v>1221</v>
      </c>
      <c r="S26" t="s">
        <v>25</v>
      </c>
      <c r="T26" t="s">
        <v>1218</v>
      </c>
    </row>
    <row r="27" spans="1:20" x14ac:dyDescent="0.25">
      <c r="A27" t="s">
        <v>946</v>
      </c>
      <c r="B27" s="6">
        <f>NASR*(1-NASRDC)</f>
        <v>0</v>
      </c>
      <c r="D27" s="11"/>
      <c r="F27" s="8">
        <f>FU_NASR*(1-FU_NASRDC)</f>
        <v>0</v>
      </c>
      <c r="G27" s="8"/>
      <c r="H27" s="8"/>
      <c r="I27" s="8"/>
      <c r="J27" s="8">
        <f>IP_NASR*(1-IP_NASRDC)</f>
        <v>0</v>
      </c>
      <c r="K27" s="8"/>
      <c r="L27" s="8"/>
      <c r="S27" t="s">
        <v>1220</v>
      </c>
      <c r="T27" t="s">
        <v>1218</v>
      </c>
    </row>
    <row r="28" spans="1:20" x14ac:dyDescent="0.25">
      <c r="D28" s="11"/>
      <c r="F28" s="8"/>
      <c r="G28" s="8"/>
      <c r="H28" s="8"/>
      <c r="I28" s="8"/>
      <c r="J28" s="8"/>
      <c r="K28" s="8"/>
      <c r="L28" s="8"/>
      <c r="R28" t="s">
        <v>1093</v>
      </c>
      <c r="S28" t="s">
        <v>984</v>
      </c>
      <c r="T28" t="s">
        <v>1216</v>
      </c>
    </row>
    <row r="29" spans="1:20" ht="14.4" x14ac:dyDescent="0.3">
      <c r="A29" s="10" t="s">
        <v>947</v>
      </c>
      <c r="D29" s="12"/>
      <c r="F29" s="8"/>
      <c r="G29" s="8"/>
      <c r="H29" s="8"/>
      <c r="I29" s="8"/>
      <c r="J29" s="8"/>
      <c r="K29" s="8"/>
      <c r="L29" s="8"/>
      <c r="S29" t="s">
        <v>985</v>
      </c>
      <c r="T29" t="s">
        <v>1216</v>
      </c>
    </row>
    <row r="30" spans="1:20" x14ac:dyDescent="0.25">
      <c r="A30" t="s">
        <v>948</v>
      </c>
      <c r="B30" s="6">
        <f>B5*(NASL+NASR+ROTT)</f>
        <v>0</v>
      </c>
      <c r="F30" s="8">
        <f>H5*(F8+F10+F18)</f>
        <v>0</v>
      </c>
      <c r="G30" s="8"/>
      <c r="H30" s="8"/>
      <c r="I30" s="8"/>
      <c r="J30" s="8">
        <f>L5*(J8+J10+J18)</f>
        <v>0</v>
      </c>
      <c r="K30" s="8"/>
      <c r="L30" s="8"/>
    </row>
    <row r="31" spans="1:20" x14ac:dyDescent="0.25">
      <c r="A31" t="s">
        <v>949</v>
      </c>
      <c r="B31" s="6">
        <f>B5*(B26+B27)</f>
        <v>0</v>
      </c>
      <c r="F31" s="8">
        <f>H5*(F26+F27)</f>
        <v>0</v>
      </c>
      <c r="G31" s="8"/>
      <c r="H31" s="8"/>
      <c r="I31" s="8"/>
      <c r="J31" s="8">
        <f>L5*(J26+J27)</f>
        <v>0</v>
      </c>
      <c r="K31" s="8"/>
      <c r="L31" s="8"/>
      <c r="R31" t="s">
        <v>941</v>
      </c>
      <c r="S31" t="s">
        <v>25</v>
      </c>
      <c r="T31" t="s">
        <v>1218</v>
      </c>
    </row>
    <row r="32" spans="1:20" x14ac:dyDescent="0.25">
      <c r="F32" s="8"/>
      <c r="G32" s="8"/>
      <c r="H32" s="8"/>
      <c r="I32" s="8"/>
      <c r="J32" s="8"/>
      <c r="K32" s="8"/>
      <c r="L32" s="8"/>
      <c r="S32" t="s">
        <v>1220</v>
      </c>
      <c r="T32" t="s">
        <v>1218</v>
      </c>
    </row>
    <row r="33" spans="1:20" x14ac:dyDescent="0.25">
      <c r="A33" t="s">
        <v>950</v>
      </c>
      <c r="B33" s="6">
        <f>B31-B30+B5</f>
        <v>0</v>
      </c>
      <c r="C33" s="6">
        <f>B33*52</f>
        <v>0</v>
      </c>
      <c r="D33" s="7">
        <f>IF($B$20=1,C33/$B$21,C33)</f>
        <v>0</v>
      </c>
      <c r="F33" s="8">
        <f>(F31-F30+H5)/52</f>
        <v>0</v>
      </c>
      <c r="G33" s="8"/>
      <c r="H33" s="8">
        <f>(F31-F30+H5)*52</f>
        <v>0</v>
      </c>
      <c r="I33" s="8"/>
      <c r="J33" s="8">
        <f>(J31-J30+L5)/52</f>
        <v>0</v>
      </c>
      <c r="K33" s="8"/>
      <c r="L33" s="8">
        <f>(J31-J30+L5)*52</f>
        <v>0</v>
      </c>
      <c r="R33" t="s">
        <v>1221</v>
      </c>
      <c r="S33" t="s">
        <v>25</v>
      </c>
      <c r="T33" t="s">
        <v>1218</v>
      </c>
    </row>
    <row r="34" spans="1:20" x14ac:dyDescent="0.25">
      <c r="F34" s="8"/>
      <c r="G34" s="8"/>
      <c r="H34" s="8"/>
      <c r="I34" s="8"/>
      <c r="J34" s="8"/>
      <c r="K34" s="8"/>
      <c r="L34" s="8"/>
      <c r="S34" t="s">
        <v>1220</v>
      </c>
      <c r="T34" t="s">
        <v>1218</v>
      </c>
    </row>
    <row r="35" spans="1:20" x14ac:dyDescent="0.25">
      <c r="F35" s="8"/>
      <c r="G35" s="8"/>
      <c r="H35" s="8"/>
      <c r="I35" s="8"/>
      <c r="J35" s="8"/>
      <c r="K35" s="8"/>
      <c r="L35" s="8"/>
      <c r="R35" t="s">
        <v>1093</v>
      </c>
      <c r="S35" t="s">
        <v>984</v>
      </c>
      <c r="T35" t="s">
        <v>1218</v>
      </c>
    </row>
    <row r="36" spans="1:20" ht="14.4" x14ac:dyDescent="0.3">
      <c r="A36" s="10" t="s">
        <v>951</v>
      </c>
      <c r="F36" s="8"/>
      <c r="G36" s="8"/>
      <c r="H36" s="8"/>
      <c r="I36" s="8"/>
      <c r="J36" s="8"/>
      <c r="K36" s="8"/>
      <c r="L36" s="8"/>
      <c r="S36" t="s">
        <v>985</v>
      </c>
      <c r="T36" t="s">
        <v>1218</v>
      </c>
    </row>
    <row r="37" spans="1:20" x14ac:dyDescent="0.25">
      <c r="A37" t="s">
        <v>948</v>
      </c>
      <c r="B37" s="6">
        <f>B13*(B8+B10+B18)</f>
        <v>0</v>
      </c>
      <c r="F37" s="8">
        <f>F13*(F8+F10)</f>
        <v>0</v>
      </c>
      <c r="G37" s="8"/>
      <c r="H37" s="8"/>
      <c r="I37" s="8"/>
      <c r="J37" s="8">
        <f>J13*(J8+J10)</f>
        <v>0</v>
      </c>
      <c r="K37" s="8"/>
      <c r="L37" s="8"/>
      <c r="S37" t="s">
        <v>1222</v>
      </c>
      <c r="T37" t="s">
        <v>1218</v>
      </c>
    </row>
    <row r="38" spans="1:20" x14ac:dyDescent="0.25">
      <c r="A38" t="s">
        <v>949</v>
      </c>
      <c r="B38" s="6">
        <f>B13*(B26+B27)</f>
        <v>0</v>
      </c>
      <c r="F38" s="8">
        <f>F13*(F26+F27)</f>
        <v>0</v>
      </c>
      <c r="G38" s="8"/>
      <c r="H38" s="8"/>
      <c r="I38" s="8"/>
      <c r="J38" s="8">
        <f>J13*(J26+J27)</f>
        <v>0</v>
      </c>
      <c r="K38" s="8"/>
      <c r="L38" s="8"/>
    </row>
    <row r="39" spans="1:20" x14ac:dyDescent="0.25">
      <c r="F39" s="8"/>
      <c r="G39" s="8"/>
      <c r="H39" s="8"/>
      <c r="I39" s="8"/>
      <c r="J39" s="8"/>
      <c r="K39" s="8"/>
      <c r="L39" s="8"/>
      <c r="R39" t="s">
        <v>1203</v>
      </c>
      <c r="T39" t="s">
        <v>1218</v>
      </c>
    </row>
    <row r="40" spans="1:20" x14ac:dyDescent="0.25">
      <c r="A40" t="s">
        <v>952</v>
      </c>
      <c r="B40" s="6">
        <f>B13+B38-B37</f>
        <v>0</v>
      </c>
      <c r="C40" s="6">
        <f>B40*52</f>
        <v>0</v>
      </c>
      <c r="D40" s="7">
        <f>IF($B$20=1,C40/$B$21,C40)</f>
        <v>0</v>
      </c>
      <c r="F40" s="8">
        <f>F13+F38-F37</f>
        <v>0</v>
      </c>
      <c r="G40" s="8"/>
      <c r="H40" s="8">
        <f>F40*52</f>
        <v>0</v>
      </c>
      <c r="I40" s="8"/>
      <c r="J40" s="8">
        <f>J13+J38-J37</f>
        <v>0</v>
      </c>
      <c r="K40" s="8"/>
      <c r="L40" s="8">
        <f>J40*52</f>
        <v>0</v>
      </c>
    </row>
    <row r="41" spans="1:20" x14ac:dyDescent="0.25">
      <c r="F41" s="8"/>
      <c r="G41" s="8"/>
      <c r="H41" s="8"/>
      <c r="I41" s="8"/>
      <c r="J41" s="8"/>
      <c r="K41" s="8"/>
      <c r="L41" s="8"/>
    </row>
    <row r="42" spans="1:20" x14ac:dyDescent="0.25">
      <c r="F42" s="8"/>
      <c r="G42" s="8"/>
      <c r="H42" s="8"/>
      <c r="I42" s="8"/>
      <c r="J42" s="8"/>
      <c r="K42" s="8"/>
      <c r="L42" s="8"/>
    </row>
    <row r="43" spans="1:20" ht="14.4" x14ac:dyDescent="0.3">
      <c r="A43" s="10" t="s">
        <v>953</v>
      </c>
      <c r="F43" s="8"/>
      <c r="G43" s="8"/>
      <c r="H43" s="8"/>
      <c r="I43" s="8"/>
      <c r="J43" s="8"/>
      <c r="K43" s="8"/>
      <c r="L43" s="8"/>
    </row>
    <row r="44" spans="1:20" x14ac:dyDescent="0.25">
      <c r="A44" t="s">
        <v>954</v>
      </c>
      <c r="F44" s="8"/>
      <c r="G44" s="8"/>
      <c r="H44" s="8"/>
      <c r="I44" s="8"/>
      <c r="J44" s="8"/>
      <c r="K44" s="8"/>
      <c r="L44" s="8"/>
    </row>
    <row r="45" spans="1:20" x14ac:dyDescent="0.25">
      <c r="F45" s="8"/>
      <c r="G45" s="8"/>
      <c r="H45" s="8"/>
      <c r="I45" s="8"/>
      <c r="J45" s="8"/>
      <c r="K45" s="8"/>
      <c r="L45" s="8"/>
    </row>
    <row r="46" spans="1:20" x14ac:dyDescent="0.25">
      <c r="A46" t="s">
        <v>948</v>
      </c>
      <c r="B46" s="6">
        <f>B25*(B8+B10+B18)</f>
        <v>0</v>
      </c>
      <c r="F46" s="8">
        <f>F25*(F8+F10)</f>
        <v>0</v>
      </c>
      <c r="G46" s="8"/>
      <c r="H46" s="8"/>
      <c r="I46" s="8"/>
      <c r="J46" s="8">
        <f>J25*(J8+J10)</f>
        <v>0</v>
      </c>
      <c r="K46" s="8"/>
      <c r="L46" s="8"/>
    </row>
    <row r="47" spans="1:20" x14ac:dyDescent="0.25">
      <c r="A47" t="s">
        <v>949</v>
      </c>
      <c r="B47" s="6">
        <f>B25*(B26+B27)</f>
        <v>0</v>
      </c>
      <c r="F47" s="8">
        <f>F25*(F26+F27)</f>
        <v>0</v>
      </c>
      <c r="G47" s="8"/>
      <c r="H47" s="8"/>
      <c r="I47" s="8"/>
      <c r="J47" s="8">
        <f>J25*(J26+J27)</f>
        <v>0</v>
      </c>
      <c r="K47" s="8"/>
      <c r="L47" s="8"/>
    </row>
    <row r="48" spans="1:20" x14ac:dyDescent="0.25">
      <c r="F48" s="8" t="s">
        <v>901</v>
      </c>
      <c r="G48" s="8"/>
      <c r="H48" s="8"/>
      <c r="I48" s="8"/>
      <c r="J48" s="8" t="s">
        <v>901</v>
      </c>
      <c r="K48" s="8"/>
      <c r="L48" s="8"/>
    </row>
    <row r="49" spans="1:40" x14ac:dyDescent="0.25">
      <c r="A49" t="s">
        <v>955</v>
      </c>
      <c r="B49" s="6">
        <f>B25+B47-B46</f>
        <v>0</v>
      </c>
      <c r="C49" s="6">
        <f>B49</f>
        <v>0</v>
      </c>
      <c r="D49" s="7">
        <f>IF($B$20=1,C49/$B$21,C49)</f>
        <v>0</v>
      </c>
      <c r="F49" s="8">
        <f>F25+F47-F46</f>
        <v>0</v>
      </c>
      <c r="G49" s="8">
        <f>F49</f>
        <v>0</v>
      </c>
      <c r="H49" s="8">
        <f>IF($F$20=1,G49/$F$21,G49)</f>
        <v>0</v>
      </c>
      <c r="I49" s="8"/>
      <c r="J49" s="8">
        <f>J25+J47-J46</f>
        <v>0</v>
      </c>
      <c r="K49" s="8">
        <f>J49</f>
        <v>0</v>
      </c>
      <c r="L49" s="8">
        <f>IF($J$20=1,K49/$J$21,K49)</f>
        <v>0</v>
      </c>
    </row>
    <row r="50" spans="1:40" x14ac:dyDescent="0.25">
      <c r="F50" t="s">
        <v>1022</v>
      </c>
      <c r="J50" t="s">
        <v>1022</v>
      </c>
    </row>
    <row r="51" spans="1:40" x14ac:dyDescent="0.25">
      <c r="F51">
        <v>0</v>
      </c>
      <c r="H51">
        <v>0</v>
      </c>
      <c r="J51">
        <f>K25*(1+(J8*(1-J9))-(J8+J10+J18)+(J10*(1-J11)))</f>
        <v>0</v>
      </c>
      <c r="K51">
        <f>J51</f>
        <v>0</v>
      </c>
      <c r="L51" s="8">
        <f>IF($J$20=1,K51/$J$21,K51)</f>
        <v>0</v>
      </c>
    </row>
    <row r="52" spans="1:40" x14ac:dyDescent="0.25">
      <c r="A52" s="1" t="s">
        <v>956</v>
      </c>
      <c r="M52" t="s">
        <v>1016</v>
      </c>
      <c r="Z52">
        <f>1-(NASL*NASLDC)</f>
        <v>1</v>
      </c>
    </row>
    <row r="53" spans="1:40" x14ac:dyDescent="0.25">
      <c r="A53" t="s">
        <v>1141</v>
      </c>
      <c r="B53" s="92" t="s">
        <v>1142</v>
      </c>
    </row>
    <row r="54" spans="1:40" x14ac:dyDescent="0.25">
      <c r="M54" t="s">
        <v>1207</v>
      </c>
      <c r="Q54">
        <f>(1-ROTT)*(1-(NASR*NASRDC) - (NASL*NASLDC))</f>
        <v>1</v>
      </c>
      <c r="R54">
        <f>(1-FU_ROTT)*(1-(FU_NASR*FU_NASRDC) - (FU_NASL*FU_NASLDC))</f>
        <v>1</v>
      </c>
      <c r="S54">
        <f>(1-IP_ROTT)*(1-(IP_NASR*IP_NASRDC) - (IP_NASL*IP_NASLDC))</f>
        <v>1</v>
      </c>
      <c r="Z54">
        <f>1-(NASL*NASLDC)</f>
        <v>1</v>
      </c>
      <c r="AA54">
        <f>1-(FU_NASL*FU_NASLDC)</f>
        <v>1</v>
      </c>
      <c r="AB54">
        <f>1-(IP_NASL*IP_NASLDC)</f>
        <v>1</v>
      </c>
    </row>
    <row r="55" spans="1:40" x14ac:dyDescent="0.25">
      <c r="A55" t="s">
        <v>1143</v>
      </c>
      <c r="B55" s="100">
        <f>'Reference dates (hide)'!B40</f>
        <v>43831</v>
      </c>
      <c r="C55" s="6" t="s">
        <v>1150</v>
      </c>
      <c r="G55" s="7"/>
      <c r="Q55" s="116" t="str">
        <f ca="1">IF(OFFSET('Control Sheet'!E$45,MID($A$1,6,LEN($A$1)-6),0,1,1)=0,"",OFFSET('Control Sheet'!E$45,MID($A$1,6,LEN($A$1)-6),0,1,1))</f>
        <v/>
      </c>
      <c r="R55" s="116" t="str">
        <f ca="1">IF(OFFSET('Control Sheet'!F$45,MID($A$1,6,LEN($A$1)-6),0,1,1)=0,"",OFFSET('Control Sheet'!F$45,MID($A$1,6,LEN($A$1)-6),0,1,1))</f>
        <v/>
      </c>
      <c r="S55" s="116" t="str">
        <f ca="1">IF(OFFSET('Control Sheet'!G$45,MID($A$1,6,LEN($A$1)-6),0,1,1)=0,"",OFFSET('Control Sheet'!G$45,MID($A$1,6,LEN($A$1)-6),0,1,1))</f>
        <v/>
      </c>
      <c r="T55" s="118" t="str">
        <f ca="1">IF(OFFSET('Control Sheet'!I$45,MID($A$1,6,LEN($A$1)-6),0,1,1)="0","",OFFSET('Control Sheet'!I$45,MID($A$1,6,LEN($A$1)-6),0,1,1))</f>
        <v/>
      </c>
      <c r="U55" s="118" t="str">
        <f ca="1">IF(OFFSET('Control Sheet'!J$45,MID($A$1,6,LEN($A$1)-6),0,1,1)=0,"",OFFSET('Control Sheet'!J$45,MID($A$1,6,LEN($A$1)-6),0,1,1))</f>
        <v/>
      </c>
      <c r="V55" s="118" t="str">
        <f ca="1">IF(OFFSET('Control Sheet'!K$45,MID($A$1,6,LEN($A$1)-6),0,1,1)=0,"",OFFSET('Control Sheet'!K$45,MID($A$1,6,LEN($A$1)-6),0,1,1))</f>
        <v/>
      </c>
    </row>
    <row r="56" spans="1:40" ht="14.4" x14ac:dyDescent="0.3">
      <c r="A56" t="s">
        <v>1202</v>
      </c>
      <c r="C56" s="6" t="s">
        <v>1204</v>
      </c>
      <c r="D56" s="6"/>
      <c r="E56" s="7"/>
      <c r="F56" t="s">
        <v>860</v>
      </c>
      <c r="N56" s="6"/>
      <c r="O56" s="6"/>
      <c r="P56" s="7"/>
      <c r="Q56" s="93" t="s">
        <v>1236</v>
      </c>
      <c r="R56" s="6"/>
      <c r="T56" s="107" t="s">
        <v>1093</v>
      </c>
      <c r="Z56" s="93" t="s">
        <v>1212</v>
      </c>
      <c r="AC56" s="108" t="s">
        <v>1276</v>
      </c>
      <c r="AF56" s="1" t="s">
        <v>1306</v>
      </c>
      <c r="AI56" t="s">
        <v>1275</v>
      </c>
      <c r="AL56" t="s">
        <v>1312</v>
      </c>
    </row>
    <row r="57" spans="1:40" x14ac:dyDescent="0.25">
      <c r="A57" s="1" t="s">
        <v>1144</v>
      </c>
      <c r="B57" s="1" t="s">
        <v>1151</v>
      </c>
      <c r="C57" s="94" t="s">
        <v>1203</v>
      </c>
      <c r="D57" s="94" t="s">
        <v>984</v>
      </c>
      <c r="E57" s="111" t="s">
        <v>985</v>
      </c>
      <c r="F57" s="1" t="s">
        <v>951</v>
      </c>
      <c r="G57" s="1" t="s">
        <v>1205</v>
      </c>
      <c r="H57" s="1" t="s">
        <v>1206</v>
      </c>
      <c r="I57" s="1" t="s">
        <v>25</v>
      </c>
      <c r="J57" s="1" t="s">
        <v>1220</v>
      </c>
      <c r="K57" s="1" t="s">
        <v>1266</v>
      </c>
      <c r="M57" s="1" t="s">
        <v>1144</v>
      </c>
      <c r="N57" s="94" t="s">
        <v>1159</v>
      </c>
      <c r="O57" s="94" t="s">
        <v>1151</v>
      </c>
      <c r="P57" s="7" t="s">
        <v>1201</v>
      </c>
      <c r="Q57" s="6" t="s">
        <v>1196</v>
      </c>
      <c r="R57" s="6" t="s">
        <v>1197</v>
      </c>
      <c r="S57" s="7" t="s">
        <v>1198</v>
      </c>
      <c r="T57" s="109" t="s">
        <v>1188</v>
      </c>
      <c r="U57" s="109" t="s">
        <v>1189</v>
      </c>
      <c r="V57" s="109" t="s">
        <v>1190</v>
      </c>
      <c r="W57" s="110" t="s">
        <v>1191</v>
      </c>
      <c r="X57" s="110" t="s">
        <v>1192</v>
      </c>
      <c r="Y57" s="110" t="s">
        <v>1193</v>
      </c>
      <c r="Z57" s="57">
        <v>1</v>
      </c>
      <c r="AA57">
        <v>2</v>
      </c>
      <c r="AB57">
        <v>3</v>
      </c>
      <c r="AC57" t="s">
        <v>1146</v>
      </c>
      <c r="AD57" t="s">
        <v>1147</v>
      </c>
      <c r="AE57" t="s">
        <v>1148</v>
      </c>
      <c r="AF57" t="s">
        <v>1146</v>
      </c>
      <c r="AG57" t="s">
        <v>1147</v>
      </c>
      <c r="AH57" t="s">
        <v>1148</v>
      </c>
      <c r="AI57" t="s">
        <v>1146</v>
      </c>
      <c r="AJ57" t="s">
        <v>1147</v>
      </c>
      <c r="AK57" t="s">
        <v>1148</v>
      </c>
      <c r="AL57" t="s">
        <v>1146</v>
      </c>
      <c r="AM57" t="s">
        <v>1147</v>
      </c>
      <c r="AN57" t="s">
        <v>1148</v>
      </c>
    </row>
    <row r="58" spans="1:40" x14ac:dyDescent="0.25">
      <c r="B58"/>
      <c r="C58"/>
      <c r="D58"/>
      <c r="M58" s="101">
        <f>IF(B55&lt;&gt;"",B55-WEEKDAY(B55,3),"")</f>
        <v>43829</v>
      </c>
      <c r="N58" s="99">
        <f>YEAR(M58)</f>
        <v>2019</v>
      </c>
      <c r="O58" s="8">
        <f>WEEKNUM(M58,21)</f>
        <v>1</v>
      </c>
      <c r="P58">
        <f ca="1">'Reference dates (hide)'!K43</f>
        <v>7.874015748031496E-3</v>
      </c>
    </row>
    <row r="59" spans="1:40" x14ac:dyDescent="0.25">
      <c r="B59"/>
      <c r="C59"/>
      <c r="D59"/>
      <c r="M59" s="101">
        <f>IF('Reference dates (hide)'!I44&lt;&gt;"",'Reference dates (hide)'!I44,"")</f>
        <v>43836</v>
      </c>
      <c r="N59" s="99">
        <f t="shared" ref="N59:N110" si="0">YEAR(M59)</f>
        <v>2020</v>
      </c>
      <c r="O59" s="8">
        <f t="shared" ref="O59:O110" si="1">WEEKNUM(M59,21)</f>
        <v>2</v>
      </c>
      <c r="P59">
        <f ca="1">'Reference dates (hide)'!K44</f>
        <v>1.968503937007874E-2</v>
      </c>
    </row>
    <row r="60" spans="1:40" x14ac:dyDescent="0.25">
      <c r="B60"/>
      <c r="C60"/>
      <c r="D60"/>
      <c r="M60" s="101">
        <f>IF('Reference dates (hide)'!I45&lt;&gt;"",'Reference dates (hide)'!I45,"")</f>
        <v>43843</v>
      </c>
      <c r="N60" s="99">
        <f t="shared" si="0"/>
        <v>2020</v>
      </c>
      <c r="O60" s="8">
        <f t="shared" si="1"/>
        <v>3</v>
      </c>
      <c r="P60">
        <f ca="1">'Reference dates (hide)'!K45</f>
        <v>1.968503937007874E-2</v>
      </c>
    </row>
    <row r="61" spans="1:40" x14ac:dyDescent="0.25">
      <c r="B61"/>
      <c r="C61"/>
      <c r="D61"/>
      <c r="M61" s="101">
        <f>IF('Reference dates (hide)'!I46&lt;&gt;"",'Reference dates (hide)'!I46,"")</f>
        <v>43850</v>
      </c>
      <c r="N61" s="99">
        <f t="shared" si="0"/>
        <v>2020</v>
      </c>
      <c r="O61" s="8">
        <f t="shared" si="1"/>
        <v>4</v>
      </c>
      <c r="P61">
        <f ca="1">'Reference dates (hide)'!K46</f>
        <v>1.968503937007874E-2</v>
      </c>
    </row>
    <row r="62" spans="1:40" x14ac:dyDescent="0.25">
      <c r="B62"/>
      <c r="C62"/>
      <c r="D62"/>
      <c r="M62" s="101">
        <f>IF('Reference dates (hide)'!I47&lt;&gt;"",'Reference dates (hide)'!I47,"")</f>
        <v>43857</v>
      </c>
      <c r="N62" s="99">
        <f t="shared" si="0"/>
        <v>2020</v>
      </c>
      <c r="O62" s="8">
        <f t="shared" si="1"/>
        <v>5</v>
      </c>
      <c r="P62">
        <f ca="1">'Reference dates (hide)'!K47</f>
        <v>1.968503937007874E-2</v>
      </c>
    </row>
    <row r="63" spans="1:40" x14ac:dyDescent="0.25">
      <c r="B63"/>
      <c r="C63"/>
      <c r="D63"/>
      <c r="M63" s="101">
        <f>IF('Reference dates (hide)'!I48&lt;&gt;"",'Reference dates (hide)'!I48,"")</f>
        <v>43864</v>
      </c>
      <c r="N63" s="99">
        <f t="shared" si="0"/>
        <v>2020</v>
      </c>
      <c r="O63" s="8">
        <f t="shared" si="1"/>
        <v>6</v>
      </c>
      <c r="P63">
        <f ca="1">'Reference dates (hide)'!K48</f>
        <v>1.968503937007874E-2</v>
      </c>
    </row>
    <row r="64" spans="1:40" x14ac:dyDescent="0.25">
      <c r="B64"/>
      <c r="C64"/>
      <c r="D64"/>
      <c r="M64" s="101">
        <f>IF('Reference dates (hide)'!I49&lt;&gt;"",'Reference dates (hide)'!I49,"")</f>
        <v>43871</v>
      </c>
      <c r="N64" s="99">
        <f t="shared" si="0"/>
        <v>2020</v>
      </c>
      <c r="O64" s="8">
        <f t="shared" si="1"/>
        <v>7</v>
      </c>
      <c r="P64">
        <f ca="1">'Reference dates (hide)'!K49</f>
        <v>1.968503937007874E-2</v>
      </c>
    </row>
    <row r="65" spans="2:16" x14ac:dyDescent="0.25">
      <c r="B65"/>
      <c r="C65"/>
      <c r="D65"/>
      <c r="M65" s="101">
        <f>IF('Reference dates (hide)'!I50&lt;&gt;"",'Reference dates (hide)'!I50,"")</f>
        <v>43878</v>
      </c>
      <c r="N65" s="99">
        <f t="shared" si="0"/>
        <v>2020</v>
      </c>
      <c r="O65" s="8">
        <f t="shared" si="1"/>
        <v>8</v>
      </c>
      <c r="P65">
        <f ca="1">'Reference dates (hide)'!K50</f>
        <v>1.968503937007874E-2</v>
      </c>
    </row>
    <row r="66" spans="2:16" x14ac:dyDescent="0.25">
      <c r="B66"/>
      <c r="C66"/>
      <c r="D66"/>
      <c r="M66" s="101">
        <f>IF('Reference dates (hide)'!I51&lt;&gt;"",'Reference dates (hide)'!I51,"")</f>
        <v>43885</v>
      </c>
      <c r="N66" s="99">
        <f t="shared" si="0"/>
        <v>2020</v>
      </c>
      <c r="O66" s="8">
        <f t="shared" si="1"/>
        <v>9</v>
      </c>
      <c r="P66">
        <f ca="1">'Reference dates (hide)'!K51</f>
        <v>1.968503937007874E-2</v>
      </c>
    </row>
    <row r="67" spans="2:16" x14ac:dyDescent="0.25">
      <c r="B67"/>
      <c r="C67"/>
      <c r="D67"/>
      <c r="M67" s="101">
        <f>IF('Reference dates (hide)'!I52&lt;&gt;"",'Reference dates (hide)'!I52,"")</f>
        <v>43892</v>
      </c>
      <c r="N67" s="99">
        <f t="shared" si="0"/>
        <v>2020</v>
      </c>
      <c r="O67" s="8">
        <f t="shared" si="1"/>
        <v>10</v>
      </c>
      <c r="P67">
        <f ca="1">'Reference dates (hide)'!K52</f>
        <v>1.968503937007874E-2</v>
      </c>
    </row>
    <row r="68" spans="2:16" x14ac:dyDescent="0.25">
      <c r="B68"/>
      <c r="C68"/>
      <c r="D68"/>
      <c r="M68" s="101">
        <f>IF('Reference dates (hide)'!I53&lt;&gt;"",'Reference dates (hide)'!I53,"")</f>
        <v>43899</v>
      </c>
      <c r="N68" s="99">
        <f t="shared" si="0"/>
        <v>2020</v>
      </c>
      <c r="O68" s="8">
        <f t="shared" si="1"/>
        <v>11</v>
      </c>
      <c r="P68">
        <f ca="1">'Reference dates (hide)'!K53</f>
        <v>1.968503937007874E-2</v>
      </c>
    </row>
    <row r="69" spans="2:16" x14ac:dyDescent="0.25">
      <c r="B69"/>
      <c r="C69"/>
      <c r="D69"/>
      <c r="M69" s="101">
        <f>IF('Reference dates (hide)'!I54&lt;&gt;"",'Reference dates (hide)'!I54,"")</f>
        <v>43906</v>
      </c>
      <c r="N69" s="99">
        <f t="shared" si="0"/>
        <v>2020</v>
      </c>
      <c r="O69" s="8">
        <f t="shared" si="1"/>
        <v>12</v>
      </c>
      <c r="P69">
        <f ca="1">'Reference dates (hide)'!K54</f>
        <v>1.968503937007874E-2</v>
      </c>
    </row>
    <row r="70" spans="2:16" x14ac:dyDescent="0.25">
      <c r="B70"/>
      <c r="C70"/>
      <c r="D70"/>
      <c r="M70" s="101">
        <f>IF('Reference dates (hide)'!I55&lt;&gt;"",'Reference dates (hide)'!I55,"")</f>
        <v>43913</v>
      </c>
      <c r="N70" s="99">
        <f t="shared" si="0"/>
        <v>2020</v>
      </c>
      <c r="O70" s="8">
        <f t="shared" si="1"/>
        <v>13</v>
      </c>
      <c r="P70">
        <f ca="1">'Reference dates (hide)'!K55</f>
        <v>1.968503937007874E-2</v>
      </c>
    </row>
    <row r="71" spans="2:16" x14ac:dyDescent="0.25">
      <c r="B71"/>
      <c r="C71"/>
      <c r="D71"/>
      <c r="M71" s="101">
        <f>IF('Reference dates (hide)'!I56&lt;&gt;"",'Reference dates (hide)'!I56,"")</f>
        <v>43920</v>
      </c>
      <c r="N71" s="99">
        <f t="shared" si="0"/>
        <v>2020</v>
      </c>
      <c r="O71" s="8">
        <f t="shared" si="1"/>
        <v>14</v>
      </c>
      <c r="P71">
        <f ca="1">'Reference dates (hide)'!K56</f>
        <v>1.968503937007874E-2</v>
      </c>
    </row>
    <row r="72" spans="2:16" x14ac:dyDescent="0.25">
      <c r="B72"/>
      <c r="C72"/>
      <c r="D72"/>
      <c r="M72" s="101">
        <f>IF('Reference dates (hide)'!I57&lt;&gt;"",'Reference dates (hide)'!I57,"")</f>
        <v>43927</v>
      </c>
      <c r="N72" s="99">
        <f t="shared" si="0"/>
        <v>2020</v>
      </c>
      <c r="O72" s="8">
        <f t="shared" si="1"/>
        <v>15</v>
      </c>
      <c r="P72">
        <f ca="1">'Reference dates (hide)'!K57</f>
        <v>1.5748031496062992E-2</v>
      </c>
    </row>
    <row r="73" spans="2:16" x14ac:dyDescent="0.25">
      <c r="B73"/>
      <c r="C73"/>
      <c r="D73"/>
      <c r="M73" s="101">
        <f>IF('Reference dates (hide)'!I58&lt;&gt;"",'Reference dates (hide)'!I58,"")</f>
        <v>43934</v>
      </c>
      <c r="N73" s="99">
        <f t="shared" si="0"/>
        <v>2020</v>
      </c>
      <c r="O73" s="8">
        <f t="shared" si="1"/>
        <v>16</v>
      </c>
      <c r="P73">
        <f ca="1">'Reference dates (hide)'!K58</f>
        <v>1.5748031496062992E-2</v>
      </c>
    </row>
    <row r="74" spans="2:16" x14ac:dyDescent="0.25">
      <c r="B74"/>
      <c r="C74"/>
      <c r="D74"/>
      <c r="M74" s="101">
        <f>IF('Reference dates (hide)'!I59&lt;&gt;"",'Reference dates (hide)'!I59,"")</f>
        <v>43941</v>
      </c>
      <c r="N74" s="99">
        <f t="shared" si="0"/>
        <v>2020</v>
      </c>
      <c r="O74" s="8">
        <f t="shared" si="1"/>
        <v>17</v>
      </c>
      <c r="P74">
        <f ca="1">'Reference dates (hide)'!K59</f>
        <v>1.968503937007874E-2</v>
      </c>
    </row>
    <row r="75" spans="2:16" x14ac:dyDescent="0.25">
      <c r="B75"/>
      <c r="C75"/>
      <c r="D75"/>
      <c r="M75" s="101">
        <f>IF('Reference dates (hide)'!I60&lt;&gt;"",'Reference dates (hide)'!I60,"")</f>
        <v>43948</v>
      </c>
      <c r="N75" s="99">
        <f t="shared" si="0"/>
        <v>2020</v>
      </c>
      <c r="O75" s="8">
        <f t="shared" si="1"/>
        <v>18</v>
      </c>
      <c r="P75">
        <f ca="1">'Reference dates (hide)'!K60</f>
        <v>1.968503937007874E-2</v>
      </c>
    </row>
    <row r="76" spans="2:16" x14ac:dyDescent="0.25">
      <c r="B76"/>
      <c r="C76"/>
      <c r="D76"/>
      <c r="M76" s="101">
        <f>IF('Reference dates (hide)'!I61&lt;&gt;"",'Reference dates (hide)'!I61,"")</f>
        <v>43955</v>
      </c>
      <c r="N76" s="99">
        <f t="shared" si="0"/>
        <v>2020</v>
      </c>
      <c r="O76" s="8">
        <f t="shared" si="1"/>
        <v>19</v>
      </c>
      <c r="P76">
        <f ca="1">'Reference dates (hide)'!K61</f>
        <v>1.5748031496062992E-2</v>
      </c>
    </row>
    <row r="77" spans="2:16" x14ac:dyDescent="0.25">
      <c r="B77"/>
      <c r="C77"/>
      <c r="D77"/>
      <c r="M77" s="101">
        <f>IF('Reference dates (hide)'!I62&lt;&gt;"",'Reference dates (hide)'!I62,"")</f>
        <v>43962</v>
      </c>
      <c r="N77" s="99">
        <f t="shared" si="0"/>
        <v>2020</v>
      </c>
      <c r="O77" s="8">
        <f t="shared" si="1"/>
        <v>20</v>
      </c>
      <c r="P77">
        <f ca="1">'Reference dates (hide)'!K62</f>
        <v>1.968503937007874E-2</v>
      </c>
    </row>
    <row r="78" spans="2:16" x14ac:dyDescent="0.25">
      <c r="B78"/>
      <c r="C78"/>
      <c r="D78"/>
      <c r="M78" s="101">
        <f>IF('Reference dates (hide)'!I63&lt;&gt;"",'Reference dates (hide)'!I63,"")</f>
        <v>43969</v>
      </c>
      <c r="N78" s="99">
        <f t="shared" si="0"/>
        <v>2020</v>
      </c>
      <c r="O78" s="8">
        <f t="shared" si="1"/>
        <v>21</v>
      </c>
      <c r="P78">
        <f ca="1">'Reference dates (hide)'!K63</f>
        <v>1.968503937007874E-2</v>
      </c>
    </row>
    <row r="79" spans="2:16" x14ac:dyDescent="0.25">
      <c r="B79"/>
      <c r="C79"/>
      <c r="D79"/>
      <c r="M79" s="101">
        <f>IF('Reference dates (hide)'!I64&lt;&gt;"",'Reference dates (hide)'!I64,"")</f>
        <v>43976</v>
      </c>
      <c r="N79" s="99">
        <f t="shared" si="0"/>
        <v>2020</v>
      </c>
      <c r="O79" s="8">
        <f t="shared" si="1"/>
        <v>22</v>
      </c>
      <c r="P79">
        <f ca="1">'Reference dates (hide)'!K64</f>
        <v>1.5748031496062992E-2</v>
      </c>
    </row>
    <row r="80" spans="2:16" x14ac:dyDescent="0.25">
      <c r="B80"/>
      <c r="C80"/>
      <c r="D80"/>
      <c r="M80" s="101">
        <f>IF('Reference dates (hide)'!I65&lt;&gt;"",'Reference dates (hide)'!I65,"")</f>
        <v>43983</v>
      </c>
      <c r="N80" s="99">
        <f t="shared" si="0"/>
        <v>2020</v>
      </c>
      <c r="O80" s="8">
        <f t="shared" si="1"/>
        <v>23</v>
      </c>
      <c r="P80">
        <f ca="1">'Reference dates (hide)'!K65</f>
        <v>1.968503937007874E-2</v>
      </c>
    </row>
    <row r="81" spans="2:16" x14ac:dyDescent="0.25">
      <c r="B81"/>
      <c r="C81"/>
      <c r="D81"/>
      <c r="M81" s="101">
        <f>IF('Reference dates (hide)'!I66&lt;&gt;"",'Reference dates (hide)'!I66,"")</f>
        <v>43990</v>
      </c>
      <c r="N81" s="99">
        <f t="shared" si="0"/>
        <v>2020</v>
      </c>
      <c r="O81" s="8">
        <f t="shared" si="1"/>
        <v>24</v>
      </c>
      <c r="P81">
        <f ca="1">'Reference dates (hide)'!K66</f>
        <v>1.968503937007874E-2</v>
      </c>
    </row>
    <row r="82" spans="2:16" x14ac:dyDescent="0.25">
      <c r="B82"/>
      <c r="C82"/>
      <c r="D82"/>
      <c r="M82" s="101">
        <f>IF('Reference dates (hide)'!I67&lt;&gt;"",'Reference dates (hide)'!I67,"")</f>
        <v>43997</v>
      </c>
      <c r="N82" s="99">
        <f t="shared" si="0"/>
        <v>2020</v>
      </c>
      <c r="O82" s="8">
        <f t="shared" si="1"/>
        <v>25</v>
      </c>
      <c r="P82">
        <f ca="1">'Reference dates (hide)'!K67</f>
        <v>1.968503937007874E-2</v>
      </c>
    </row>
    <row r="83" spans="2:16" x14ac:dyDescent="0.25">
      <c r="B83"/>
      <c r="C83"/>
      <c r="D83"/>
      <c r="M83" s="101">
        <f>IF('Reference dates (hide)'!I68&lt;&gt;"",'Reference dates (hide)'!I68,"")</f>
        <v>44004</v>
      </c>
      <c r="N83" s="99">
        <f t="shared" si="0"/>
        <v>2020</v>
      </c>
      <c r="O83" s="8">
        <f t="shared" si="1"/>
        <v>26</v>
      </c>
      <c r="P83">
        <f ca="1">'Reference dates (hide)'!K68</f>
        <v>1.968503937007874E-2</v>
      </c>
    </row>
    <row r="84" spans="2:16" x14ac:dyDescent="0.25">
      <c r="B84"/>
      <c r="C84"/>
      <c r="D84"/>
      <c r="M84" s="101">
        <f>IF('Reference dates (hide)'!I69&lt;&gt;"",'Reference dates (hide)'!I69,"")</f>
        <v>44011</v>
      </c>
      <c r="N84" s="99">
        <f t="shared" si="0"/>
        <v>2020</v>
      </c>
      <c r="O84" s="8">
        <f t="shared" si="1"/>
        <v>27</v>
      </c>
      <c r="P84">
        <f ca="1">'Reference dates (hide)'!K69</f>
        <v>1.968503937007874E-2</v>
      </c>
    </row>
    <row r="85" spans="2:16" x14ac:dyDescent="0.25">
      <c r="B85"/>
      <c r="C85"/>
      <c r="D85"/>
      <c r="M85" s="101">
        <f>IF('Reference dates (hide)'!I70&lt;&gt;"",'Reference dates (hide)'!I70,"")</f>
        <v>44018</v>
      </c>
      <c r="N85" s="99">
        <f t="shared" si="0"/>
        <v>2020</v>
      </c>
      <c r="O85" s="8">
        <f t="shared" si="1"/>
        <v>28</v>
      </c>
      <c r="P85">
        <f ca="1">'Reference dates (hide)'!K70</f>
        <v>1.968503937007874E-2</v>
      </c>
    </row>
    <row r="86" spans="2:16" x14ac:dyDescent="0.25">
      <c r="B86"/>
      <c r="C86"/>
      <c r="D86"/>
      <c r="M86" s="101">
        <f>IF('Reference dates (hide)'!I71&lt;&gt;"",'Reference dates (hide)'!I71,"")</f>
        <v>44025</v>
      </c>
      <c r="N86" s="99">
        <f t="shared" si="0"/>
        <v>2020</v>
      </c>
      <c r="O86" s="8">
        <f t="shared" si="1"/>
        <v>29</v>
      </c>
      <c r="P86">
        <f ca="1">'Reference dates (hide)'!K71</f>
        <v>1.968503937007874E-2</v>
      </c>
    </row>
    <row r="87" spans="2:16" x14ac:dyDescent="0.25">
      <c r="B87"/>
      <c r="C87"/>
      <c r="D87"/>
      <c r="M87" s="101">
        <f>IF('Reference dates (hide)'!I72&lt;&gt;"",'Reference dates (hide)'!I72,"")</f>
        <v>44032</v>
      </c>
      <c r="N87" s="99">
        <f t="shared" si="0"/>
        <v>2020</v>
      </c>
      <c r="O87" s="8">
        <f t="shared" si="1"/>
        <v>30</v>
      </c>
      <c r="P87">
        <f ca="1">'Reference dates (hide)'!K72</f>
        <v>1.968503937007874E-2</v>
      </c>
    </row>
    <row r="88" spans="2:16" x14ac:dyDescent="0.25">
      <c r="B88"/>
      <c r="C88"/>
      <c r="D88"/>
      <c r="M88" s="101">
        <f>IF('Reference dates (hide)'!I73&lt;&gt;"",'Reference dates (hide)'!I73,"")</f>
        <v>44039</v>
      </c>
      <c r="N88" s="99">
        <f t="shared" si="0"/>
        <v>2020</v>
      </c>
      <c r="O88" s="8">
        <f t="shared" si="1"/>
        <v>31</v>
      </c>
      <c r="P88">
        <f ca="1">'Reference dates (hide)'!K73</f>
        <v>1.968503937007874E-2</v>
      </c>
    </row>
    <row r="89" spans="2:16" x14ac:dyDescent="0.25">
      <c r="B89"/>
      <c r="C89"/>
      <c r="D89"/>
      <c r="M89" s="101">
        <f>IF('Reference dates (hide)'!I74&lt;&gt;"",'Reference dates (hide)'!I74,"")</f>
        <v>44046</v>
      </c>
      <c r="N89" s="99">
        <f t="shared" si="0"/>
        <v>2020</v>
      </c>
      <c r="O89" s="8">
        <f t="shared" si="1"/>
        <v>32</v>
      </c>
      <c r="P89">
        <f ca="1">'Reference dates (hide)'!K74</f>
        <v>1.968503937007874E-2</v>
      </c>
    </row>
    <row r="90" spans="2:16" x14ac:dyDescent="0.25">
      <c r="B90"/>
      <c r="C90"/>
      <c r="D90"/>
      <c r="M90" s="101">
        <f>IF('Reference dates (hide)'!I75&lt;&gt;"",'Reference dates (hide)'!I75,"")</f>
        <v>44053</v>
      </c>
      <c r="N90" s="99">
        <f t="shared" si="0"/>
        <v>2020</v>
      </c>
      <c r="O90" s="8">
        <f t="shared" si="1"/>
        <v>33</v>
      </c>
      <c r="P90">
        <f ca="1">'Reference dates (hide)'!K75</f>
        <v>1.968503937007874E-2</v>
      </c>
    </row>
    <row r="91" spans="2:16" x14ac:dyDescent="0.25">
      <c r="B91"/>
      <c r="C91"/>
      <c r="D91"/>
      <c r="M91" s="101">
        <f>IF('Reference dates (hide)'!I76&lt;&gt;"",'Reference dates (hide)'!I76,"")</f>
        <v>44060</v>
      </c>
      <c r="N91" s="99">
        <f t="shared" si="0"/>
        <v>2020</v>
      </c>
      <c r="O91" s="8">
        <f t="shared" si="1"/>
        <v>34</v>
      </c>
      <c r="P91">
        <f ca="1">'Reference dates (hide)'!K76</f>
        <v>1.968503937007874E-2</v>
      </c>
    </row>
    <row r="92" spans="2:16" x14ac:dyDescent="0.25">
      <c r="B92"/>
      <c r="C92"/>
      <c r="D92"/>
      <c r="M92" s="101">
        <f>IF('Reference dates (hide)'!I77&lt;&gt;"",'Reference dates (hide)'!I77,"")</f>
        <v>44067</v>
      </c>
      <c r="N92" s="99">
        <f t="shared" si="0"/>
        <v>2020</v>
      </c>
      <c r="O92" s="8">
        <f t="shared" si="1"/>
        <v>35</v>
      </c>
      <c r="P92">
        <f ca="1">'Reference dates (hide)'!K77</f>
        <v>1.968503937007874E-2</v>
      </c>
    </row>
    <row r="93" spans="2:16" x14ac:dyDescent="0.25">
      <c r="B93"/>
      <c r="C93"/>
      <c r="D93"/>
      <c r="M93" s="101">
        <f>IF('Reference dates (hide)'!I78&lt;&gt;"",'Reference dates (hide)'!I78,"")</f>
        <v>44074</v>
      </c>
      <c r="N93" s="99">
        <f t="shared" si="0"/>
        <v>2020</v>
      </c>
      <c r="O93" s="8">
        <f t="shared" si="1"/>
        <v>36</v>
      </c>
      <c r="P93">
        <f ca="1">'Reference dates (hide)'!K78</f>
        <v>1.5748031496062992E-2</v>
      </c>
    </row>
    <row r="94" spans="2:16" x14ac:dyDescent="0.25">
      <c r="B94"/>
      <c r="C94"/>
      <c r="D94"/>
      <c r="M94" s="101">
        <f>IF('Reference dates (hide)'!I79&lt;&gt;"",'Reference dates (hide)'!I79,"")</f>
        <v>44081</v>
      </c>
      <c r="N94" s="99">
        <f t="shared" si="0"/>
        <v>2020</v>
      </c>
      <c r="O94" s="8">
        <f t="shared" si="1"/>
        <v>37</v>
      </c>
      <c r="P94">
        <f ca="1">'Reference dates (hide)'!K79</f>
        <v>1.968503937007874E-2</v>
      </c>
    </row>
    <row r="95" spans="2:16" x14ac:dyDescent="0.25">
      <c r="B95"/>
      <c r="C95"/>
      <c r="D95"/>
      <c r="M95" s="101">
        <f>IF('Reference dates (hide)'!I80&lt;&gt;"",'Reference dates (hide)'!I80,"")</f>
        <v>44088</v>
      </c>
      <c r="N95" s="99">
        <f t="shared" si="0"/>
        <v>2020</v>
      </c>
      <c r="O95" s="8">
        <f t="shared" si="1"/>
        <v>38</v>
      </c>
      <c r="P95">
        <f ca="1">'Reference dates (hide)'!K80</f>
        <v>1.968503937007874E-2</v>
      </c>
    </row>
    <row r="96" spans="2:16" x14ac:dyDescent="0.25">
      <c r="B96"/>
      <c r="C96"/>
      <c r="D96"/>
      <c r="M96" s="101">
        <f>IF('Reference dates (hide)'!I81&lt;&gt;"",'Reference dates (hide)'!I81,"")</f>
        <v>44095</v>
      </c>
      <c r="N96" s="99">
        <f t="shared" si="0"/>
        <v>2020</v>
      </c>
      <c r="O96" s="8">
        <f t="shared" si="1"/>
        <v>39</v>
      </c>
      <c r="P96">
        <f ca="1">'Reference dates (hide)'!K81</f>
        <v>1.968503937007874E-2</v>
      </c>
    </row>
    <row r="97" spans="2:31" x14ac:dyDescent="0.25">
      <c r="B97"/>
      <c r="C97"/>
      <c r="D97"/>
      <c r="M97" s="101">
        <f>IF('Reference dates (hide)'!I82&lt;&gt;"",'Reference dates (hide)'!I82,"")</f>
        <v>44102</v>
      </c>
      <c r="N97" s="99">
        <f t="shared" si="0"/>
        <v>2020</v>
      </c>
      <c r="O97" s="8">
        <f t="shared" si="1"/>
        <v>40</v>
      </c>
      <c r="P97">
        <f ca="1">'Reference dates (hide)'!K82</f>
        <v>1.968503937007874E-2</v>
      </c>
    </row>
    <row r="98" spans="2:31" x14ac:dyDescent="0.25">
      <c r="B98"/>
      <c r="C98"/>
      <c r="D98"/>
      <c r="M98" s="101">
        <f>IF('Reference dates (hide)'!I83&lt;&gt;"",'Reference dates (hide)'!I83,"")</f>
        <v>44109</v>
      </c>
      <c r="N98" s="99">
        <f t="shared" si="0"/>
        <v>2020</v>
      </c>
      <c r="O98" s="8">
        <f t="shared" si="1"/>
        <v>41</v>
      </c>
      <c r="P98">
        <f ca="1">'Reference dates (hide)'!K83</f>
        <v>1.968503937007874E-2</v>
      </c>
    </row>
    <row r="99" spans="2:31" x14ac:dyDescent="0.25">
      <c r="B99"/>
      <c r="C99"/>
      <c r="D99"/>
      <c r="M99" s="101">
        <f>IF('Reference dates (hide)'!I84&lt;&gt;"",'Reference dates (hide)'!I84,"")</f>
        <v>44116</v>
      </c>
      <c r="N99" s="99">
        <f t="shared" si="0"/>
        <v>2020</v>
      </c>
      <c r="O99" s="8">
        <f t="shared" si="1"/>
        <v>42</v>
      </c>
      <c r="P99">
        <f ca="1">'Reference dates (hide)'!K84</f>
        <v>1.968503937007874E-2</v>
      </c>
    </row>
    <row r="100" spans="2:31" x14ac:dyDescent="0.25">
      <c r="B100"/>
      <c r="C100"/>
      <c r="D100"/>
      <c r="M100" s="101">
        <f>IF('Reference dates (hide)'!I85&lt;&gt;"",'Reference dates (hide)'!I85,"")</f>
        <v>44123</v>
      </c>
      <c r="N100" s="99">
        <f t="shared" si="0"/>
        <v>2020</v>
      </c>
      <c r="O100" s="8">
        <f t="shared" si="1"/>
        <v>43</v>
      </c>
      <c r="P100">
        <f ca="1">'Reference dates (hide)'!K85</f>
        <v>1.968503937007874E-2</v>
      </c>
    </row>
    <row r="101" spans="2:31" x14ac:dyDescent="0.25">
      <c r="B101"/>
      <c r="C101"/>
      <c r="D101"/>
      <c r="M101" s="101">
        <f>IF('Reference dates (hide)'!I86&lt;&gt;"",'Reference dates (hide)'!I86,"")</f>
        <v>44130</v>
      </c>
      <c r="N101" s="99">
        <f t="shared" si="0"/>
        <v>2020</v>
      </c>
      <c r="O101" s="8">
        <f t="shared" si="1"/>
        <v>44</v>
      </c>
      <c r="P101">
        <f ca="1">'Reference dates (hide)'!K86</f>
        <v>1.968503937007874E-2</v>
      </c>
    </row>
    <row r="102" spans="2:31" x14ac:dyDescent="0.25">
      <c r="B102"/>
      <c r="C102"/>
      <c r="D102"/>
      <c r="M102" s="101">
        <f>IF('Reference dates (hide)'!I87&lt;&gt;"",'Reference dates (hide)'!I87,"")</f>
        <v>44137</v>
      </c>
      <c r="N102" s="99">
        <f t="shared" si="0"/>
        <v>2020</v>
      </c>
      <c r="O102" s="8">
        <f t="shared" si="1"/>
        <v>45</v>
      </c>
      <c r="P102">
        <f ca="1">'Reference dates (hide)'!K87</f>
        <v>1.968503937007874E-2</v>
      </c>
    </row>
    <row r="103" spans="2:31" x14ac:dyDescent="0.25">
      <c r="B103"/>
      <c r="C103"/>
      <c r="D103"/>
      <c r="M103" s="101">
        <f>IF('Reference dates (hide)'!I88&lt;&gt;"",'Reference dates (hide)'!I88,"")</f>
        <v>44144</v>
      </c>
      <c r="N103" s="99">
        <f t="shared" si="0"/>
        <v>2020</v>
      </c>
      <c r="O103" s="8">
        <f t="shared" si="1"/>
        <v>46</v>
      </c>
      <c r="P103">
        <f ca="1">'Reference dates (hide)'!K88</f>
        <v>1.968503937007874E-2</v>
      </c>
    </row>
    <row r="104" spans="2:31" x14ac:dyDescent="0.25">
      <c r="B104"/>
      <c r="C104"/>
      <c r="D104"/>
      <c r="M104" s="101">
        <f>IF('Reference dates (hide)'!I89&lt;&gt;"",'Reference dates (hide)'!I89,"")</f>
        <v>44151</v>
      </c>
      <c r="N104" s="99">
        <f t="shared" si="0"/>
        <v>2020</v>
      </c>
      <c r="O104" s="8">
        <f t="shared" si="1"/>
        <v>47</v>
      </c>
      <c r="P104">
        <f ca="1">'Reference dates (hide)'!K89</f>
        <v>1.968503937007874E-2</v>
      </c>
    </row>
    <row r="105" spans="2:31" x14ac:dyDescent="0.25">
      <c r="B105"/>
      <c r="C105"/>
      <c r="D105"/>
      <c r="M105" s="101">
        <f>IF('Reference dates (hide)'!I90&lt;&gt;"",'Reference dates (hide)'!I90,"")</f>
        <v>44158</v>
      </c>
      <c r="N105" s="99">
        <f t="shared" si="0"/>
        <v>2020</v>
      </c>
      <c r="O105" s="8">
        <f t="shared" si="1"/>
        <v>48</v>
      </c>
      <c r="P105">
        <f ca="1">'Reference dates (hide)'!K90</f>
        <v>1.968503937007874E-2</v>
      </c>
    </row>
    <row r="106" spans="2:31" x14ac:dyDescent="0.25">
      <c r="B106"/>
      <c r="C106"/>
      <c r="D106"/>
      <c r="M106" s="101">
        <f>IF('Reference dates (hide)'!I91&lt;&gt;"",'Reference dates (hide)'!I91,"")</f>
        <v>44165</v>
      </c>
      <c r="N106" s="99">
        <f t="shared" si="0"/>
        <v>2020</v>
      </c>
      <c r="O106" s="8">
        <f t="shared" si="1"/>
        <v>49</v>
      </c>
      <c r="P106">
        <f ca="1">'Reference dates (hide)'!K91</f>
        <v>1.968503937007874E-2</v>
      </c>
    </row>
    <row r="107" spans="2:31" x14ac:dyDescent="0.25">
      <c r="B107"/>
      <c r="C107"/>
      <c r="D107"/>
      <c r="M107" s="101">
        <f>IF('Reference dates (hide)'!I92&lt;&gt;"",'Reference dates (hide)'!I92,"")</f>
        <v>44172</v>
      </c>
      <c r="N107" s="99">
        <f t="shared" si="0"/>
        <v>2020</v>
      </c>
      <c r="O107" s="8">
        <f t="shared" si="1"/>
        <v>50</v>
      </c>
      <c r="P107">
        <f ca="1">'Reference dates (hide)'!K92</f>
        <v>1.968503937007874E-2</v>
      </c>
    </row>
    <row r="108" spans="2:31" x14ac:dyDescent="0.25">
      <c r="B108"/>
      <c r="C108"/>
      <c r="D108"/>
      <c r="M108" s="101">
        <f>IF('Reference dates (hide)'!I93&lt;&gt;"",'Reference dates (hide)'!I93,"")</f>
        <v>44179</v>
      </c>
      <c r="N108" s="99">
        <f t="shared" si="0"/>
        <v>2020</v>
      </c>
      <c r="O108" s="8">
        <f t="shared" si="1"/>
        <v>51</v>
      </c>
      <c r="P108">
        <f ca="1">'Reference dates (hide)'!K93</f>
        <v>1.968503937007874E-2</v>
      </c>
    </row>
    <row r="109" spans="2:31" x14ac:dyDescent="0.25">
      <c r="B109"/>
      <c r="C109"/>
      <c r="D109"/>
      <c r="M109" s="101">
        <f>IF('Reference dates (hide)'!I94&lt;&gt;"",'Reference dates (hide)'!I94,"")</f>
        <v>44186</v>
      </c>
      <c r="N109" s="99">
        <f t="shared" si="0"/>
        <v>2020</v>
      </c>
      <c r="O109" s="8">
        <f t="shared" si="1"/>
        <v>52</v>
      </c>
      <c r="P109">
        <f ca="1">'Reference dates (hide)'!K94</f>
        <v>1.5748031496062992E-2</v>
      </c>
    </row>
    <row r="110" spans="2:31" x14ac:dyDescent="0.25">
      <c r="B110"/>
      <c r="C110"/>
      <c r="D110"/>
      <c r="M110" s="101">
        <f>IF('Reference dates (hide)'!I95&lt;&gt;"",'Reference dates (hide)'!I95,"")</f>
        <v>44193</v>
      </c>
      <c r="N110" s="99">
        <f t="shared" si="0"/>
        <v>2020</v>
      </c>
      <c r="O110" s="8">
        <f t="shared" si="1"/>
        <v>53</v>
      </c>
      <c r="P110">
        <f ca="1">'Reference dates (hide)'!K95</f>
        <v>1.1811023622047244E-2</v>
      </c>
    </row>
    <row r="111" spans="2:31" x14ac:dyDescent="0.25">
      <c r="M111">
        <f>MAX(T58:AB110)</f>
        <v>0</v>
      </c>
      <c r="Q111">
        <f>MAX(Q58:Q109)/$Q$54</f>
        <v>0</v>
      </c>
      <c r="R111">
        <f>MAX(R58:R109)/IF($R$54=0,1,$Q$54)</f>
        <v>0</v>
      </c>
      <c r="S111">
        <f>MAX(S58:S109)/IF($S$54=0,1,$Q$54)</f>
        <v>0</v>
      </c>
      <c r="Z111">
        <f>MAX(Z58:Z109)/IF($Z$52=0,1,Q$54)</f>
        <v>0</v>
      </c>
      <c r="AA111">
        <f>MAX(AA58:AA109)/IF($Z$52=0,1,R$54)</f>
        <v>0</v>
      </c>
      <c r="AB111">
        <f>MAX(AB58:AB109)/IF($Z$52=0,1,S$54)</f>
        <v>0</v>
      </c>
      <c r="AC111">
        <f>MAX(AC58:AC109)/IF($Z$52=0,1,Q$54)</f>
        <v>0</v>
      </c>
      <c r="AD111">
        <f>MAX(AD58:AD109)/IF($Z$52=0,1,R$54)</f>
        <v>0</v>
      </c>
      <c r="AE111">
        <f>MAX(AE58:AE109)/IF($Z$52=0,1,S$54)</f>
        <v>0</v>
      </c>
    </row>
    <row r="118" spans="26:26" x14ac:dyDescent="0.25">
      <c r="Z118" s="121"/>
    </row>
    <row r="119" spans="26:26" x14ac:dyDescent="0.25">
      <c r="Z119" s="121"/>
    </row>
  </sheetData>
  <pageMargins left="0.7" right="0.7" top="0.75" bottom="0.75" header="0.3" footer="0.3"/>
  <legacyDrawing r:id="rId1"/>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8"/>
  <dimension ref="A1:AN119"/>
  <sheetViews>
    <sheetView workbookViewId="0">
      <selection activeCell="AK59" sqref="AK59"/>
    </sheetView>
  </sheetViews>
  <sheetFormatPr defaultRowHeight="13.8" x14ac:dyDescent="0.25"/>
  <cols>
    <col min="1" max="1" width="27.69921875" bestFit="1" customWidth="1"/>
    <col min="2" max="2" width="16.8984375" style="6" customWidth="1"/>
    <col min="3" max="3" width="12.09765625" style="6" bestFit="1" customWidth="1"/>
    <col min="4" max="4" width="16.09765625" style="7" bestFit="1" customWidth="1"/>
    <col min="11" max="11" width="10.8984375" bestFit="1" customWidth="1"/>
    <col min="13" max="13" width="16.69921875" bestFit="1" customWidth="1"/>
    <col min="17" max="17" width="6.8984375" customWidth="1"/>
    <col min="26" max="26" width="11.8984375" bestFit="1" customWidth="1"/>
  </cols>
  <sheetData>
    <row r="1" spans="1:19" x14ac:dyDescent="0.25">
      <c r="A1" t="s">
        <v>1074</v>
      </c>
      <c r="B1" s="6" t="s">
        <v>931</v>
      </c>
      <c r="C1" s="6" t="b">
        <f>ISERR(SUM(B25:M49))</f>
        <v>0</v>
      </c>
    </row>
    <row r="2" spans="1:19" x14ac:dyDescent="0.25">
      <c r="A2" t="s">
        <v>932</v>
      </c>
      <c r="B2"/>
    </row>
    <row r="3" spans="1:19" x14ac:dyDescent="0.25">
      <c r="B3" s="6" t="s">
        <v>933</v>
      </c>
      <c r="F3" t="s">
        <v>934</v>
      </c>
      <c r="J3" t="s">
        <v>935</v>
      </c>
    </row>
    <row r="4" spans="1:19" x14ac:dyDescent="0.25">
      <c r="B4" s="6" t="s">
        <v>936</v>
      </c>
      <c r="C4" s="6" t="s">
        <v>937</v>
      </c>
      <c r="D4" s="7" t="s">
        <v>1208</v>
      </c>
      <c r="F4" s="6" t="s">
        <v>936</v>
      </c>
      <c r="G4" s="6" t="s">
        <v>937</v>
      </c>
      <c r="H4" s="7" t="s">
        <v>1024</v>
      </c>
      <c r="J4" s="6" t="s">
        <v>936</v>
      </c>
      <c r="K4" s="6" t="s">
        <v>937</v>
      </c>
      <c r="L4" s="7" t="s">
        <v>1024</v>
      </c>
    </row>
    <row r="5" spans="1:19" x14ac:dyDescent="0.25">
      <c r="A5" t="s">
        <v>5</v>
      </c>
      <c r="B5" s="8"/>
      <c r="C5" s="6">
        <f>B5*52</f>
        <v>0</v>
      </c>
      <c r="D5" s="7">
        <f>IF($B$20=1,C5/$B$21,C5)</f>
        <v>0</v>
      </c>
      <c r="G5">
        <f>F5*$D5</f>
        <v>0</v>
      </c>
      <c r="H5">
        <f>G5/52</f>
        <v>0</v>
      </c>
      <c r="K5">
        <f>J5*D5</f>
        <v>0</v>
      </c>
      <c r="L5">
        <f>K5/52</f>
        <v>0</v>
      </c>
    </row>
    <row r="6" spans="1:19" x14ac:dyDescent="0.25">
      <c r="A6" t="s">
        <v>1209</v>
      </c>
      <c r="B6" s="8"/>
      <c r="D6" s="7">
        <f>IF($B$20=1,B6/$B$21,B6)</f>
        <v>0</v>
      </c>
      <c r="G6">
        <f>F6*52</f>
        <v>0</v>
      </c>
      <c r="H6">
        <f>F6</f>
        <v>0</v>
      </c>
      <c r="K6">
        <f>J6*52</f>
        <v>0</v>
      </c>
      <c r="L6">
        <f>J6</f>
        <v>0</v>
      </c>
    </row>
    <row r="7" spans="1:19" x14ac:dyDescent="0.25">
      <c r="A7" t="s">
        <v>1210</v>
      </c>
      <c r="B7" s="8"/>
      <c r="D7" s="7">
        <f>IF($B$20=1,B7/$B$21,B7)</f>
        <v>0</v>
      </c>
    </row>
    <row r="8" spans="1:19" x14ac:dyDescent="0.25">
      <c r="A8" t="s">
        <v>9</v>
      </c>
      <c r="B8"/>
    </row>
    <row r="9" spans="1:19" x14ac:dyDescent="0.25">
      <c r="A9" t="s">
        <v>964</v>
      </c>
      <c r="B9"/>
    </row>
    <row r="10" spans="1:19" x14ac:dyDescent="0.25">
      <c r="A10" t="s">
        <v>940</v>
      </c>
      <c r="B10"/>
      <c r="C10" s="6">
        <f xml:space="preserve"> NASR*NASRDC</f>
        <v>0</v>
      </c>
      <c r="G10">
        <f xml:space="preserve"> FU_NASR*FU_NASRDC</f>
        <v>0</v>
      </c>
      <c r="K10">
        <f xml:space="preserve"> IP_NASR*IP_NASRDC</f>
        <v>0</v>
      </c>
    </row>
    <row r="11" spans="1:19" x14ac:dyDescent="0.25">
      <c r="A11" t="s">
        <v>965</v>
      </c>
      <c r="B11"/>
    </row>
    <row r="12" spans="1:19" x14ac:dyDescent="0.25">
      <c r="A12" t="s">
        <v>859</v>
      </c>
      <c r="B12"/>
    </row>
    <row r="13" spans="1:19" x14ac:dyDescent="0.25">
      <c r="A13" t="s">
        <v>941</v>
      </c>
      <c r="B13" s="8"/>
      <c r="D13" s="7">
        <f>IF($B$20=1,B13/$B$21,B13)</f>
        <v>0</v>
      </c>
      <c r="G13">
        <f>F13*52</f>
        <v>0</v>
      </c>
      <c r="H13" s="7">
        <f>IF($B$20=1,F13/$B$21,F13)</f>
        <v>0</v>
      </c>
      <c r="K13">
        <f>J13*52</f>
        <v>0</v>
      </c>
      <c r="L13" s="7">
        <f>IF($B$20=1,J13/$B$21,J13)</f>
        <v>0</v>
      </c>
    </row>
    <row r="14" spans="1:19" x14ac:dyDescent="0.25">
      <c r="A14" t="s">
        <v>1275</v>
      </c>
      <c r="B14" s="8"/>
      <c r="H14" s="7"/>
      <c r="L14" s="7"/>
    </row>
    <row r="15" spans="1:19" x14ac:dyDescent="0.25">
      <c r="A15" t="s">
        <v>1278</v>
      </c>
      <c r="B15"/>
      <c r="D15" s="7">
        <f>IF($B$20=1,B15/$B$21,B15)</f>
        <v>0</v>
      </c>
      <c r="H15" s="7">
        <f>IF($B$20=1,F15/$B$21,F15)</f>
        <v>0</v>
      </c>
      <c r="L15" s="7">
        <f>IF($B$20=1,J15/$B$21,J15)</f>
        <v>0</v>
      </c>
    </row>
    <row r="16" spans="1:19" x14ac:dyDescent="0.25">
      <c r="A16" t="s">
        <v>861</v>
      </c>
      <c r="B16" s="8"/>
      <c r="D16" s="7">
        <f>IF($B$20=1,B16/$B$21,B16)</f>
        <v>0</v>
      </c>
      <c r="H16" s="7">
        <f>IF($B$20=1,F16/$B$21,F16)</f>
        <v>0</v>
      </c>
      <c r="L16" s="7">
        <f>IF($B$20=1,J16/$B$21,J16)</f>
        <v>0</v>
      </c>
      <c r="S16" t="s">
        <v>1213</v>
      </c>
    </row>
    <row r="17" spans="1:20" x14ac:dyDescent="0.25">
      <c r="A17" t="s">
        <v>7</v>
      </c>
      <c r="B17" s="8"/>
      <c r="D17" s="7">
        <f>IF($B$20=1,B17/$B$21,B17)</f>
        <v>0</v>
      </c>
      <c r="H17" s="7">
        <f>IF($B$20=1,F17/$B$21,F17)</f>
        <v>0</v>
      </c>
      <c r="L17" s="7">
        <f>IF($B$20=1,J17/$B$21,J17)</f>
        <v>0</v>
      </c>
      <c r="S17" t="s">
        <v>1159</v>
      </c>
    </row>
    <row r="18" spans="1:20" x14ac:dyDescent="0.25">
      <c r="A18" t="s">
        <v>1081</v>
      </c>
      <c r="B18"/>
      <c r="S18" t="s">
        <v>1187</v>
      </c>
    </row>
    <row r="19" spans="1:20" x14ac:dyDescent="0.25">
      <c r="A19" t="s">
        <v>863</v>
      </c>
      <c r="B19"/>
      <c r="S19" t="s">
        <v>1214</v>
      </c>
      <c r="T19" t="s">
        <v>1215</v>
      </c>
    </row>
    <row r="20" spans="1:20" x14ac:dyDescent="0.25">
      <c r="A20" t="s">
        <v>942</v>
      </c>
      <c r="B20"/>
      <c r="R20" t="s">
        <v>947</v>
      </c>
      <c r="S20" t="s">
        <v>984</v>
      </c>
      <c r="T20" t="s">
        <v>1216</v>
      </c>
    </row>
    <row r="21" spans="1:20" x14ac:dyDescent="0.25">
      <c r="A21" t="s">
        <v>943</v>
      </c>
      <c r="B21">
        <v>1</v>
      </c>
      <c r="D21" s="12"/>
      <c r="S21" t="s">
        <v>985</v>
      </c>
      <c r="T21" t="s">
        <v>1216</v>
      </c>
    </row>
    <row r="22" spans="1:20" x14ac:dyDescent="0.25">
      <c r="H22">
        <f>F22*$D$5</f>
        <v>0</v>
      </c>
      <c r="L22">
        <f>J22*$D$5</f>
        <v>0</v>
      </c>
      <c r="S22" t="s">
        <v>1217</v>
      </c>
      <c r="T22" t="s">
        <v>1218</v>
      </c>
    </row>
    <row r="23" spans="1:20" x14ac:dyDescent="0.25">
      <c r="S23" t="s">
        <v>1219</v>
      </c>
      <c r="T23" t="s">
        <v>1218</v>
      </c>
    </row>
    <row r="24" spans="1:20" x14ac:dyDescent="0.25">
      <c r="D24" s="7" t="s">
        <v>1023</v>
      </c>
      <c r="F24" t="s">
        <v>901</v>
      </c>
      <c r="G24" t="s">
        <v>1022</v>
      </c>
      <c r="H24" s="7" t="s">
        <v>1023</v>
      </c>
      <c r="J24" t="s">
        <v>901</v>
      </c>
      <c r="K24" t="s">
        <v>1022</v>
      </c>
      <c r="L24" s="7" t="s">
        <v>1023</v>
      </c>
      <c r="R24" t="s">
        <v>941</v>
      </c>
      <c r="S24" t="s">
        <v>25</v>
      </c>
      <c r="T24" t="s">
        <v>1218</v>
      </c>
    </row>
    <row r="25" spans="1:20" x14ac:dyDescent="0.25">
      <c r="A25" t="s">
        <v>944</v>
      </c>
      <c r="B25" s="6">
        <f>IF(B17-B16&lt;0,0,B17-B16)</f>
        <v>0</v>
      </c>
      <c r="D25" s="6">
        <f>IF(D17-D16&lt;0,0,D17-D16)</f>
        <v>0</v>
      </c>
      <c r="F25" s="8">
        <f>F5*B25</f>
        <v>0</v>
      </c>
      <c r="G25" s="8">
        <v>0</v>
      </c>
      <c r="H25" s="8"/>
      <c r="I25" s="8"/>
      <c r="J25" s="8">
        <f>(J5*B25)+IF(J17-J16&lt;=0,0,J17-J16)</f>
        <v>0</v>
      </c>
      <c r="K25" s="8">
        <f>IF(J17-J16&lt;=0,0,J17-J16)</f>
        <v>0</v>
      </c>
      <c r="L25" s="8"/>
      <c r="S25" t="s">
        <v>1220</v>
      </c>
      <c r="T25" t="s">
        <v>1218</v>
      </c>
    </row>
    <row r="26" spans="1:20" x14ac:dyDescent="0.25">
      <c r="A26" t="s">
        <v>945</v>
      </c>
      <c r="B26" s="9">
        <f>(1-NASLDC)*NASL</f>
        <v>0</v>
      </c>
      <c r="D26" s="11"/>
      <c r="F26" s="8">
        <f>FU_NASL*(1-FU_NASLDC)</f>
        <v>0</v>
      </c>
      <c r="G26" s="8"/>
      <c r="H26" s="8"/>
      <c r="I26" s="8"/>
      <c r="J26" s="8">
        <f>IP_NASL*(1-IP_NASLDC)</f>
        <v>0</v>
      </c>
      <c r="K26" s="8"/>
      <c r="L26" s="8"/>
      <c r="R26" t="s">
        <v>1221</v>
      </c>
      <c r="S26" t="s">
        <v>25</v>
      </c>
      <c r="T26" t="s">
        <v>1218</v>
      </c>
    </row>
    <row r="27" spans="1:20" x14ac:dyDescent="0.25">
      <c r="A27" t="s">
        <v>946</v>
      </c>
      <c r="B27" s="6">
        <f>NASR*(1-NASRDC)</f>
        <v>0</v>
      </c>
      <c r="D27" s="11"/>
      <c r="F27" s="8">
        <f>FU_NASR*(1-FU_NASRDC)</f>
        <v>0</v>
      </c>
      <c r="G27" s="8"/>
      <c r="H27" s="8"/>
      <c r="I27" s="8"/>
      <c r="J27" s="8">
        <f>IP_NASR*(1-IP_NASRDC)</f>
        <v>0</v>
      </c>
      <c r="K27" s="8"/>
      <c r="L27" s="8"/>
      <c r="S27" t="s">
        <v>1220</v>
      </c>
      <c r="T27" t="s">
        <v>1218</v>
      </c>
    </row>
    <row r="28" spans="1:20" x14ac:dyDescent="0.25">
      <c r="D28" s="11"/>
      <c r="F28" s="8"/>
      <c r="G28" s="8"/>
      <c r="H28" s="8"/>
      <c r="I28" s="8"/>
      <c r="J28" s="8"/>
      <c r="K28" s="8"/>
      <c r="L28" s="8"/>
      <c r="R28" t="s">
        <v>1093</v>
      </c>
      <c r="S28" t="s">
        <v>984</v>
      </c>
      <c r="T28" t="s">
        <v>1216</v>
      </c>
    </row>
    <row r="29" spans="1:20" ht="14.4" x14ac:dyDescent="0.3">
      <c r="A29" s="10" t="s">
        <v>947</v>
      </c>
      <c r="D29" s="12"/>
      <c r="F29" s="8"/>
      <c r="G29" s="8"/>
      <c r="H29" s="8"/>
      <c r="I29" s="8"/>
      <c r="J29" s="8"/>
      <c r="K29" s="8"/>
      <c r="L29" s="8"/>
      <c r="S29" t="s">
        <v>985</v>
      </c>
      <c r="T29" t="s">
        <v>1216</v>
      </c>
    </row>
    <row r="30" spans="1:20" x14ac:dyDescent="0.25">
      <c r="A30" t="s">
        <v>948</v>
      </c>
      <c r="B30" s="6">
        <f>B5*(NASL+NASR+ROTT)</f>
        <v>0</v>
      </c>
      <c r="F30" s="8">
        <f>H5*(F8+F10+F18)</f>
        <v>0</v>
      </c>
      <c r="G30" s="8"/>
      <c r="H30" s="8"/>
      <c r="I30" s="8"/>
      <c r="J30" s="8">
        <f>L5*(J8+J10+J18)</f>
        <v>0</v>
      </c>
      <c r="K30" s="8"/>
      <c r="L30" s="8"/>
    </row>
    <row r="31" spans="1:20" x14ac:dyDescent="0.25">
      <c r="A31" t="s">
        <v>949</v>
      </c>
      <c r="B31" s="6">
        <f>B5*(B26+B27)</f>
        <v>0</v>
      </c>
      <c r="F31" s="8">
        <f>H5*(F26+F27)</f>
        <v>0</v>
      </c>
      <c r="G31" s="8"/>
      <c r="H31" s="8"/>
      <c r="I31" s="8"/>
      <c r="J31" s="8">
        <f>L5*(J26+J27)</f>
        <v>0</v>
      </c>
      <c r="K31" s="8"/>
      <c r="L31" s="8"/>
      <c r="R31" t="s">
        <v>941</v>
      </c>
      <c r="S31" t="s">
        <v>25</v>
      </c>
      <c r="T31" t="s">
        <v>1218</v>
      </c>
    </row>
    <row r="32" spans="1:20" x14ac:dyDescent="0.25">
      <c r="F32" s="8"/>
      <c r="G32" s="8"/>
      <c r="H32" s="8"/>
      <c r="I32" s="8"/>
      <c r="J32" s="8"/>
      <c r="K32" s="8"/>
      <c r="L32" s="8"/>
      <c r="S32" t="s">
        <v>1220</v>
      </c>
      <c r="T32" t="s">
        <v>1218</v>
      </c>
    </row>
    <row r="33" spans="1:20" x14ac:dyDescent="0.25">
      <c r="A33" t="s">
        <v>950</v>
      </c>
      <c r="B33" s="6">
        <f>B31-B30+B5</f>
        <v>0</v>
      </c>
      <c r="C33" s="6">
        <f>B33*52</f>
        <v>0</v>
      </c>
      <c r="D33" s="7">
        <f>IF($B$20=1,C33/$B$21,C33)</f>
        <v>0</v>
      </c>
      <c r="F33" s="8">
        <f>(F31-F30+H5)/52</f>
        <v>0</v>
      </c>
      <c r="G33" s="8"/>
      <c r="H33" s="8">
        <f>(F31-F30+H5)*52</f>
        <v>0</v>
      </c>
      <c r="I33" s="8"/>
      <c r="J33" s="8">
        <f>(J31-J30+L5)/52</f>
        <v>0</v>
      </c>
      <c r="K33" s="8"/>
      <c r="L33" s="8">
        <f>(J31-J30+L5)*52</f>
        <v>0</v>
      </c>
      <c r="R33" t="s">
        <v>1221</v>
      </c>
      <c r="S33" t="s">
        <v>25</v>
      </c>
      <c r="T33" t="s">
        <v>1218</v>
      </c>
    </row>
    <row r="34" spans="1:20" x14ac:dyDescent="0.25">
      <c r="F34" s="8"/>
      <c r="G34" s="8"/>
      <c r="H34" s="8"/>
      <c r="I34" s="8"/>
      <c r="J34" s="8"/>
      <c r="K34" s="8"/>
      <c r="L34" s="8"/>
      <c r="S34" t="s">
        <v>1220</v>
      </c>
      <c r="T34" t="s">
        <v>1218</v>
      </c>
    </row>
    <row r="35" spans="1:20" x14ac:dyDescent="0.25">
      <c r="F35" s="8"/>
      <c r="G35" s="8"/>
      <c r="H35" s="8"/>
      <c r="I35" s="8"/>
      <c r="J35" s="8"/>
      <c r="K35" s="8"/>
      <c r="L35" s="8"/>
      <c r="R35" t="s">
        <v>1093</v>
      </c>
      <c r="S35" t="s">
        <v>984</v>
      </c>
      <c r="T35" t="s">
        <v>1218</v>
      </c>
    </row>
    <row r="36" spans="1:20" ht="14.4" x14ac:dyDescent="0.3">
      <c r="A36" s="10" t="s">
        <v>951</v>
      </c>
      <c r="F36" s="8"/>
      <c r="G36" s="8"/>
      <c r="H36" s="8"/>
      <c r="I36" s="8"/>
      <c r="J36" s="8"/>
      <c r="K36" s="8"/>
      <c r="L36" s="8"/>
      <c r="S36" t="s">
        <v>985</v>
      </c>
      <c r="T36" t="s">
        <v>1218</v>
      </c>
    </row>
    <row r="37" spans="1:20" x14ac:dyDescent="0.25">
      <c r="A37" t="s">
        <v>948</v>
      </c>
      <c r="B37" s="6">
        <f>B13*(B8+B10+B18)</f>
        <v>0</v>
      </c>
      <c r="F37" s="8">
        <f>F13*(F8+F10)</f>
        <v>0</v>
      </c>
      <c r="G37" s="8"/>
      <c r="H37" s="8"/>
      <c r="I37" s="8"/>
      <c r="J37" s="8">
        <f>J13*(J8+J10)</f>
        <v>0</v>
      </c>
      <c r="K37" s="8"/>
      <c r="L37" s="8"/>
      <c r="S37" t="s">
        <v>1222</v>
      </c>
      <c r="T37" t="s">
        <v>1218</v>
      </c>
    </row>
    <row r="38" spans="1:20" x14ac:dyDescent="0.25">
      <c r="A38" t="s">
        <v>949</v>
      </c>
      <c r="B38" s="6">
        <f>B13*(B26+B27)</f>
        <v>0</v>
      </c>
      <c r="F38" s="8">
        <f>F13*(F26+F27)</f>
        <v>0</v>
      </c>
      <c r="G38" s="8"/>
      <c r="H38" s="8"/>
      <c r="I38" s="8"/>
      <c r="J38" s="8">
        <f>J13*(J26+J27)</f>
        <v>0</v>
      </c>
      <c r="K38" s="8"/>
      <c r="L38" s="8"/>
    </row>
    <row r="39" spans="1:20" x14ac:dyDescent="0.25">
      <c r="F39" s="8"/>
      <c r="G39" s="8"/>
      <c r="H39" s="8"/>
      <c r="I39" s="8"/>
      <c r="J39" s="8"/>
      <c r="K39" s="8"/>
      <c r="L39" s="8"/>
      <c r="R39" t="s">
        <v>1203</v>
      </c>
      <c r="T39" t="s">
        <v>1218</v>
      </c>
    </row>
    <row r="40" spans="1:20" x14ac:dyDescent="0.25">
      <c r="A40" t="s">
        <v>952</v>
      </c>
      <c r="B40" s="6">
        <f>B13+B38-B37</f>
        <v>0</v>
      </c>
      <c r="C40" s="6">
        <f>B40*52</f>
        <v>0</v>
      </c>
      <c r="D40" s="7">
        <f>IF($B$20=1,C40/$B$21,C40)</f>
        <v>0</v>
      </c>
      <c r="F40" s="8">
        <f>F13+F38-F37</f>
        <v>0</v>
      </c>
      <c r="G40" s="8"/>
      <c r="H40" s="8">
        <f>F40*52</f>
        <v>0</v>
      </c>
      <c r="I40" s="8"/>
      <c r="J40" s="8">
        <f>J13+J38-J37</f>
        <v>0</v>
      </c>
      <c r="K40" s="8"/>
      <c r="L40" s="8">
        <f>J40*52</f>
        <v>0</v>
      </c>
    </row>
    <row r="41" spans="1:20" x14ac:dyDescent="0.25">
      <c r="F41" s="8"/>
      <c r="G41" s="8"/>
      <c r="H41" s="8"/>
      <c r="I41" s="8"/>
      <c r="J41" s="8"/>
      <c r="K41" s="8"/>
      <c r="L41" s="8"/>
    </row>
    <row r="42" spans="1:20" x14ac:dyDescent="0.25">
      <c r="F42" s="8"/>
      <c r="G42" s="8"/>
      <c r="H42" s="8"/>
      <c r="I42" s="8"/>
      <c r="J42" s="8"/>
      <c r="K42" s="8"/>
      <c r="L42" s="8"/>
    </row>
    <row r="43" spans="1:20" ht="14.4" x14ac:dyDescent="0.3">
      <c r="A43" s="10" t="s">
        <v>953</v>
      </c>
      <c r="F43" s="8"/>
      <c r="G43" s="8"/>
      <c r="H43" s="8"/>
      <c r="I43" s="8"/>
      <c r="J43" s="8"/>
      <c r="K43" s="8"/>
      <c r="L43" s="8"/>
    </row>
    <row r="44" spans="1:20" x14ac:dyDescent="0.25">
      <c r="A44" t="s">
        <v>954</v>
      </c>
      <c r="F44" s="8"/>
      <c r="G44" s="8"/>
      <c r="H44" s="8"/>
      <c r="I44" s="8"/>
      <c r="J44" s="8"/>
      <c r="K44" s="8"/>
      <c r="L44" s="8"/>
    </row>
    <row r="45" spans="1:20" x14ac:dyDescent="0.25">
      <c r="F45" s="8"/>
      <c r="G45" s="8"/>
      <c r="H45" s="8"/>
      <c r="I45" s="8"/>
      <c r="J45" s="8"/>
      <c r="K45" s="8"/>
      <c r="L45" s="8"/>
    </row>
    <row r="46" spans="1:20" x14ac:dyDescent="0.25">
      <c r="A46" t="s">
        <v>948</v>
      </c>
      <c r="B46" s="6">
        <f>B25*(B8+B10+B18)</f>
        <v>0</v>
      </c>
      <c r="F46" s="8">
        <f>F25*(F8+F10)</f>
        <v>0</v>
      </c>
      <c r="G46" s="8"/>
      <c r="H46" s="8"/>
      <c r="I46" s="8"/>
      <c r="J46" s="8">
        <f>J25*(J8+J10)</f>
        <v>0</v>
      </c>
      <c r="K46" s="8"/>
      <c r="L46" s="8"/>
    </row>
    <row r="47" spans="1:20" x14ac:dyDescent="0.25">
      <c r="A47" t="s">
        <v>949</v>
      </c>
      <c r="B47" s="6">
        <f>B25*(B26+B27)</f>
        <v>0</v>
      </c>
      <c r="F47" s="8">
        <f>F25*(F26+F27)</f>
        <v>0</v>
      </c>
      <c r="G47" s="8"/>
      <c r="H47" s="8"/>
      <c r="I47" s="8"/>
      <c r="J47" s="8">
        <f>J25*(J26+J27)</f>
        <v>0</v>
      </c>
      <c r="K47" s="8"/>
      <c r="L47" s="8"/>
    </row>
    <row r="48" spans="1:20" x14ac:dyDescent="0.25">
      <c r="F48" s="8" t="s">
        <v>901</v>
      </c>
      <c r="G48" s="8"/>
      <c r="H48" s="8"/>
      <c r="I48" s="8"/>
      <c r="J48" s="8" t="s">
        <v>901</v>
      </c>
      <c r="K48" s="8"/>
      <c r="L48" s="8"/>
    </row>
    <row r="49" spans="1:40" x14ac:dyDescent="0.25">
      <c r="A49" t="s">
        <v>955</v>
      </c>
      <c r="B49" s="6">
        <f>B25+B47-B46</f>
        <v>0</v>
      </c>
      <c r="C49" s="6">
        <f>B49</f>
        <v>0</v>
      </c>
      <c r="D49" s="7">
        <f>IF($B$20=1,C49/$B$21,C49)</f>
        <v>0</v>
      </c>
      <c r="F49" s="8">
        <f>F25+F47-F46</f>
        <v>0</v>
      </c>
      <c r="G49" s="8">
        <f>F49</f>
        <v>0</v>
      </c>
      <c r="H49" s="8">
        <f>IF($F$20=1,G49/$F$21,G49)</f>
        <v>0</v>
      </c>
      <c r="I49" s="8"/>
      <c r="J49" s="8">
        <f>J25+J47-J46</f>
        <v>0</v>
      </c>
      <c r="K49" s="8">
        <f>J49</f>
        <v>0</v>
      </c>
      <c r="L49" s="8">
        <f>IF($J$20=1,K49/$J$21,K49)</f>
        <v>0</v>
      </c>
    </row>
    <row r="50" spans="1:40" x14ac:dyDescent="0.25">
      <c r="F50" t="s">
        <v>1022</v>
      </c>
      <c r="J50" t="s">
        <v>1022</v>
      </c>
    </row>
    <row r="51" spans="1:40" x14ac:dyDescent="0.25">
      <c r="F51">
        <v>0</v>
      </c>
      <c r="H51">
        <v>0</v>
      </c>
      <c r="J51">
        <f>K25*(1+(J8*(1-J9))-(J8+J10+J18)+(J10*(1-J11)))</f>
        <v>0</v>
      </c>
      <c r="K51">
        <f>J51</f>
        <v>0</v>
      </c>
      <c r="L51" s="8">
        <f>IF($J$20=1,K51/$J$21,K51)</f>
        <v>0</v>
      </c>
    </row>
    <row r="52" spans="1:40" x14ac:dyDescent="0.25">
      <c r="A52" s="1" t="s">
        <v>956</v>
      </c>
      <c r="M52" t="s">
        <v>1016</v>
      </c>
      <c r="Z52">
        <f>1-(NASL*NASLDC)</f>
        <v>1</v>
      </c>
    </row>
    <row r="53" spans="1:40" x14ac:dyDescent="0.25">
      <c r="A53" t="s">
        <v>1141</v>
      </c>
      <c r="B53" s="92" t="s">
        <v>1142</v>
      </c>
    </row>
    <row r="54" spans="1:40" x14ac:dyDescent="0.25">
      <c r="M54" t="s">
        <v>1207</v>
      </c>
      <c r="Q54">
        <f>(1-ROTT)*(1-(NASR*NASRDC) - (NASL*NASLDC))</f>
        <v>1</v>
      </c>
      <c r="R54">
        <f>(1-FU_ROTT)*(1-(FU_NASR*FU_NASRDC) - (FU_NASL*FU_NASLDC))</f>
        <v>1</v>
      </c>
      <c r="S54">
        <f>(1-IP_ROTT)*(1-(IP_NASR*IP_NASRDC) - (IP_NASL*IP_NASLDC))</f>
        <v>1</v>
      </c>
      <c r="Z54">
        <f>1-(NASL*NASLDC)</f>
        <v>1</v>
      </c>
      <c r="AA54">
        <f>1-(FU_NASL*FU_NASLDC)</f>
        <v>1</v>
      </c>
      <c r="AB54">
        <f>1-(IP_NASL*IP_NASLDC)</f>
        <v>1</v>
      </c>
    </row>
    <row r="55" spans="1:40" x14ac:dyDescent="0.25">
      <c r="A55" t="s">
        <v>1143</v>
      </c>
      <c r="B55" s="100">
        <f>'Reference dates (hide)'!B40</f>
        <v>43831</v>
      </c>
      <c r="C55" s="6" t="s">
        <v>1150</v>
      </c>
      <c r="G55" s="7"/>
      <c r="Q55" s="116" t="str">
        <f ca="1">IF(OFFSET('Control Sheet'!E$45,MID($A$1,6,LEN($A$1)-6),0,1,1)=0,"",OFFSET('Control Sheet'!E$45,MID($A$1,6,LEN($A$1)-6),0,1,1))</f>
        <v/>
      </c>
      <c r="R55" s="116" t="str">
        <f ca="1">IF(OFFSET('Control Sheet'!F$45,MID($A$1,6,LEN($A$1)-6),0,1,1)=0,"",OFFSET('Control Sheet'!F$45,MID($A$1,6,LEN($A$1)-6),0,1,1))</f>
        <v/>
      </c>
      <c r="S55" s="116" t="str">
        <f ca="1">IF(OFFSET('Control Sheet'!G$45,MID($A$1,6,LEN($A$1)-6),0,1,1)=0,"",OFFSET('Control Sheet'!G$45,MID($A$1,6,LEN($A$1)-6),0,1,1))</f>
        <v/>
      </c>
      <c r="T55" s="118" t="str">
        <f ca="1">IF(OFFSET('Control Sheet'!I$45,MID($A$1,6,LEN($A$1)-6),0,1,1)="0","",OFFSET('Control Sheet'!I$45,MID($A$1,6,LEN($A$1)-6),0,1,1))</f>
        <v/>
      </c>
      <c r="U55" s="118" t="str">
        <f ca="1">IF(OFFSET('Control Sheet'!J$45,MID($A$1,6,LEN($A$1)-6),0,1,1)=0,"",OFFSET('Control Sheet'!J$45,MID($A$1,6,LEN($A$1)-6),0,1,1))</f>
        <v/>
      </c>
      <c r="V55" s="118" t="str">
        <f ca="1">IF(OFFSET('Control Sheet'!K$45,MID($A$1,6,LEN($A$1)-6),0,1,1)=0,"",OFFSET('Control Sheet'!K$45,MID($A$1,6,LEN($A$1)-6),0,1,1))</f>
        <v/>
      </c>
    </row>
    <row r="56" spans="1:40" ht="14.4" x14ac:dyDescent="0.3">
      <c r="A56" t="s">
        <v>1202</v>
      </c>
      <c r="C56" s="6" t="s">
        <v>1204</v>
      </c>
      <c r="D56" s="6"/>
      <c r="E56" s="7"/>
      <c r="F56" t="s">
        <v>860</v>
      </c>
      <c r="N56" s="6"/>
      <c r="O56" s="6"/>
      <c r="P56" s="7"/>
      <c r="Q56" s="93" t="s">
        <v>1236</v>
      </c>
      <c r="R56" s="6"/>
      <c r="T56" s="107" t="s">
        <v>1093</v>
      </c>
      <c r="Z56" s="93" t="s">
        <v>1212</v>
      </c>
      <c r="AC56" s="108" t="s">
        <v>1276</v>
      </c>
      <c r="AF56" s="1" t="s">
        <v>1306</v>
      </c>
      <c r="AI56" t="s">
        <v>1275</v>
      </c>
      <c r="AL56" t="s">
        <v>1312</v>
      </c>
    </row>
    <row r="57" spans="1:40" x14ac:dyDescent="0.25">
      <c r="A57" s="1" t="s">
        <v>1144</v>
      </c>
      <c r="B57" s="1" t="s">
        <v>1151</v>
      </c>
      <c r="C57" s="94" t="s">
        <v>1203</v>
      </c>
      <c r="D57" s="94" t="s">
        <v>984</v>
      </c>
      <c r="E57" s="111" t="s">
        <v>985</v>
      </c>
      <c r="F57" s="1" t="s">
        <v>951</v>
      </c>
      <c r="G57" s="1" t="s">
        <v>1205</v>
      </c>
      <c r="H57" s="1" t="s">
        <v>1206</v>
      </c>
      <c r="I57" s="1" t="s">
        <v>25</v>
      </c>
      <c r="J57" s="1" t="s">
        <v>1220</v>
      </c>
      <c r="K57" s="1" t="s">
        <v>1266</v>
      </c>
      <c r="M57" s="1" t="s">
        <v>1144</v>
      </c>
      <c r="N57" s="94" t="s">
        <v>1159</v>
      </c>
      <c r="O57" s="94" t="s">
        <v>1151</v>
      </c>
      <c r="P57" s="7" t="s">
        <v>1201</v>
      </c>
      <c r="Q57" s="6" t="s">
        <v>1196</v>
      </c>
      <c r="R57" s="6" t="s">
        <v>1197</v>
      </c>
      <c r="S57" s="7" t="s">
        <v>1198</v>
      </c>
      <c r="T57" s="109" t="s">
        <v>1188</v>
      </c>
      <c r="U57" s="109" t="s">
        <v>1189</v>
      </c>
      <c r="V57" s="109" t="s">
        <v>1190</v>
      </c>
      <c r="W57" s="110" t="s">
        <v>1191</v>
      </c>
      <c r="X57" s="110" t="s">
        <v>1192</v>
      </c>
      <c r="Y57" s="110" t="s">
        <v>1193</v>
      </c>
      <c r="Z57" s="57">
        <v>1</v>
      </c>
      <c r="AA57">
        <v>2</v>
      </c>
      <c r="AB57">
        <v>3</v>
      </c>
      <c r="AC57" t="s">
        <v>1146</v>
      </c>
      <c r="AD57" t="s">
        <v>1147</v>
      </c>
      <c r="AE57" t="s">
        <v>1148</v>
      </c>
      <c r="AF57" t="s">
        <v>1146</v>
      </c>
      <c r="AG57" t="s">
        <v>1147</v>
      </c>
      <c r="AH57" t="s">
        <v>1148</v>
      </c>
      <c r="AI57" t="s">
        <v>1146</v>
      </c>
      <c r="AJ57" t="s">
        <v>1147</v>
      </c>
      <c r="AK57" t="s">
        <v>1148</v>
      </c>
      <c r="AL57" t="s">
        <v>1146</v>
      </c>
      <c r="AM57" t="s">
        <v>1147</v>
      </c>
      <c r="AN57" t="s">
        <v>1148</v>
      </c>
    </row>
    <row r="58" spans="1:40" x14ac:dyDescent="0.25">
      <c r="B58"/>
      <c r="C58"/>
      <c r="D58"/>
      <c r="M58" s="101">
        <f>IF(B55&lt;&gt;"",B55-WEEKDAY(B55,3),"")</f>
        <v>43829</v>
      </c>
      <c r="N58" s="99">
        <f>YEAR(M58)</f>
        <v>2019</v>
      </c>
      <c r="O58" s="8">
        <f>WEEKNUM(M58,21)</f>
        <v>1</v>
      </c>
      <c r="P58">
        <f ca="1">'Reference dates (hide)'!K43</f>
        <v>7.874015748031496E-3</v>
      </c>
    </row>
    <row r="59" spans="1:40" x14ac:dyDescent="0.25">
      <c r="B59"/>
      <c r="C59"/>
      <c r="D59"/>
      <c r="M59" s="101">
        <f>IF('Reference dates (hide)'!I44&lt;&gt;"",'Reference dates (hide)'!I44,"")</f>
        <v>43836</v>
      </c>
      <c r="N59" s="99">
        <f t="shared" ref="N59:N110" si="0">YEAR(M59)</f>
        <v>2020</v>
      </c>
      <c r="O59" s="8">
        <f t="shared" ref="O59:O110" si="1">WEEKNUM(M59,21)</f>
        <v>2</v>
      </c>
      <c r="P59">
        <f ca="1">'Reference dates (hide)'!K44</f>
        <v>1.968503937007874E-2</v>
      </c>
    </row>
    <row r="60" spans="1:40" x14ac:dyDescent="0.25">
      <c r="B60"/>
      <c r="C60"/>
      <c r="D60"/>
      <c r="M60" s="101">
        <f>IF('Reference dates (hide)'!I45&lt;&gt;"",'Reference dates (hide)'!I45,"")</f>
        <v>43843</v>
      </c>
      <c r="N60" s="99">
        <f t="shared" si="0"/>
        <v>2020</v>
      </c>
      <c r="O60" s="8">
        <f t="shared" si="1"/>
        <v>3</v>
      </c>
      <c r="P60">
        <f ca="1">'Reference dates (hide)'!K45</f>
        <v>1.968503937007874E-2</v>
      </c>
    </row>
    <row r="61" spans="1:40" x14ac:dyDescent="0.25">
      <c r="B61"/>
      <c r="C61"/>
      <c r="D61"/>
      <c r="M61" s="101">
        <f>IF('Reference dates (hide)'!I46&lt;&gt;"",'Reference dates (hide)'!I46,"")</f>
        <v>43850</v>
      </c>
      <c r="N61" s="99">
        <f t="shared" si="0"/>
        <v>2020</v>
      </c>
      <c r="O61" s="8">
        <f t="shared" si="1"/>
        <v>4</v>
      </c>
      <c r="P61">
        <f ca="1">'Reference dates (hide)'!K46</f>
        <v>1.968503937007874E-2</v>
      </c>
    </row>
    <row r="62" spans="1:40" x14ac:dyDescent="0.25">
      <c r="B62"/>
      <c r="C62"/>
      <c r="D62"/>
      <c r="M62" s="101">
        <f>IF('Reference dates (hide)'!I47&lt;&gt;"",'Reference dates (hide)'!I47,"")</f>
        <v>43857</v>
      </c>
      <c r="N62" s="99">
        <f t="shared" si="0"/>
        <v>2020</v>
      </c>
      <c r="O62" s="8">
        <f t="shared" si="1"/>
        <v>5</v>
      </c>
      <c r="P62">
        <f ca="1">'Reference dates (hide)'!K47</f>
        <v>1.968503937007874E-2</v>
      </c>
    </row>
    <row r="63" spans="1:40" x14ac:dyDescent="0.25">
      <c r="B63"/>
      <c r="C63"/>
      <c r="D63"/>
      <c r="M63" s="101">
        <f>IF('Reference dates (hide)'!I48&lt;&gt;"",'Reference dates (hide)'!I48,"")</f>
        <v>43864</v>
      </c>
      <c r="N63" s="99">
        <f t="shared" si="0"/>
        <v>2020</v>
      </c>
      <c r="O63" s="8">
        <f t="shared" si="1"/>
        <v>6</v>
      </c>
      <c r="P63">
        <f ca="1">'Reference dates (hide)'!K48</f>
        <v>1.968503937007874E-2</v>
      </c>
    </row>
    <row r="64" spans="1:40" x14ac:dyDescent="0.25">
      <c r="B64"/>
      <c r="C64"/>
      <c r="D64"/>
      <c r="M64" s="101">
        <f>IF('Reference dates (hide)'!I49&lt;&gt;"",'Reference dates (hide)'!I49,"")</f>
        <v>43871</v>
      </c>
      <c r="N64" s="99">
        <f t="shared" si="0"/>
        <v>2020</v>
      </c>
      <c r="O64" s="8">
        <f t="shared" si="1"/>
        <v>7</v>
      </c>
      <c r="P64">
        <f ca="1">'Reference dates (hide)'!K49</f>
        <v>1.968503937007874E-2</v>
      </c>
    </row>
    <row r="65" spans="2:16" x14ac:dyDescent="0.25">
      <c r="B65"/>
      <c r="C65"/>
      <c r="D65"/>
      <c r="M65" s="101">
        <f>IF('Reference dates (hide)'!I50&lt;&gt;"",'Reference dates (hide)'!I50,"")</f>
        <v>43878</v>
      </c>
      <c r="N65" s="99">
        <f t="shared" si="0"/>
        <v>2020</v>
      </c>
      <c r="O65" s="8">
        <f t="shared" si="1"/>
        <v>8</v>
      </c>
      <c r="P65">
        <f ca="1">'Reference dates (hide)'!K50</f>
        <v>1.968503937007874E-2</v>
      </c>
    </row>
    <row r="66" spans="2:16" x14ac:dyDescent="0.25">
      <c r="B66"/>
      <c r="C66"/>
      <c r="D66"/>
      <c r="M66" s="101">
        <f>IF('Reference dates (hide)'!I51&lt;&gt;"",'Reference dates (hide)'!I51,"")</f>
        <v>43885</v>
      </c>
      <c r="N66" s="99">
        <f t="shared" si="0"/>
        <v>2020</v>
      </c>
      <c r="O66" s="8">
        <f t="shared" si="1"/>
        <v>9</v>
      </c>
      <c r="P66">
        <f ca="1">'Reference dates (hide)'!K51</f>
        <v>1.968503937007874E-2</v>
      </c>
    </row>
    <row r="67" spans="2:16" x14ac:dyDescent="0.25">
      <c r="B67"/>
      <c r="C67"/>
      <c r="D67"/>
      <c r="M67" s="101">
        <f>IF('Reference dates (hide)'!I52&lt;&gt;"",'Reference dates (hide)'!I52,"")</f>
        <v>43892</v>
      </c>
      <c r="N67" s="99">
        <f t="shared" si="0"/>
        <v>2020</v>
      </c>
      <c r="O67" s="8">
        <f t="shared" si="1"/>
        <v>10</v>
      </c>
      <c r="P67">
        <f ca="1">'Reference dates (hide)'!K52</f>
        <v>1.968503937007874E-2</v>
      </c>
    </row>
    <row r="68" spans="2:16" x14ac:dyDescent="0.25">
      <c r="B68"/>
      <c r="C68"/>
      <c r="D68"/>
      <c r="M68" s="101">
        <f>IF('Reference dates (hide)'!I53&lt;&gt;"",'Reference dates (hide)'!I53,"")</f>
        <v>43899</v>
      </c>
      <c r="N68" s="99">
        <f t="shared" si="0"/>
        <v>2020</v>
      </c>
      <c r="O68" s="8">
        <f t="shared" si="1"/>
        <v>11</v>
      </c>
      <c r="P68">
        <f ca="1">'Reference dates (hide)'!K53</f>
        <v>1.968503937007874E-2</v>
      </c>
    </row>
    <row r="69" spans="2:16" x14ac:dyDescent="0.25">
      <c r="B69"/>
      <c r="C69"/>
      <c r="D69"/>
      <c r="M69" s="101">
        <f>IF('Reference dates (hide)'!I54&lt;&gt;"",'Reference dates (hide)'!I54,"")</f>
        <v>43906</v>
      </c>
      <c r="N69" s="99">
        <f t="shared" si="0"/>
        <v>2020</v>
      </c>
      <c r="O69" s="8">
        <f t="shared" si="1"/>
        <v>12</v>
      </c>
      <c r="P69">
        <f ca="1">'Reference dates (hide)'!K54</f>
        <v>1.968503937007874E-2</v>
      </c>
    </row>
    <row r="70" spans="2:16" x14ac:dyDescent="0.25">
      <c r="B70"/>
      <c r="C70"/>
      <c r="D70"/>
      <c r="M70" s="101">
        <f>IF('Reference dates (hide)'!I55&lt;&gt;"",'Reference dates (hide)'!I55,"")</f>
        <v>43913</v>
      </c>
      <c r="N70" s="99">
        <f t="shared" si="0"/>
        <v>2020</v>
      </c>
      <c r="O70" s="8">
        <f t="shared" si="1"/>
        <v>13</v>
      </c>
      <c r="P70">
        <f ca="1">'Reference dates (hide)'!K55</f>
        <v>1.968503937007874E-2</v>
      </c>
    </row>
    <row r="71" spans="2:16" x14ac:dyDescent="0.25">
      <c r="B71"/>
      <c r="C71"/>
      <c r="D71"/>
      <c r="M71" s="101">
        <f>IF('Reference dates (hide)'!I56&lt;&gt;"",'Reference dates (hide)'!I56,"")</f>
        <v>43920</v>
      </c>
      <c r="N71" s="99">
        <f t="shared" si="0"/>
        <v>2020</v>
      </c>
      <c r="O71" s="8">
        <f t="shared" si="1"/>
        <v>14</v>
      </c>
      <c r="P71">
        <f ca="1">'Reference dates (hide)'!K56</f>
        <v>1.968503937007874E-2</v>
      </c>
    </row>
    <row r="72" spans="2:16" x14ac:dyDescent="0.25">
      <c r="B72"/>
      <c r="C72"/>
      <c r="D72"/>
      <c r="M72" s="101">
        <f>IF('Reference dates (hide)'!I57&lt;&gt;"",'Reference dates (hide)'!I57,"")</f>
        <v>43927</v>
      </c>
      <c r="N72" s="99">
        <f t="shared" si="0"/>
        <v>2020</v>
      </c>
      <c r="O72" s="8">
        <f t="shared" si="1"/>
        <v>15</v>
      </c>
      <c r="P72">
        <f ca="1">'Reference dates (hide)'!K57</f>
        <v>1.5748031496062992E-2</v>
      </c>
    </row>
    <row r="73" spans="2:16" x14ac:dyDescent="0.25">
      <c r="B73"/>
      <c r="C73"/>
      <c r="D73"/>
      <c r="M73" s="101">
        <f>IF('Reference dates (hide)'!I58&lt;&gt;"",'Reference dates (hide)'!I58,"")</f>
        <v>43934</v>
      </c>
      <c r="N73" s="99">
        <f t="shared" si="0"/>
        <v>2020</v>
      </c>
      <c r="O73" s="8">
        <f t="shared" si="1"/>
        <v>16</v>
      </c>
      <c r="P73">
        <f ca="1">'Reference dates (hide)'!K58</f>
        <v>1.5748031496062992E-2</v>
      </c>
    </row>
    <row r="74" spans="2:16" x14ac:dyDescent="0.25">
      <c r="B74"/>
      <c r="C74"/>
      <c r="D74"/>
      <c r="M74" s="101">
        <f>IF('Reference dates (hide)'!I59&lt;&gt;"",'Reference dates (hide)'!I59,"")</f>
        <v>43941</v>
      </c>
      <c r="N74" s="99">
        <f t="shared" si="0"/>
        <v>2020</v>
      </c>
      <c r="O74" s="8">
        <f t="shared" si="1"/>
        <v>17</v>
      </c>
      <c r="P74">
        <f ca="1">'Reference dates (hide)'!K59</f>
        <v>1.968503937007874E-2</v>
      </c>
    </row>
    <row r="75" spans="2:16" x14ac:dyDescent="0.25">
      <c r="B75"/>
      <c r="C75"/>
      <c r="D75"/>
      <c r="M75" s="101">
        <f>IF('Reference dates (hide)'!I60&lt;&gt;"",'Reference dates (hide)'!I60,"")</f>
        <v>43948</v>
      </c>
      <c r="N75" s="99">
        <f t="shared" si="0"/>
        <v>2020</v>
      </c>
      <c r="O75" s="8">
        <f t="shared" si="1"/>
        <v>18</v>
      </c>
      <c r="P75">
        <f ca="1">'Reference dates (hide)'!K60</f>
        <v>1.968503937007874E-2</v>
      </c>
    </row>
    <row r="76" spans="2:16" x14ac:dyDescent="0.25">
      <c r="B76"/>
      <c r="C76"/>
      <c r="D76"/>
      <c r="M76" s="101">
        <f>IF('Reference dates (hide)'!I61&lt;&gt;"",'Reference dates (hide)'!I61,"")</f>
        <v>43955</v>
      </c>
      <c r="N76" s="99">
        <f t="shared" si="0"/>
        <v>2020</v>
      </c>
      <c r="O76" s="8">
        <f t="shared" si="1"/>
        <v>19</v>
      </c>
      <c r="P76">
        <f ca="1">'Reference dates (hide)'!K61</f>
        <v>1.5748031496062992E-2</v>
      </c>
    </row>
    <row r="77" spans="2:16" x14ac:dyDescent="0.25">
      <c r="B77"/>
      <c r="C77"/>
      <c r="D77"/>
      <c r="M77" s="101">
        <f>IF('Reference dates (hide)'!I62&lt;&gt;"",'Reference dates (hide)'!I62,"")</f>
        <v>43962</v>
      </c>
      <c r="N77" s="99">
        <f t="shared" si="0"/>
        <v>2020</v>
      </c>
      <c r="O77" s="8">
        <f t="shared" si="1"/>
        <v>20</v>
      </c>
      <c r="P77">
        <f ca="1">'Reference dates (hide)'!K62</f>
        <v>1.968503937007874E-2</v>
      </c>
    </row>
    <row r="78" spans="2:16" x14ac:dyDescent="0.25">
      <c r="B78"/>
      <c r="C78"/>
      <c r="D78"/>
      <c r="M78" s="101">
        <f>IF('Reference dates (hide)'!I63&lt;&gt;"",'Reference dates (hide)'!I63,"")</f>
        <v>43969</v>
      </c>
      <c r="N78" s="99">
        <f t="shared" si="0"/>
        <v>2020</v>
      </c>
      <c r="O78" s="8">
        <f t="shared" si="1"/>
        <v>21</v>
      </c>
      <c r="P78">
        <f ca="1">'Reference dates (hide)'!K63</f>
        <v>1.968503937007874E-2</v>
      </c>
    </row>
    <row r="79" spans="2:16" x14ac:dyDescent="0.25">
      <c r="B79"/>
      <c r="C79"/>
      <c r="D79"/>
      <c r="M79" s="101">
        <f>IF('Reference dates (hide)'!I64&lt;&gt;"",'Reference dates (hide)'!I64,"")</f>
        <v>43976</v>
      </c>
      <c r="N79" s="99">
        <f t="shared" si="0"/>
        <v>2020</v>
      </c>
      <c r="O79" s="8">
        <f t="shared" si="1"/>
        <v>22</v>
      </c>
      <c r="P79">
        <f ca="1">'Reference dates (hide)'!K64</f>
        <v>1.5748031496062992E-2</v>
      </c>
    </row>
    <row r="80" spans="2:16" x14ac:dyDescent="0.25">
      <c r="B80"/>
      <c r="C80"/>
      <c r="D80"/>
      <c r="M80" s="101">
        <f>IF('Reference dates (hide)'!I65&lt;&gt;"",'Reference dates (hide)'!I65,"")</f>
        <v>43983</v>
      </c>
      <c r="N80" s="99">
        <f t="shared" si="0"/>
        <v>2020</v>
      </c>
      <c r="O80" s="8">
        <f t="shared" si="1"/>
        <v>23</v>
      </c>
      <c r="P80">
        <f ca="1">'Reference dates (hide)'!K65</f>
        <v>1.968503937007874E-2</v>
      </c>
    </row>
    <row r="81" spans="2:16" x14ac:dyDescent="0.25">
      <c r="B81"/>
      <c r="C81"/>
      <c r="D81"/>
      <c r="M81" s="101">
        <f>IF('Reference dates (hide)'!I66&lt;&gt;"",'Reference dates (hide)'!I66,"")</f>
        <v>43990</v>
      </c>
      <c r="N81" s="99">
        <f t="shared" si="0"/>
        <v>2020</v>
      </c>
      <c r="O81" s="8">
        <f t="shared" si="1"/>
        <v>24</v>
      </c>
      <c r="P81">
        <f ca="1">'Reference dates (hide)'!K66</f>
        <v>1.968503937007874E-2</v>
      </c>
    </row>
    <row r="82" spans="2:16" x14ac:dyDescent="0.25">
      <c r="B82"/>
      <c r="C82"/>
      <c r="D82"/>
      <c r="M82" s="101">
        <f>IF('Reference dates (hide)'!I67&lt;&gt;"",'Reference dates (hide)'!I67,"")</f>
        <v>43997</v>
      </c>
      <c r="N82" s="99">
        <f t="shared" si="0"/>
        <v>2020</v>
      </c>
      <c r="O82" s="8">
        <f t="shared" si="1"/>
        <v>25</v>
      </c>
      <c r="P82">
        <f ca="1">'Reference dates (hide)'!K67</f>
        <v>1.968503937007874E-2</v>
      </c>
    </row>
    <row r="83" spans="2:16" x14ac:dyDescent="0.25">
      <c r="B83"/>
      <c r="C83"/>
      <c r="D83"/>
      <c r="M83" s="101">
        <f>IF('Reference dates (hide)'!I68&lt;&gt;"",'Reference dates (hide)'!I68,"")</f>
        <v>44004</v>
      </c>
      <c r="N83" s="99">
        <f t="shared" si="0"/>
        <v>2020</v>
      </c>
      <c r="O83" s="8">
        <f t="shared" si="1"/>
        <v>26</v>
      </c>
      <c r="P83">
        <f ca="1">'Reference dates (hide)'!K68</f>
        <v>1.968503937007874E-2</v>
      </c>
    </row>
    <row r="84" spans="2:16" x14ac:dyDescent="0.25">
      <c r="B84"/>
      <c r="C84"/>
      <c r="D84"/>
      <c r="M84" s="101">
        <f>IF('Reference dates (hide)'!I69&lt;&gt;"",'Reference dates (hide)'!I69,"")</f>
        <v>44011</v>
      </c>
      <c r="N84" s="99">
        <f t="shared" si="0"/>
        <v>2020</v>
      </c>
      <c r="O84" s="8">
        <f t="shared" si="1"/>
        <v>27</v>
      </c>
      <c r="P84">
        <f ca="1">'Reference dates (hide)'!K69</f>
        <v>1.968503937007874E-2</v>
      </c>
    </row>
    <row r="85" spans="2:16" x14ac:dyDescent="0.25">
      <c r="B85"/>
      <c r="C85"/>
      <c r="D85"/>
      <c r="M85" s="101">
        <f>IF('Reference dates (hide)'!I70&lt;&gt;"",'Reference dates (hide)'!I70,"")</f>
        <v>44018</v>
      </c>
      <c r="N85" s="99">
        <f t="shared" si="0"/>
        <v>2020</v>
      </c>
      <c r="O85" s="8">
        <f t="shared" si="1"/>
        <v>28</v>
      </c>
      <c r="P85">
        <f ca="1">'Reference dates (hide)'!K70</f>
        <v>1.968503937007874E-2</v>
      </c>
    </row>
    <row r="86" spans="2:16" x14ac:dyDescent="0.25">
      <c r="B86"/>
      <c r="C86"/>
      <c r="D86"/>
      <c r="M86" s="101">
        <f>IF('Reference dates (hide)'!I71&lt;&gt;"",'Reference dates (hide)'!I71,"")</f>
        <v>44025</v>
      </c>
      <c r="N86" s="99">
        <f t="shared" si="0"/>
        <v>2020</v>
      </c>
      <c r="O86" s="8">
        <f t="shared" si="1"/>
        <v>29</v>
      </c>
      <c r="P86">
        <f ca="1">'Reference dates (hide)'!K71</f>
        <v>1.968503937007874E-2</v>
      </c>
    </row>
    <row r="87" spans="2:16" x14ac:dyDescent="0.25">
      <c r="B87"/>
      <c r="C87"/>
      <c r="D87"/>
      <c r="M87" s="101">
        <f>IF('Reference dates (hide)'!I72&lt;&gt;"",'Reference dates (hide)'!I72,"")</f>
        <v>44032</v>
      </c>
      <c r="N87" s="99">
        <f t="shared" si="0"/>
        <v>2020</v>
      </c>
      <c r="O87" s="8">
        <f t="shared" si="1"/>
        <v>30</v>
      </c>
      <c r="P87">
        <f ca="1">'Reference dates (hide)'!K72</f>
        <v>1.968503937007874E-2</v>
      </c>
    </row>
    <row r="88" spans="2:16" x14ac:dyDescent="0.25">
      <c r="B88"/>
      <c r="C88"/>
      <c r="D88"/>
      <c r="M88" s="101">
        <f>IF('Reference dates (hide)'!I73&lt;&gt;"",'Reference dates (hide)'!I73,"")</f>
        <v>44039</v>
      </c>
      <c r="N88" s="99">
        <f t="shared" si="0"/>
        <v>2020</v>
      </c>
      <c r="O88" s="8">
        <f t="shared" si="1"/>
        <v>31</v>
      </c>
      <c r="P88">
        <f ca="1">'Reference dates (hide)'!K73</f>
        <v>1.968503937007874E-2</v>
      </c>
    </row>
    <row r="89" spans="2:16" x14ac:dyDescent="0.25">
      <c r="B89"/>
      <c r="C89"/>
      <c r="D89"/>
      <c r="M89" s="101">
        <f>IF('Reference dates (hide)'!I74&lt;&gt;"",'Reference dates (hide)'!I74,"")</f>
        <v>44046</v>
      </c>
      <c r="N89" s="99">
        <f t="shared" si="0"/>
        <v>2020</v>
      </c>
      <c r="O89" s="8">
        <f t="shared" si="1"/>
        <v>32</v>
      </c>
      <c r="P89">
        <f ca="1">'Reference dates (hide)'!K74</f>
        <v>1.968503937007874E-2</v>
      </c>
    </row>
    <row r="90" spans="2:16" x14ac:dyDescent="0.25">
      <c r="B90"/>
      <c r="C90"/>
      <c r="D90"/>
      <c r="M90" s="101">
        <f>IF('Reference dates (hide)'!I75&lt;&gt;"",'Reference dates (hide)'!I75,"")</f>
        <v>44053</v>
      </c>
      <c r="N90" s="99">
        <f t="shared" si="0"/>
        <v>2020</v>
      </c>
      <c r="O90" s="8">
        <f t="shared" si="1"/>
        <v>33</v>
      </c>
      <c r="P90">
        <f ca="1">'Reference dates (hide)'!K75</f>
        <v>1.968503937007874E-2</v>
      </c>
    </row>
    <row r="91" spans="2:16" x14ac:dyDescent="0.25">
      <c r="B91"/>
      <c r="C91"/>
      <c r="D91"/>
      <c r="M91" s="101">
        <f>IF('Reference dates (hide)'!I76&lt;&gt;"",'Reference dates (hide)'!I76,"")</f>
        <v>44060</v>
      </c>
      <c r="N91" s="99">
        <f t="shared" si="0"/>
        <v>2020</v>
      </c>
      <c r="O91" s="8">
        <f t="shared" si="1"/>
        <v>34</v>
      </c>
      <c r="P91">
        <f ca="1">'Reference dates (hide)'!K76</f>
        <v>1.968503937007874E-2</v>
      </c>
    </row>
    <row r="92" spans="2:16" x14ac:dyDescent="0.25">
      <c r="B92"/>
      <c r="C92"/>
      <c r="D92"/>
      <c r="M92" s="101">
        <f>IF('Reference dates (hide)'!I77&lt;&gt;"",'Reference dates (hide)'!I77,"")</f>
        <v>44067</v>
      </c>
      <c r="N92" s="99">
        <f t="shared" si="0"/>
        <v>2020</v>
      </c>
      <c r="O92" s="8">
        <f t="shared" si="1"/>
        <v>35</v>
      </c>
      <c r="P92">
        <f ca="1">'Reference dates (hide)'!K77</f>
        <v>1.968503937007874E-2</v>
      </c>
    </row>
    <row r="93" spans="2:16" x14ac:dyDescent="0.25">
      <c r="B93"/>
      <c r="C93"/>
      <c r="D93"/>
      <c r="M93" s="101">
        <f>IF('Reference dates (hide)'!I78&lt;&gt;"",'Reference dates (hide)'!I78,"")</f>
        <v>44074</v>
      </c>
      <c r="N93" s="99">
        <f t="shared" si="0"/>
        <v>2020</v>
      </c>
      <c r="O93" s="8">
        <f t="shared" si="1"/>
        <v>36</v>
      </c>
      <c r="P93">
        <f ca="1">'Reference dates (hide)'!K78</f>
        <v>1.5748031496062992E-2</v>
      </c>
    </row>
    <row r="94" spans="2:16" x14ac:dyDescent="0.25">
      <c r="B94"/>
      <c r="C94"/>
      <c r="D94"/>
      <c r="M94" s="101">
        <f>IF('Reference dates (hide)'!I79&lt;&gt;"",'Reference dates (hide)'!I79,"")</f>
        <v>44081</v>
      </c>
      <c r="N94" s="99">
        <f t="shared" si="0"/>
        <v>2020</v>
      </c>
      <c r="O94" s="8">
        <f t="shared" si="1"/>
        <v>37</v>
      </c>
      <c r="P94">
        <f ca="1">'Reference dates (hide)'!K79</f>
        <v>1.968503937007874E-2</v>
      </c>
    </row>
    <row r="95" spans="2:16" x14ac:dyDescent="0.25">
      <c r="B95"/>
      <c r="C95"/>
      <c r="D95"/>
      <c r="M95" s="101">
        <f>IF('Reference dates (hide)'!I80&lt;&gt;"",'Reference dates (hide)'!I80,"")</f>
        <v>44088</v>
      </c>
      <c r="N95" s="99">
        <f t="shared" si="0"/>
        <v>2020</v>
      </c>
      <c r="O95" s="8">
        <f t="shared" si="1"/>
        <v>38</v>
      </c>
      <c r="P95">
        <f ca="1">'Reference dates (hide)'!K80</f>
        <v>1.968503937007874E-2</v>
      </c>
    </row>
    <row r="96" spans="2:16" x14ac:dyDescent="0.25">
      <c r="B96"/>
      <c r="C96"/>
      <c r="D96"/>
      <c r="M96" s="101">
        <f>IF('Reference dates (hide)'!I81&lt;&gt;"",'Reference dates (hide)'!I81,"")</f>
        <v>44095</v>
      </c>
      <c r="N96" s="99">
        <f t="shared" si="0"/>
        <v>2020</v>
      </c>
      <c r="O96" s="8">
        <f t="shared" si="1"/>
        <v>39</v>
      </c>
      <c r="P96">
        <f ca="1">'Reference dates (hide)'!K81</f>
        <v>1.968503937007874E-2</v>
      </c>
    </row>
    <row r="97" spans="2:31" x14ac:dyDescent="0.25">
      <c r="B97"/>
      <c r="C97"/>
      <c r="D97"/>
      <c r="M97" s="101">
        <f>IF('Reference dates (hide)'!I82&lt;&gt;"",'Reference dates (hide)'!I82,"")</f>
        <v>44102</v>
      </c>
      <c r="N97" s="99">
        <f t="shared" si="0"/>
        <v>2020</v>
      </c>
      <c r="O97" s="8">
        <f t="shared" si="1"/>
        <v>40</v>
      </c>
      <c r="P97">
        <f ca="1">'Reference dates (hide)'!K82</f>
        <v>1.968503937007874E-2</v>
      </c>
    </row>
    <row r="98" spans="2:31" x14ac:dyDescent="0.25">
      <c r="B98"/>
      <c r="C98"/>
      <c r="D98"/>
      <c r="M98" s="101">
        <f>IF('Reference dates (hide)'!I83&lt;&gt;"",'Reference dates (hide)'!I83,"")</f>
        <v>44109</v>
      </c>
      <c r="N98" s="99">
        <f t="shared" si="0"/>
        <v>2020</v>
      </c>
      <c r="O98" s="8">
        <f t="shared" si="1"/>
        <v>41</v>
      </c>
      <c r="P98">
        <f ca="1">'Reference dates (hide)'!K83</f>
        <v>1.968503937007874E-2</v>
      </c>
    </row>
    <row r="99" spans="2:31" x14ac:dyDescent="0.25">
      <c r="B99"/>
      <c r="C99"/>
      <c r="D99"/>
      <c r="M99" s="101">
        <f>IF('Reference dates (hide)'!I84&lt;&gt;"",'Reference dates (hide)'!I84,"")</f>
        <v>44116</v>
      </c>
      <c r="N99" s="99">
        <f t="shared" si="0"/>
        <v>2020</v>
      </c>
      <c r="O99" s="8">
        <f t="shared" si="1"/>
        <v>42</v>
      </c>
      <c r="P99">
        <f ca="1">'Reference dates (hide)'!K84</f>
        <v>1.968503937007874E-2</v>
      </c>
    </row>
    <row r="100" spans="2:31" x14ac:dyDescent="0.25">
      <c r="B100"/>
      <c r="C100"/>
      <c r="D100"/>
      <c r="M100" s="101">
        <f>IF('Reference dates (hide)'!I85&lt;&gt;"",'Reference dates (hide)'!I85,"")</f>
        <v>44123</v>
      </c>
      <c r="N100" s="99">
        <f t="shared" si="0"/>
        <v>2020</v>
      </c>
      <c r="O100" s="8">
        <f t="shared" si="1"/>
        <v>43</v>
      </c>
      <c r="P100">
        <f ca="1">'Reference dates (hide)'!K85</f>
        <v>1.968503937007874E-2</v>
      </c>
    </row>
    <row r="101" spans="2:31" x14ac:dyDescent="0.25">
      <c r="B101"/>
      <c r="C101"/>
      <c r="D101"/>
      <c r="M101" s="101">
        <f>IF('Reference dates (hide)'!I86&lt;&gt;"",'Reference dates (hide)'!I86,"")</f>
        <v>44130</v>
      </c>
      <c r="N101" s="99">
        <f t="shared" si="0"/>
        <v>2020</v>
      </c>
      <c r="O101" s="8">
        <f t="shared" si="1"/>
        <v>44</v>
      </c>
      <c r="P101">
        <f ca="1">'Reference dates (hide)'!K86</f>
        <v>1.968503937007874E-2</v>
      </c>
    </row>
    <row r="102" spans="2:31" x14ac:dyDescent="0.25">
      <c r="B102"/>
      <c r="C102"/>
      <c r="D102"/>
      <c r="M102" s="101">
        <f>IF('Reference dates (hide)'!I87&lt;&gt;"",'Reference dates (hide)'!I87,"")</f>
        <v>44137</v>
      </c>
      <c r="N102" s="99">
        <f t="shared" si="0"/>
        <v>2020</v>
      </c>
      <c r="O102" s="8">
        <f t="shared" si="1"/>
        <v>45</v>
      </c>
      <c r="P102">
        <f ca="1">'Reference dates (hide)'!K87</f>
        <v>1.968503937007874E-2</v>
      </c>
    </row>
    <row r="103" spans="2:31" x14ac:dyDescent="0.25">
      <c r="B103"/>
      <c r="C103"/>
      <c r="D103"/>
      <c r="M103" s="101">
        <f>IF('Reference dates (hide)'!I88&lt;&gt;"",'Reference dates (hide)'!I88,"")</f>
        <v>44144</v>
      </c>
      <c r="N103" s="99">
        <f t="shared" si="0"/>
        <v>2020</v>
      </c>
      <c r="O103" s="8">
        <f t="shared" si="1"/>
        <v>46</v>
      </c>
      <c r="P103">
        <f ca="1">'Reference dates (hide)'!K88</f>
        <v>1.968503937007874E-2</v>
      </c>
    </row>
    <row r="104" spans="2:31" x14ac:dyDescent="0.25">
      <c r="B104"/>
      <c r="C104"/>
      <c r="D104"/>
      <c r="M104" s="101">
        <f>IF('Reference dates (hide)'!I89&lt;&gt;"",'Reference dates (hide)'!I89,"")</f>
        <v>44151</v>
      </c>
      <c r="N104" s="99">
        <f t="shared" si="0"/>
        <v>2020</v>
      </c>
      <c r="O104" s="8">
        <f t="shared" si="1"/>
        <v>47</v>
      </c>
      <c r="P104">
        <f ca="1">'Reference dates (hide)'!K89</f>
        <v>1.968503937007874E-2</v>
      </c>
    </row>
    <row r="105" spans="2:31" x14ac:dyDescent="0.25">
      <c r="B105"/>
      <c r="C105"/>
      <c r="D105"/>
      <c r="M105" s="101">
        <f>IF('Reference dates (hide)'!I90&lt;&gt;"",'Reference dates (hide)'!I90,"")</f>
        <v>44158</v>
      </c>
      <c r="N105" s="99">
        <f t="shared" si="0"/>
        <v>2020</v>
      </c>
      <c r="O105" s="8">
        <f t="shared" si="1"/>
        <v>48</v>
      </c>
      <c r="P105">
        <f ca="1">'Reference dates (hide)'!K90</f>
        <v>1.968503937007874E-2</v>
      </c>
    </row>
    <row r="106" spans="2:31" x14ac:dyDescent="0.25">
      <c r="B106"/>
      <c r="C106"/>
      <c r="D106"/>
      <c r="M106" s="101">
        <f>IF('Reference dates (hide)'!I91&lt;&gt;"",'Reference dates (hide)'!I91,"")</f>
        <v>44165</v>
      </c>
      <c r="N106" s="99">
        <f t="shared" si="0"/>
        <v>2020</v>
      </c>
      <c r="O106" s="8">
        <f t="shared" si="1"/>
        <v>49</v>
      </c>
      <c r="P106">
        <f ca="1">'Reference dates (hide)'!K91</f>
        <v>1.968503937007874E-2</v>
      </c>
    </row>
    <row r="107" spans="2:31" x14ac:dyDescent="0.25">
      <c r="B107"/>
      <c r="C107"/>
      <c r="D107"/>
      <c r="M107" s="101">
        <f>IF('Reference dates (hide)'!I92&lt;&gt;"",'Reference dates (hide)'!I92,"")</f>
        <v>44172</v>
      </c>
      <c r="N107" s="99">
        <f t="shared" si="0"/>
        <v>2020</v>
      </c>
      <c r="O107" s="8">
        <f t="shared" si="1"/>
        <v>50</v>
      </c>
      <c r="P107">
        <f ca="1">'Reference dates (hide)'!K92</f>
        <v>1.968503937007874E-2</v>
      </c>
    </row>
    <row r="108" spans="2:31" x14ac:dyDescent="0.25">
      <c r="B108"/>
      <c r="C108"/>
      <c r="D108"/>
      <c r="M108" s="101">
        <f>IF('Reference dates (hide)'!I93&lt;&gt;"",'Reference dates (hide)'!I93,"")</f>
        <v>44179</v>
      </c>
      <c r="N108" s="99">
        <f t="shared" si="0"/>
        <v>2020</v>
      </c>
      <c r="O108" s="8">
        <f t="shared" si="1"/>
        <v>51</v>
      </c>
      <c r="P108">
        <f ca="1">'Reference dates (hide)'!K93</f>
        <v>1.968503937007874E-2</v>
      </c>
    </row>
    <row r="109" spans="2:31" x14ac:dyDescent="0.25">
      <c r="B109"/>
      <c r="C109"/>
      <c r="D109"/>
      <c r="M109" s="101">
        <f>IF('Reference dates (hide)'!I94&lt;&gt;"",'Reference dates (hide)'!I94,"")</f>
        <v>44186</v>
      </c>
      <c r="N109" s="99">
        <f t="shared" si="0"/>
        <v>2020</v>
      </c>
      <c r="O109" s="8">
        <f t="shared" si="1"/>
        <v>52</v>
      </c>
      <c r="P109">
        <f ca="1">'Reference dates (hide)'!K94</f>
        <v>1.5748031496062992E-2</v>
      </c>
    </row>
    <row r="110" spans="2:31" x14ac:dyDescent="0.25">
      <c r="B110"/>
      <c r="C110"/>
      <c r="D110"/>
      <c r="M110" s="101">
        <f>IF('Reference dates (hide)'!I95&lt;&gt;"",'Reference dates (hide)'!I95,"")</f>
        <v>44193</v>
      </c>
      <c r="N110" s="99">
        <f t="shared" si="0"/>
        <v>2020</v>
      </c>
      <c r="O110" s="8">
        <f t="shared" si="1"/>
        <v>53</v>
      </c>
      <c r="P110">
        <f ca="1">'Reference dates (hide)'!K95</f>
        <v>1.1811023622047244E-2</v>
      </c>
    </row>
    <row r="111" spans="2:31" x14ac:dyDescent="0.25">
      <c r="M111">
        <f>MAX(T58:AB110)</f>
        <v>0</v>
      </c>
      <c r="Q111">
        <f>MAX(Q58:Q109)/$Q$54</f>
        <v>0</v>
      </c>
      <c r="R111">
        <f>MAX(R58:R109)/IF($R$54=0,1,$Q$54)</f>
        <v>0</v>
      </c>
      <c r="S111">
        <f>MAX(S58:S109)/IF($S$54=0,1,$Q$54)</f>
        <v>0</v>
      </c>
      <c r="Z111">
        <f>MAX(Z58:Z109)/IF($Z$52=0,1,Q$54)</f>
        <v>0</v>
      </c>
      <c r="AA111">
        <f>MAX(AA58:AA109)/IF($Z$52=0,1,R$54)</f>
        <v>0</v>
      </c>
      <c r="AB111">
        <f>MAX(AB58:AB109)/IF($Z$52=0,1,S$54)</f>
        <v>0</v>
      </c>
      <c r="AC111">
        <f>MAX(AC58:AC109)/IF($Z$52=0,1,Q$54)</f>
        <v>0</v>
      </c>
      <c r="AD111">
        <f>MAX(AD58:AD109)/IF($Z$52=0,1,R$54)</f>
        <v>0</v>
      </c>
      <c r="AE111">
        <f>MAX(AE58:AE109)/IF($Z$52=0,1,S$54)</f>
        <v>0</v>
      </c>
    </row>
    <row r="118" spans="26:26" x14ac:dyDescent="0.25">
      <c r="Z118" s="121"/>
    </row>
    <row r="119" spans="26:26" x14ac:dyDescent="0.25">
      <c r="Z119" s="121"/>
    </row>
  </sheetData>
  <pageMargins left="0.7" right="0.7" top="0.75" bottom="0.75" header="0.3" footer="0.3"/>
  <legacyDrawing r:id="rId1"/>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9"/>
  <dimension ref="A1:AN119"/>
  <sheetViews>
    <sheetView workbookViewId="0">
      <selection activeCell="AK59" sqref="AK59"/>
    </sheetView>
  </sheetViews>
  <sheetFormatPr defaultRowHeight="13.8" x14ac:dyDescent="0.25"/>
  <cols>
    <col min="1" max="1" width="27.69921875" bestFit="1" customWidth="1"/>
    <col min="2" max="2" width="16.8984375" style="6" customWidth="1"/>
    <col min="3" max="3" width="12.09765625" style="6" bestFit="1" customWidth="1"/>
    <col min="4" max="4" width="16.09765625" style="7" bestFit="1" customWidth="1"/>
    <col min="11" max="11" width="10.8984375" bestFit="1" customWidth="1"/>
    <col min="13" max="13" width="16.69921875" bestFit="1" customWidth="1"/>
    <col min="17" max="17" width="6.8984375" customWidth="1"/>
    <col min="26" max="26" width="11.8984375" bestFit="1" customWidth="1"/>
  </cols>
  <sheetData>
    <row r="1" spans="1:19" x14ac:dyDescent="0.25">
      <c r="A1" t="s">
        <v>1075</v>
      </c>
      <c r="B1" s="6" t="s">
        <v>931</v>
      </c>
      <c r="C1" s="6" t="b">
        <f>ISERR(SUM(B25:M49))</f>
        <v>0</v>
      </c>
    </row>
    <row r="2" spans="1:19" x14ac:dyDescent="0.25">
      <c r="A2" t="s">
        <v>932</v>
      </c>
      <c r="B2"/>
    </row>
    <row r="3" spans="1:19" x14ac:dyDescent="0.25">
      <c r="B3" s="6" t="s">
        <v>933</v>
      </c>
      <c r="F3" t="s">
        <v>934</v>
      </c>
      <c r="J3" t="s">
        <v>935</v>
      </c>
    </row>
    <row r="4" spans="1:19" x14ac:dyDescent="0.25">
      <c r="B4" s="6" t="s">
        <v>936</v>
      </c>
      <c r="C4" s="6" t="s">
        <v>937</v>
      </c>
      <c r="D4" s="7" t="s">
        <v>1208</v>
      </c>
      <c r="F4" s="6" t="s">
        <v>936</v>
      </c>
      <c r="G4" s="6" t="s">
        <v>937</v>
      </c>
      <c r="H4" s="7" t="s">
        <v>1024</v>
      </c>
      <c r="J4" s="6" t="s">
        <v>936</v>
      </c>
      <c r="K4" s="6" t="s">
        <v>937</v>
      </c>
      <c r="L4" s="7" t="s">
        <v>1024</v>
      </c>
    </row>
    <row r="5" spans="1:19" x14ac:dyDescent="0.25">
      <c r="A5" t="s">
        <v>5</v>
      </c>
      <c r="B5" s="8"/>
      <c r="C5" s="6">
        <f>B5*52</f>
        <v>0</v>
      </c>
      <c r="D5" s="7">
        <f>IF($B$20=1,C5/$B$21,C5)</f>
        <v>0</v>
      </c>
      <c r="G5">
        <f>F5*$D5</f>
        <v>0</v>
      </c>
      <c r="H5">
        <f>G5/52</f>
        <v>0</v>
      </c>
      <c r="K5">
        <f>J5*D5</f>
        <v>0</v>
      </c>
      <c r="L5">
        <f>K5/52</f>
        <v>0</v>
      </c>
    </row>
    <row r="6" spans="1:19" x14ac:dyDescent="0.25">
      <c r="A6" t="s">
        <v>1209</v>
      </c>
      <c r="B6" s="8"/>
      <c r="D6" s="7">
        <f>IF($B$20=1,B6/$B$21,B6)</f>
        <v>0</v>
      </c>
      <c r="G6">
        <f>F6*52</f>
        <v>0</v>
      </c>
      <c r="H6">
        <f>F6</f>
        <v>0</v>
      </c>
      <c r="K6">
        <f>J6*52</f>
        <v>0</v>
      </c>
      <c r="L6">
        <f>J6</f>
        <v>0</v>
      </c>
    </row>
    <row r="7" spans="1:19" x14ac:dyDescent="0.25">
      <c r="A7" t="s">
        <v>1210</v>
      </c>
      <c r="B7" s="8"/>
      <c r="D7" s="7">
        <f>IF($B$20=1,B7/$B$21,B7)</f>
        <v>0</v>
      </c>
    </row>
    <row r="8" spans="1:19" x14ac:dyDescent="0.25">
      <c r="A8" t="s">
        <v>9</v>
      </c>
      <c r="B8"/>
    </row>
    <row r="9" spans="1:19" x14ac:dyDescent="0.25">
      <c r="A9" t="s">
        <v>964</v>
      </c>
      <c r="B9"/>
    </row>
    <row r="10" spans="1:19" x14ac:dyDescent="0.25">
      <c r="A10" t="s">
        <v>940</v>
      </c>
      <c r="B10"/>
      <c r="C10" s="6">
        <f xml:space="preserve"> NASR*NASRDC</f>
        <v>0</v>
      </c>
      <c r="G10">
        <f xml:space="preserve"> FU_NASR*FU_NASRDC</f>
        <v>0</v>
      </c>
      <c r="K10">
        <f xml:space="preserve"> IP_NASR*IP_NASRDC</f>
        <v>0</v>
      </c>
    </row>
    <row r="11" spans="1:19" x14ac:dyDescent="0.25">
      <c r="A11" t="s">
        <v>965</v>
      </c>
      <c r="B11"/>
    </row>
    <row r="12" spans="1:19" x14ac:dyDescent="0.25">
      <c r="A12" t="s">
        <v>859</v>
      </c>
      <c r="B12"/>
    </row>
    <row r="13" spans="1:19" x14ac:dyDescent="0.25">
      <c r="A13" t="s">
        <v>941</v>
      </c>
      <c r="B13" s="8"/>
      <c r="D13" s="7">
        <f>IF($B$20=1,B13/$B$21,B13)</f>
        <v>0</v>
      </c>
      <c r="G13">
        <f>F13*52</f>
        <v>0</v>
      </c>
      <c r="H13" s="7">
        <f>IF($B$20=1,F13/$B$21,F13)</f>
        <v>0</v>
      </c>
      <c r="K13">
        <f>J13*52</f>
        <v>0</v>
      </c>
      <c r="L13" s="7">
        <f>IF($B$20=1,J13/$B$21,J13)</f>
        <v>0</v>
      </c>
    </row>
    <row r="14" spans="1:19" x14ac:dyDescent="0.25">
      <c r="A14" t="s">
        <v>1275</v>
      </c>
      <c r="B14" s="8"/>
      <c r="H14" s="7"/>
      <c r="L14" s="7"/>
    </row>
    <row r="15" spans="1:19" x14ac:dyDescent="0.25">
      <c r="A15" t="s">
        <v>1278</v>
      </c>
      <c r="B15"/>
      <c r="D15" s="7">
        <f>IF($B$20=1,B15/$B$21,B15)</f>
        <v>0</v>
      </c>
      <c r="H15" s="7">
        <f>IF($B$20=1,F15/$B$21,F15)</f>
        <v>0</v>
      </c>
      <c r="L15" s="7">
        <f>IF($B$20=1,J15/$B$21,J15)</f>
        <v>0</v>
      </c>
    </row>
    <row r="16" spans="1:19" x14ac:dyDescent="0.25">
      <c r="A16" t="s">
        <v>861</v>
      </c>
      <c r="B16" s="8"/>
      <c r="D16" s="7">
        <f>IF($B$20=1,B16/$B$21,B16)</f>
        <v>0</v>
      </c>
      <c r="H16" s="7">
        <f>IF($B$20=1,F16/$B$21,F16)</f>
        <v>0</v>
      </c>
      <c r="L16" s="7">
        <f>IF($B$20=1,J16/$B$21,J16)</f>
        <v>0</v>
      </c>
      <c r="S16" t="s">
        <v>1213</v>
      </c>
    </row>
    <row r="17" spans="1:20" x14ac:dyDescent="0.25">
      <c r="A17" t="s">
        <v>7</v>
      </c>
      <c r="B17" s="8"/>
      <c r="D17" s="7">
        <f>IF($B$20=1,B17/$B$21,B17)</f>
        <v>0</v>
      </c>
      <c r="H17" s="7">
        <f>IF($B$20=1,F17/$B$21,F17)</f>
        <v>0</v>
      </c>
      <c r="L17" s="7">
        <f>IF($B$20=1,J17/$B$21,J17)</f>
        <v>0</v>
      </c>
      <c r="S17" t="s">
        <v>1159</v>
      </c>
    </row>
    <row r="18" spans="1:20" x14ac:dyDescent="0.25">
      <c r="A18" t="s">
        <v>1081</v>
      </c>
      <c r="B18"/>
      <c r="S18" t="s">
        <v>1187</v>
      </c>
    </row>
    <row r="19" spans="1:20" x14ac:dyDescent="0.25">
      <c r="A19" t="s">
        <v>863</v>
      </c>
      <c r="B19"/>
      <c r="S19" t="s">
        <v>1214</v>
      </c>
      <c r="T19" t="s">
        <v>1215</v>
      </c>
    </row>
    <row r="20" spans="1:20" x14ac:dyDescent="0.25">
      <c r="A20" t="s">
        <v>942</v>
      </c>
      <c r="B20"/>
      <c r="R20" t="s">
        <v>947</v>
      </c>
      <c r="S20" t="s">
        <v>984</v>
      </c>
      <c r="T20" t="s">
        <v>1216</v>
      </c>
    </row>
    <row r="21" spans="1:20" x14ac:dyDescent="0.25">
      <c r="A21" t="s">
        <v>943</v>
      </c>
      <c r="B21">
        <v>1</v>
      </c>
      <c r="D21" s="12"/>
      <c r="S21" t="s">
        <v>985</v>
      </c>
      <c r="T21" t="s">
        <v>1216</v>
      </c>
    </row>
    <row r="22" spans="1:20" x14ac:dyDescent="0.25">
      <c r="H22">
        <f>F22*$D$5</f>
        <v>0</v>
      </c>
      <c r="L22">
        <f>J22*$D$5</f>
        <v>0</v>
      </c>
      <c r="S22" t="s">
        <v>1217</v>
      </c>
      <c r="T22" t="s">
        <v>1218</v>
      </c>
    </row>
    <row r="23" spans="1:20" x14ac:dyDescent="0.25">
      <c r="S23" t="s">
        <v>1219</v>
      </c>
      <c r="T23" t="s">
        <v>1218</v>
      </c>
    </row>
    <row r="24" spans="1:20" x14ac:dyDescent="0.25">
      <c r="D24" s="7" t="s">
        <v>1023</v>
      </c>
      <c r="F24" t="s">
        <v>901</v>
      </c>
      <c r="G24" t="s">
        <v>1022</v>
      </c>
      <c r="H24" s="7" t="s">
        <v>1023</v>
      </c>
      <c r="J24" t="s">
        <v>901</v>
      </c>
      <c r="K24" t="s">
        <v>1022</v>
      </c>
      <c r="L24" s="7" t="s">
        <v>1023</v>
      </c>
      <c r="R24" t="s">
        <v>941</v>
      </c>
      <c r="S24" t="s">
        <v>25</v>
      </c>
      <c r="T24" t="s">
        <v>1218</v>
      </c>
    </row>
    <row r="25" spans="1:20" x14ac:dyDescent="0.25">
      <c r="A25" t="s">
        <v>944</v>
      </c>
      <c r="B25" s="6">
        <f>IF(B17-B16&lt;0,0,B17-B16)</f>
        <v>0</v>
      </c>
      <c r="D25" s="6">
        <f>IF(D17-D16&lt;0,0,D17-D16)</f>
        <v>0</v>
      </c>
      <c r="F25" s="8">
        <f>F5*B25</f>
        <v>0</v>
      </c>
      <c r="G25" s="8">
        <v>0</v>
      </c>
      <c r="H25" s="8"/>
      <c r="I25" s="8"/>
      <c r="J25" s="8">
        <f>(J5*B25)+IF(J17-J16&lt;=0,0,J17-J16)</f>
        <v>0</v>
      </c>
      <c r="K25" s="8">
        <f>IF(J17-J16&lt;=0,0,J17-J16)</f>
        <v>0</v>
      </c>
      <c r="L25" s="8"/>
      <c r="S25" t="s">
        <v>1220</v>
      </c>
      <c r="T25" t="s">
        <v>1218</v>
      </c>
    </row>
    <row r="26" spans="1:20" x14ac:dyDescent="0.25">
      <c r="A26" t="s">
        <v>945</v>
      </c>
      <c r="B26" s="9">
        <f>(1-NASLDC)*NASL</f>
        <v>0</v>
      </c>
      <c r="D26" s="11"/>
      <c r="F26" s="8">
        <f>FU_NASL*(1-FU_NASLDC)</f>
        <v>0</v>
      </c>
      <c r="G26" s="8"/>
      <c r="H26" s="8"/>
      <c r="I26" s="8"/>
      <c r="J26" s="8">
        <f>IP_NASL*(1-IP_NASLDC)</f>
        <v>0</v>
      </c>
      <c r="K26" s="8"/>
      <c r="L26" s="8"/>
      <c r="R26" t="s">
        <v>1221</v>
      </c>
      <c r="S26" t="s">
        <v>25</v>
      </c>
      <c r="T26" t="s">
        <v>1218</v>
      </c>
    </row>
    <row r="27" spans="1:20" x14ac:dyDescent="0.25">
      <c r="A27" t="s">
        <v>946</v>
      </c>
      <c r="B27" s="6">
        <f>NASR*(1-NASRDC)</f>
        <v>0</v>
      </c>
      <c r="D27" s="11"/>
      <c r="F27" s="8">
        <f>FU_NASR*(1-FU_NASRDC)</f>
        <v>0</v>
      </c>
      <c r="G27" s="8"/>
      <c r="H27" s="8"/>
      <c r="I27" s="8"/>
      <c r="J27" s="8">
        <f>IP_NASR*(1-IP_NASRDC)</f>
        <v>0</v>
      </c>
      <c r="K27" s="8"/>
      <c r="L27" s="8"/>
      <c r="S27" t="s">
        <v>1220</v>
      </c>
      <c r="T27" t="s">
        <v>1218</v>
      </c>
    </row>
    <row r="28" spans="1:20" x14ac:dyDescent="0.25">
      <c r="D28" s="11"/>
      <c r="F28" s="8"/>
      <c r="G28" s="8"/>
      <c r="H28" s="8"/>
      <c r="I28" s="8"/>
      <c r="J28" s="8"/>
      <c r="K28" s="8"/>
      <c r="L28" s="8"/>
      <c r="R28" t="s">
        <v>1093</v>
      </c>
      <c r="S28" t="s">
        <v>984</v>
      </c>
      <c r="T28" t="s">
        <v>1216</v>
      </c>
    </row>
    <row r="29" spans="1:20" ht="14.4" x14ac:dyDescent="0.3">
      <c r="A29" s="10" t="s">
        <v>947</v>
      </c>
      <c r="D29" s="12"/>
      <c r="F29" s="8"/>
      <c r="G29" s="8"/>
      <c r="H29" s="8"/>
      <c r="I29" s="8"/>
      <c r="J29" s="8"/>
      <c r="K29" s="8"/>
      <c r="L29" s="8"/>
      <c r="S29" t="s">
        <v>985</v>
      </c>
      <c r="T29" t="s">
        <v>1216</v>
      </c>
    </row>
    <row r="30" spans="1:20" x14ac:dyDescent="0.25">
      <c r="A30" t="s">
        <v>948</v>
      </c>
      <c r="B30" s="6">
        <f>B5*(NASL+NASR+ROTT)</f>
        <v>0</v>
      </c>
      <c r="F30" s="8">
        <f>H5*(F8+F10+F18)</f>
        <v>0</v>
      </c>
      <c r="G30" s="8"/>
      <c r="H30" s="8"/>
      <c r="I30" s="8"/>
      <c r="J30" s="8">
        <f>L5*(J8+J10+J18)</f>
        <v>0</v>
      </c>
      <c r="K30" s="8"/>
      <c r="L30" s="8"/>
    </row>
    <row r="31" spans="1:20" x14ac:dyDescent="0.25">
      <c r="A31" t="s">
        <v>949</v>
      </c>
      <c r="B31" s="6">
        <f>B5*(B26+B27)</f>
        <v>0</v>
      </c>
      <c r="F31" s="8">
        <f>H5*(F26+F27)</f>
        <v>0</v>
      </c>
      <c r="G31" s="8"/>
      <c r="H31" s="8"/>
      <c r="I31" s="8"/>
      <c r="J31" s="8">
        <f>L5*(J26+J27)</f>
        <v>0</v>
      </c>
      <c r="K31" s="8"/>
      <c r="L31" s="8"/>
      <c r="R31" t="s">
        <v>941</v>
      </c>
      <c r="S31" t="s">
        <v>25</v>
      </c>
      <c r="T31" t="s">
        <v>1218</v>
      </c>
    </row>
    <row r="32" spans="1:20" x14ac:dyDescent="0.25">
      <c r="F32" s="8"/>
      <c r="G32" s="8"/>
      <c r="H32" s="8"/>
      <c r="I32" s="8"/>
      <c r="J32" s="8"/>
      <c r="K32" s="8"/>
      <c r="L32" s="8"/>
      <c r="S32" t="s">
        <v>1220</v>
      </c>
      <c r="T32" t="s">
        <v>1218</v>
      </c>
    </row>
    <row r="33" spans="1:20" x14ac:dyDescent="0.25">
      <c r="A33" t="s">
        <v>950</v>
      </c>
      <c r="B33" s="6">
        <f>B31-B30+B5</f>
        <v>0</v>
      </c>
      <c r="C33" s="6">
        <f>B33*52</f>
        <v>0</v>
      </c>
      <c r="D33" s="7">
        <f>IF($B$20=1,C33/$B$21,C33)</f>
        <v>0</v>
      </c>
      <c r="F33" s="8">
        <f>(F31-F30+H5)/52</f>
        <v>0</v>
      </c>
      <c r="G33" s="8"/>
      <c r="H33" s="8">
        <f>(F31-F30+H5)*52</f>
        <v>0</v>
      </c>
      <c r="I33" s="8"/>
      <c r="J33" s="8">
        <f>(J31-J30+L5)/52</f>
        <v>0</v>
      </c>
      <c r="K33" s="8"/>
      <c r="L33" s="8">
        <f>(J31-J30+L5)*52</f>
        <v>0</v>
      </c>
      <c r="R33" t="s">
        <v>1221</v>
      </c>
      <c r="S33" t="s">
        <v>25</v>
      </c>
      <c r="T33" t="s">
        <v>1218</v>
      </c>
    </row>
    <row r="34" spans="1:20" x14ac:dyDescent="0.25">
      <c r="F34" s="8"/>
      <c r="G34" s="8"/>
      <c r="H34" s="8"/>
      <c r="I34" s="8"/>
      <c r="J34" s="8"/>
      <c r="K34" s="8"/>
      <c r="L34" s="8"/>
      <c r="S34" t="s">
        <v>1220</v>
      </c>
      <c r="T34" t="s">
        <v>1218</v>
      </c>
    </row>
    <row r="35" spans="1:20" x14ac:dyDescent="0.25">
      <c r="F35" s="8"/>
      <c r="G35" s="8"/>
      <c r="H35" s="8"/>
      <c r="I35" s="8"/>
      <c r="J35" s="8"/>
      <c r="K35" s="8"/>
      <c r="L35" s="8"/>
      <c r="R35" t="s">
        <v>1093</v>
      </c>
      <c r="S35" t="s">
        <v>984</v>
      </c>
      <c r="T35" t="s">
        <v>1218</v>
      </c>
    </row>
    <row r="36" spans="1:20" ht="14.4" x14ac:dyDescent="0.3">
      <c r="A36" s="10" t="s">
        <v>951</v>
      </c>
      <c r="F36" s="8"/>
      <c r="G36" s="8"/>
      <c r="H36" s="8"/>
      <c r="I36" s="8"/>
      <c r="J36" s="8"/>
      <c r="K36" s="8"/>
      <c r="L36" s="8"/>
      <c r="S36" t="s">
        <v>985</v>
      </c>
      <c r="T36" t="s">
        <v>1218</v>
      </c>
    </row>
    <row r="37" spans="1:20" x14ac:dyDescent="0.25">
      <c r="A37" t="s">
        <v>948</v>
      </c>
      <c r="B37" s="6">
        <f>B13*(B8+B10+B18)</f>
        <v>0</v>
      </c>
      <c r="F37" s="8">
        <f>F13*(F8+F10)</f>
        <v>0</v>
      </c>
      <c r="G37" s="8"/>
      <c r="H37" s="8"/>
      <c r="I37" s="8"/>
      <c r="J37" s="8">
        <f>J13*(J8+J10)</f>
        <v>0</v>
      </c>
      <c r="K37" s="8"/>
      <c r="L37" s="8"/>
      <c r="S37" t="s">
        <v>1222</v>
      </c>
      <c r="T37" t="s">
        <v>1218</v>
      </c>
    </row>
    <row r="38" spans="1:20" x14ac:dyDescent="0.25">
      <c r="A38" t="s">
        <v>949</v>
      </c>
      <c r="B38" s="6">
        <f>B13*(B26+B27)</f>
        <v>0</v>
      </c>
      <c r="F38" s="8">
        <f>F13*(F26+F27)</f>
        <v>0</v>
      </c>
      <c r="G38" s="8"/>
      <c r="H38" s="8"/>
      <c r="I38" s="8"/>
      <c r="J38" s="8">
        <f>J13*(J26+J27)</f>
        <v>0</v>
      </c>
      <c r="K38" s="8"/>
      <c r="L38" s="8"/>
    </row>
    <row r="39" spans="1:20" x14ac:dyDescent="0.25">
      <c r="F39" s="8"/>
      <c r="G39" s="8"/>
      <c r="H39" s="8"/>
      <c r="I39" s="8"/>
      <c r="J39" s="8"/>
      <c r="K39" s="8"/>
      <c r="L39" s="8"/>
      <c r="R39" t="s">
        <v>1203</v>
      </c>
      <c r="T39" t="s">
        <v>1218</v>
      </c>
    </row>
    <row r="40" spans="1:20" x14ac:dyDescent="0.25">
      <c r="A40" t="s">
        <v>952</v>
      </c>
      <c r="B40" s="6">
        <f>B13+B38-B37</f>
        <v>0</v>
      </c>
      <c r="C40" s="6">
        <f>B40*52</f>
        <v>0</v>
      </c>
      <c r="D40" s="7">
        <f>IF($B$20=1,C40/$B$21,C40)</f>
        <v>0</v>
      </c>
      <c r="F40" s="8">
        <f>F13+F38-F37</f>
        <v>0</v>
      </c>
      <c r="G40" s="8"/>
      <c r="H40" s="8">
        <f>F40*52</f>
        <v>0</v>
      </c>
      <c r="I40" s="8"/>
      <c r="J40" s="8">
        <f>J13+J38-J37</f>
        <v>0</v>
      </c>
      <c r="K40" s="8"/>
      <c r="L40" s="8">
        <f>J40*52</f>
        <v>0</v>
      </c>
    </row>
    <row r="41" spans="1:20" x14ac:dyDescent="0.25">
      <c r="F41" s="8"/>
      <c r="G41" s="8"/>
      <c r="H41" s="8"/>
      <c r="I41" s="8"/>
      <c r="J41" s="8"/>
      <c r="K41" s="8"/>
      <c r="L41" s="8"/>
    </row>
    <row r="42" spans="1:20" x14ac:dyDescent="0.25">
      <c r="F42" s="8"/>
      <c r="G42" s="8"/>
      <c r="H42" s="8"/>
      <c r="I42" s="8"/>
      <c r="J42" s="8"/>
      <c r="K42" s="8"/>
      <c r="L42" s="8"/>
    </row>
    <row r="43" spans="1:20" ht="14.4" x14ac:dyDescent="0.3">
      <c r="A43" s="10" t="s">
        <v>953</v>
      </c>
      <c r="F43" s="8"/>
      <c r="G43" s="8"/>
      <c r="H43" s="8"/>
      <c r="I43" s="8"/>
      <c r="J43" s="8"/>
      <c r="K43" s="8"/>
      <c r="L43" s="8"/>
    </row>
    <row r="44" spans="1:20" x14ac:dyDescent="0.25">
      <c r="A44" t="s">
        <v>954</v>
      </c>
      <c r="F44" s="8"/>
      <c r="G44" s="8"/>
      <c r="H44" s="8"/>
      <c r="I44" s="8"/>
      <c r="J44" s="8"/>
      <c r="K44" s="8"/>
      <c r="L44" s="8"/>
    </row>
    <row r="45" spans="1:20" x14ac:dyDescent="0.25">
      <c r="F45" s="8"/>
      <c r="G45" s="8"/>
      <c r="H45" s="8"/>
      <c r="I45" s="8"/>
      <c r="J45" s="8"/>
      <c r="K45" s="8"/>
      <c r="L45" s="8"/>
    </row>
    <row r="46" spans="1:20" x14ac:dyDescent="0.25">
      <c r="A46" t="s">
        <v>948</v>
      </c>
      <c r="B46" s="6">
        <f>B25*(B8+B10+B18)</f>
        <v>0</v>
      </c>
      <c r="F46" s="8">
        <f>F25*(F8+F10)</f>
        <v>0</v>
      </c>
      <c r="G46" s="8"/>
      <c r="H46" s="8"/>
      <c r="I46" s="8"/>
      <c r="J46" s="8">
        <f>J25*(J8+J10)</f>
        <v>0</v>
      </c>
      <c r="K46" s="8"/>
      <c r="L46" s="8"/>
    </row>
    <row r="47" spans="1:20" x14ac:dyDescent="0.25">
      <c r="A47" t="s">
        <v>949</v>
      </c>
      <c r="B47" s="6">
        <f>B25*(B26+B27)</f>
        <v>0</v>
      </c>
      <c r="F47" s="8">
        <f>F25*(F26+F27)</f>
        <v>0</v>
      </c>
      <c r="G47" s="8"/>
      <c r="H47" s="8"/>
      <c r="I47" s="8"/>
      <c r="J47" s="8">
        <f>J25*(J26+J27)</f>
        <v>0</v>
      </c>
      <c r="K47" s="8"/>
      <c r="L47" s="8"/>
    </row>
    <row r="48" spans="1:20" x14ac:dyDescent="0.25">
      <c r="F48" s="8" t="s">
        <v>901</v>
      </c>
      <c r="G48" s="8"/>
      <c r="H48" s="8"/>
      <c r="I48" s="8"/>
      <c r="J48" s="8" t="s">
        <v>901</v>
      </c>
      <c r="K48" s="8"/>
      <c r="L48" s="8"/>
    </row>
    <row r="49" spans="1:40" x14ac:dyDescent="0.25">
      <c r="A49" t="s">
        <v>955</v>
      </c>
      <c r="B49" s="6">
        <f>B25+B47-B46</f>
        <v>0</v>
      </c>
      <c r="C49" s="6">
        <f>B49</f>
        <v>0</v>
      </c>
      <c r="D49" s="7">
        <f>IF($B$20=1,C49/$B$21,C49)</f>
        <v>0</v>
      </c>
      <c r="F49" s="8">
        <f>F25+F47-F46</f>
        <v>0</v>
      </c>
      <c r="G49" s="8">
        <f>F49</f>
        <v>0</v>
      </c>
      <c r="H49" s="8">
        <f>IF($F$20=1,G49/$F$21,G49)</f>
        <v>0</v>
      </c>
      <c r="I49" s="8"/>
      <c r="J49" s="8">
        <f>J25+J47-J46</f>
        <v>0</v>
      </c>
      <c r="K49" s="8">
        <f>J49</f>
        <v>0</v>
      </c>
      <c r="L49" s="8">
        <f>IF($J$20=1,K49/$J$21,K49)</f>
        <v>0</v>
      </c>
    </row>
    <row r="50" spans="1:40" x14ac:dyDescent="0.25">
      <c r="F50" t="s">
        <v>1022</v>
      </c>
      <c r="J50" t="s">
        <v>1022</v>
      </c>
    </row>
    <row r="51" spans="1:40" x14ac:dyDescent="0.25">
      <c r="F51">
        <v>0</v>
      </c>
      <c r="H51">
        <v>0</v>
      </c>
      <c r="J51">
        <f>K25*(1+(J8*(1-J9))-(J8+J10+J18)+(J10*(1-J11)))</f>
        <v>0</v>
      </c>
      <c r="K51">
        <f>J51</f>
        <v>0</v>
      </c>
      <c r="L51" s="8">
        <f>IF($J$20=1,K51/$J$21,K51)</f>
        <v>0</v>
      </c>
    </row>
    <row r="52" spans="1:40" x14ac:dyDescent="0.25">
      <c r="A52" s="1" t="s">
        <v>956</v>
      </c>
      <c r="M52" t="s">
        <v>1016</v>
      </c>
      <c r="Z52">
        <f>1-(NASL*NASLDC)</f>
        <v>1</v>
      </c>
    </row>
    <row r="53" spans="1:40" x14ac:dyDescent="0.25">
      <c r="A53" t="s">
        <v>1141</v>
      </c>
      <c r="B53" s="92" t="s">
        <v>1142</v>
      </c>
    </row>
    <row r="54" spans="1:40" x14ac:dyDescent="0.25">
      <c r="M54" t="s">
        <v>1207</v>
      </c>
      <c r="Q54">
        <f>(1-ROTT)*(1-(NASR*NASRDC) - (NASL*NASLDC))</f>
        <v>1</v>
      </c>
      <c r="R54">
        <f>(1-FU_ROTT)*(1-(FU_NASR*FU_NASRDC) - (FU_NASL*FU_NASLDC))</f>
        <v>1</v>
      </c>
      <c r="S54">
        <f>(1-IP_ROTT)*(1-(IP_NASR*IP_NASRDC) - (IP_NASL*IP_NASLDC))</f>
        <v>1</v>
      </c>
      <c r="Z54">
        <f>1-(NASL*NASLDC)</f>
        <v>1</v>
      </c>
      <c r="AA54">
        <f>1-(FU_NASL*FU_NASLDC)</f>
        <v>1</v>
      </c>
      <c r="AB54">
        <f>1-(IP_NASL*IP_NASLDC)</f>
        <v>1</v>
      </c>
    </row>
    <row r="55" spans="1:40" x14ac:dyDescent="0.25">
      <c r="A55" t="s">
        <v>1143</v>
      </c>
      <c r="B55" s="100">
        <f>'Reference dates (hide)'!B40</f>
        <v>43831</v>
      </c>
      <c r="C55" s="6" t="s">
        <v>1150</v>
      </c>
      <c r="G55" s="7"/>
      <c r="Q55" s="116" t="str">
        <f ca="1">IF(OFFSET('Control Sheet'!E$45,MID($A$1,6,LEN($A$1)-6),0,1,1)=0,"",OFFSET('Control Sheet'!E$45,MID($A$1,6,LEN($A$1)-6),0,1,1))</f>
        <v/>
      </c>
      <c r="R55" s="116" t="str">
        <f ca="1">IF(OFFSET('Control Sheet'!F$45,MID($A$1,6,LEN($A$1)-6),0,1,1)=0,"",OFFSET('Control Sheet'!F$45,MID($A$1,6,LEN($A$1)-6),0,1,1))</f>
        <v/>
      </c>
      <c r="S55" s="116" t="str">
        <f ca="1">IF(OFFSET('Control Sheet'!G$45,MID($A$1,6,LEN($A$1)-6),0,1,1)=0,"",OFFSET('Control Sheet'!G$45,MID($A$1,6,LEN($A$1)-6),0,1,1))</f>
        <v/>
      </c>
      <c r="T55" s="118" t="str">
        <f ca="1">IF(OFFSET('Control Sheet'!I$45,MID($A$1,6,LEN($A$1)-6),0,1,1)="0","",OFFSET('Control Sheet'!I$45,MID($A$1,6,LEN($A$1)-6),0,1,1))</f>
        <v/>
      </c>
      <c r="U55" s="118" t="str">
        <f ca="1">IF(OFFSET('Control Sheet'!J$45,MID($A$1,6,LEN($A$1)-6),0,1,1)=0,"",OFFSET('Control Sheet'!J$45,MID($A$1,6,LEN($A$1)-6),0,1,1))</f>
        <v/>
      </c>
      <c r="V55" s="118" t="str">
        <f ca="1">IF(OFFSET('Control Sheet'!K$45,MID($A$1,6,LEN($A$1)-6),0,1,1)=0,"",OFFSET('Control Sheet'!K$45,MID($A$1,6,LEN($A$1)-6),0,1,1))</f>
        <v/>
      </c>
    </row>
    <row r="56" spans="1:40" ht="14.4" x14ac:dyDescent="0.3">
      <c r="A56" t="s">
        <v>1202</v>
      </c>
      <c r="C56" s="6" t="s">
        <v>1204</v>
      </c>
      <c r="D56" s="6"/>
      <c r="E56" s="7"/>
      <c r="F56" t="s">
        <v>860</v>
      </c>
      <c r="N56" s="6"/>
      <c r="O56" s="6"/>
      <c r="P56" s="7"/>
      <c r="Q56" s="93" t="s">
        <v>1236</v>
      </c>
      <c r="R56" s="6"/>
      <c r="T56" s="107" t="s">
        <v>1093</v>
      </c>
      <c r="Z56" s="93" t="s">
        <v>1212</v>
      </c>
      <c r="AC56" s="108" t="s">
        <v>1276</v>
      </c>
      <c r="AF56" s="1" t="s">
        <v>1306</v>
      </c>
      <c r="AI56" t="s">
        <v>1275</v>
      </c>
      <c r="AL56" t="s">
        <v>1312</v>
      </c>
    </row>
    <row r="57" spans="1:40" x14ac:dyDescent="0.25">
      <c r="A57" s="1" t="s">
        <v>1144</v>
      </c>
      <c r="B57" s="1" t="s">
        <v>1151</v>
      </c>
      <c r="C57" s="94" t="s">
        <v>1203</v>
      </c>
      <c r="D57" s="94" t="s">
        <v>984</v>
      </c>
      <c r="E57" s="111" t="s">
        <v>985</v>
      </c>
      <c r="F57" s="1" t="s">
        <v>951</v>
      </c>
      <c r="G57" s="1" t="s">
        <v>1205</v>
      </c>
      <c r="H57" s="1" t="s">
        <v>1206</v>
      </c>
      <c r="I57" s="1" t="s">
        <v>25</v>
      </c>
      <c r="J57" s="1" t="s">
        <v>1220</v>
      </c>
      <c r="K57" s="1" t="s">
        <v>1266</v>
      </c>
      <c r="M57" s="1" t="s">
        <v>1144</v>
      </c>
      <c r="N57" s="94" t="s">
        <v>1159</v>
      </c>
      <c r="O57" s="94" t="s">
        <v>1151</v>
      </c>
      <c r="P57" s="7" t="s">
        <v>1201</v>
      </c>
      <c r="Q57" s="6" t="s">
        <v>1196</v>
      </c>
      <c r="R57" s="6" t="s">
        <v>1197</v>
      </c>
      <c r="S57" s="7" t="s">
        <v>1198</v>
      </c>
      <c r="T57" s="109" t="s">
        <v>1188</v>
      </c>
      <c r="U57" s="109" t="s">
        <v>1189</v>
      </c>
      <c r="V57" s="109" t="s">
        <v>1190</v>
      </c>
      <c r="W57" s="110" t="s">
        <v>1191</v>
      </c>
      <c r="X57" s="110" t="s">
        <v>1192</v>
      </c>
      <c r="Y57" s="110" t="s">
        <v>1193</v>
      </c>
      <c r="Z57" s="57">
        <v>1</v>
      </c>
      <c r="AA57">
        <v>2</v>
      </c>
      <c r="AB57">
        <v>3</v>
      </c>
      <c r="AC57" t="s">
        <v>1146</v>
      </c>
      <c r="AD57" t="s">
        <v>1147</v>
      </c>
      <c r="AE57" t="s">
        <v>1148</v>
      </c>
      <c r="AF57" t="s">
        <v>1146</v>
      </c>
      <c r="AG57" t="s">
        <v>1147</v>
      </c>
      <c r="AH57" t="s">
        <v>1148</v>
      </c>
      <c r="AI57" t="s">
        <v>1146</v>
      </c>
      <c r="AJ57" t="s">
        <v>1147</v>
      </c>
      <c r="AK57" t="s">
        <v>1148</v>
      </c>
      <c r="AL57" t="s">
        <v>1146</v>
      </c>
      <c r="AM57" t="s">
        <v>1147</v>
      </c>
      <c r="AN57" t="s">
        <v>1148</v>
      </c>
    </row>
    <row r="58" spans="1:40" x14ac:dyDescent="0.25">
      <c r="B58"/>
      <c r="C58"/>
      <c r="D58"/>
      <c r="M58" s="101">
        <f>IF(B55&lt;&gt;"",B55-WEEKDAY(B55,3),"")</f>
        <v>43829</v>
      </c>
      <c r="N58" s="99">
        <f>YEAR(M58)</f>
        <v>2019</v>
      </c>
      <c r="O58" s="8">
        <f>WEEKNUM(M58,21)</f>
        <v>1</v>
      </c>
      <c r="P58">
        <f ca="1">'Reference dates (hide)'!K43</f>
        <v>7.874015748031496E-3</v>
      </c>
    </row>
    <row r="59" spans="1:40" x14ac:dyDescent="0.25">
      <c r="B59"/>
      <c r="C59"/>
      <c r="D59"/>
      <c r="M59" s="101">
        <f>IF('Reference dates (hide)'!I44&lt;&gt;"",'Reference dates (hide)'!I44,"")</f>
        <v>43836</v>
      </c>
      <c r="N59" s="99">
        <f t="shared" ref="N59:N110" si="0">YEAR(M59)</f>
        <v>2020</v>
      </c>
      <c r="O59" s="8">
        <f t="shared" ref="O59:O110" si="1">WEEKNUM(M59,21)</f>
        <v>2</v>
      </c>
      <c r="P59">
        <f ca="1">'Reference dates (hide)'!K44</f>
        <v>1.968503937007874E-2</v>
      </c>
    </row>
    <row r="60" spans="1:40" x14ac:dyDescent="0.25">
      <c r="B60"/>
      <c r="C60"/>
      <c r="D60"/>
      <c r="M60" s="101">
        <f>IF('Reference dates (hide)'!I45&lt;&gt;"",'Reference dates (hide)'!I45,"")</f>
        <v>43843</v>
      </c>
      <c r="N60" s="99">
        <f t="shared" si="0"/>
        <v>2020</v>
      </c>
      <c r="O60" s="8">
        <f t="shared" si="1"/>
        <v>3</v>
      </c>
      <c r="P60">
        <f ca="1">'Reference dates (hide)'!K45</f>
        <v>1.968503937007874E-2</v>
      </c>
    </row>
    <row r="61" spans="1:40" x14ac:dyDescent="0.25">
      <c r="B61"/>
      <c r="C61"/>
      <c r="D61"/>
      <c r="M61" s="101">
        <f>IF('Reference dates (hide)'!I46&lt;&gt;"",'Reference dates (hide)'!I46,"")</f>
        <v>43850</v>
      </c>
      <c r="N61" s="99">
        <f t="shared" si="0"/>
        <v>2020</v>
      </c>
      <c r="O61" s="8">
        <f t="shared" si="1"/>
        <v>4</v>
      </c>
      <c r="P61">
        <f ca="1">'Reference dates (hide)'!K46</f>
        <v>1.968503937007874E-2</v>
      </c>
    </row>
    <row r="62" spans="1:40" x14ac:dyDescent="0.25">
      <c r="B62"/>
      <c r="C62"/>
      <c r="D62"/>
      <c r="M62" s="101">
        <f>IF('Reference dates (hide)'!I47&lt;&gt;"",'Reference dates (hide)'!I47,"")</f>
        <v>43857</v>
      </c>
      <c r="N62" s="99">
        <f t="shared" si="0"/>
        <v>2020</v>
      </c>
      <c r="O62" s="8">
        <f t="shared" si="1"/>
        <v>5</v>
      </c>
      <c r="P62">
        <f ca="1">'Reference dates (hide)'!K47</f>
        <v>1.968503937007874E-2</v>
      </c>
    </row>
    <row r="63" spans="1:40" x14ac:dyDescent="0.25">
      <c r="B63"/>
      <c r="C63"/>
      <c r="D63"/>
      <c r="M63" s="101">
        <f>IF('Reference dates (hide)'!I48&lt;&gt;"",'Reference dates (hide)'!I48,"")</f>
        <v>43864</v>
      </c>
      <c r="N63" s="99">
        <f t="shared" si="0"/>
        <v>2020</v>
      </c>
      <c r="O63" s="8">
        <f t="shared" si="1"/>
        <v>6</v>
      </c>
      <c r="P63">
        <f ca="1">'Reference dates (hide)'!K48</f>
        <v>1.968503937007874E-2</v>
      </c>
    </row>
    <row r="64" spans="1:40" x14ac:dyDescent="0.25">
      <c r="B64"/>
      <c r="C64"/>
      <c r="D64"/>
      <c r="M64" s="101">
        <f>IF('Reference dates (hide)'!I49&lt;&gt;"",'Reference dates (hide)'!I49,"")</f>
        <v>43871</v>
      </c>
      <c r="N64" s="99">
        <f t="shared" si="0"/>
        <v>2020</v>
      </c>
      <c r="O64" s="8">
        <f t="shared" si="1"/>
        <v>7</v>
      </c>
      <c r="P64">
        <f ca="1">'Reference dates (hide)'!K49</f>
        <v>1.968503937007874E-2</v>
      </c>
    </row>
    <row r="65" spans="2:16" x14ac:dyDescent="0.25">
      <c r="B65"/>
      <c r="C65"/>
      <c r="D65"/>
      <c r="M65" s="101">
        <f>IF('Reference dates (hide)'!I50&lt;&gt;"",'Reference dates (hide)'!I50,"")</f>
        <v>43878</v>
      </c>
      <c r="N65" s="99">
        <f t="shared" si="0"/>
        <v>2020</v>
      </c>
      <c r="O65" s="8">
        <f t="shared" si="1"/>
        <v>8</v>
      </c>
      <c r="P65">
        <f ca="1">'Reference dates (hide)'!K50</f>
        <v>1.968503937007874E-2</v>
      </c>
    </row>
    <row r="66" spans="2:16" x14ac:dyDescent="0.25">
      <c r="B66"/>
      <c r="C66"/>
      <c r="D66"/>
      <c r="M66" s="101">
        <f>IF('Reference dates (hide)'!I51&lt;&gt;"",'Reference dates (hide)'!I51,"")</f>
        <v>43885</v>
      </c>
      <c r="N66" s="99">
        <f t="shared" si="0"/>
        <v>2020</v>
      </c>
      <c r="O66" s="8">
        <f t="shared" si="1"/>
        <v>9</v>
      </c>
      <c r="P66">
        <f ca="1">'Reference dates (hide)'!K51</f>
        <v>1.968503937007874E-2</v>
      </c>
    </row>
    <row r="67" spans="2:16" x14ac:dyDescent="0.25">
      <c r="B67"/>
      <c r="C67"/>
      <c r="D67"/>
      <c r="M67" s="101">
        <f>IF('Reference dates (hide)'!I52&lt;&gt;"",'Reference dates (hide)'!I52,"")</f>
        <v>43892</v>
      </c>
      <c r="N67" s="99">
        <f t="shared" si="0"/>
        <v>2020</v>
      </c>
      <c r="O67" s="8">
        <f t="shared" si="1"/>
        <v>10</v>
      </c>
      <c r="P67">
        <f ca="1">'Reference dates (hide)'!K52</f>
        <v>1.968503937007874E-2</v>
      </c>
    </row>
    <row r="68" spans="2:16" x14ac:dyDescent="0.25">
      <c r="B68"/>
      <c r="C68"/>
      <c r="D68"/>
      <c r="M68" s="101">
        <f>IF('Reference dates (hide)'!I53&lt;&gt;"",'Reference dates (hide)'!I53,"")</f>
        <v>43899</v>
      </c>
      <c r="N68" s="99">
        <f t="shared" si="0"/>
        <v>2020</v>
      </c>
      <c r="O68" s="8">
        <f t="shared" si="1"/>
        <v>11</v>
      </c>
      <c r="P68">
        <f ca="1">'Reference dates (hide)'!K53</f>
        <v>1.968503937007874E-2</v>
      </c>
    </row>
    <row r="69" spans="2:16" x14ac:dyDescent="0.25">
      <c r="B69"/>
      <c r="C69"/>
      <c r="D69"/>
      <c r="M69" s="101">
        <f>IF('Reference dates (hide)'!I54&lt;&gt;"",'Reference dates (hide)'!I54,"")</f>
        <v>43906</v>
      </c>
      <c r="N69" s="99">
        <f t="shared" si="0"/>
        <v>2020</v>
      </c>
      <c r="O69" s="8">
        <f t="shared" si="1"/>
        <v>12</v>
      </c>
      <c r="P69">
        <f ca="1">'Reference dates (hide)'!K54</f>
        <v>1.968503937007874E-2</v>
      </c>
    </row>
    <row r="70" spans="2:16" x14ac:dyDescent="0.25">
      <c r="B70"/>
      <c r="C70"/>
      <c r="D70"/>
      <c r="M70" s="101">
        <f>IF('Reference dates (hide)'!I55&lt;&gt;"",'Reference dates (hide)'!I55,"")</f>
        <v>43913</v>
      </c>
      <c r="N70" s="99">
        <f t="shared" si="0"/>
        <v>2020</v>
      </c>
      <c r="O70" s="8">
        <f t="shared" si="1"/>
        <v>13</v>
      </c>
      <c r="P70">
        <f ca="1">'Reference dates (hide)'!K55</f>
        <v>1.968503937007874E-2</v>
      </c>
    </row>
    <row r="71" spans="2:16" x14ac:dyDescent="0.25">
      <c r="B71"/>
      <c r="C71"/>
      <c r="D71"/>
      <c r="M71" s="101">
        <f>IF('Reference dates (hide)'!I56&lt;&gt;"",'Reference dates (hide)'!I56,"")</f>
        <v>43920</v>
      </c>
      <c r="N71" s="99">
        <f t="shared" si="0"/>
        <v>2020</v>
      </c>
      <c r="O71" s="8">
        <f t="shared" si="1"/>
        <v>14</v>
      </c>
      <c r="P71">
        <f ca="1">'Reference dates (hide)'!K56</f>
        <v>1.968503937007874E-2</v>
      </c>
    </row>
    <row r="72" spans="2:16" x14ac:dyDescent="0.25">
      <c r="B72"/>
      <c r="C72"/>
      <c r="D72"/>
      <c r="M72" s="101">
        <f>IF('Reference dates (hide)'!I57&lt;&gt;"",'Reference dates (hide)'!I57,"")</f>
        <v>43927</v>
      </c>
      <c r="N72" s="99">
        <f t="shared" si="0"/>
        <v>2020</v>
      </c>
      <c r="O72" s="8">
        <f t="shared" si="1"/>
        <v>15</v>
      </c>
      <c r="P72">
        <f ca="1">'Reference dates (hide)'!K57</f>
        <v>1.5748031496062992E-2</v>
      </c>
    </row>
    <row r="73" spans="2:16" x14ac:dyDescent="0.25">
      <c r="B73"/>
      <c r="C73"/>
      <c r="D73"/>
      <c r="M73" s="101">
        <f>IF('Reference dates (hide)'!I58&lt;&gt;"",'Reference dates (hide)'!I58,"")</f>
        <v>43934</v>
      </c>
      <c r="N73" s="99">
        <f t="shared" si="0"/>
        <v>2020</v>
      </c>
      <c r="O73" s="8">
        <f t="shared" si="1"/>
        <v>16</v>
      </c>
      <c r="P73">
        <f ca="1">'Reference dates (hide)'!K58</f>
        <v>1.5748031496062992E-2</v>
      </c>
    </row>
    <row r="74" spans="2:16" x14ac:dyDescent="0.25">
      <c r="B74"/>
      <c r="C74"/>
      <c r="D74"/>
      <c r="M74" s="101">
        <f>IF('Reference dates (hide)'!I59&lt;&gt;"",'Reference dates (hide)'!I59,"")</f>
        <v>43941</v>
      </c>
      <c r="N74" s="99">
        <f t="shared" si="0"/>
        <v>2020</v>
      </c>
      <c r="O74" s="8">
        <f t="shared" si="1"/>
        <v>17</v>
      </c>
      <c r="P74">
        <f ca="1">'Reference dates (hide)'!K59</f>
        <v>1.968503937007874E-2</v>
      </c>
    </row>
    <row r="75" spans="2:16" x14ac:dyDescent="0.25">
      <c r="B75"/>
      <c r="C75"/>
      <c r="D75"/>
      <c r="M75" s="101">
        <f>IF('Reference dates (hide)'!I60&lt;&gt;"",'Reference dates (hide)'!I60,"")</f>
        <v>43948</v>
      </c>
      <c r="N75" s="99">
        <f t="shared" si="0"/>
        <v>2020</v>
      </c>
      <c r="O75" s="8">
        <f t="shared" si="1"/>
        <v>18</v>
      </c>
      <c r="P75">
        <f ca="1">'Reference dates (hide)'!K60</f>
        <v>1.968503937007874E-2</v>
      </c>
    </row>
    <row r="76" spans="2:16" x14ac:dyDescent="0.25">
      <c r="B76"/>
      <c r="C76"/>
      <c r="D76"/>
      <c r="M76" s="101">
        <f>IF('Reference dates (hide)'!I61&lt;&gt;"",'Reference dates (hide)'!I61,"")</f>
        <v>43955</v>
      </c>
      <c r="N76" s="99">
        <f t="shared" si="0"/>
        <v>2020</v>
      </c>
      <c r="O76" s="8">
        <f t="shared" si="1"/>
        <v>19</v>
      </c>
      <c r="P76">
        <f ca="1">'Reference dates (hide)'!K61</f>
        <v>1.5748031496062992E-2</v>
      </c>
    </row>
    <row r="77" spans="2:16" x14ac:dyDescent="0.25">
      <c r="B77"/>
      <c r="C77"/>
      <c r="D77"/>
      <c r="M77" s="101">
        <f>IF('Reference dates (hide)'!I62&lt;&gt;"",'Reference dates (hide)'!I62,"")</f>
        <v>43962</v>
      </c>
      <c r="N77" s="99">
        <f t="shared" si="0"/>
        <v>2020</v>
      </c>
      <c r="O77" s="8">
        <f t="shared" si="1"/>
        <v>20</v>
      </c>
      <c r="P77">
        <f ca="1">'Reference dates (hide)'!K62</f>
        <v>1.968503937007874E-2</v>
      </c>
    </row>
    <row r="78" spans="2:16" x14ac:dyDescent="0.25">
      <c r="B78"/>
      <c r="C78"/>
      <c r="D78"/>
      <c r="M78" s="101">
        <f>IF('Reference dates (hide)'!I63&lt;&gt;"",'Reference dates (hide)'!I63,"")</f>
        <v>43969</v>
      </c>
      <c r="N78" s="99">
        <f t="shared" si="0"/>
        <v>2020</v>
      </c>
      <c r="O78" s="8">
        <f t="shared" si="1"/>
        <v>21</v>
      </c>
      <c r="P78">
        <f ca="1">'Reference dates (hide)'!K63</f>
        <v>1.968503937007874E-2</v>
      </c>
    </row>
    <row r="79" spans="2:16" x14ac:dyDescent="0.25">
      <c r="B79"/>
      <c r="C79"/>
      <c r="D79"/>
      <c r="M79" s="101">
        <f>IF('Reference dates (hide)'!I64&lt;&gt;"",'Reference dates (hide)'!I64,"")</f>
        <v>43976</v>
      </c>
      <c r="N79" s="99">
        <f t="shared" si="0"/>
        <v>2020</v>
      </c>
      <c r="O79" s="8">
        <f t="shared" si="1"/>
        <v>22</v>
      </c>
      <c r="P79">
        <f ca="1">'Reference dates (hide)'!K64</f>
        <v>1.5748031496062992E-2</v>
      </c>
    </row>
    <row r="80" spans="2:16" x14ac:dyDescent="0.25">
      <c r="B80"/>
      <c r="C80"/>
      <c r="D80"/>
      <c r="M80" s="101">
        <f>IF('Reference dates (hide)'!I65&lt;&gt;"",'Reference dates (hide)'!I65,"")</f>
        <v>43983</v>
      </c>
      <c r="N80" s="99">
        <f t="shared" si="0"/>
        <v>2020</v>
      </c>
      <c r="O80" s="8">
        <f t="shared" si="1"/>
        <v>23</v>
      </c>
      <c r="P80">
        <f ca="1">'Reference dates (hide)'!K65</f>
        <v>1.968503937007874E-2</v>
      </c>
    </row>
    <row r="81" spans="2:16" x14ac:dyDescent="0.25">
      <c r="B81"/>
      <c r="C81"/>
      <c r="D81"/>
      <c r="M81" s="101">
        <f>IF('Reference dates (hide)'!I66&lt;&gt;"",'Reference dates (hide)'!I66,"")</f>
        <v>43990</v>
      </c>
      <c r="N81" s="99">
        <f t="shared" si="0"/>
        <v>2020</v>
      </c>
      <c r="O81" s="8">
        <f t="shared" si="1"/>
        <v>24</v>
      </c>
      <c r="P81">
        <f ca="1">'Reference dates (hide)'!K66</f>
        <v>1.968503937007874E-2</v>
      </c>
    </row>
    <row r="82" spans="2:16" x14ac:dyDescent="0.25">
      <c r="B82"/>
      <c r="C82"/>
      <c r="D82"/>
      <c r="M82" s="101">
        <f>IF('Reference dates (hide)'!I67&lt;&gt;"",'Reference dates (hide)'!I67,"")</f>
        <v>43997</v>
      </c>
      <c r="N82" s="99">
        <f t="shared" si="0"/>
        <v>2020</v>
      </c>
      <c r="O82" s="8">
        <f t="shared" si="1"/>
        <v>25</v>
      </c>
      <c r="P82">
        <f ca="1">'Reference dates (hide)'!K67</f>
        <v>1.968503937007874E-2</v>
      </c>
    </row>
    <row r="83" spans="2:16" x14ac:dyDescent="0.25">
      <c r="B83"/>
      <c r="C83"/>
      <c r="D83"/>
      <c r="M83" s="101">
        <f>IF('Reference dates (hide)'!I68&lt;&gt;"",'Reference dates (hide)'!I68,"")</f>
        <v>44004</v>
      </c>
      <c r="N83" s="99">
        <f t="shared" si="0"/>
        <v>2020</v>
      </c>
      <c r="O83" s="8">
        <f t="shared" si="1"/>
        <v>26</v>
      </c>
      <c r="P83">
        <f ca="1">'Reference dates (hide)'!K68</f>
        <v>1.968503937007874E-2</v>
      </c>
    </row>
    <row r="84" spans="2:16" x14ac:dyDescent="0.25">
      <c r="B84"/>
      <c r="C84"/>
      <c r="D84"/>
      <c r="M84" s="101">
        <f>IF('Reference dates (hide)'!I69&lt;&gt;"",'Reference dates (hide)'!I69,"")</f>
        <v>44011</v>
      </c>
      <c r="N84" s="99">
        <f t="shared" si="0"/>
        <v>2020</v>
      </c>
      <c r="O84" s="8">
        <f t="shared" si="1"/>
        <v>27</v>
      </c>
      <c r="P84">
        <f ca="1">'Reference dates (hide)'!K69</f>
        <v>1.968503937007874E-2</v>
      </c>
    </row>
    <row r="85" spans="2:16" x14ac:dyDescent="0.25">
      <c r="B85"/>
      <c r="C85"/>
      <c r="D85"/>
      <c r="M85" s="101">
        <f>IF('Reference dates (hide)'!I70&lt;&gt;"",'Reference dates (hide)'!I70,"")</f>
        <v>44018</v>
      </c>
      <c r="N85" s="99">
        <f t="shared" si="0"/>
        <v>2020</v>
      </c>
      <c r="O85" s="8">
        <f t="shared" si="1"/>
        <v>28</v>
      </c>
      <c r="P85">
        <f ca="1">'Reference dates (hide)'!K70</f>
        <v>1.968503937007874E-2</v>
      </c>
    </row>
    <row r="86" spans="2:16" x14ac:dyDescent="0.25">
      <c r="B86"/>
      <c r="C86"/>
      <c r="D86"/>
      <c r="M86" s="101">
        <f>IF('Reference dates (hide)'!I71&lt;&gt;"",'Reference dates (hide)'!I71,"")</f>
        <v>44025</v>
      </c>
      <c r="N86" s="99">
        <f t="shared" si="0"/>
        <v>2020</v>
      </c>
      <c r="O86" s="8">
        <f t="shared" si="1"/>
        <v>29</v>
      </c>
      <c r="P86">
        <f ca="1">'Reference dates (hide)'!K71</f>
        <v>1.968503937007874E-2</v>
      </c>
    </row>
    <row r="87" spans="2:16" x14ac:dyDescent="0.25">
      <c r="B87"/>
      <c r="C87"/>
      <c r="D87"/>
      <c r="M87" s="101">
        <f>IF('Reference dates (hide)'!I72&lt;&gt;"",'Reference dates (hide)'!I72,"")</f>
        <v>44032</v>
      </c>
      <c r="N87" s="99">
        <f t="shared" si="0"/>
        <v>2020</v>
      </c>
      <c r="O87" s="8">
        <f t="shared" si="1"/>
        <v>30</v>
      </c>
      <c r="P87">
        <f ca="1">'Reference dates (hide)'!K72</f>
        <v>1.968503937007874E-2</v>
      </c>
    </row>
    <row r="88" spans="2:16" x14ac:dyDescent="0.25">
      <c r="B88"/>
      <c r="C88"/>
      <c r="D88"/>
      <c r="M88" s="101">
        <f>IF('Reference dates (hide)'!I73&lt;&gt;"",'Reference dates (hide)'!I73,"")</f>
        <v>44039</v>
      </c>
      <c r="N88" s="99">
        <f t="shared" si="0"/>
        <v>2020</v>
      </c>
      <c r="O88" s="8">
        <f t="shared" si="1"/>
        <v>31</v>
      </c>
      <c r="P88">
        <f ca="1">'Reference dates (hide)'!K73</f>
        <v>1.968503937007874E-2</v>
      </c>
    </row>
    <row r="89" spans="2:16" x14ac:dyDescent="0.25">
      <c r="B89"/>
      <c r="C89"/>
      <c r="D89"/>
      <c r="M89" s="101">
        <f>IF('Reference dates (hide)'!I74&lt;&gt;"",'Reference dates (hide)'!I74,"")</f>
        <v>44046</v>
      </c>
      <c r="N89" s="99">
        <f t="shared" si="0"/>
        <v>2020</v>
      </c>
      <c r="O89" s="8">
        <f t="shared" si="1"/>
        <v>32</v>
      </c>
      <c r="P89">
        <f ca="1">'Reference dates (hide)'!K74</f>
        <v>1.968503937007874E-2</v>
      </c>
    </row>
    <row r="90" spans="2:16" x14ac:dyDescent="0.25">
      <c r="B90"/>
      <c r="C90"/>
      <c r="D90"/>
      <c r="M90" s="101">
        <f>IF('Reference dates (hide)'!I75&lt;&gt;"",'Reference dates (hide)'!I75,"")</f>
        <v>44053</v>
      </c>
      <c r="N90" s="99">
        <f t="shared" si="0"/>
        <v>2020</v>
      </c>
      <c r="O90" s="8">
        <f t="shared" si="1"/>
        <v>33</v>
      </c>
      <c r="P90">
        <f ca="1">'Reference dates (hide)'!K75</f>
        <v>1.968503937007874E-2</v>
      </c>
    </row>
    <row r="91" spans="2:16" x14ac:dyDescent="0.25">
      <c r="B91"/>
      <c r="C91"/>
      <c r="D91"/>
      <c r="M91" s="101">
        <f>IF('Reference dates (hide)'!I76&lt;&gt;"",'Reference dates (hide)'!I76,"")</f>
        <v>44060</v>
      </c>
      <c r="N91" s="99">
        <f t="shared" si="0"/>
        <v>2020</v>
      </c>
      <c r="O91" s="8">
        <f t="shared" si="1"/>
        <v>34</v>
      </c>
      <c r="P91">
        <f ca="1">'Reference dates (hide)'!K76</f>
        <v>1.968503937007874E-2</v>
      </c>
    </row>
    <row r="92" spans="2:16" x14ac:dyDescent="0.25">
      <c r="B92"/>
      <c r="C92"/>
      <c r="D92"/>
      <c r="M92" s="101">
        <f>IF('Reference dates (hide)'!I77&lt;&gt;"",'Reference dates (hide)'!I77,"")</f>
        <v>44067</v>
      </c>
      <c r="N92" s="99">
        <f t="shared" si="0"/>
        <v>2020</v>
      </c>
      <c r="O92" s="8">
        <f t="shared" si="1"/>
        <v>35</v>
      </c>
      <c r="P92">
        <f ca="1">'Reference dates (hide)'!K77</f>
        <v>1.968503937007874E-2</v>
      </c>
    </row>
    <row r="93" spans="2:16" x14ac:dyDescent="0.25">
      <c r="B93"/>
      <c r="C93"/>
      <c r="D93"/>
      <c r="M93" s="101">
        <f>IF('Reference dates (hide)'!I78&lt;&gt;"",'Reference dates (hide)'!I78,"")</f>
        <v>44074</v>
      </c>
      <c r="N93" s="99">
        <f t="shared" si="0"/>
        <v>2020</v>
      </c>
      <c r="O93" s="8">
        <f t="shared" si="1"/>
        <v>36</v>
      </c>
      <c r="P93">
        <f ca="1">'Reference dates (hide)'!K78</f>
        <v>1.5748031496062992E-2</v>
      </c>
    </row>
    <row r="94" spans="2:16" x14ac:dyDescent="0.25">
      <c r="B94"/>
      <c r="C94"/>
      <c r="D94"/>
      <c r="M94" s="101">
        <f>IF('Reference dates (hide)'!I79&lt;&gt;"",'Reference dates (hide)'!I79,"")</f>
        <v>44081</v>
      </c>
      <c r="N94" s="99">
        <f t="shared" si="0"/>
        <v>2020</v>
      </c>
      <c r="O94" s="8">
        <f t="shared" si="1"/>
        <v>37</v>
      </c>
      <c r="P94">
        <f ca="1">'Reference dates (hide)'!K79</f>
        <v>1.968503937007874E-2</v>
      </c>
    </row>
    <row r="95" spans="2:16" x14ac:dyDescent="0.25">
      <c r="B95"/>
      <c r="C95"/>
      <c r="D95"/>
      <c r="M95" s="101">
        <f>IF('Reference dates (hide)'!I80&lt;&gt;"",'Reference dates (hide)'!I80,"")</f>
        <v>44088</v>
      </c>
      <c r="N95" s="99">
        <f t="shared" si="0"/>
        <v>2020</v>
      </c>
      <c r="O95" s="8">
        <f t="shared" si="1"/>
        <v>38</v>
      </c>
      <c r="P95">
        <f ca="1">'Reference dates (hide)'!K80</f>
        <v>1.968503937007874E-2</v>
      </c>
    </row>
    <row r="96" spans="2:16" x14ac:dyDescent="0.25">
      <c r="B96"/>
      <c r="C96"/>
      <c r="D96"/>
      <c r="M96" s="101">
        <f>IF('Reference dates (hide)'!I81&lt;&gt;"",'Reference dates (hide)'!I81,"")</f>
        <v>44095</v>
      </c>
      <c r="N96" s="99">
        <f t="shared" si="0"/>
        <v>2020</v>
      </c>
      <c r="O96" s="8">
        <f t="shared" si="1"/>
        <v>39</v>
      </c>
      <c r="P96">
        <f ca="1">'Reference dates (hide)'!K81</f>
        <v>1.968503937007874E-2</v>
      </c>
    </row>
    <row r="97" spans="2:31" x14ac:dyDescent="0.25">
      <c r="B97"/>
      <c r="C97"/>
      <c r="D97"/>
      <c r="M97" s="101">
        <f>IF('Reference dates (hide)'!I82&lt;&gt;"",'Reference dates (hide)'!I82,"")</f>
        <v>44102</v>
      </c>
      <c r="N97" s="99">
        <f t="shared" si="0"/>
        <v>2020</v>
      </c>
      <c r="O97" s="8">
        <f t="shared" si="1"/>
        <v>40</v>
      </c>
      <c r="P97">
        <f ca="1">'Reference dates (hide)'!K82</f>
        <v>1.968503937007874E-2</v>
      </c>
    </row>
    <row r="98" spans="2:31" x14ac:dyDescent="0.25">
      <c r="B98"/>
      <c r="C98"/>
      <c r="D98"/>
      <c r="M98" s="101">
        <f>IF('Reference dates (hide)'!I83&lt;&gt;"",'Reference dates (hide)'!I83,"")</f>
        <v>44109</v>
      </c>
      <c r="N98" s="99">
        <f t="shared" si="0"/>
        <v>2020</v>
      </c>
      <c r="O98" s="8">
        <f t="shared" si="1"/>
        <v>41</v>
      </c>
      <c r="P98">
        <f ca="1">'Reference dates (hide)'!K83</f>
        <v>1.968503937007874E-2</v>
      </c>
    </row>
    <row r="99" spans="2:31" x14ac:dyDescent="0.25">
      <c r="B99"/>
      <c r="C99"/>
      <c r="D99"/>
      <c r="M99" s="101">
        <f>IF('Reference dates (hide)'!I84&lt;&gt;"",'Reference dates (hide)'!I84,"")</f>
        <v>44116</v>
      </c>
      <c r="N99" s="99">
        <f t="shared" si="0"/>
        <v>2020</v>
      </c>
      <c r="O99" s="8">
        <f t="shared" si="1"/>
        <v>42</v>
      </c>
      <c r="P99">
        <f ca="1">'Reference dates (hide)'!K84</f>
        <v>1.968503937007874E-2</v>
      </c>
    </row>
    <row r="100" spans="2:31" x14ac:dyDescent="0.25">
      <c r="B100"/>
      <c r="C100"/>
      <c r="D100"/>
      <c r="M100" s="101">
        <f>IF('Reference dates (hide)'!I85&lt;&gt;"",'Reference dates (hide)'!I85,"")</f>
        <v>44123</v>
      </c>
      <c r="N100" s="99">
        <f t="shared" si="0"/>
        <v>2020</v>
      </c>
      <c r="O100" s="8">
        <f t="shared" si="1"/>
        <v>43</v>
      </c>
      <c r="P100">
        <f ca="1">'Reference dates (hide)'!K85</f>
        <v>1.968503937007874E-2</v>
      </c>
    </row>
    <row r="101" spans="2:31" x14ac:dyDescent="0.25">
      <c r="B101"/>
      <c r="C101"/>
      <c r="D101"/>
      <c r="M101" s="101">
        <f>IF('Reference dates (hide)'!I86&lt;&gt;"",'Reference dates (hide)'!I86,"")</f>
        <v>44130</v>
      </c>
      <c r="N101" s="99">
        <f t="shared" si="0"/>
        <v>2020</v>
      </c>
      <c r="O101" s="8">
        <f t="shared" si="1"/>
        <v>44</v>
      </c>
      <c r="P101">
        <f ca="1">'Reference dates (hide)'!K86</f>
        <v>1.968503937007874E-2</v>
      </c>
    </row>
    <row r="102" spans="2:31" x14ac:dyDescent="0.25">
      <c r="B102"/>
      <c r="C102"/>
      <c r="D102"/>
      <c r="M102" s="101">
        <f>IF('Reference dates (hide)'!I87&lt;&gt;"",'Reference dates (hide)'!I87,"")</f>
        <v>44137</v>
      </c>
      <c r="N102" s="99">
        <f t="shared" si="0"/>
        <v>2020</v>
      </c>
      <c r="O102" s="8">
        <f t="shared" si="1"/>
        <v>45</v>
      </c>
      <c r="P102">
        <f ca="1">'Reference dates (hide)'!K87</f>
        <v>1.968503937007874E-2</v>
      </c>
    </row>
    <row r="103" spans="2:31" x14ac:dyDescent="0.25">
      <c r="B103"/>
      <c r="C103"/>
      <c r="D103"/>
      <c r="M103" s="101">
        <f>IF('Reference dates (hide)'!I88&lt;&gt;"",'Reference dates (hide)'!I88,"")</f>
        <v>44144</v>
      </c>
      <c r="N103" s="99">
        <f t="shared" si="0"/>
        <v>2020</v>
      </c>
      <c r="O103" s="8">
        <f t="shared" si="1"/>
        <v>46</v>
      </c>
      <c r="P103">
        <f ca="1">'Reference dates (hide)'!K88</f>
        <v>1.968503937007874E-2</v>
      </c>
    </row>
    <row r="104" spans="2:31" x14ac:dyDescent="0.25">
      <c r="B104"/>
      <c r="C104"/>
      <c r="D104"/>
      <c r="M104" s="101">
        <f>IF('Reference dates (hide)'!I89&lt;&gt;"",'Reference dates (hide)'!I89,"")</f>
        <v>44151</v>
      </c>
      <c r="N104" s="99">
        <f t="shared" si="0"/>
        <v>2020</v>
      </c>
      <c r="O104" s="8">
        <f t="shared" si="1"/>
        <v>47</v>
      </c>
      <c r="P104">
        <f ca="1">'Reference dates (hide)'!K89</f>
        <v>1.968503937007874E-2</v>
      </c>
    </row>
    <row r="105" spans="2:31" x14ac:dyDescent="0.25">
      <c r="B105"/>
      <c r="C105"/>
      <c r="D105"/>
      <c r="M105" s="101">
        <f>IF('Reference dates (hide)'!I90&lt;&gt;"",'Reference dates (hide)'!I90,"")</f>
        <v>44158</v>
      </c>
      <c r="N105" s="99">
        <f t="shared" si="0"/>
        <v>2020</v>
      </c>
      <c r="O105" s="8">
        <f t="shared" si="1"/>
        <v>48</v>
      </c>
      <c r="P105">
        <f ca="1">'Reference dates (hide)'!K90</f>
        <v>1.968503937007874E-2</v>
      </c>
    </row>
    <row r="106" spans="2:31" x14ac:dyDescent="0.25">
      <c r="B106"/>
      <c r="C106"/>
      <c r="D106"/>
      <c r="M106" s="101">
        <f>IF('Reference dates (hide)'!I91&lt;&gt;"",'Reference dates (hide)'!I91,"")</f>
        <v>44165</v>
      </c>
      <c r="N106" s="99">
        <f t="shared" si="0"/>
        <v>2020</v>
      </c>
      <c r="O106" s="8">
        <f t="shared" si="1"/>
        <v>49</v>
      </c>
      <c r="P106">
        <f ca="1">'Reference dates (hide)'!K91</f>
        <v>1.968503937007874E-2</v>
      </c>
    </row>
    <row r="107" spans="2:31" x14ac:dyDescent="0.25">
      <c r="B107"/>
      <c r="C107"/>
      <c r="D107"/>
      <c r="M107" s="101">
        <f>IF('Reference dates (hide)'!I92&lt;&gt;"",'Reference dates (hide)'!I92,"")</f>
        <v>44172</v>
      </c>
      <c r="N107" s="99">
        <f t="shared" si="0"/>
        <v>2020</v>
      </c>
      <c r="O107" s="8">
        <f t="shared" si="1"/>
        <v>50</v>
      </c>
      <c r="P107">
        <f ca="1">'Reference dates (hide)'!K92</f>
        <v>1.968503937007874E-2</v>
      </c>
    </row>
    <row r="108" spans="2:31" x14ac:dyDescent="0.25">
      <c r="B108"/>
      <c r="C108"/>
      <c r="D108"/>
      <c r="M108" s="101">
        <f>IF('Reference dates (hide)'!I93&lt;&gt;"",'Reference dates (hide)'!I93,"")</f>
        <v>44179</v>
      </c>
      <c r="N108" s="99">
        <f t="shared" si="0"/>
        <v>2020</v>
      </c>
      <c r="O108" s="8">
        <f t="shared" si="1"/>
        <v>51</v>
      </c>
      <c r="P108">
        <f ca="1">'Reference dates (hide)'!K93</f>
        <v>1.968503937007874E-2</v>
      </c>
    </row>
    <row r="109" spans="2:31" x14ac:dyDescent="0.25">
      <c r="B109"/>
      <c r="C109"/>
      <c r="D109"/>
      <c r="M109" s="101">
        <f>IF('Reference dates (hide)'!I94&lt;&gt;"",'Reference dates (hide)'!I94,"")</f>
        <v>44186</v>
      </c>
      <c r="N109" s="99">
        <f t="shared" si="0"/>
        <v>2020</v>
      </c>
      <c r="O109" s="8">
        <f t="shared" si="1"/>
        <v>52</v>
      </c>
      <c r="P109">
        <f ca="1">'Reference dates (hide)'!K94</f>
        <v>1.5748031496062992E-2</v>
      </c>
    </row>
    <row r="110" spans="2:31" x14ac:dyDescent="0.25">
      <c r="B110"/>
      <c r="C110"/>
      <c r="D110"/>
      <c r="M110" s="101">
        <f>IF('Reference dates (hide)'!I95&lt;&gt;"",'Reference dates (hide)'!I95,"")</f>
        <v>44193</v>
      </c>
      <c r="N110" s="99">
        <f t="shared" si="0"/>
        <v>2020</v>
      </c>
      <c r="O110" s="8">
        <f t="shared" si="1"/>
        <v>53</v>
      </c>
      <c r="P110">
        <f ca="1">'Reference dates (hide)'!K95</f>
        <v>1.1811023622047244E-2</v>
      </c>
    </row>
    <row r="111" spans="2:31" x14ac:dyDescent="0.25">
      <c r="M111">
        <f>MAX(T58:AB110)</f>
        <v>0</v>
      </c>
      <c r="Q111">
        <f>MAX(Q58:Q109)/$Q$54</f>
        <v>0</v>
      </c>
      <c r="R111">
        <f>MAX(R58:R109)/IF($R$54=0,1,$Q$54)</f>
        <v>0</v>
      </c>
      <c r="S111">
        <f>MAX(S58:S109)/IF($S$54=0,1,$Q$54)</f>
        <v>0</v>
      </c>
      <c r="Z111">
        <f>MAX(Z58:Z109)/IF($Z$52=0,1,Q$54)</f>
        <v>0</v>
      </c>
      <c r="AA111">
        <f>MAX(AA58:AA109)/IF($Z$52=0,1,R$54)</f>
        <v>0</v>
      </c>
      <c r="AB111">
        <f>MAX(AB58:AB109)/IF($Z$52=0,1,S$54)</f>
        <v>0</v>
      </c>
      <c r="AC111">
        <f>MAX(AC58:AC109)/IF($Z$52=0,1,Q$54)</f>
        <v>0</v>
      </c>
      <c r="AD111">
        <f>MAX(AD58:AD109)/IF($Z$52=0,1,R$54)</f>
        <v>0</v>
      </c>
      <c r="AE111">
        <f>MAX(AE58:AE109)/IF($Z$52=0,1,S$54)</f>
        <v>0</v>
      </c>
    </row>
    <row r="118" spans="26:26" x14ac:dyDescent="0.25">
      <c r="Z118" s="121"/>
    </row>
    <row r="119" spans="26:26" x14ac:dyDescent="0.25">
      <c r="Z119" s="121"/>
    </row>
  </sheetData>
  <pageMargins left="0.7" right="0.7" top="0.75" bottom="0.75" header="0.3" footer="0.3"/>
  <legacyDrawing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0"/>
  <dimension ref="A1:AN119"/>
  <sheetViews>
    <sheetView workbookViewId="0">
      <selection activeCell="AK59" sqref="AK59"/>
    </sheetView>
  </sheetViews>
  <sheetFormatPr defaultRowHeight="13.8" x14ac:dyDescent="0.25"/>
  <cols>
    <col min="1" max="1" width="27.69921875" bestFit="1" customWidth="1"/>
    <col min="2" max="2" width="16.8984375" style="6" customWidth="1"/>
    <col min="3" max="3" width="12.09765625" style="6" bestFit="1" customWidth="1"/>
    <col min="4" max="4" width="16.09765625" style="7" bestFit="1" customWidth="1"/>
    <col min="11" max="11" width="10.8984375" bestFit="1" customWidth="1"/>
    <col min="13" max="13" width="16.69921875" bestFit="1" customWidth="1"/>
    <col min="17" max="17" width="6.8984375" customWidth="1"/>
    <col min="26" max="26" width="11.8984375" bestFit="1" customWidth="1"/>
  </cols>
  <sheetData>
    <row r="1" spans="1:19" x14ac:dyDescent="0.25">
      <c r="A1" t="s">
        <v>1076</v>
      </c>
      <c r="B1" s="6" t="s">
        <v>931</v>
      </c>
      <c r="C1" s="6" t="b">
        <f>ISERR(SUM(B25:M49))</f>
        <v>0</v>
      </c>
    </row>
    <row r="2" spans="1:19" x14ac:dyDescent="0.25">
      <c r="A2" t="s">
        <v>932</v>
      </c>
      <c r="B2"/>
    </row>
    <row r="3" spans="1:19" x14ac:dyDescent="0.25">
      <c r="B3" s="6" t="s">
        <v>933</v>
      </c>
      <c r="F3" t="s">
        <v>934</v>
      </c>
      <c r="J3" t="s">
        <v>935</v>
      </c>
    </row>
    <row r="4" spans="1:19" x14ac:dyDescent="0.25">
      <c r="B4" s="6" t="s">
        <v>936</v>
      </c>
      <c r="C4" s="6" t="s">
        <v>937</v>
      </c>
      <c r="D4" s="7" t="s">
        <v>1208</v>
      </c>
      <c r="F4" s="6" t="s">
        <v>936</v>
      </c>
      <c r="G4" s="6" t="s">
        <v>937</v>
      </c>
      <c r="H4" s="7" t="s">
        <v>1024</v>
      </c>
      <c r="J4" s="6" t="s">
        <v>936</v>
      </c>
      <c r="K4" s="6" t="s">
        <v>937</v>
      </c>
      <c r="L4" s="7" t="s">
        <v>1024</v>
      </c>
    </row>
    <row r="5" spans="1:19" x14ac:dyDescent="0.25">
      <c r="A5" t="s">
        <v>5</v>
      </c>
      <c r="B5" s="8"/>
      <c r="C5" s="6">
        <f>B5*52</f>
        <v>0</v>
      </c>
      <c r="D5" s="7">
        <f>IF($B$20=1,C5/$B$21,C5)</f>
        <v>0</v>
      </c>
      <c r="G5">
        <f>F5*$D5</f>
        <v>0</v>
      </c>
      <c r="H5">
        <f>G5/52</f>
        <v>0</v>
      </c>
      <c r="K5">
        <f>J5*D5</f>
        <v>0</v>
      </c>
      <c r="L5">
        <f>K5/52</f>
        <v>0</v>
      </c>
    </row>
    <row r="6" spans="1:19" x14ac:dyDescent="0.25">
      <c r="A6" t="s">
        <v>1209</v>
      </c>
      <c r="B6" s="8"/>
      <c r="D6" s="7">
        <f>IF($B$20=1,B6/$B$21,B6)</f>
        <v>0</v>
      </c>
      <c r="G6">
        <f>F6*52</f>
        <v>0</v>
      </c>
      <c r="H6">
        <f>F6</f>
        <v>0</v>
      </c>
      <c r="K6">
        <f>J6*52</f>
        <v>0</v>
      </c>
      <c r="L6">
        <f>J6</f>
        <v>0</v>
      </c>
    </row>
    <row r="7" spans="1:19" x14ac:dyDescent="0.25">
      <c r="A7" t="s">
        <v>1210</v>
      </c>
      <c r="B7" s="8"/>
      <c r="D7" s="7">
        <f>IF($B$20=1,B7/$B$21,B7)</f>
        <v>0</v>
      </c>
    </row>
    <row r="8" spans="1:19" x14ac:dyDescent="0.25">
      <c r="A8" t="s">
        <v>9</v>
      </c>
      <c r="B8"/>
    </row>
    <row r="9" spans="1:19" x14ac:dyDescent="0.25">
      <c r="A9" t="s">
        <v>964</v>
      </c>
      <c r="B9"/>
    </row>
    <row r="10" spans="1:19" x14ac:dyDescent="0.25">
      <c r="A10" t="s">
        <v>940</v>
      </c>
      <c r="B10"/>
      <c r="C10" s="6">
        <f xml:space="preserve"> NASR*NASRDC</f>
        <v>0</v>
      </c>
      <c r="G10">
        <f xml:space="preserve"> FU_NASR*FU_NASRDC</f>
        <v>0</v>
      </c>
      <c r="K10">
        <f xml:space="preserve"> IP_NASR*IP_NASRDC</f>
        <v>0</v>
      </c>
    </row>
    <row r="11" spans="1:19" x14ac:dyDescent="0.25">
      <c r="A11" t="s">
        <v>965</v>
      </c>
      <c r="B11"/>
    </row>
    <row r="12" spans="1:19" x14ac:dyDescent="0.25">
      <c r="A12" t="s">
        <v>859</v>
      </c>
      <c r="B12"/>
    </row>
    <row r="13" spans="1:19" x14ac:dyDescent="0.25">
      <c r="A13" t="s">
        <v>941</v>
      </c>
      <c r="B13" s="8"/>
      <c r="D13" s="7">
        <f>IF($B$20=1,B13/$B$21,B13)</f>
        <v>0</v>
      </c>
      <c r="G13">
        <f>F13*52</f>
        <v>0</v>
      </c>
      <c r="H13" s="7">
        <f>IF($B$20=1,F13/$B$21,F13)</f>
        <v>0</v>
      </c>
      <c r="K13">
        <f>J13*52</f>
        <v>0</v>
      </c>
      <c r="L13" s="7">
        <f>IF($B$20=1,J13/$B$21,J13)</f>
        <v>0</v>
      </c>
    </row>
    <row r="14" spans="1:19" x14ac:dyDescent="0.25">
      <c r="A14" t="s">
        <v>1275</v>
      </c>
      <c r="B14" s="8"/>
      <c r="H14" s="7"/>
      <c r="L14" s="7"/>
    </row>
    <row r="15" spans="1:19" x14ac:dyDescent="0.25">
      <c r="A15" t="s">
        <v>1278</v>
      </c>
      <c r="B15"/>
      <c r="D15" s="7">
        <f>IF($B$20=1,B15/$B$21,B15)</f>
        <v>0</v>
      </c>
      <c r="H15" s="7">
        <f>IF($B$20=1,F15/$B$21,F15)</f>
        <v>0</v>
      </c>
      <c r="L15" s="7">
        <f>IF($B$20=1,J15/$B$21,J15)</f>
        <v>0</v>
      </c>
    </row>
    <row r="16" spans="1:19" x14ac:dyDescent="0.25">
      <c r="A16" t="s">
        <v>861</v>
      </c>
      <c r="B16" s="8"/>
      <c r="D16" s="7">
        <f>IF($B$20=1,B16/$B$21,B16)</f>
        <v>0</v>
      </c>
      <c r="H16" s="7">
        <f>IF($B$20=1,F16/$B$21,F16)</f>
        <v>0</v>
      </c>
      <c r="L16" s="7">
        <f>IF($B$20=1,J16/$B$21,J16)</f>
        <v>0</v>
      </c>
      <c r="S16" t="s">
        <v>1213</v>
      </c>
    </row>
    <row r="17" spans="1:20" x14ac:dyDescent="0.25">
      <c r="A17" t="s">
        <v>7</v>
      </c>
      <c r="B17" s="8"/>
      <c r="D17" s="7">
        <f>IF($B$20=1,B17/$B$21,B17)</f>
        <v>0</v>
      </c>
      <c r="H17" s="7">
        <f>IF($B$20=1,F17/$B$21,F17)</f>
        <v>0</v>
      </c>
      <c r="L17" s="7">
        <f>IF($B$20=1,J17/$B$21,J17)</f>
        <v>0</v>
      </c>
      <c r="S17" t="s">
        <v>1159</v>
      </c>
    </row>
    <row r="18" spans="1:20" x14ac:dyDescent="0.25">
      <c r="A18" t="s">
        <v>1081</v>
      </c>
      <c r="B18"/>
      <c r="S18" t="s">
        <v>1187</v>
      </c>
    </row>
    <row r="19" spans="1:20" x14ac:dyDescent="0.25">
      <c r="A19" t="s">
        <v>863</v>
      </c>
      <c r="B19"/>
      <c r="S19" t="s">
        <v>1214</v>
      </c>
      <c r="T19" t="s">
        <v>1215</v>
      </c>
    </row>
    <row r="20" spans="1:20" x14ac:dyDescent="0.25">
      <c r="A20" t="s">
        <v>942</v>
      </c>
      <c r="B20"/>
      <c r="R20" t="s">
        <v>947</v>
      </c>
      <c r="S20" t="s">
        <v>984</v>
      </c>
      <c r="T20" t="s">
        <v>1216</v>
      </c>
    </row>
    <row r="21" spans="1:20" x14ac:dyDescent="0.25">
      <c r="A21" t="s">
        <v>943</v>
      </c>
      <c r="B21">
        <v>1</v>
      </c>
      <c r="D21" s="12"/>
      <c r="S21" t="s">
        <v>985</v>
      </c>
      <c r="T21" t="s">
        <v>1216</v>
      </c>
    </row>
    <row r="22" spans="1:20" x14ac:dyDescent="0.25">
      <c r="H22">
        <f>F22*$D$5</f>
        <v>0</v>
      </c>
      <c r="L22">
        <f>J22*$D$5</f>
        <v>0</v>
      </c>
      <c r="S22" t="s">
        <v>1217</v>
      </c>
      <c r="T22" t="s">
        <v>1218</v>
      </c>
    </row>
    <row r="23" spans="1:20" x14ac:dyDescent="0.25">
      <c r="S23" t="s">
        <v>1219</v>
      </c>
      <c r="T23" t="s">
        <v>1218</v>
      </c>
    </row>
    <row r="24" spans="1:20" x14ac:dyDescent="0.25">
      <c r="D24" s="7" t="s">
        <v>1023</v>
      </c>
      <c r="F24" t="s">
        <v>901</v>
      </c>
      <c r="G24" t="s">
        <v>1022</v>
      </c>
      <c r="H24" s="7" t="s">
        <v>1023</v>
      </c>
      <c r="J24" t="s">
        <v>901</v>
      </c>
      <c r="K24" t="s">
        <v>1022</v>
      </c>
      <c r="L24" s="7" t="s">
        <v>1023</v>
      </c>
      <c r="R24" t="s">
        <v>941</v>
      </c>
      <c r="S24" t="s">
        <v>25</v>
      </c>
      <c r="T24" t="s">
        <v>1218</v>
      </c>
    </row>
    <row r="25" spans="1:20" x14ac:dyDescent="0.25">
      <c r="A25" t="s">
        <v>944</v>
      </c>
      <c r="B25" s="6">
        <f>IF(B17-B16&lt;0,0,B17-B16)</f>
        <v>0</v>
      </c>
      <c r="D25" s="6">
        <f>IF(D17-D16&lt;0,0,D17-D16)</f>
        <v>0</v>
      </c>
      <c r="F25" s="8">
        <f>F5*B25</f>
        <v>0</v>
      </c>
      <c r="G25" s="8">
        <v>0</v>
      </c>
      <c r="H25" s="8"/>
      <c r="I25" s="8"/>
      <c r="J25" s="8">
        <f>(J5*B25)+IF(J17-J16&lt;=0,0,J17-J16)</f>
        <v>0</v>
      </c>
      <c r="K25" s="8">
        <f>IF(J17-J16&lt;=0,0,J17-J16)</f>
        <v>0</v>
      </c>
      <c r="L25" s="8"/>
      <c r="S25" t="s">
        <v>1220</v>
      </c>
      <c r="T25" t="s">
        <v>1218</v>
      </c>
    </row>
    <row r="26" spans="1:20" x14ac:dyDescent="0.25">
      <c r="A26" t="s">
        <v>945</v>
      </c>
      <c r="B26" s="9">
        <f>(1-NASLDC)*NASL</f>
        <v>0</v>
      </c>
      <c r="D26" s="11"/>
      <c r="F26" s="8">
        <f>FU_NASL*(1-FU_NASLDC)</f>
        <v>0</v>
      </c>
      <c r="G26" s="8"/>
      <c r="H26" s="8"/>
      <c r="I26" s="8"/>
      <c r="J26" s="8">
        <f>IP_NASL*(1-IP_NASLDC)</f>
        <v>0</v>
      </c>
      <c r="K26" s="8"/>
      <c r="L26" s="8"/>
      <c r="R26" t="s">
        <v>1221</v>
      </c>
      <c r="S26" t="s">
        <v>25</v>
      </c>
      <c r="T26" t="s">
        <v>1218</v>
      </c>
    </row>
    <row r="27" spans="1:20" x14ac:dyDescent="0.25">
      <c r="A27" t="s">
        <v>946</v>
      </c>
      <c r="B27" s="6">
        <f>NASR*(1-NASRDC)</f>
        <v>0</v>
      </c>
      <c r="D27" s="11"/>
      <c r="F27" s="8">
        <f>FU_NASR*(1-FU_NASRDC)</f>
        <v>0</v>
      </c>
      <c r="G27" s="8"/>
      <c r="H27" s="8"/>
      <c r="I27" s="8"/>
      <c r="J27" s="8">
        <f>IP_NASR*(1-IP_NASRDC)</f>
        <v>0</v>
      </c>
      <c r="K27" s="8"/>
      <c r="L27" s="8"/>
      <c r="S27" t="s">
        <v>1220</v>
      </c>
      <c r="T27" t="s">
        <v>1218</v>
      </c>
    </row>
    <row r="28" spans="1:20" x14ac:dyDescent="0.25">
      <c r="D28" s="11"/>
      <c r="F28" s="8"/>
      <c r="G28" s="8"/>
      <c r="H28" s="8"/>
      <c r="I28" s="8"/>
      <c r="J28" s="8"/>
      <c r="K28" s="8"/>
      <c r="L28" s="8"/>
      <c r="R28" t="s">
        <v>1093</v>
      </c>
      <c r="S28" t="s">
        <v>984</v>
      </c>
      <c r="T28" t="s">
        <v>1216</v>
      </c>
    </row>
    <row r="29" spans="1:20" ht="14.4" x14ac:dyDescent="0.3">
      <c r="A29" s="10" t="s">
        <v>947</v>
      </c>
      <c r="D29" s="12"/>
      <c r="F29" s="8"/>
      <c r="G29" s="8"/>
      <c r="H29" s="8"/>
      <c r="I29" s="8"/>
      <c r="J29" s="8"/>
      <c r="K29" s="8"/>
      <c r="L29" s="8"/>
      <c r="S29" t="s">
        <v>985</v>
      </c>
      <c r="T29" t="s">
        <v>1216</v>
      </c>
    </row>
    <row r="30" spans="1:20" x14ac:dyDescent="0.25">
      <c r="A30" t="s">
        <v>948</v>
      </c>
      <c r="B30" s="6">
        <f>B5*(NASL+NASR+ROTT)</f>
        <v>0</v>
      </c>
      <c r="F30" s="8">
        <f>H5*(F8+F10+F18)</f>
        <v>0</v>
      </c>
      <c r="G30" s="8"/>
      <c r="H30" s="8"/>
      <c r="I30" s="8"/>
      <c r="J30" s="8">
        <f>L5*(J8+J10+J18)</f>
        <v>0</v>
      </c>
      <c r="K30" s="8"/>
      <c r="L30" s="8"/>
    </row>
    <row r="31" spans="1:20" x14ac:dyDescent="0.25">
      <c r="A31" t="s">
        <v>949</v>
      </c>
      <c r="B31" s="6">
        <f>B5*(B26+B27)</f>
        <v>0</v>
      </c>
      <c r="F31" s="8">
        <f>H5*(F26+F27)</f>
        <v>0</v>
      </c>
      <c r="G31" s="8"/>
      <c r="H31" s="8"/>
      <c r="I31" s="8"/>
      <c r="J31" s="8">
        <f>L5*(J26+J27)</f>
        <v>0</v>
      </c>
      <c r="K31" s="8"/>
      <c r="L31" s="8"/>
      <c r="R31" t="s">
        <v>941</v>
      </c>
      <c r="S31" t="s">
        <v>25</v>
      </c>
      <c r="T31" t="s">
        <v>1218</v>
      </c>
    </row>
    <row r="32" spans="1:20" x14ac:dyDescent="0.25">
      <c r="F32" s="8"/>
      <c r="G32" s="8"/>
      <c r="H32" s="8"/>
      <c r="I32" s="8"/>
      <c r="J32" s="8"/>
      <c r="K32" s="8"/>
      <c r="L32" s="8"/>
      <c r="S32" t="s">
        <v>1220</v>
      </c>
      <c r="T32" t="s">
        <v>1218</v>
      </c>
    </row>
    <row r="33" spans="1:20" x14ac:dyDescent="0.25">
      <c r="A33" t="s">
        <v>950</v>
      </c>
      <c r="B33" s="6">
        <f>B31-B30+B5</f>
        <v>0</v>
      </c>
      <c r="C33" s="6">
        <f>B33*52</f>
        <v>0</v>
      </c>
      <c r="D33" s="7">
        <f>IF($B$20=1,C33/$B$21,C33)</f>
        <v>0</v>
      </c>
      <c r="F33" s="8">
        <f>(F31-F30+H5)/52</f>
        <v>0</v>
      </c>
      <c r="G33" s="8"/>
      <c r="H33" s="8">
        <f>(F31-F30+H5)*52</f>
        <v>0</v>
      </c>
      <c r="I33" s="8"/>
      <c r="J33" s="8">
        <f>(J31-J30+L5)/52</f>
        <v>0</v>
      </c>
      <c r="K33" s="8"/>
      <c r="L33" s="8">
        <f>(J31-J30+L5)*52</f>
        <v>0</v>
      </c>
      <c r="R33" t="s">
        <v>1221</v>
      </c>
      <c r="S33" t="s">
        <v>25</v>
      </c>
      <c r="T33" t="s">
        <v>1218</v>
      </c>
    </row>
    <row r="34" spans="1:20" x14ac:dyDescent="0.25">
      <c r="F34" s="8"/>
      <c r="G34" s="8"/>
      <c r="H34" s="8"/>
      <c r="I34" s="8"/>
      <c r="J34" s="8"/>
      <c r="K34" s="8"/>
      <c r="L34" s="8"/>
      <c r="S34" t="s">
        <v>1220</v>
      </c>
      <c r="T34" t="s">
        <v>1218</v>
      </c>
    </row>
    <row r="35" spans="1:20" x14ac:dyDescent="0.25">
      <c r="F35" s="8"/>
      <c r="G35" s="8"/>
      <c r="H35" s="8"/>
      <c r="I35" s="8"/>
      <c r="J35" s="8"/>
      <c r="K35" s="8"/>
      <c r="L35" s="8"/>
      <c r="R35" t="s">
        <v>1093</v>
      </c>
      <c r="S35" t="s">
        <v>984</v>
      </c>
      <c r="T35" t="s">
        <v>1218</v>
      </c>
    </row>
    <row r="36" spans="1:20" ht="14.4" x14ac:dyDescent="0.3">
      <c r="A36" s="10" t="s">
        <v>951</v>
      </c>
      <c r="F36" s="8"/>
      <c r="G36" s="8"/>
      <c r="H36" s="8"/>
      <c r="I36" s="8"/>
      <c r="J36" s="8"/>
      <c r="K36" s="8"/>
      <c r="L36" s="8"/>
      <c r="S36" t="s">
        <v>985</v>
      </c>
      <c r="T36" t="s">
        <v>1218</v>
      </c>
    </row>
    <row r="37" spans="1:20" x14ac:dyDescent="0.25">
      <c r="A37" t="s">
        <v>948</v>
      </c>
      <c r="B37" s="6">
        <f>B13*(B8+B10+B18)</f>
        <v>0</v>
      </c>
      <c r="F37" s="8">
        <f>F13*(F8+F10)</f>
        <v>0</v>
      </c>
      <c r="G37" s="8"/>
      <c r="H37" s="8"/>
      <c r="I37" s="8"/>
      <c r="J37" s="8">
        <f>J13*(J8+J10)</f>
        <v>0</v>
      </c>
      <c r="K37" s="8"/>
      <c r="L37" s="8"/>
      <c r="S37" t="s">
        <v>1222</v>
      </c>
      <c r="T37" t="s">
        <v>1218</v>
      </c>
    </row>
    <row r="38" spans="1:20" x14ac:dyDescent="0.25">
      <c r="A38" t="s">
        <v>949</v>
      </c>
      <c r="B38" s="6">
        <f>B13*(B26+B27)</f>
        <v>0</v>
      </c>
      <c r="F38" s="8">
        <f>F13*(F26+F27)</f>
        <v>0</v>
      </c>
      <c r="G38" s="8"/>
      <c r="H38" s="8"/>
      <c r="I38" s="8"/>
      <c r="J38" s="8">
        <f>J13*(J26+J27)</f>
        <v>0</v>
      </c>
      <c r="K38" s="8"/>
      <c r="L38" s="8"/>
    </row>
    <row r="39" spans="1:20" x14ac:dyDescent="0.25">
      <c r="F39" s="8"/>
      <c r="G39" s="8"/>
      <c r="H39" s="8"/>
      <c r="I39" s="8"/>
      <c r="J39" s="8"/>
      <c r="K39" s="8"/>
      <c r="L39" s="8"/>
      <c r="R39" t="s">
        <v>1203</v>
      </c>
      <c r="T39" t="s">
        <v>1218</v>
      </c>
    </row>
    <row r="40" spans="1:20" x14ac:dyDescent="0.25">
      <c r="A40" t="s">
        <v>952</v>
      </c>
      <c r="B40" s="6">
        <f>B13+B38-B37</f>
        <v>0</v>
      </c>
      <c r="C40" s="6">
        <f>B40*52</f>
        <v>0</v>
      </c>
      <c r="D40" s="7">
        <f>IF($B$20=1,C40/$B$21,C40)</f>
        <v>0</v>
      </c>
      <c r="F40" s="8">
        <f>F13+F38-F37</f>
        <v>0</v>
      </c>
      <c r="G40" s="8"/>
      <c r="H40" s="8">
        <f>F40*52</f>
        <v>0</v>
      </c>
      <c r="I40" s="8"/>
      <c r="J40" s="8">
        <f>J13+J38-J37</f>
        <v>0</v>
      </c>
      <c r="K40" s="8"/>
      <c r="L40" s="8">
        <f>J40*52</f>
        <v>0</v>
      </c>
    </row>
    <row r="41" spans="1:20" x14ac:dyDescent="0.25">
      <c r="F41" s="8"/>
      <c r="G41" s="8"/>
      <c r="H41" s="8"/>
      <c r="I41" s="8"/>
      <c r="J41" s="8"/>
      <c r="K41" s="8"/>
      <c r="L41" s="8"/>
    </row>
    <row r="42" spans="1:20" x14ac:dyDescent="0.25">
      <c r="F42" s="8"/>
      <c r="G42" s="8"/>
      <c r="H42" s="8"/>
      <c r="I42" s="8"/>
      <c r="J42" s="8"/>
      <c r="K42" s="8"/>
      <c r="L42" s="8"/>
    </row>
    <row r="43" spans="1:20" ht="14.4" x14ac:dyDescent="0.3">
      <c r="A43" s="10" t="s">
        <v>953</v>
      </c>
      <c r="F43" s="8"/>
      <c r="G43" s="8"/>
      <c r="H43" s="8"/>
      <c r="I43" s="8"/>
      <c r="J43" s="8"/>
      <c r="K43" s="8"/>
      <c r="L43" s="8"/>
    </row>
    <row r="44" spans="1:20" x14ac:dyDescent="0.25">
      <c r="A44" t="s">
        <v>954</v>
      </c>
      <c r="F44" s="8"/>
      <c r="G44" s="8"/>
      <c r="H44" s="8"/>
      <c r="I44" s="8"/>
      <c r="J44" s="8"/>
      <c r="K44" s="8"/>
      <c r="L44" s="8"/>
    </row>
    <row r="45" spans="1:20" x14ac:dyDescent="0.25">
      <c r="F45" s="8"/>
      <c r="G45" s="8"/>
      <c r="H45" s="8"/>
      <c r="I45" s="8"/>
      <c r="J45" s="8"/>
      <c r="K45" s="8"/>
      <c r="L45" s="8"/>
    </row>
    <row r="46" spans="1:20" x14ac:dyDescent="0.25">
      <c r="A46" t="s">
        <v>948</v>
      </c>
      <c r="B46" s="6">
        <f>B25*(B8+B10+B18)</f>
        <v>0</v>
      </c>
      <c r="F46" s="8">
        <f>F25*(F8+F10)</f>
        <v>0</v>
      </c>
      <c r="G46" s="8"/>
      <c r="H46" s="8"/>
      <c r="I46" s="8"/>
      <c r="J46" s="8">
        <f>J25*(J8+J10)</f>
        <v>0</v>
      </c>
      <c r="K46" s="8"/>
      <c r="L46" s="8"/>
    </row>
    <row r="47" spans="1:20" x14ac:dyDescent="0.25">
      <c r="A47" t="s">
        <v>949</v>
      </c>
      <c r="B47" s="6">
        <f>B25*(B26+B27)</f>
        <v>0</v>
      </c>
      <c r="F47" s="8">
        <f>F25*(F26+F27)</f>
        <v>0</v>
      </c>
      <c r="G47" s="8"/>
      <c r="H47" s="8"/>
      <c r="I47" s="8"/>
      <c r="J47" s="8">
        <f>J25*(J26+J27)</f>
        <v>0</v>
      </c>
      <c r="K47" s="8"/>
      <c r="L47" s="8"/>
    </row>
    <row r="48" spans="1:20" x14ac:dyDescent="0.25">
      <c r="F48" s="8" t="s">
        <v>901</v>
      </c>
      <c r="G48" s="8"/>
      <c r="H48" s="8"/>
      <c r="I48" s="8"/>
      <c r="J48" s="8" t="s">
        <v>901</v>
      </c>
      <c r="K48" s="8"/>
      <c r="L48" s="8"/>
    </row>
    <row r="49" spans="1:40" x14ac:dyDescent="0.25">
      <c r="A49" t="s">
        <v>955</v>
      </c>
      <c r="B49" s="6">
        <f>B25+B47-B46</f>
        <v>0</v>
      </c>
      <c r="C49" s="6">
        <f>B49</f>
        <v>0</v>
      </c>
      <c r="D49" s="7">
        <f>IF($B$20=1,C49/$B$21,C49)</f>
        <v>0</v>
      </c>
      <c r="F49" s="8">
        <f>F25+F47-F46</f>
        <v>0</v>
      </c>
      <c r="G49" s="8">
        <f>F49</f>
        <v>0</v>
      </c>
      <c r="H49" s="8">
        <f>IF($F$20=1,G49/$F$21,G49)</f>
        <v>0</v>
      </c>
      <c r="I49" s="8"/>
      <c r="J49" s="8">
        <f>J25+J47-J46</f>
        <v>0</v>
      </c>
      <c r="K49" s="8">
        <f>J49</f>
        <v>0</v>
      </c>
      <c r="L49" s="8">
        <f>IF($J$20=1,K49/$J$21,K49)</f>
        <v>0</v>
      </c>
    </row>
    <row r="50" spans="1:40" x14ac:dyDescent="0.25">
      <c r="F50" t="s">
        <v>1022</v>
      </c>
      <c r="J50" t="s">
        <v>1022</v>
      </c>
    </row>
    <row r="51" spans="1:40" x14ac:dyDescent="0.25">
      <c r="F51">
        <v>0</v>
      </c>
      <c r="H51">
        <v>0</v>
      </c>
      <c r="J51">
        <f>K25*(1+(J8*(1-J9))-(J8+J10+J18)+(J10*(1-J11)))</f>
        <v>0</v>
      </c>
      <c r="K51">
        <f>J51</f>
        <v>0</v>
      </c>
      <c r="L51" s="8">
        <f>IF($J$20=1,K51/$J$21,K51)</f>
        <v>0</v>
      </c>
    </row>
    <row r="52" spans="1:40" x14ac:dyDescent="0.25">
      <c r="A52" s="1" t="s">
        <v>956</v>
      </c>
      <c r="M52" t="s">
        <v>1016</v>
      </c>
      <c r="Z52">
        <f>1-(NASL*NASLDC)</f>
        <v>1</v>
      </c>
    </row>
    <row r="53" spans="1:40" x14ac:dyDescent="0.25">
      <c r="A53" t="s">
        <v>1141</v>
      </c>
      <c r="B53" s="92" t="s">
        <v>1142</v>
      </c>
    </row>
    <row r="54" spans="1:40" x14ac:dyDescent="0.25">
      <c r="M54" t="s">
        <v>1207</v>
      </c>
      <c r="Q54">
        <f>(1-ROTT)*(1-(NASR*NASRDC) - (NASL*NASLDC))</f>
        <v>1</v>
      </c>
      <c r="R54">
        <f>(1-FU_ROTT)*(1-(FU_NASR*FU_NASRDC) - (FU_NASL*FU_NASLDC))</f>
        <v>1</v>
      </c>
      <c r="S54">
        <f>(1-IP_ROTT)*(1-(IP_NASR*IP_NASRDC) - (IP_NASL*IP_NASLDC))</f>
        <v>1</v>
      </c>
      <c r="Z54">
        <f>1-(NASL*NASLDC)</f>
        <v>1</v>
      </c>
      <c r="AA54">
        <f>1-(FU_NASL*FU_NASLDC)</f>
        <v>1</v>
      </c>
      <c r="AB54">
        <f>1-(IP_NASL*IP_NASLDC)</f>
        <v>1</v>
      </c>
    </row>
    <row r="55" spans="1:40" x14ac:dyDescent="0.25">
      <c r="A55" t="s">
        <v>1143</v>
      </c>
      <c r="B55" s="100">
        <f>'Reference dates (hide)'!B40</f>
        <v>43831</v>
      </c>
      <c r="C55" s="6" t="s">
        <v>1150</v>
      </c>
      <c r="G55" s="7"/>
      <c r="Q55" s="116" t="str">
        <f ca="1">IF(OFFSET('Control Sheet'!E$45,MID($A$1,6,LEN($A$1)-6),0,1,1)=0,"",OFFSET('Control Sheet'!E$45,MID($A$1,6,LEN($A$1)-6),0,1,1))</f>
        <v/>
      </c>
      <c r="R55" s="116" t="str">
        <f ca="1">IF(OFFSET('Control Sheet'!F$45,MID($A$1,6,LEN($A$1)-6),0,1,1)=0,"",OFFSET('Control Sheet'!F$45,MID($A$1,6,LEN($A$1)-6),0,1,1))</f>
        <v/>
      </c>
      <c r="S55" s="116" t="str">
        <f ca="1">IF(OFFSET('Control Sheet'!G$45,MID($A$1,6,LEN($A$1)-6),0,1,1)=0,"",OFFSET('Control Sheet'!G$45,MID($A$1,6,LEN($A$1)-6),0,1,1))</f>
        <v/>
      </c>
      <c r="T55" s="118" t="str">
        <f ca="1">IF(OFFSET('Control Sheet'!I$45,MID($A$1,6,LEN($A$1)-6),0,1,1)="0","",OFFSET('Control Sheet'!I$45,MID($A$1,6,LEN($A$1)-6),0,1,1))</f>
        <v/>
      </c>
      <c r="U55" s="118" t="str">
        <f ca="1">IF(OFFSET('Control Sheet'!J$45,MID($A$1,6,LEN($A$1)-6),0,1,1)=0,"",OFFSET('Control Sheet'!J$45,MID($A$1,6,LEN($A$1)-6),0,1,1))</f>
        <v/>
      </c>
      <c r="V55" s="118" t="str">
        <f ca="1">IF(OFFSET('Control Sheet'!K$45,MID($A$1,6,LEN($A$1)-6),0,1,1)=0,"",OFFSET('Control Sheet'!K$45,MID($A$1,6,LEN($A$1)-6),0,1,1))</f>
        <v/>
      </c>
    </row>
    <row r="56" spans="1:40" ht="14.4" x14ac:dyDescent="0.3">
      <c r="A56" t="s">
        <v>1202</v>
      </c>
      <c r="C56" s="6" t="s">
        <v>1204</v>
      </c>
      <c r="D56" s="6"/>
      <c r="E56" s="7"/>
      <c r="F56" t="s">
        <v>860</v>
      </c>
      <c r="N56" s="6"/>
      <c r="O56" s="6"/>
      <c r="P56" s="7"/>
      <c r="Q56" s="93" t="s">
        <v>1236</v>
      </c>
      <c r="R56" s="6"/>
      <c r="T56" s="107" t="s">
        <v>1093</v>
      </c>
      <c r="Z56" s="93" t="s">
        <v>1212</v>
      </c>
      <c r="AC56" s="108" t="s">
        <v>1276</v>
      </c>
      <c r="AF56" s="1" t="s">
        <v>1306</v>
      </c>
      <c r="AI56" t="s">
        <v>1275</v>
      </c>
      <c r="AL56" t="s">
        <v>1312</v>
      </c>
    </row>
    <row r="57" spans="1:40" x14ac:dyDescent="0.25">
      <c r="A57" s="1" t="s">
        <v>1144</v>
      </c>
      <c r="B57" s="1" t="s">
        <v>1151</v>
      </c>
      <c r="C57" s="94" t="s">
        <v>1203</v>
      </c>
      <c r="D57" s="94" t="s">
        <v>984</v>
      </c>
      <c r="E57" s="111" t="s">
        <v>985</v>
      </c>
      <c r="F57" s="1" t="s">
        <v>951</v>
      </c>
      <c r="G57" s="1" t="s">
        <v>1205</v>
      </c>
      <c r="H57" s="1" t="s">
        <v>1206</v>
      </c>
      <c r="I57" s="1" t="s">
        <v>25</v>
      </c>
      <c r="J57" s="1" t="s">
        <v>1220</v>
      </c>
      <c r="K57" s="1" t="s">
        <v>1266</v>
      </c>
      <c r="M57" s="1" t="s">
        <v>1144</v>
      </c>
      <c r="N57" s="94" t="s">
        <v>1159</v>
      </c>
      <c r="O57" s="94" t="s">
        <v>1151</v>
      </c>
      <c r="P57" s="7" t="s">
        <v>1201</v>
      </c>
      <c r="Q57" s="6" t="s">
        <v>1196</v>
      </c>
      <c r="R57" s="6" t="s">
        <v>1197</v>
      </c>
      <c r="S57" s="7" t="s">
        <v>1198</v>
      </c>
      <c r="T57" s="109" t="s">
        <v>1188</v>
      </c>
      <c r="U57" s="109" t="s">
        <v>1189</v>
      </c>
      <c r="V57" s="109" t="s">
        <v>1190</v>
      </c>
      <c r="W57" s="110" t="s">
        <v>1191</v>
      </c>
      <c r="X57" s="110" t="s">
        <v>1192</v>
      </c>
      <c r="Y57" s="110" t="s">
        <v>1193</v>
      </c>
      <c r="Z57" s="57">
        <v>1</v>
      </c>
      <c r="AA57">
        <v>2</v>
      </c>
      <c r="AB57">
        <v>3</v>
      </c>
      <c r="AC57" t="s">
        <v>1146</v>
      </c>
      <c r="AD57" t="s">
        <v>1147</v>
      </c>
      <c r="AE57" t="s">
        <v>1148</v>
      </c>
      <c r="AF57" t="s">
        <v>1146</v>
      </c>
      <c r="AG57" t="s">
        <v>1147</v>
      </c>
      <c r="AH57" t="s">
        <v>1148</v>
      </c>
      <c r="AI57" t="s">
        <v>1146</v>
      </c>
      <c r="AJ57" t="s">
        <v>1147</v>
      </c>
      <c r="AK57" t="s">
        <v>1148</v>
      </c>
      <c r="AL57" t="s">
        <v>1146</v>
      </c>
      <c r="AM57" t="s">
        <v>1147</v>
      </c>
      <c r="AN57" t="s">
        <v>1148</v>
      </c>
    </row>
    <row r="58" spans="1:40" x14ac:dyDescent="0.25">
      <c r="B58"/>
      <c r="C58"/>
      <c r="D58"/>
      <c r="M58" s="101">
        <f>IF(B55&lt;&gt;"",B55-WEEKDAY(B55,3),"")</f>
        <v>43829</v>
      </c>
      <c r="N58" s="99">
        <f>YEAR(M58)</f>
        <v>2019</v>
      </c>
      <c r="O58" s="8">
        <f>WEEKNUM(M58,21)</f>
        <v>1</v>
      </c>
      <c r="P58">
        <f ca="1">'Reference dates (hide)'!K43</f>
        <v>7.874015748031496E-3</v>
      </c>
    </row>
    <row r="59" spans="1:40" x14ac:dyDescent="0.25">
      <c r="B59"/>
      <c r="C59"/>
      <c r="D59"/>
      <c r="M59" s="101">
        <f>IF('Reference dates (hide)'!I44&lt;&gt;"",'Reference dates (hide)'!I44,"")</f>
        <v>43836</v>
      </c>
      <c r="N59" s="99">
        <f t="shared" ref="N59:N110" si="0">YEAR(M59)</f>
        <v>2020</v>
      </c>
      <c r="O59" s="8">
        <f t="shared" ref="O59:O110" si="1">WEEKNUM(M59,21)</f>
        <v>2</v>
      </c>
      <c r="P59">
        <f ca="1">'Reference dates (hide)'!K44</f>
        <v>1.968503937007874E-2</v>
      </c>
    </row>
    <row r="60" spans="1:40" x14ac:dyDescent="0.25">
      <c r="B60"/>
      <c r="C60"/>
      <c r="D60"/>
      <c r="M60" s="101">
        <f>IF('Reference dates (hide)'!I45&lt;&gt;"",'Reference dates (hide)'!I45,"")</f>
        <v>43843</v>
      </c>
      <c r="N60" s="99">
        <f t="shared" si="0"/>
        <v>2020</v>
      </c>
      <c r="O60" s="8">
        <f t="shared" si="1"/>
        <v>3</v>
      </c>
      <c r="P60">
        <f ca="1">'Reference dates (hide)'!K45</f>
        <v>1.968503937007874E-2</v>
      </c>
    </row>
    <row r="61" spans="1:40" x14ac:dyDescent="0.25">
      <c r="B61"/>
      <c r="C61"/>
      <c r="D61"/>
      <c r="M61" s="101">
        <f>IF('Reference dates (hide)'!I46&lt;&gt;"",'Reference dates (hide)'!I46,"")</f>
        <v>43850</v>
      </c>
      <c r="N61" s="99">
        <f t="shared" si="0"/>
        <v>2020</v>
      </c>
      <c r="O61" s="8">
        <f t="shared" si="1"/>
        <v>4</v>
      </c>
      <c r="P61">
        <f ca="1">'Reference dates (hide)'!K46</f>
        <v>1.968503937007874E-2</v>
      </c>
    </row>
    <row r="62" spans="1:40" x14ac:dyDescent="0.25">
      <c r="B62"/>
      <c r="C62"/>
      <c r="D62"/>
      <c r="M62" s="101">
        <f>IF('Reference dates (hide)'!I47&lt;&gt;"",'Reference dates (hide)'!I47,"")</f>
        <v>43857</v>
      </c>
      <c r="N62" s="99">
        <f t="shared" si="0"/>
        <v>2020</v>
      </c>
      <c r="O62" s="8">
        <f t="shared" si="1"/>
        <v>5</v>
      </c>
      <c r="P62">
        <f ca="1">'Reference dates (hide)'!K47</f>
        <v>1.968503937007874E-2</v>
      </c>
    </row>
    <row r="63" spans="1:40" x14ac:dyDescent="0.25">
      <c r="B63"/>
      <c r="C63"/>
      <c r="D63"/>
      <c r="M63" s="101">
        <f>IF('Reference dates (hide)'!I48&lt;&gt;"",'Reference dates (hide)'!I48,"")</f>
        <v>43864</v>
      </c>
      <c r="N63" s="99">
        <f t="shared" si="0"/>
        <v>2020</v>
      </c>
      <c r="O63" s="8">
        <f t="shared" si="1"/>
        <v>6</v>
      </c>
      <c r="P63">
        <f ca="1">'Reference dates (hide)'!K48</f>
        <v>1.968503937007874E-2</v>
      </c>
    </row>
    <row r="64" spans="1:40" x14ac:dyDescent="0.25">
      <c r="B64"/>
      <c r="C64"/>
      <c r="D64"/>
      <c r="M64" s="101">
        <f>IF('Reference dates (hide)'!I49&lt;&gt;"",'Reference dates (hide)'!I49,"")</f>
        <v>43871</v>
      </c>
      <c r="N64" s="99">
        <f t="shared" si="0"/>
        <v>2020</v>
      </c>
      <c r="O64" s="8">
        <f t="shared" si="1"/>
        <v>7</v>
      </c>
      <c r="P64">
        <f ca="1">'Reference dates (hide)'!K49</f>
        <v>1.968503937007874E-2</v>
      </c>
    </row>
    <row r="65" spans="2:16" x14ac:dyDescent="0.25">
      <c r="B65"/>
      <c r="C65"/>
      <c r="D65"/>
      <c r="M65" s="101">
        <f>IF('Reference dates (hide)'!I50&lt;&gt;"",'Reference dates (hide)'!I50,"")</f>
        <v>43878</v>
      </c>
      <c r="N65" s="99">
        <f t="shared" si="0"/>
        <v>2020</v>
      </c>
      <c r="O65" s="8">
        <f t="shared" si="1"/>
        <v>8</v>
      </c>
      <c r="P65">
        <f ca="1">'Reference dates (hide)'!K50</f>
        <v>1.968503937007874E-2</v>
      </c>
    </row>
    <row r="66" spans="2:16" x14ac:dyDescent="0.25">
      <c r="B66"/>
      <c r="C66"/>
      <c r="D66"/>
      <c r="M66" s="101">
        <f>IF('Reference dates (hide)'!I51&lt;&gt;"",'Reference dates (hide)'!I51,"")</f>
        <v>43885</v>
      </c>
      <c r="N66" s="99">
        <f t="shared" si="0"/>
        <v>2020</v>
      </c>
      <c r="O66" s="8">
        <f t="shared" si="1"/>
        <v>9</v>
      </c>
      <c r="P66">
        <f ca="1">'Reference dates (hide)'!K51</f>
        <v>1.968503937007874E-2</v>
      </c>
    </row>
    <row r="67" spans="2:16" x14ac:dyDescent="0.25">
      <c r="B67"/>
      <c r="C67"/>
      <c r="D67"/>
      <c r="M67" s="101">
        <f>IF('Reference dates (hide)'!I52&lt;&gt;"",'Reference dates (hide)'!I52,"")</f>
        <v>43892</v>
      </c>
      <c r="N67" s="99">
        <f t="shared" si="0"/>
        <v>2020</v>
      </c>
      <c r="O67" s="8">
        <f t="shared" si="1"/>
        <v>10</v>
      </c>
      <c r="P67">
        <f ca="1">'Reference dates (hide)'!K52</f>
        <v>1.968503937007874E-2</v>
      </c>
    </row>
    <row r="68" spans="2:16" x14ac:dyDescent="0.25">
      <c r="B68"/>
      <c r="C68"/>
      <c r="D68"/>
      <c r="M68" s="101">
        <f>IF('Reference dates (hide)'!I53&lt;&gt;"",'Reference dates (hide)'!I53,"")</f>
        <v>43899</v>
      </c>
      <c r="N68" s="99">
        <f t="shared" si="0"/>
        <v>2020</v>
      </c>
      <c r="O68" s="8">
        <f t="shared" si="1"/>
        <v>11</v>
      </c>
      <c r="P68">
        <f ca="1">'Reference dates (hide)'!K53</f>
        <v>1.968503937007874E-2</v>
      </c>
    </row>
    <row r="69" spans="2:16" x14ac:dyDescent="0.25">
      <c r="B69"/>
      <c r="C69"/>
      <c r="D69"/>
      <c r="M69" s="101">
        <f>IF('Reference dates (hide)'!I54&lt;&gt;"",'Reference dates (hide)'!I54,"")</f>
        <v>43906</v>
      </c>
      <c r="N69" s="99">
        <f t="shared" si="0"/>
        <v>2020</v>
      </c>
      <c r="O69" s="8">
        <f t="shared" si="1"/>
        <v>12</v>
      </c>
      <c r="P69">
        <f ca="1">'Reference dates (hide)'!K54</f>
        <v>1.968503937007874E-2</v>
      </c>
    </row>
    <row r="70" spans="2:16" x14ac:dyDescent="0.25">
      <c r="B70"/>
      <c r="C70"/>
      <c r="D70"/>
      <c r="M70" s="101">
        <f>IF('Reference dates (hide)'!I55&lt;&gt;"",'Reference dates (hide)'!I55,"")</f>
        <v>43913</v>
      </c>
      <c r="N70" s="99">
        <f t="shared" si="0"/>
        <v>2020</v>
      </c>
      <c r="O70" s="8">
        <f t="shared" si="1"/>
        <v>13</v>
      </c>
      <c r="P70">
        <f ca="1">'Reference dates (hide)'!K55</f>
        <v>1.968503937007874E-2</v>
      </c>
    </row>
    <row r="71" spans="2:16" x14ac:dyDescent="0.25">
      <c r="B71"/>
      <c r="C71"/>
      <c r="D71"/>
      <c r="M71" s="101">
        <f>IF('Reference dates (hide)'!I56&lt;&gt;"",'Reference dates (hide)'!I56,"")</f>
        <v>43920</v>
      </c>
      <c r="N71" s="99">
        <f t="shared" si="0"/>
        <v>2020</v>
      </c>
      <c r="O71" s="8">
        <f t="shared" si="1"/>
        <v>14</v>
      </c>
      <c r="P71">
        <f ca="1">'Reference dates (hide)'!K56</f>
        <v>1.968503937007874E-2</v>
      </c>
    </row>
    <row r="72" spans="2:16" x14ac:dyDescent="0.25">
      <c r="B72"/>
      <c r="C72"/>
      <c r="D72"/>
      <c r="M72" s="101">
        <f>IF('Reference dates (hide)'!I57&lt;&gt;"",'Reference dates (hide)'!I57,"")</f>
        <v>43927</v>
      </c>
      <c r="N72" s="99">
        <f t="shared" si="0"/>
        <v>2020</v>
      </c>
      <c r="O72" s="8">
        <f t="shared" si="1"/>
        <v>15</v>
      </c>
      <c r="P72">
        <f ca="1">'Reference dates (hide)'!K57</f>
        <v>1.5748031496062992E-2</v>
      </c>
    </row>
    <row r="73" spans="2:16" x14ac:dyDescent="0.25">
      <c r="B73"/>
      <c r="C73"/>
      <c r="D73"/>
      <c r="M73" s="101">
        <f>IF('Reference dates (hide)'!I58&lt;&gt;"",'Reference dates (hide)'!I58,"")</f>
        <v>43934</v>
      </c>
      <c r="N73" s="99">
        <f t="shared" si="0"/>
        <v>2020</v>
      </c>
      <c r="O73" s="8">
        <f t="shared" si="1"/>
        <v>16</v>
      </c>
      <c r="P73">
        <f ca="1">'Reference dates (hide)'!K58</f>
        <v>1.5748031496062992E-2</v>
      </c>
    </row>
    <row r="74" spans="2:16" x14ac:dyDescent="0.25">
      <c r="B74"/>
      <c r="C74"/>
      <c r="D74"/>
      <c r="M74" s="101">
        <f>IF('Reference dates (hide)'!I59&lt;&gt;"",'Reference dates (hide)'!I59,"")</f>
        <v>43941</v>
      </c>
      <c r="N74" s="99">
        <f t="shared" si="0"/>
        <v>2020</v>
      </c>
      <c r="O74" s="8">
        <f t="shared" si="1"/>
        <v>17</v>
      </c>
      <c r="P74">
        <f ca="1">'Reference dates (hide)'!K59</f>
        <v>1.968503937007874E-2</v>
      </c>
    </row>
    <row r="75" spans="2:16" x14ac:dyDescent="0.25">
      <c r="B75"/>
      <c r="C75"/>
      <c r="D75"/>
      <c r="M75" s="101">
        <f>IF('Reference dates (hide)'!I60&lt;&gt;"",'Reference dates (hide)'!I60,"")</f>
        <v>43948</v>
      </c>
      <c r="N75" s="99">
        <f t="shared" si="0"/>
        <v>2020</v>
      </c>
      <c r="O75" s="8">
        <f t="shared" si="1"/>
        <v>18</v>
      </c>
      <c r="P75">
        <f ca="1">'Reference dates (hide)'!K60</f>
        <v>1.968503937007874E-2</v>
      </c>
    </row>
    <row r="76" spans="2:16" x14ac:dyDescent="0.25">
      <c r="B76"/>
      <c r="C76"/>
      <c r="D76"/>
      <c r="M76" s="101">
        <f>IF('Reference dates (hide)'!I61&lt;&gt;"",'Reference dates (hide)'!I61,"")</f>
        <v>43955</v>
      </c>
      <c r="N76" s="99">
        <f t="shared" si="0"/>
        <v>2020</v>
      </c>
      <c r="O76" s="8">
        <f t="shared" si="1"/>
        <v>19</v>
      </c>
      <c r="P76">
        <f ca="1">'Reference dates (hide)'!K61</f>
        <v>1.5748031496062992E-2</v>
      </c>
    </row>
    <row r="77" spans="2:16" x14ac:dyDescent="0.25">
      <c r="B77"/>
      <c r="C77"/>
      <c r="D77"/>
      <c r="M77" s="101">
        <f>IF('Reference dates (hide)'!I62&lt;&gt;"",'Reference dates (hide)'!I62,"")</f>
        <v>43962</v>
      </c>
      <c r="N77" s="99">
        <f t="shared" si="0"/>
        <v>2020</v>
      </c>
      <c r="O77" s="8">
        <f t="shared" si="1"/>
        <v>20</v>
      </c>
      <c r="P77">
        <f ca="1">'Reference dates (hide)'!K62</f>
        <v>1.968503937007874E-2</v>
      </c>
    </row>
    <row r="78" spans="2:16" x14ac:dyDescent="0.25">
      <c r="B78"/>
      <c r="C78"/>
      <c r="D78"/>
      <c r="M78" s="101">
        <f>IF('Reference dates (hide)'!I63&lt;&gt;"",'Reference dates (hide)'!I63,"")</f>
        <v>43969</v>
      </c>
      <c r="N78" s="99">
        <f t="shared" si="0"/>
        <v>2020</v>
      </c>
      <c r="O78" s="8">
        <f t="shared" si="1"/>
        <v>21</v>
      </c>
      <c r="P78">
        <f ca="1">'Reference dates (hide)'!K63</f>
        <v>1.968503937007874E-2</v>
      </c>
    </row>
    <row r="79" spans="2:16" x14ac:dyDescent="0.25">
      <c r="B79"/>
      <c r="C79"/>
      <c r="D79"/>
      <c r="M79" s="101">
        <f>IF('Reference dates (hide)'!I64&lt;&gt;"",'Reference dates (hide)'!I64,"")</f>
        <v>43976</v>
      </c>
      <c r="N79" s="99">
        <f t="shared" si="0"/>
        <v>2020</v>
      </c>
      <c r="O79" s="8">
        <f t="shared" si="1"/>
        <v>22</v>
      </c>
      <c r="P79">
        <f ca="1">'Reference dates (hide)'!K64</f>
        <v>1.5748031496062992E-2</v>
      </c>
    </row>
    <row r="80" spans="2:16" x14ac:dyDescent="0.25">
      <c r="B80"/>
      <c r="C80"/>
      <c r="D80"/>
      <c r="M80" s="101">
        <f>IF('Reference dates (hide)'!I65&lt;&gt;"",'Reference dates (hide)'!I65,"")</f>
        <v>43983</v>
      </c>
      <c r="N80" s="99">
        <f t="shared" si="0"/>
        <v>2020</v>
      </c>
      <c r="O80" s="8">
        <f t="shared" si="1"/>
        <v>23</v>
      </c>
      <c r="P80">
        <f ca="1">'Reference dates (hide)'!K65</f>
        <v>1.968503937007874E-2</v>
      </c>
    </row>
    <row r="81" spans="2:16" x14ac:dyDescent="0.25">
      <c r="B81"/>
      <c r="C81"/>
      <c r="D81"/>
      <c r="M81" s="101">
        <f>IF('Reference dates (hide)'!I66&lt;&gt;"",'Reference dates (hide)'!I66,"")</f>
        <v>43990</v>
      </c>
      <c r="N81" s="99">
        <f t="shared" si="0"/>
        <v>2020</v>
      </c>
      <c r="O81" s="8">
        <f t="shared" si="1"/>
        <v>24</v>
      </c>
      <c r="P81">
        <f ca="1">'Reference dates (hide)'!K66</f>
        <v>1.968503937007874E-2</v>
      </c>
    </row>
    <row r="82" spans="2:16" x14ac:dyDescent="0.25">
      <c r="B82"/>
      <c r="C82"/>
      <c r="D82"/>
      <c r="M82" s="101">
        <f>IF('Reference dates (hide)'!I67&lt;&gt;"",'Reference dates (hide)'!I67,"")</f>
        <v>43997</v>
      </c>
      <c r="N82" s="99">
        <f t="shared" si="0"/>
        <v>2020</v>
      </c>
      <c r="O82" s="8">
        <f t="shared" si="1"/>
        <v>25</v>
      </c>
      <c r="P82">
        <f ca="1">'Reference dates (hide)'!K67</f>
        <v>1.968503937007874E-2</v>
      </c>
    </row>
    <row r="83" spans="2:16" x14ac:dyDescent="0.25">
      <c r="B83"/>
      <c r="C83"/>
      <c r="D83"/>
      <c r="M83" s="101">
        <f>IF('Reference dates (hide)'!I68&lt;&gt;"",'Reference dates (hide)'!I68,"")</f>
        <v>44004</v>
      </c>
      <c r="N83" s="99">
        <f t="shared" si="0"/>
        <v>2020</v>
      </c>
      <c r="O83" s="8">
        <f t="shared" si="1"/>
        <v>26</v>
      </c>
      <c r="P83">
        <f ca="1">'Reference dates (hide)'!K68</f>
        <v>1.968503937007874E-2</v>
      </c>
    </row>
    <row r="84" spans="2:16" x14ac:dyDescent="0.25">
      <c r="B84"/>
      <c r="C84"/>
      <c r="D84"/>
      <c r="M84" s="101">
        <f>IF('Reference dates (hide)'!I69&lt;&gt;"",'Reference dates (hide)'!I69,"")</f>
        <v>44011</v>
      </c>
      <c r="N84" s="99">
        <f t="shared" si="0"/>
        <v>2020</v>
      </c>
      <c r="O84" s="8">
        <f t="shared" si="1"/>
        <v>27</v>
      </c>
      <c r="P84">
        <f ca="1">'Reference dates (hide)'!K69</f>
        <v>1.968503937007874E-2</v>
      </c>
    </row>
    <row r="85" spans="2:16" x14ac:dyDescent="0.25">
      <c r="B85"/>
      <c r="C85"/>
      <c r="D85"/>
      <c r="M85" s="101">
        <f>IF('Reference dates (hide)'!I70&lt;&gt;"",'Reference dates (hide)'!I70,"")</f>
        <v>44018</v>
      </c>
      <c r="N85" s="99">
        <f t="shared" si="0"/>
        <v>2020</v>
      </c>
      <c r="O85" s="8">
        <f t="shared" si="1"/>
        <v>28</v>
      </c>
      <c r="P85">
        <f ca="1">'Reference dates (hide)'!K70</f>
        <v>1.968503937007874E-2</v>
      </c>
    </row>
    <row r="86" spans="2:16" x14ac:dyDescent="0.25">
      <c r="B86"/>
      <c r="C86"/>
      <c r="D86"/>
      <c r="M86" s="101">
        <f>IF('Reference dates (hide)'!I71&lt;&gt;"",'Reference dates (hide)'!I71,"")</f>
        <v>44025</v>
      </c>
      <c r="N86" s="99">
        <f t="shared" si="0"/>
        <v>2020</v>
      </c>
      <c r="O86" s="8">
        <f t="shared" si="1"/>
        <v>29</v>
      </c>
      <c r="P86">
        <f ca="1">'Reference dates (hide)'!K71</f>
        <v>1.968503937007874E-2</v>
      </c>
    </row>
    <row r="87" spans="2:16" x14ac:dyDescent="0.25">
      <c r="B87"/>
      <c r="C87"/>
      <c r="D87"/>
      <c r="M87" s="101">
        <f>IF('Reference dates (hide)'!I72&lt;&gt;"",'Reference dates (hide)'!I72,"")</f>
        <v>44032</v>
      </c>
      <c r="N87" s="99">
        <f t="shared" si="0"/>
        <v>2020</v>
      </c>
      <c r="O87" s="8">
        <f t="shared" si="1"/>
        <v>30</v>
      </c>
      <c r="P87">
        <f ca="1">'Reference dates (hide)'!K72</f>
        <v>1.968503937007874E-2</v>
      </c>
    </row>
    <row r="88" spans="2:16" x14ac:dyDescent="0.25">
      <c r="B88"/>
      <c r="C88"/>
      <c r="D88"/>
      <c r="M88" s="101">
        <f>IF('Reference dates (hide)'!I73&lt;&gt;"",'Reference dates (hide)'!I73,"")</f>
        <v>44039</v>
      </c>
      <c r="N88" s="99">
        <f t="shared" si="0"/>
        <v>2020</v>
      </c>
      <c r="O88" s="8">
        <f t="shared" si="1"/>
        <v>31</v>
      </c>
      <c r="P88">
        <f ca="1">'Reference dates (hide)'!K73</f>
        <v>1.968503937007874E-2</v>
      </c>
    </row>
    <row r="89" spans="2:16" x14ac:dyDescent="0.25">
      <c r="B89"/>
      <c r="C89"/>
      <c r="D89"/>
      <c r="M89" s="101">
        <f>IF('Reference dates (hide)'!I74&lt;&gt;"",'Reference dates (hide)'!I74,"")</f>
        <v>44046</v>
      </c>
      <c r="N89" s="99">
        <f t="shared" si="0"/>
        <v>2020</v>
      </c>
      <c r="O89" s="8">
        <f t="shared" si="1"/>
        <v>32</v>
      </c>
      <c r="P89">
        <f ca="1">'Reference dates (hide)'!K74</f>
        <v>1.968503937007874E-2</v>
      </c>
    </row>
    <row r="90" spans="2:16" x14ac:dyDescent="0.25">
      <c r="B90"/>
      <c r="C90"/>
      <c r="D90"/>
      <c r="M90" s="101">
        <f>IF('Reference dates (hide)'!I75&lt;&gt;"",'Reference dates (hide)'!I75,"")</f>
        <v>44053</v>
      </c>
      <c r="N90" s="99">
        <f t="shared" si="0"/>
        <v>2020</v>
      </c>
      <c r="O90" s="8">
        <f t="shared" si="1"/>
        <v>33</v>
      </c>
      <c r="P90">
        <f ca="1">'Reference dates (hide)'!K75</f>
        <v>1.968503937007874E-2</v>
      </c>
    </row>
    <row r="91" spans="2:16" x14ac:dyDescent="0.25">
      <c r="B91"/>
      <c r="C91"/>
      <c r="D91"/>
      <c r="M91" s="101">
        <f>IF('Reference dates (hide)'!I76&lt;&gt;"",'Reference dates (hide)'!I76,"")</f>
        <v>44060</v>
      </c>
      <c r="N91" s="99">
        <f t="shared" si="0"/>
        <v>2020</v>
      </c>
      <c r="O91" s="8">
        <f t="shared" si="1"/>
        <v>34</v>
      </c>
      <c r="P91">
        <f ca="1">'Reference dates (hide)'!K76</f>
        <v>1.968503937007874E-2</v>
      </c>
    </row>
    <row r="92" spans="2:16" x14ac:dyDescent="0.25">
      <c r="B92"/>
      <c r="C92"/>
      <c r="D92"/>
      <c r="M92" s="101">
        <f>IF('Reference dates (hide)'!I77&lt;&gt;"",'Reference dates (hide)'!I77,"")</f>
        <v>44067</v>
      </c>
      <c r="N92" s="99">
        <f t="shared" si="0"/>
        <v>2020</v>
      </c>
      <c r="O92" s="8">
        <f t="shared" si="1"/>
        <v>35</v>
      </c>
      <c r="P92">
        <f ca="1">'Reference dates (hide)'!K77</f>
        <v>1.968503937007874E-2</v>
      </c>
    </row>
    <row r="93" spans="2:16" x14ac:dyDescent="0.25">
      <c r="B93"/>
      <c r="C93"/>
      <c r="D93"/>
      <c r="M93" s="101">
        <f>IF('Reference dates (hide)'!I78&lt;&gt;"",'Reference dates (hide)'!I78,"")</f>
        <v>44074</v>
      </c>
      <c r="N93" s="99">
        <f t="shared" si="0"/>
        <v>2020</v>
      </c>
      <c r="O93" s="8">
        <f t="shared" si="1"/>
        <v>36</v>
      </c>
      <c r="P93">
        <f ca="1">'Reference dates (hide)'!K78</f>
        <v>1.5748031496062992E-2</v>
      </c>
    </row>
    <row r="94" spans="2:16" x14ac:dyDescent="0.25">
      <c r="B94"/>
      <c r="C94"/>
      <c r="D94"/>
      <c r="M94" s="101">
        <f>IF('Reference dates (hide)'!I79&lt;&gt;"",'Reference dates (hide)'!I79,"")</f>
        <v>44081</v>
      </c>
      <c r="N94" s="99">
        <f t="shared" si="0"/>
        <v>2020</v>
      </c>
      <c r="O94" s="8">
        <f t="shared" si="1"/>
        <v>37</v>
      </c>
      <c r="P94">
        <f ca="1">'Reference dates (hide)'!K79</f>
        <v>1.968503937007874E-2</v>
      </c>
    </row>
    <row r="95" spans="2:16" x14ac:dyDescent="0.25">
      <c r="B95"/>
      <c r="C95"/>
      <c r="D95"/>
      <c r="M95" s="101">
        <f>IF('Reference dates (hide)'!I80&lt;&gt;"",'Reference dates (hide)'!I80,"")</f>
        <v>44088</v>
      </c>
      <c r="N95" s="99">
        <f t="shared" si="0"/>
        <v>2020</v>
      </c>
      <c r="O95" s="8">
        <f t="shared" si="1"/>
        <v>38</v>
      </c>
      <c r="P95">
        <f ca="1">'Reference dates (hide)'!K80</f>
        <v>1.968503937007874E-2</v>
      </c>
    </row>
    <row r="96" spans="2:16" x14ac:dyDescent="0.25">
      <c r="B96"/>
      <c r="C96"/>
      <c r="D96"/>
      <c r="M96" s="101">
        <f>IF('Reference dates (hide)'!I81&lt;&gt;"",'Reference dates (hide)'!I81,"")</f>
        <v>44095</v>
      </c>
      <c r="N96" s="99">
        <f t="shared" si="0"/>
        <v>2020</v>
      </c>
      <c r="O96" s="8">
        <f t="shared" si="1"/>
        <v>39</v>
      </c>
      <c r="P96">
        <f ca="1">'Reference dates (hide)'!K81</f>
        <v>1.968503937007874E-2</v>
      </c>
    </row>
    <row r="97" spans="2:31" x14ac:dyDescent="0.25">
      <c r="B97"/>
      <c r="C97"/>
      <c r="D97"/>
      <c r="M97" s="101">
        <f>IF('Reference dates (hide)'!I82&lt;&gt;"",'Reference dates (hide)'!I82,"")</f>
        <v>44102</v>
      </c>
      <c r="N97" s="99">
        <f t="shared" si="0"/>
        <v>2020</v>
      </c>
      <c r="O97" s="8">
        <f t="shared" si="1"/>
        <v>40</v>
      </c>
      <c r="P97">
        <f ca="1">'Reference dates (hide)'!K82</f>
        <v>1.968503937007874E-2</v>
      </c>
    </row>
    <row r="98" spans="2:31" x14ac:dyDescent="0.25">
      <c r="B98"/>
      <c r="C98"/>
      <c r="D98"/>
      <c r="M98" s="101">
        <f>IF('Reference dates (hide)'!I83&lt;&gt;"",'Reference dates (hide)'!I83,"")</f>
        <v>44109</v>
      </c>
      <c r="N98" s="99">
        <f t="shared" si="0"/>
        <v>2020</v>
      </c>
      <c r="O98" s="8">
        <f t="shared" si="1"/>
        <v>41</v>
      </c>
      <c r="P98">
        <f ca="1">'Reference dates (hide)'!K83</f>
        <v>1.968503937007874E-2</v>
      </c>
    </row>
    <row r="99" spans="2:31" x14ac:dyDescent="0.25">
      <c r="B99"/>
      <c r="C99"/>
      <c r="D99"/>
      <c r="M99" s="101">
        <f>IF('Reference dates (hide)'!I84&lt;&gt;"",'Reference dates (hide)'!I84,"")</f>
        <v>44116</v>
      </c>
      <c r="N99" s="99">
        <f t="shared" si="0"/>
        <v>2020</v>
      </c>
      <c r="O99" s="8">
        <f t="shared" si="1"/>
        <v>42</v>
      </c>
      <c r="P99">
        <f ca="1">'Reference dates (hide)'!K84</f>
        <v>1.968503937007874E-2</v>
      </c>
    </row>
    <row r="100" spans="2:31" x14ac:dyDescent="0.25">
      <c r="B100"/>
      <c r="C100"/>
      <c r="D100"/>
      <c r="M100" s="101">
        <f>IF('Reference dates (hide)'!I85&lt;&gt;"",'Reference dates (hide)'!I85,"")</f>
        <v>44123</v>
      </c>
      <c r="N100" s="99">
        <f t="shared" si="0"/>
        <v>2020</v>
      </c>
      <c r="O100" s="8">
        <f t="shared" si="1"/>
        <v>43</v>
      </c>
      <c r="P100">
        <f ca="1">'Reference dates (hide)'!K85</f>
        <v>1.968503937007874E-2</v>
      </c>
    </row>
    <row r="101" spans="2:31" x14ac:dyDescent="0.25">
      <c r="B101"/>
      <c r="C101"/>
      <c r="D101"/>
      <c r="M101" s="101">
        <f>IF('Reference dates (hide)'!I86&lt;&gt;"",'Reference dates (hide)'!I86,"")</f>
        <v>44130</v>
      </c>
      <c r="N101" s="99">
        <f t="shared" si="0"/>
        <v>2020</v>
      </c>
      <c r="O101" s="8">
        <f t="shared" si="1"/>
        <v>44</v>
      </c>
      <c r="P101">
        <f ca="1">'Reference dates (hide)'!K86</f>
        <v>1.968503937007874E-2</v>
      </c>
    </row>
    <row r="102" spans="2:31" x14ac:dyDescent="0.25">
      <c r="B102"/>
      <c r="C102"/>
      <c r="D102"/>
      <c r="M102" s="101">
        <f>IF('Reference dates (hide)'!I87&lt;&gt;"",'Reference dates (hide)'!I87,"")</f>
        <v>44137</v>
      </c>
      <c r="N102" s="99">
        <f t="shared" si="0"/>
        <v>2020</v>
      </c>
      <c r="O102" s="8">
        <f t="shared" si="1"/>
        <v>45</v>
      </c>
      <c r="P102">
        <f ca="1">'Reference dates (hide)'!K87</f>
        <v>1.968503937007874E-2</v>
      </c>
    </row>
    <row r="103" spans="2:31" x14ac:dyDescent="0.25">
      <c r="B103"/>
      <c r="C103"/>
      <c r="D103"/>
      <c r="M103" s="101">
        <f>IF('Reference dates (hide)'!I88&lt;&gt;"",'Reference dates (hide)'!I88,"")</f>
        <v>44144</v>
      </c>
      <c r="N103" s="99">
        <f t="shared" si="0"/>
        <v>2020</v>
      </c>
      <c r="O103" s="8">
        <f t="shared" si="1"/>
        <v>46</v>
      </c>
      <c r="P103">
        <f ca="1">'Reference dates (hide)'!K88</f>
        <v>1.968503937007874E-2</v>
      </c>
    </row>
    <row r="104" spans="2:31" x14ac:dyDescent="0.25">
      <c r="B104"/>
      <c r="C104"/>
      <c r="D104"/>
      <c r="M104" s="101">
        <f>IF('Reference dates (hide)'!I89&lt;&gt;"",'Reference dates (hide)'!I89,"")</f>
        <v>44151</v>
      </c>
      <c r="N104" s="99">
        <f t="shared" si="0"/>
        <v>2020</v>
      </c>
      <c r="O104" s="8">
        <f t="shared" si="1"/>
        <v>47</v>
      </c>
      <c r="P104">
        <f ca="1">'Reference dates (hide)'!K89</f>
        <v>1.968503937007874E-2</v>
      </c>
    </row>
    <row r="105" spans="2:31" x14ac:dyDescent="0.25">
      <c r="B105"/>
      <c r="C105"/>
      <c r="D105"/>
      <c r="M105" s="101">
        <f>IF('Reference dates (hide)'!I90&lt;&gt;"",'Reference dates (hide)'!I90,"")</f>
        <v>44158</v>
      </c>
      <c r="N105" s="99">
        <f t="shared" si="0"/>
        <v>2020</v>
      </c>
      <c r="O105" s="8">
        <f t="shared" si="1"/>
        <v>48</v>
      </c>
      <c r="P105">
        <f ca="1">'Reference dates (hide)'!K90</f>
        <v>1.968503937007874E-2</v>
      </c>
    </row>
    <row r="106" spans="2:31" x14ac:dyDescent="0.25">
      <c r="B106"/>
      <c r="C106"/>
      <c r="D106"/>
      <c r="M106" s="101">
        <f>IF('Reference dates (hide)'!I91&lt;&gt;"",'Reference dates (hide)'!I91,"")</f>
        <v>44165</v>
      </c>
      <c r="N106" s="99">
        <f t="shared" si="0"/>
        <v>2020</v>
      </c>
      <c r="O106" s="8">
        <f t="shared" si="1"/>
        <v>49</v>
      </c>
      <c r="P106">
        <f ca="1">'Reference dates (hide)'!K91</f>
        <v>1.968503937007874E-2</v>
      </c>
    </row>
    <row r="107" spans="2:31" x14ac:dyDescent="0.25">
      <c r="B107"/>
      <c r="C107"/>
      <c r="D107"/>
      <c r="M107" s="101">
        <f>IF('Reference dates (hide)'!I92&lt;&gt;"",'Reference dates (hide)'!I92,"")</f>
        <v>44172</v>
      </c>
      <c r="N107" s="99">
        <f t="shared" si="0"/>
        <v>2020</v>
      </c>
      <c r="O107" s="8">
        <f t="shared" si="1"/>
        <v>50</v>
      </c>
      <c r="P107">
        <f ca="1">'Reference dates (hide)'!K92</f>
        <v>1.968503937007874E-2</v>
      </c>
    </row>
    <row r="108" spans="2:31" x14ac:dyDescent="0.25">
      <c r="B108"/>
      <c r="C108"/>
      <c r="D108"/>
      <c r="M108" s="101">
        <f>IF('Reference dates (hide)'!I93&lt;&gt;"",'Reference dates (hide)'!I93,"")</f>
        <v>44179</v>
      </c>
      <c r="N108" s="99">
        <f t="shared" si="0"/>
        <v>2020</v>
      </c>
      <c r="O108" s="8">
        <f t="shared" si="1"/>
        <v>51</v>
      </c>
      <c r="P108">
        <f ca="1">'Reference dates (hide)'!K93</f>
        <v>1.968503937007874E-2</v>
      </c>
    </row>
    <row r="109" spans="2:31" x14ac:dyDescent="0.25">
      <c r="B109"/>
      <c r="C109"/>
      <c r="D109"/>
      <c r="M109" s="101">
        <f>IF('Reference dates (hide)'!I94&lt;&gt;"",'Reference dates (hide)'!I94,"")</f>
        <v>44186</v>
      </c>
      <c r="N109" s="99">
        <f t="shared" si="0"/>
        <v>2020</v>
      </c>
      <c r="O109" s="8">
        <f t="shared" si="1"/>
        <v>52</v>
      </c>
      <c r="P109">
        <f ca="1">'Reference dates (hide)'!K94</f>
        <v>1.5748031496062992E-2</v>
      </c>
    </row>
    <row r="110" spans="2:31" x14ac:dyDescent="0.25">
      <c r="B110"/>
      <c r="C110"/>
      <c r="D110"/>
      <c r="M110" s="101">
        <f>IF('Reference dates (hide)'!I95&lt;&gt;"",'Reference dates (hide)'!I95,"")</f>
        <v>44193</v>
      </c>
      <c r="N110" s="99">
        <f t="shared" si="0"/>
        <v>2020</v>
      </c>
      <c r="O110" s="8">
        <f t="shared" si="1"/>
        <v>53</v>
      </c>
      <c r="P110">
        <f ca="1">'Reference dates (hide)'!K95</f>
        <v>1.1811023622047244E-2</v>
      </c>
    </row>
    <row r="111" spans="2:31" x14ac:dyDescent="0.25">
      <c r="M111">
        <f>MAX(T58:AB110)</f>
        <v>0</v>
      </c>
      <c r="Q111">
        <f>MAX(Q58:Q109)/$Q$54</f>
        <v>0</v>
      </c>
      <c r="R111">
        <f>MAX(R58:R109)/IF($R$54=0,1,$Q$54)</f>
        <v>0</v>
      </c>
      <c r="S111">
        <f>MAX(S58:S109)/IF($S$54=0,1,$Q$54)</f>
        <v>0</v>
      </c>
      <c r="Z111">
        <f>MAX(Z58:Z109)/IF($Z$52=0,1,Q$54)</f>
        <v>0</v>
      </c>
      <c r="AA111">
        <f>MAX(AA58:AA109)/IF($Z$52=0,1,R$54)</f>
        <v>0</v>
      </c>
      <c r="AB111">
        <f>MAX(AB58:AB109)/IF($Z$52=0,1,S$54)</f>
        <v>0</v>
      </c>
      <c r="AC111">
        <f>MAX(AC58:AC109)/IF($Z$52=0,1,Q$54)</f>
        <v>0</v>
      </c>
      <c r="AD111">
        <f>MAX(AD58:AD109)/IF($Z$52=0,1,R$54)</f>
        <v>0</v>
      </c>
      <c r="AE111">
        <f>MAX(AE58:AE109)/IF($Z$52=0,1,S$54)</f>
        <v>0</v>
      </c>
    </row>
    <row r="118" spans="26:26" x14ac:dyDescent="0.25">
      <c r="Z118" s="121"/>
    </row>
    <row r="119" spans="26:26" x14ac:dyDescent="0.25">
      <c r="Z119" s="121"/>
    </row>
  </sheetData>
  <pageMargins left="0.7" right="0.7" top="0.75" bottom="0.75" header="0.3" footer="0.3"/>
  <legacyDrawing r:id="rId1"/>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1"/>
  <dimension ref="A1:AN119"/>
  <sheetViews>
    <sheetView workbookViewId="0">
      <selection activeCell="AK59" sqref="AK59"/>
    </sheetView>
  </sheetViews>
  <sheetFormatPr defaultRowHeight="13.8" x14ac:dyDescent="0.25"/>
  <cols>
    <col min="1" max="1" width="27.69921875" bestFit="1" customWidth="1"/>
    <col min="2" max="2" width="16.8984375" style="6" customWidth="1"/>
    <col min="3" max="3" width="12.09765625" style="6" bestFit="1" customWidth="1"/>
    <col min="4" max="4" width="16.09765625" style="7" bestFit="1" customWidth="1"/>
    <col min="11" max="11" width="10.8984375" bestFit="1" customWidth="1"/>
    <col min="13" max="13" width="16.69921875" bestFit="1" customWidth="1"/>
    <col min="17" max="17" width="6.8984375" customWidth="1"/>
    <col min="26" max="26" width="11.8984375" bestFit="1" customWidth="1"/>
  </cols>
  <sheetData>
    <row r="1" spans="1:19" x14ac:dyDescent="0.25">
      <c r="A1" t="s">
        <v>1077</v>
      </c>
      <c r="B1" s="6" t="s">
        <v>931</v>
      </c>
      <c r="C1" s="6" t="b">
        <f>ISERR(SUM(B25:M49))</f>
        <v>0</v>
      </c>
    </row>
    <row r="2" spans="1:19" x14ac:dyDescent="0.25">
      <c r="A2" t="s">
        <v>932</v>
      </c>
      <c r="B2"/>
    </row>
    <row r="3" spans="1:19" x14ac:dyDescent="0.25">
      <c r="B3" s="6" t="s">
        <v>933</v>
      </c>
      <c r="F3" t="s">
        <v>934</v>
      </c>
      <c r="J3" t="s">
        <v>935</v>
      </c>
    </row>
    <row r="4" spans="1:19" x14ac:dyDescent="0.25">
      <c r="B4" s="6" t="s">
        <v>936</v>
      </c>
      <c r="C4" s="6" t="s">
        <v>937</v>
      </c>
      <c r="D4" s="7" t="s">
        <v>1208</v>
      </c>
      <c r="F4" s="6" t="s">
        <v>936</v>
      </c>
      <c r="G4" s="6" t="s">
        <v>937</v>
      </c>
      <c r="H4" s="7" t="s">
        <v>1024</v>
      </c>
      <c r="J4" s="6" t="s">
        <v>936</v>
      </c>
      <c r="K4" s="6" t="s">
        <v>937</v>
      </c>
      <c r="L4" s="7" t="s">
        <v>1024</v>
      </c>
    </row>
    <row r="5" spans="1:19" x14ac:dyDescent="0.25">
      <c r="A5" t="s">
        <v>5</v>
      </c>
      <c r="B5" s="8"/>
      <c r="C5" s="6">
        <f>B5*52</f>
        <v>0</v>
      </c>
      <c r="D5" s="7">
        <f>IF($B$20=1,C5/$B$21,C5)</f>
        <v>0</v>
      </c>
      <c r="G5">
        <f>F5*$D5</f>
        <v>0</v>
      </c>
      <c r="H5">
        <f>G5/52</f>
        <v>0</v>
      </c>
      <c r="K5">
        <f>J5*D5</f>
        <v>0</v>
      </c>
      <c r="L5">
        <f>K5/52</f>
        <v>0</v>
      </c>
    </row>
    <row r="6" spans="1:19" x14ac:dyDescent="0.25">
      <c r="A6" t="s">
        <v>1209</v>
      </c>
      <c r="B6" s="8"/>
      <c r="D6" s="7">
        <f>IF($B$20=1,B6/$B$21,B6)</f>
        <v>0</v>
      </c>
      <c r="G6">
        <f>F6*52</f>
        <v>0</v>
      </c>
      <c r="H6">
        <f>F6</f>
        <v>0</v>
      </c>
      <c r="K6">
        <f>J6*52</f>
        <v>0</v>
      </c>
      <c r="L6">
        <f>J6</f>
        <v>0</v>
      </c>
    </row>
    <row r="7" spans="1:19" x14ac:dyDescent="0.25">
      <c r="A7" t="s">
        <v>1210</v>
      </c>
      <c r="B7" s="8"/>
      <c r="D7" s="7">
        <f>IF($B$20=1,B7/$B$21,B7)</f>
        <v>0</v>
      </c>
    </row>
    <row r="8" spans="1:19" x14ac:dyDescent="0.25">
      <c r="A8" t="s">
        <v>9</v>
      </c>
      <c r="B8"/>
    </row>
    <row r="9" spans="1:19" x14ac:dyDescent="0.25">
      <c r="A9" t="s">
        <v>964</v>
      </c>
      <c r="B9"/>
    </row>
    <row r="10" spans="1:19" x14ac:dyDescent="0.25">
      <c r="A10" t="s">
        <v>940</v>
      </c>
      <c r="B10"/>
      <c r="C10" s="6">
        <f xml:space="preserve"> NASR*NASRDC</f>
        <v>0</v>
      </c>
      <c r="G10">
        <f xml:space="preserve"> FU_NASR*FU_NASRDC</f>
        <v>0</v>
      </c>
      <c r="K10">
        <f xml:space="preserve"> IP_NASR*IP_NASRDC</f>
        <v>0</v>
      </c>
    </row>
    <row r="11" spans="1:19" x14ac:dyDescent="0.25">
      <c r="A11" t="s">
        <v>965</v>
      </c>
      <c r="B11"/>
    </row>
    <row r="12" spans="1:19" x14ac:dyDescent="0.25">
      <c r="A12" t="s">
        <v>859</v>
      </c>
      <c r="B12"/>
    </row>
    <row r="13" spans="1:19" x14ac:dyDescent="0.25">
      <c r="A13" t="s">
        <v>941</v>
      </c>
      <c r="B13" s="8"/>
      <c r="D13" s="7">
        <f>IF($B$20=1,B13/$B$21,B13)</f>
        <v>0</v>
      </c>
      <c r="G13">
        <f>F13*52</f>
        <v>0</v>
      </c>
      <c r="H13" s="7">
        <f>IF($B$20=1,F13/$B$21,F13)</f>
        <v>0</v>
      </c>
      <c r="K13">
        <f>J13*52</f>
        <v>0</v>
      </c>
      <c r="L13" s="7">
        <f>IF($B$20=1,J13/$B$21,J13)</f>
        <v>0</v>
      </c>
    </row>
    <row r="14" spans="1:19" x14ac:dyDescent="0.25">
      <c r="A14" t="s">
        <v>1275</v>
      </c>
      <c r="B14" s="8"/>
      <c r="H14" s="7"/>
      <c r="L14" s="7"/>
    </row>
    <row r="15" spans="1:19" x14ac:dyDescent="0.25">
      <c r="A15" t="s">
        <v>1278</v>
      </c>
      <c r="B15"/>
      <c r="D15" s="7">
        <f>IF($B$20=1,B15/$B$21,B15)</f>
        <v>0</v>
      </c>
      <c r="H15" s="7">
        <f>IF($B$20=1,F15/$B$21,F15)</f>
        <v>0</v>
      </c>
      <c r="L15" s="7">
        <f>IF($B$20=1,J15/$B$21,J15)</f>
        <v>0</v>
      </c>
    </row>
    <row r="16" spans="1:19" x14ac:dyDescent="0.25">
      <c r="A16" t="s">
        <v>861</v>
      </c>
      <c r="B16" s="8"/>
      <c r="D16" s="7">
        <f>IF($B$20=1,B16/$B$21,B16)</f>
        <v>0</v>
      </c>
      <c r="H16" s="7">
        <f>IF($B$20=1,F16/$B$21,F16)</f>
        <v>0</v>
      </c>
      <c r="L16" s="7">
        <f>IF($B$20=1,J16/$B$21,J16)</f>
        <v>0</v>
      </c>
      <c r="S16" t="s">
        <v>1213</v>
      </c>
    </row>
    <row r="17" spans="1:20" x14ac:dyDescent="0.25">
      <c r="A17" t="s">
        <v>7</v>
      </c>
      <c r="B17" s="8"/>
      <c r="D17" s="7">
        <f>IF($B$20=1,B17/$B$21,B17)</f>
        <v>0</v>
      </c>
      <c r="H17" s="7">
        <f>IF($B$20=1,F17/$B$21,F17)</f>
        <v>0</v>
      </c>
      <c r="L17" s="7">
        <f>IF($B$20=1,J17/$B$21,J17)</f>
        <v>0</v>
      </c>
      <c r="S17" t="s">
        <v>1159</v>
      </c>
    </row>
    <row r="18" spans="1:20" x14ac:dyDescent="0.25">
      <c r="A18" t="s">
        <v>1081</v>
      </c>
      <c r="B18"/>
      <c r="S18" t="s">
        <v>1187</v>
      </c>
    </row>
    <row r="19" spans="1:20" x14ac:dyDescent="0.25">
      <c r="A19" t="s">
        <v>863</v>
      </c>
      <c r="B19"/>
      <c r="S19" t="s">
        <v>1214</v>
      </c>
      <c r="T19" t="s">
        <v>1215</v>
      </c>
    </row>
    <row r="20" spans="1:20" x14ac:dyDescent="0.25">
      <c r="A20" t="s">
        <v>942</v>
      </c>
      <c r="B20"/>
      <c r="R20" t="s">
        <v>947</v>
      </c>
      <c r="S20" t="s">
        <v>984</v>
      </c>
      <c r="T20" t="s">
        <v>1216</v>
      </c>
    </row>
    <row r="21" spans="1:20" x14ac:dyDescent="0.25">
      <c r="A21" t="s">
        <v>943</v>
      </c>
      <c r="B21">
        <v>1</v>
      </c>
      <c r="D21" s="12"/>
      <c r="S21" t="s">
        <v>985</v>
      </c>
      <c r="T21" t="s">
        <v>1216</v>
      </c>
    </row>
    <row r="22" spans="1:20" x14ac:dyDescent="0.25">
      <c r="H22">
        <f>F22*$D$5</f>
        <v>0</v>
      </c>
      <c r="L22">
        <f>J22*$D$5</f>
        <v>0</v>
      </c>
      <c r="S22" t="s">
        <v>1217</v>
      </c>
      <c r="T22" t="s">
        <v>1218</v>
      </c>
    </row>
    <row r="23" spans="1:20" x14ac:dyDescent="0.25">
      <c r="S23" t="s">
        <v>1219</v>
      </c>
      <c r="T23" t="s">
        <v>1218</v>
      </c>
    </row>
    <row r="24" spans="1:20" x14ac:dyDescent="0.25">
      <c r="D24" s="7" t="s">
        <v>1023</v>
      </c>
      <c r="F24" t="s">
        <v>901</v>
      </c>
      <c r="G24" t="s">
        <v>1022</v>
      </c>
      <c r="H24" s="7" t="s">
        <v>1023</v>
      </c>
      <c r="J24" t="s">
        <v>901</v>
      </c>
      <c r="K24" t="s">
        <v>1022</v>
      </c>
      <c r="L24" s="7" t="s">
        <v>1023</v>
      </c>
      <c r="R24" t="s">
        <v>941</v>
      </c>
      <c r="S24" t="s">
        <v>25</v>
      </c>
      <c r="T24" t="s">
        <v>1218</v>
      </c>
    </row>
    <row r="25" spans="1:20" x14ac:dyDescent="0.25">
      <c r="A25" t="s">
        <v>944</v>
      </c>
      <c r="B25" s="6">
        <f>IF(B17-B16&lt;0,0,B17-B16)</f>
        <v>0</v>
      </c>
      <c r="D25" s="6">
        <f>IF(D17-D16&lt;0,0,D17-D16)</f>
        <v>0</v>
      </c>
      <c r="F25" s="8">
        <f>F5*B25</f>
        <v>0</v>
      </c>
      <c r="G25" s="8">
        <v>0</v>
      </c>
      <c r="H25" s="8"/>
      <c r="I25" s="8"/>
      <c r="J25" s="8">
        <f>(J5*B25)+IF(J17-J16&lt;=0,0,J17-J16)</f>
        <v>0</v>
      </c>
      <c r="K25" s="8">
        <f>IF(J17-J16&lt;=0,0,J17-J16)</f>
        <v>0</v>
      </c>
      <c r="L25" s="8"/>
      <c r="S25" t="s">
        <v>1220</v>
      </c>
      <c r="T25" t="s">
        <v>1218</v>
      </c>
    </row>
    <row r="26" spans="1:20" x14ac:dyDescent="0.25">
      <c r="A26" t="s">
        <v>945</v>
      </c>
      <c r="B26" s="9">
        <f>(1-NASLDC)*NASL</f>
        <v>0</v>
      </c>
      <c r="D26" s="11"/>
      <c r="F26" s="8">
        <f>FU_NASL*(1-FU_NASLDC)</f>
        <v>0</v>
      </c>
      <c r="G26" s="8"/>
      <c r="H26" s="8"/>
      <c r="I26" s="8"/>
      <c r="J26" s="8">
        <f>IP_NASL*(1-IP_NASLDC)</f>
        <v>0</v>
      </c>
      <c r="K26" s="8"/>
      <c r="L26" s="8"/>
      <c r="R26" t="s">
        <v>1221</v>
      </c>
      <c r="S26" t="s">
        <v>25</v>
      </c>
      <c r="T26" t="s">
        <v>1218</v>
      </c>
    </row>
    <row r="27" spans="1:20" x14ac:dyDescent="0.25">
      <c r="A27" t="s">
        <v>946</v>
      </c>
      <c r="B27" s="6">
        <f>NASR*(1-NASRDC)</f>
        <v>0</v>
      </c>
      <c r="D27" s="11"/>
      <c r="F27" s="8">
        <f>FU_NASR*(1-FU_NASRDC)</f>
        <v>0</v>
      </c>
      <c r="G27" s="8"/>
      <c r="H27" s="8"/>
      <c r="I27" s="8"/>
      <c r="J27" s="8">
        <f>IP_NASR*(1-IP_NASRDC)</f>
        <v>0</v>
      </c>
      <c r="K27" s="8"/>
      <c r="L27" s="8"/>
      <c r="S27" t="s">
        <v>1220</v>
      </c>
      <c r="T27" t="s">
        <v>1218</v>
      </c>
    </row>
    <row r="28" spans="1:20" x14ac:dyDescent="0.25">
      <c r="D28" s="11"/>
      <c r="F28" s="8"/>
      <c r="G28" s="8"/>
      <c r="H28" s="8"/>
      <c r="I28" s="8"/>
      <c r="J28" s="8"/>
      <c r="K28" s="8"/>
      <c r="L28" s="8"/>
      <c r="R28" t="s">
        <v>1093</v>
      </c>
      <c r="S28" t="s">
        <v>984</v>
      </c>
      <c r="T28" t="s">
        <v>1216</v>
      </c>
    </row>
    <row r="29" spans="1:20" ht="14.4" x14ac:dyDescent="0.3">
      <c r="A29" s="10" t="s">
        <v>947</v>
      </c>
      <c r="D29" s="12"/>
      <c r="F29" s="8"/>
      <c r="G29" s="8"/>
      <c r="H29" s="8"/>
      <c r="I29" s="8"/>
      <c r="J29" s="8"/>
      <c r="K29" s="8"/>
      <c r="L29" s="8"/>
      <c r="S29" t="s">
        <v>985</v>
      </c>
      <c r="T29" t="s">
        <v>1216</v>
      </c>
    </row>
    <row r="30" spans="1:20" x14ac:dyDescent="0.25">
      <c r="A30" t="s">
        <v>948</v>
      </c>
      <c r="B30" s="6">
        <f>B5*(NASL+NASR+ROTT)</f>
        <v>0</v>
      </c>
      <c r="F30" s="8">
        <f>H5*(F8+F10+F18)</f>
        <v>0</v>
      </c>
      <c r="G30" s="8"/>
      <c r="H30" s="8"/>
      <c r="I30" s="8"/>
      <c r="J30" s="8">
        <f>L5*(J8+J10+J18)</f>
        <v>0</v>
      </c>
      <c r="K30" s="8"/>
      <c r="L30" s="8"/>
    </row>
    <row r="31" spans="1:20" x14ac:dyDescent="0.25">
      <c r="A31" t="s">
        <v>949</v>
      </c>
      <c r="B31" s="6">
        <f>B5*(B26+B27)</f>
        <v>0</v>
      </c>
      <c r="F31" s="8">
        <f>H5*(F26+F27)</f>
        <v>0</v>
      </c>
      <c r="G31" s="8"/>
      <c r="H31" s="8"/>
      <c r="I31" s="8"/>
      <c r="J31" s="8">
        <f>L5*(J26+J27)</f>
        <v>0</v>
      </c>
      <c r="K31" s="8"/>
      <c r="L31" s="8"/>
      <c r="R31" t="s">
        <v>941</v>
      </c>
      <c r="S31" t="s">
        <v>25</v>
      </c>
      <c r="T31" t="s">
        <v>1218</v>
      </c>
    </row>
    <row r="32" spans="1:20" x14ac:dyDescent="0.25">
      <c r="F32" s="8"/>
      <c r="G32" s="8"/>
      <c r="H32" s="8"/>
      <c r="I32" s="8"/>
      <c r="J32" s="8"/>
      <c r="K32" s="8"/>
      <c r="L32" s="8"/>
      <c r="S32" t="s">
        <v>1220</v>
      </c>
      <c r="T32" t="s">
        <v>1218</v>
      </c>
    </row>
    <row r="33" spans="1:20" x14ac:dyDescent="0.25">
      <c r="A33" t="s">
        <v>950</v>
      </c>
      <c r="B33" s="6">
        <f>B31-B30+B5</f>
        <v>0</v>
      </c>
      <c r="C33" s="6">
        <f>B33*52</f>
        <v>0</v>
      </c>
      <c r="D33" s="7">
        <f>IF($B$20=1,C33/$B$21,C33)</f>
        <v>0</v>
      </c>
      <c r="F33" s="8">
        <f>(F31-F30+H5)/52</f>
        <v>0</v>
      </c>
      <c r="G33" s="8"/>
      <c r="H33" s="8">
        <f>(F31-F30+H5)*52</f>
        <v>0</v>
      </c>
      <c r="I33" s="8"/>
      <c r="J33" s="8">
        <f>(J31-J30+L5)/52</f>
        <v>0</v>
      </c>
      <c r="K33" s="8"/>
      <c r="L33" s="8">
        <f>(J31-J30+L5)*52</f>
        <v>0</v>
      </c>
      <c r="R33" t="s">
        <v>1221</v>
      </c>
      <c r="S33" t="s">
        <v>25</v>
      </c>
      <c r="T33" t="s">
        <v>1218</v>
      </c>
    </row>
    <row r="34" spans="1:20" x14ac:dyDescent="0.25">
      <c r="F34" s="8"/>
      <c r="G34" s="8"/>
      <c r="H34" s="8"/>
      <c r="I34" s="8"/>
      <c r="J34" s="8"/>
      <c r="K34" s="8"/>
      <c r="L34" s="8"/>
      <c r="S34" t="s">
        <v>1220</v>
      </c>
      <c r="T34" t="s">
        <v>1218</v>
      </c>
    </row>
    <row r="35" spans="1:20" x14ac:dyDescent="0.25">
      <c r="F35" s="8"/>
      <c r="G35" s="8"/>
      <c r="H35" s="8"/>
      <c r="I35" s="8"/>
      <c r="J35" s="8"/>
      <c r="K35" s="8"/>
      <c r="L35" s="8"/>
      <c r="R35" t="s">
        <v>1093</v>
      </c>
      <c r="S35" t="s">
        <v>984</v>
      </c>
      <c r="T35" t="s">
        <v>1218</v>
      </c>
    </row>
    <row r="36" spans="1:20" ht="14.4" x14ac:dyDescent="0.3">
      <c r="A36" s="10" t="s">
        <v>951</v>
      </c>
      <c r="F36" s="8"/>
      <c r="G36" s="8"/>
      <c r="H36" s="8"/>
      <c r="I36" s="8"/>
      <c r="J36" s="8"/>
      <c r="K36" s="8"/>
      <c r="L36" s="8"/>
      <c r="S36" t="s">
        <v>985</v>
      </c>
      <c r="T36" t="s">
        <v>1218</v>
      </c>
    </row>
    <row r="37" spans="1:20" x14ac:dyDescent="0.25">
      <c r="A37" t="s">
        <v>948</v>
      </c>
      <c r="B37" s="6">
        <f>B13*(B8+B10+B18)</f>
        <v>0</v>
      </c>
      <c r="F37" s="8">
        <f>F13*(F8+F10)</f>
        <v>0</v>
      </c>
      <c r="G37" s="8"/>
      <c r="H37" s="8"/>
      <c r="I37" s="8"/>
      <c r="J37" s="8">
        <f>J13*(J8+J10)</f>
        <v>0</v>
      </c>
      <c r="K37" s="8"/>
      <c r="L37" s="8"/>
      <c r="S37" t="s">
        <v>1222</v>
      </c>
      <c r="T37" t="s">
        <v>1218</v>
      </c>
    </row>
    <row r="38" spans="1:20" x14ac:dyDescent="0.25">
      <c r="A38" t="s">
        <v>949</v>
      </c>
      <c r="B38" s="6">
        <f>B13*(B26+B27)</f>
        <v>0</v>
      </c>
      <c r="F38" s="8">
        <f>F13*(F26+F27)</f>
        <v>0</v>
      </c>
      <c r="G38" s="8"/>
      <c r="H38" s="8"/>
      <c r="I38" s="8"/>
      <c r="J38" s="8">
        <f>J13*(J26+J27)</f>
        <v>0</v>
      </c>
      <c r="K38" s="8"/>
      <c r="L38" s="8"/>
    </row>
    <row r="39" spans="1:20" x14ac:dyDescent="0.25">
      <c r="F39" s="8"/>
      <c r="G39" s="8"/>
      <c r="H39" s="8"/>
      <c r="I39" s="8"/>
      <c r="J39" s="8"/>
      <c r="K39" s="8"/>
      <c r="L39" s="8"/>
      <c r="R39" t="s">
        <v>1203</v>
      </c>
      <c r="T39" t="s">
        <v>1218</v>
      </c>
    </row>
    <row r="40" spans="1:20" x14ac:dyDescent="0.25">
      <c r="A40" t="s">
        <v>952</v>
      </c>
      <c r="B40" s="6">
        <f>B13+B38-B37</f>
        <v>0</v>
      </c>
      <c r="C40" s="6">
        <f>B40*52</f>
        <v>0</v>
      </c>
      <c r="D40" s="7">
        <f>IF($B$20=1,C40/$B$21,C40)</f>
        <v>0</v>
      </c>
      <c r="F40" s="8">
        <f>F13+F38-F37</f>
        <v>0</v>
      </c>
      <c r="G40" s="8"/>
      <c r="H40" s="8">
        <f>F40*52</f>
        <v>0</v>
      </c>
      <c r="I40" s="8"/>
      <c r="J40" s="8">
        <f>J13+J38-J37</f>
        <v>0</v>
      </c>
      <c r="K40" s="8"/>
      <c r="L40" s="8">
        <f>J40*52</f>
        <v>0</v>
      </c>
    </row>
    <row r="41" spans="1:20" x14ac:dyDescent="0.25">
      <c r="F41" s="8"/>
      <c r="G41" s="8"/>
      <c r="H41" s="8"/>
      <c r="I41" s="8"/>
      <c r="J41" s="8"/>
      <c r="K41" s="8"/>
      <c r="L41" s="8"/>
    </row>
    <row r="42" spans="1:20" x14ac:dyDescent="0.25">
      <c r="F42" s="8"/>
      <c r="G42" s="8"/>
      <c r="H42" s="8"/>
      <c r="I42" s="8"/>
      <c r="J42" s="8"/>
      <c r="K42" s="8"/>
      <c r="L42" s="8"/>
    </row>
    <row r="43" spans="1:20" ht="14.4" x14ac:dyDescent="0.3">
      <c r="A43" s="10" t="s">
        <v>953</v>
      </c>
      <c r="F43" s="8"/>
      <c r="G43" s="8"/>
      <c r="H43" s="8"/>
      <c r="I43" s="8"/>
      <c r="J43" s="8"/>
      <c r="K43" s="8"/>
      <c r="L43" s="8"/>
    </row>
    <row r="44" spans="1:20" x14ac:dyDescent="0.25">
      <c r="A44" t="s">
        <v>954</v>
      </c>
      <c r="F44" s="8"/>
      <c r="G44" s="8"/>
      <c r="H44" s="8"/>
      <c r="I44" s="8"/>
      <c r="J44" s="8"/>
      <c r="K44" s="8"/>
      <c r="L44" s="8"/>
    </row>
    <row r="45" spans="1:20" x14ac:dyDescent="0.25">
      <c r="F45" s="8"/>
      <c r="G45" s="8"/>
      <c r="H45" s="8"/>
      <c r="I45" s="8"/>
      <c r="J45" s="8"/>
      <c r="K45" s="8"/>
      <c r="L45" s="8"/>
    </row>
    <row r="46" spans="1:20" x14ac:dyDescent="0.25">
      <c r="A46" t="s">
        <v>948</v>
      </c>
      <c r="B46" s="6">
        <f>B25*(B8+B10+B18)</f>
        <v>0</v>
      </c>
      <c r="F46" s="8">
        <f>F25*(F8+F10)</f>
        <v>0</v>
      </c>
      <c r="G46" s="8"/>
      <c r="H46" s="8"/>
      <c r="I46" s="8"/>
      <c r="J46" s="8">
        <f>J25*(J8+J10)</f>
        <v>0</v>
      </c>
      <c r="K46" s="8"/>
      <c r="L46" s="8"/>
    </row>
    <row r="47" spans="1:20" x14ac:dyDescent="0.25">
      <c r="A47" t="s">
        <v>949</v>
      </c>
      <c r="B47" s="6">
        <f>B25*(B26+B27)</f>
        <v>0</v>
      </c>
      <c r="F47" s="8">
        <f>F25*(F26+F27)</f>
        <v>0</v>
      </c>
      <c r="G47" s="8"/>
      <c r="H47" s="8"/>
      <c r="I47" s="8"/>
      <c r="J47" s="8">
        <f>J25*(J26+J27)</f>
        <v>0</v>
      </c>
      <c r="K47" s="8"/>
      <c r="L47" s="8"/>
    </row>
    <row r="48" spans="1:20" x14ac:dyDescent="0.25">
      <c r="F48" s="8" t="s">
        <v>901</v>
      </c>
      <c r="G48" s="8"/>
      <c r="H48" s="8"/>
      <c r="I48" s="8"/>
      <c r="J48" s="8" t="s">
        <v>901</v>
      </c>
      <c r="K48" s="8"/>
      <c r="L48" s="8"/>
    </row>
    <row r="49" spans="1:40" x14ac:dyDescent="0.25">
      <c r="A49" t="s">
        <v>955</v>
      </c>
      <c r="B49" s="6">
        <f>B25+B47-B46</f>
        <v>0</v>
      </c>
      <c r="C49" s="6">
        <f>B49</f>
        <v>0</v>
      </c>
      <c r="D49" s="7">
        <f>IF($B$20=1,C49/$B$21,C49)</f>
        <v>0</v>
      </c>
      <c r="F49" s="8">
        <f>F25+F47-F46</f>
        <v>0</v>
      </c>
      <c r="G49" s="8">
        <f>F49</f>
        <v>0</v>
      </c>
      <c r="H49" s="8">
        <f>IF($F$20=1,G49/$F$21,G49)</f>
        <v>0</v>
      </c>
      <c r="I49" s="8"/>
      <c r="J49" s="8">
        <f>J25+J47-J46</f>
        <v>0</v>
      </c>
      <c r="K49" s="8">
        <f>J49</f>
        <v>0</v>
      </c>
      <c r="L49" s="8">
        <f>IF($J$20=1,K49/$J$21,K49)</f>
        <v>0</v>
      </c>
    </row>
    <row r="50" spans="1:40" x14ac:dyDescent="0.25">
      <c r="F50" t="s">
        <v>1022</v>
      </c>
      <c r="J50" t="s">
        <v>1022</v>
      </c>
    </row>
    <row r="51" spans="1:40" x14ac:dyDescent="0.25">
      <c r="F51">
        <v>0</v>
      </c>
      <c r="H51">
        <v>0</v>
      </c>
      <c r="J51">
        <f>K25*(1+(J8*(1-J9))-(J8+J10+J18)+(J10*(1-J11)))</f>
        <v>0</v>
      </c>
      <c r="K51">
        <f>J51</f>
        <v>0</v>
      </c>
      <c r="L51" s="8">
        <f>IF($J$20=1,K51/$J$21,K51)</f>
        <v>0</v>
      </c>
    </row>
    <row r="52" spans="1:40" x14ac:dyDescent="0.25">
      <c r="A52" s="1" t="s">
        <v>956</v>
      </c>
      <c r="M52" t="s">
        <v>1016</v>
      </c>
      <c r="Z52">
        <f>1-(NASL*NASLDC)</f>
        <v>1</v>
      </c>
    </row>
    <row r="53" spans="1:40" x14ac:dyDescent="0.25">
      <c r="A53" t="s">
        <v>1141</v>
      </c>
      <c r="B53" s="92" t="s">
        <v>1142</v>
      </c>
    </row>
    <row r="54" spans="1:40" x14ac:dyDescent="0.25">
      <c r="M54" t="s">
        <v>1207</v>
      </c>
      <c r="Q54">
        <f>(1-ROTT)*(1-(NASR*NASRDC) - (NASL*NASLDC))</f>
        <v>1</v>
      </c>
      <c r="R54">
        <f>(1-FU_ROTT)*(1-(FU_NASR*FU_NASRDC) - (FU_NASL*FU_NASLDC))</f>
        <v>1</v>
      </c>
      <c r="S54">
        <f>(1-IP_ROTT)*(1-(IP_NASR*IP_NASRDC) - (IP_NASL*IP_NASLDC))</f>
        <v>1</v>
      </c>
      <c r="Z54">
        <f>1-(NASL*NASLDC)</f>
        <v>1</v>
      </c>
      <c r="AA54">
        <f>1-(FU_NASL*FU_NASLDC)</f>
        <v>1</v>
      </c>
      <c r="AB54">
        <f>1-(IP_NASL*IP_NASLDC)</f>
        <v>1</v>
      </c>
    </row>
    <row r="55" spans="1:40" x14ac:dyDescent="0.25">
      <c r="A55" t="s">
        <v>1143</v>
      </c>
      <c r="B55" s="100">
        <f>'Reference dates (hide)'!B40</f>
        <v>43831</v>
      </c>
      <c r="C55" s="6" t="s">
        <v>1150</v>
      </c>
      <c r="G55" s="7"/>
      <c r="Q55" s="116" t="str">
        <f ca="1">IF(OFFSET('Control Sheet'!E$45,MID($A$1,6,LEN($A$1)-6),0,1,1)=0,"",OFFSET('Control Sheet'!E$45,MID($A$1,6,LEN($A$1)-6),0,1,1))</f>
        <v/>
      </c>
      <c r="R55" s="116" t="str">
        <f ca="1">IF(OFFSET('Control Sheet'!F$45,MID($A$1,6,LEN($A$1)-6),0,1,1)=0,"",OFFSET('Control Sheet'!F$45,MID($A$1,6,LEN($A$1)-6),0,1,1))</f>
        <v/>
      </c>
      <c r="S55" s="116" t="str">
        <f ca="1">IF(OFFSET('Control Sheet'!G$45,MID($A$1,6,LEN($A$1)-6),0,1,1)=0,"",OFFSET('Control Sheet'!G$45,MID($A$1,6,LEN($A$1)-6),0,1,1))</f>
        <v/>
      </c>
      <c r="T55" s="118" t="str">
        <f ca="1">IF(OFFSET('Control Sheet'!I$45,MID($A$1,6,LEN($A$1)-6),0,1,1)="0","",OFFSET('Control Sheet'!I$45,MID($A$1,6,LEN($A$1)-6),0,1,1))</f>
        <v/>
      </c>
      <c r="U55" s="118" t="str">
        <f ca="1">IF(OFFSET('Control Sheet'!J$45,MID($A$1,6,LEN($A$1)-6),0,1,1)=0,"",OFFSET('Control Sheet'!J$45,MID($A$1,6,LEN($A$1)-6),0,1,1))</f>
        <v/>
      </c>
      <c r="V55" s="118" t="str">
        <f ca="1">IF(OFFSET('Control Sheet'!K$45,MID($A$1,6,LEN($A$1)-6),0,1,1)=0,"",OFFSET('Control Sheet'!K$45,MID($A$1,6,LEN($A$1)-6),0,1,1))</f>
        <v/>
      </c>
    </row>
    <row r="56" spans="1:40" ht="14.4" x14ac:dyDescent="0.3">
      <c r="A56" t="s">
        <v>1202</v>
      </c>
      <c r="C56" s="6" t="s">
        <v>1204</v>
      </c>
      <c r="D56" s="6"/>
      <c r="E56" s="7"/>
      <c r="F56" t="s">
        <v>860</v>
      </c>
      <c r="N56" s="6"/>
      <c r="O56" s="6"/>
      <c r="P56" s="7"/>
      <c r="Q56" s="93" t="s">
        <v>1236</v>
      </c>
      <c r="R56" s="6"/>
      <c r="T56" s="107" t="s">
        <v>1093</v>
      </c>
      <c r="Z56" s="93" t="s">
        <v>1212</v>
      </c>
      <c r="AC56" s="108" t="s">
        <v>1276</v>
      </c>
      <c r="AF56" s="1" t="s">
        <v>1306</v>
      </c>
      <c r="AI56" t="s">
        <v>1275</v>
      </c>
      <c r="AL56" t="s">
        <v>1312</v>
      </c>
    </row>
    <row r="57" spans="1:40" x14ac:dyDescent="0.25">
      <c r="A57" s="1" t="s">
        <v>1144</v>
      </c>
      <c r="B57" s="1" t="s">
        <v>1151</v>
      </c>
      <c r="C57" s="94" t="s">
        <v>1203</v>
      </c>
      <c r="D57" s="94" t="s">
        <v>984</v>
      </c>
      <c r="E57" s="111" t="s">
        <v>985</v>
      </c>
      <c r="F57" s="1" t="s">
        <v>951</v>
      </c>
      <c r="G57" s="1" t="s">
        <v>1205</v>
      </c>
      <c r="H57" s="1" t="s">
        <v>1206</v>
      </c>
      <c r="I57" s="1" t="s">
        <v>25</v>
      </c>
      <c r="J57" s="1" t="s">
        <v>1220</v>
      </c>
      <c r="K57" s="1" t="s">
        <v>1266</v>
      </c>
      <c r="M57" s="1" t="s">
        <v>1144</v>
      </c>
      <c r="N57" s="94" t="s">
        <v>1159</v>
      </c>
      <c r="O57" s="94" t="s">
        <v>1151</v>
      </c>
      <c r="P57" s="7" t="s">
        <v>1201</v>
      </c>
      <c r="Q57" s="6" t="s">
        <v>1196</v>
      </c>
      <c r="R57" s="6" t="s">
        <v>1197</v>
      </c>
      <c r="S57" s="7" t="s">
        <v>1198</v>
      </c>
      <c r="T57" s="109" t="s">
        <v>1188</v>
      </c>
      <c r="U57" s="109" t="s">
        <v>1189</v>
      </c>
      <c r="V57" s="109" t="s">
        <v>1190</v>
      </c>
      <c r="W57" s="110" t="s">
        <v>1191</v>
      </c>
      <c r="X57" s="110" t="s">
        <v>1192</v>
      </c>
      <c r="Y57" s="110" t="s">
        <v>1193</v>
      </c>
      <c r="Z57" s="57">
        <v>1</v>
      </c>
      <c r="AA57">
        <v>2</v>
      </c>
      <c r="AB57">
        <v>3</v>
      </c>
      <c r="AC57" t="s">
        <v>1146</v>
      </c>
      <c r="AD57" t="s">
        <v>1147</v>
      </c>
      <c r="AE57" t="s">
        <v>1148</v>
      </c>
      <c r="AF57" t="s">
        <v>1146</v>
      </c>
      <c r="AG57" t="s">
        <v>1147</v>
      </c>
      <c r="AH57" t="s">
        <v>1148</v>
      </c>
      <c r="AI57" t="s">
        <v>1146</v>
      </c>
      <c r="AJ57" t="s">
        <v>1147</v>
      </c>
      <c r="AK57" t="s">
        <v>1148</v>
      </c>
      <c r="AL57" t="s">
        <v>1146</v>
      </c>
      <c r="AM57" t="s">
        <v>1147</v>
      </c>
      <c r="AN57" t="s">
        <v>1148</v>
      </c>
    </row>
    <row r="58" spans="1:40" x14ac:dyDescent="0.25">
      <c r="B58"/>
      <c r="C58"/>
      <c r="D58"/>
      <c r="M58" s="101">
        <f>IF(B55&lt;&gt;"",B55-WEEKDAY(B55,3),"")</f>
        <v>43829</v>
      </c>
      <c r="N58" s="99">
        <f>YEAR(M58)</f>
        <v>2019</v>
      </c>
      <c r="O58" s="8">
        <f>WEEKNUM(M58,21)</f>
        <v>1</v>
      </c>
      <c r="P58">
        <f ca="1">'Reference dates (hide)'!K43</f>
        <v>7.874015748031496E-3</v>
      </c>
    </row>
    <row r="59" spans="1:40" x14ac:dyDescent="0.25">
      <c r="B59"/>
      <c r="C59"/>
      <c r="D59"/>
      <c r="M59" s="101">
        <f>IF('Reference dates (hide)'!I44&lt;&gt;"",'Reference dates (hide)'!I44,"")</f>
        <v>43836</v>
      </c>
      <c r="N59" s="99">
        <f t="shared" ref="N59:N110" si="0">YEAR(M59)</f>
        <v>2020</v>
      </c>
      <c r="O59" s="8">
        <f t="shared" ref="O59:O110" si="1">WEEKNUM(M59,21)</f>
        <v>2</v>
      </c>
      <c r="P59">
        <f ca="1">'Reference dates (hide)'!K44</f>
        <v>1.968503937007874E-2</v>
      </c>
    </row>
    <row r="60" spans="1:40" x14ac:dyDescent="0.25">
      <c r="B60"/>
      <c r="C60"/>
      <c r="D60"/>
      <c r="M60" s="101">
        <f>IF('Reference dates (hide)'!I45&lt;&gt;"",'Reference dates (hide)'!I45,"")</f>
        <v>43843</v>
      </c>
      <c r="N60" s="99">
        <f t="shared" si="0"/>
        <v>2020</v>
      </c>
      <c r="O60" s="8">
        <f t="shared" si="1"/>
        <v>3</v>
      </c>
      <c r="P60">
        <f ca="1">'Reference dates (hide)'!K45</f>
        <v>1.968503937007874E-2</v>
      </c>
    </row>
    <row r="61" spans="1:40" x14ac:dyDescent="0.25">
      <c r="B61"/>
      <c r="C61"/>
      <c r="D61"/>
      <c r="M61" s="101">
        <f>IF('Reference dates (hide)'!I46&lt;&gt;"",'Reference dates (hide)'!I46,"")</f>
        <v>43850</v>
      </c>
      <c r="N61" s="99">
        <f t="shared" si="0"/>
        <v>2020</v>
      </c>
      <c r="O61" s="8">
        <f t="shared" si="1"/>
        <v>4</v>
      </c>
      <c r="P61">
        <f ca="1">'Reference dates (hide)'!K46</f>
        <v>1.968503937007874E-2</v>
      </c>
    </row>
    <row r="62" spans="1:40" x14ac:dyDescent="0.25">
      <c r="B62"/>
      <c r="C62"/>
      <c r="D62"/>
      <c r="M62" s="101">
        <f>IF('Reference dates (hide)'!I47&lt;&gt;"",'Reference dates (hide)'!I47,"")</f>
        <v>43857</v>
      </c>
      <c r="N62" s="99">
        <f t="shared" si="0"/>
        <v>2020</v>
      </c>
      <c r="O62" s="8">
        <f t="shared" si="1"/>
        <v>5</v>
      </c>
      <c r="P62">
        <f ca="1">'Reference dates (hide)'!K47</f>
        <v>1.968503937007874E-2</v>
      </c>
    </row>
    <row r="63" spans="1:40" x14ac:dyDescent="0.25">
      <c r="B63"/>
      <c r="C63"/>
      <c r="D63"/>
      <c r="M63" s="101">
        <f>IF('Reference dates (hide)'!I48&lt;&gt;"",'Reference dates (hide)'!I48,"")</f>
        <v>43864</v>
      </c>
      <c r="N63" s="99">
        <f t="shared" si="0"/>
        <v>2020</v>
      </c>
      <c r="O63" s="8">
        <f t="shared" si="1"/>
        <v>6</v>
      </c>
      <c r="P63">
        <f ca="1">'Reference dates (hide)'!K48</f>
        <v>1.968503937007874E-2</v>
      </c>
    </row>
    <row r="64" spans="1:40" x14ac:dyDescent="0.25">
      <c r="B64"/>
      <c r="C64"/>
      <c r="D64"/>
      <c r="M64" s="101">
        <f>IF('Reference dates (hide)'!I49&lt;&gt;"",'Reference dates (hide)'!I49,"")</f>
        <v>43871</v>
      </c>
      <c r="N64" s="99">
        <f t="shared" si="0"/>
        <v>2020</v>
      </c>
      <c r="O64" s="8">
        <f t="shared" si="1"/>
        <v>7</v>
      </c>
      <c r="P64">
        <f ca="1">'Reference dates (hide)'!K49</f>
        <v>1.968503937007874E-2</v>
      </c>
    </row>
    <row r="65" spans="2:16" x14ac:dyDescent="0.25">
      <c r="B65"/>
      <c r="C65"/>
      <c r="D65"/>
      <c r="M65" s="101">
        <f>IF('Reference dates (hide)'!I50&lt;&gt;"",'Reference dates (hide)'!I50,"")</f>
        <v>43878</v>
      </c>
      <c r="N65" s="99">
        <f t="shared" si="0"/>
        <v>2020</v>
      </c>
      <c r="O65" s="8">
        <f t="shared" si="1"/>
        <v>8</v>
      </c>
      <c r="P65">
        <f ca="1">'Reference dates (hide)'!K50</f>
        <v>1.968503937007874E-2</v>
      </c>
    </row>
    <row r="66" spans="2:16" x14ac:dyDescent="0.25">
      <c r="B66"/>
      <c r="C66"/>
      <c r="D66"/>
      <c r="M66" s="101">
        <f>IF('Reference dates (hide)'!I51&lt;&gt;"",'Reference dates (hide)'!I51,"")</f>
        <v>43885</v>
      </c>
      <c r="N66" s="99">
        <f t="shared" si="0"/>
        <v>2020</v>
      </c>
      <c r="O66" s="8">
        <f t="shared" si="1"/>
        <v>9</v>
      </c>
      <c r="P66">
        <f ca="1">'Reference dates (hide)'!K51</f>
        <v>1.968503937007874E-2</v>
      </c>
    </row>
    <row r="67" spans="2:16" x14ac:dyDescent="0.25">
      <c r="B67"/>
      <c r="C67"/>
      <c r="D67"/>
      <c r="M67" s="101">
        <f>IF('Reference dates (hide)'!I52&lt;&gt;"",'Reference dates (hide)'!I52,"")</f>
        <v>43892</v>
      </c>
      <c r="N67" s="99">
        <f t="shared" si="0"/>
        <v>2020</v>
      </c>
      <c r="O67" s="8">
        <f t="shared" si="1"/>
        <v>10</v>
      </c>
      <c r="P67">
        <f ca="1">'Reference dates (hide)'!K52</f>
        <v>1.968503937007874E-2</v>
      </c>
    </row>
    <row r="68" spans="2:16" x14ac:dyDescent="0.25">
      <c r="B68"/>
      <c r="C68"/>
      <c r="D68"/>
      <c r="M68" s="101">
        <f>IF('Reference dates (hide)'!I53&lt;&gt;"",'Reference dates (hide)'!I53,"")</f>
        <v>43899</v>
      </c>
      <c r="N68" s="99">
        <f t="shared" si="0"/>
        <v>2020</v>
      </c>
      <c r="O68" s="8">
        <f t="shared" si="1"/>
        <v>11</v>
      </c>
      <c r="P68">
        <f ca="1">'Reference dates (hide)'!K53</f>
        <v>1.968503937007874E-2</v>
      </c>
    </row>
    <row r="69" spans="2:16" x14ac:dyDescent="0.25">
      <c r="B69"/>
      <c r="C69"/>
      <c r="D69"/>
      <c r="M69" s="101">
        <f>IF('Reference dates (hide)'!I54&lt;&gt;"",'Reference dates (hide)'!I54,"")</f>
        <v>43906</v>
      </c>
      <c r="N69" s="99">
        <f t="shared" si="0"/>
        <v>2020</v>
      </c>
      <c r="O69" s="8">
        <f t="shared" si="1"/>
        <v>12</v>
      </c>
      <c r="P69">
        <f ca="1">'Reference dates (hide)'!K54</f>
        <v>1.968503937007874E-2</v>
      </c>
    </row>
    <row r="70" spans="2:16" x14ac:dyDescent="0.25">
      <c r="B70"/>
      <c r="C70"/>
      <c r="D70"/>
      <c r="M70" s="101">
        <f>IF('Reference dates (hide)'!I55&lt;&gt;"",'Reference dates (hide)'!I55,"")</f>
        <v>43913</v>
      </c>
      <c r="N70" s="99">
        <f t="shared" si="0"/>
        <v>2020</v>
      </c>
      <c r="O70" s="8">
        <f t="shared" si="1"/>
        <v>13</v>
      </c>
      <c r="P70">
        <f ca="1">'Reference dates (hide)'!K55</f>
        <v>1.968503937007874E-2</v>
      </c>
    </row>
    <row r="71" spans="2:16" x14ac:dyDescent="0.25">
      <c r="B71"/>
      <c r="C71"/>
      <c r="D71"/>
      <c r="M71" s="101">
        <f>IF('Reference dates (hide)'!I56&lt;&gt;"",'Reference dates (hide)'!I56,"")</f>
        <v>43920</v>
      </c>
      <c r="N71" s="99">
        <f t="shared" si="0"/>
        <v>2020</v>
      </c>
      <c r="O71" s="8">
        <f t="shared" si="1"/>
        <v>14</v>
      </c>
      <c r="P71">
        <f ca="1">'Reference dates (hide)'!K56</f>
        <v>1.968503937007874E-2</v>
      </c>
    </row>
    <row r="72" spans="2:16" x14ac:dyDescent="0.25">
      <c r="B72"/>
      <c r="C72"/>
      <c r="D72"/>
      <c r="M72" s="101">
        <f>IF('Reference dates (hide)'!I57&lt;&gt;"",'Reference dates (hide)'!I57,"")</f>
        <v>43927</v>
      </c>
      <c r="N72" s="99">
        <f t="shared" si="0"/>
        <v>2020</v>
      </c>
      <c r="O72" s="8">
        <f t="shared" si="1"/>
        <v>15</v>
      </c>
      <c r="P72">
        <f ca="1">'Reference dates (hide)'!K57</f>
        <v>1.5748031496062992E-2</v>
      </c>
    </row>
    <row r="73" spans="2:16" x14ac:dyDescent="0.25">
      <c r="B73"/>
      <c r="C73"/>
      <c r="D73"/>
      <c r="M73" s="101">
        <f>IF('Reference dates (hide)'!I58&lt;&gt;"",'Reference dates (hide)'!I58,"")</f>
        <v>43934</v>
      </c>
      <c r="N73" s="99">
        <f t="shared" si="0"/>
        <v>2020</v>
      </c>
      <c r="O73" s="8">
        <f t="shared" si="1"/>
        <v>16</v>
      </c>
      <c r="P73">
        <f ca="1">'Reference dates (hide)'!K58</f>
        <v>1.5748031496062992E-2</v>
      </c>
    </row>
    <row r="74" spans="2:16" x14ac:dyDescent="0.25">
      <c r="B74"/>
      <c r="C74"/>
      <c r="D74"/>
      <c r="M74" s="101">
        <f>IF('Reference dates (hide)'!I59&lt;&gt;"",'Reference dates (hide)'!I59,"")</f>
        <v>43941</v>
      </c>
      <c r="N74" s="99">
        <f t="shared" si="0"/>
        <v>2020</v>
      </c>
      <c r="O74" s="8">
        <f t="shared" si="1"/>
        <v>17</v>
      </c>
      <c r="P74">
        <f ca="1">'Reference dates (hide)'!K59</f>
        <v>1.968503937007874E-2</v>
      </c>
    </row>
    <row r="75" spans="2:16" x14ac:dyDescent="0.25">
      <c r="B75"/>
      <c r="C75"/>
      <c r="D75"/>
      <c r="M75" s="101">
        <f>IF('Reference dates (hide)'!I60&lt;&gt;"",'Reference dates (hide)'!I60,"")</f>
        <v>43948</v>
      </c>
      <c r="N75" s="99">
        <f t="shared" si="0"/>
        <v>2020</v>
      </c>
      <c r="O75" s="8">
        <f t="shared" si="1"/>
        <v>18</v>
      </c>
      <c r="P75">
        <f ca="1">'Reference dates (hide)'!K60</f>
        <v>1.968503937007874E-2</v>
      </c>
    </row>
    <row r="76" spans="2:16" x14ac:dyDescent="0.25">
      <c r="B76"/>
      <c r="C76"/>
      <c r="D76"/>
      <c r="M76" s="101">
        <f>IF('Reference dates (hide)'!I61&lt;&gt;"",'Reference dates (hide)'!I61,"")</f>
        <v>43955</v>
      </c>
      <c r="N76" s="99">
        <f t="shared" si="0"/>
        <v>2020</v>
      </c>
      <c r="O76" s="8">
        <f t="shared" si="1"/>
        <v>19</v>
      </c>
      <c r="P76">
        <f ca="1">'Reference dates (hide)'!K61</f>
        <v>1.5748031496062992E-2</v>
      </c>
    </row>
    <row r="77" spans="2:16" x14ac:dyDescent="0.25">
      <c r="B77"/>
      <c r="C77"/>
      <c r="D77"/>
      <c r="M77" s="101">
        <f>IF('Reference dates (hide)'!I62&lt;&gt;"",'Reference dates (hide)'!I62,"")</f>
        <v>43962</v>
      </c>
      <c r="N77" s="99">
        <f t="shared" si="0"/>
        <v>2020</v>
      </c>
      <c r="O77" s="8">
        <f t="shared" si="1"/>
        <v>20</v>
      </c>
      <c r="P77">
        <f ca="1">'Reference dates (hide)'!K62</f>
        <v>1.968503937007874E-2</v>
      </c>
    </row>
    <row r="78" spans="2:16" x14ac:dyDescent="0.25">
      <c r="B78"/>
      <c r="C78"/>
      <c r="D78"/>
      <c r="M78" s="101">
        <f>IF('Reference dates (hide)'!I63&lt;&gt;"",'Reference dates (hide)'!I63,"")</f>
        <v>43969</v>
      </c>
      <c r="N78" s="99">
        <f t="shared" si="0"/>
        <v>2020</v>
      </c>
      <c r="O78" s="8">
        <f t="shared" si="1"/>
        <v>21</v>
      </c>
      <c r="P78">
        <f ca="1">'Reference dates (hide)'!K63</f>
        <v>1.968503937007874E-2</v>
      </c>
    </row>
    <row r="79" spans="2:16" x14ac:dyDescent="0.25">
      <c r="B79"/>
      <c r="C79"/>
      <c r="D79"/>
      <c r="M79" s="101">
        <f>IF('Reference dates (hide)'!I64&lt;&gt;"",'Reference dates (hide)'!I64,"")</f>
        <v>43976</v>
      </c>
      <c r="N79" s="99">
        <f t="shared" si="0"/>
        <v>2020</v>
      </c>
      <c r="O79" s="8">
        <f t="shared" si="1"/>
        <v>22</v>
      </c>
      <c r="P79">
        <f ca="1">'Reference dates (hide)'!K64</f>
        <v>1.5748031496062992E-2</v>
      </c>
    </row>
    <row r="80" spans="2:16" x14ac:dyDescent="0.25">
      <c r="B80"/>
      <c r="C80"/>
      <c r="D80"/>
      <c r="M80" s="101">
        <f>IF('Reference dates (hide)'!I65&lt;&gt;"",'Reference dates (hide)'!I65,"")</f>
        <v>43983</v>
      </c>
      <c r="N80" s="99">
        <f t="shared" si="0"/>
        <v>2020</v>
      </c>
      <c r="O80" s="8">
        <f t="shared" si="1"/>
        <v>23</v>
      </c>
      <c r="P80">
        <f ca="1">'Reference dates (hide)'!K65</f>
        <v>1.968503937007874E-2</v>
      </c>
    </row>
    <row r="81" spans="2:16" x14ac:dyDescent="0.25">
      <c r="B81"/>
      <c r="C81"/>
      <c r="D81"/>
      <c r="M81" s="101">
        <f>IF('Reference dates (hide)'!I66&lt;&gt;"",'Reference dates (hide)'!I66,"")</f>
        <v>43990</v>
      </c>
      <c r="N81" s="99">
        <f t="shared" si="0"/>
        <v>2020</v>
      </c>
      <c r="O81" s="8">
        <f t="shared" si="1"/>
        <v>24</v>
      </c>
      <c r="P81">
        <f ca="1">'Reference dates (hide)'!K66</f>
        <v>1.968503937007874E-2</v>
      </c>
    </row>
    <row r="82" spans="2:16" x14ac:dyDescent="0.25">
      <c r="B82"/>
      <c r="C82"/>
      <c r="D82"/>
      <c r="M82" s="101">
        <f>IF('Reference dates (hide)'!I67&lt;&gt;"",'Reference dates (hide)'!I67,"")</f>
        <v>43997</v>
      </c>
      <c r="N82" s="99">
        <f t="shared" si="0"/>
        <v>2020</v>
      </c>
      <c r="O82" s="8">
        <f t="shared" si="1"/>
        <v>25</v>
      </c>
      <c r="P82">
        <f ca="1">'Reference dates (hide)'!K67</f>
        <v>1.968503937007874E-2</v>
      </c>
    </row>
    <row r="83" spans="2:16" x14ac:dyDescent="0.25">
      <c r="B83"/>
      <c r="C83"/>
      <c r="D83"/>
      <c r="M83" s="101">
        <f>IF('Reference dates (hide)'!I68&lt;&gt;"",'Reference dates (hide)'!I68,"")</f>
        <v>44004</v>
      </c>
      <c r="N83" s="99">
        <f t="shared" si="0"/>
        <v>2020</v>
      </c>
      <c r="O83" s="8">
        <f t="shared" si="1"/>
        <v>26</v>
      </c>
      <c r="P83">
        <f ca="1">'Reference dates (hide)'!K68</f>
        <v>1.968503937007874E-2</v>
      </c>
    </row>
    <row r="84" spans="2:16" x14ac:dyDescent="0.25">
      <c r="B84"/>
      <c r="C84"/>
      <c r="D84"/>
      <c r="M84" s="101">
        <f>IF('Reference dates (hide)'!I69&lt;&gt;"",'Reference dates (hide)'!I69,"")</f>
        <v>44011</v>
      </c>
      <c r="N84" s="99">
        <f t="shared" si="0"/>
        <v>2020</v>
      </c>
      <c r="O84" s="8">
        <f t="shared" si="1"/>
        <v>27</v>
      </c>
      <c r="P84">
        <f ca="1">'Reference dates (hide)'!K69</f>
        <v>1.968503937007874E-2</v>
      </c>
    </row>
    <row r="85" spans="2:16" x14ac:dyDescent="0.25">
      <c r="B85"/>
      <c r="C85"/>
      <c r="D85"/>
      <c r="M85" s="101">
        <f>IF('Reference dates (hide)'!I70&lt;&gt;"",'Reference dates (hide)'!I70,"")</f>
        <v>44018</v>
      </c>
      <c r="N85" s="99">
        <f t="shared" si="0"/>
        <v>2020</v>
      </c>
      <c r="O85" s="8">
        <f t="shared" si="1"/>
        <v>28</v>
      </c>
      <c r="P85">
        <f ca="1">'Reference dates (hide)'!K70</f>
        <v>1.968503937007874E-2</v>
      </c>
    </row>
    <row r="86" spans="2:16" x14ac:dyDescent="0.25">
      <c r="B86"/>
      <c r="C86"/>
      <c r="D86"/>
      <c r="M86" s="101">
        <f>IF('Reference dates (hide)'!I71&lt;&gt;"",'Reference dates (hide)'!I71,"")</f>
        <v>44025</v>
      </c>
      <c r="N86" s="99">
        <f t="shared" si="0"/>
        <v>2020</v>
      </c>
      <c r="O86" s="8">
        <f t="shared" si="1"/>
        <v>29</v>
      </c>
      <c r="P86">
        <f ca="1">'Reference dates (hide)'!K71</f>
        <v>1.968503937007874E-2</v>
      </c>
    </row>
    <row r="87" spans="2:16" x14ac:dyDescent="0.25">
      <c r="B87"/>
      <c r="C87"/>
      <c r="D87"/>
      <c r="M87" s="101">
        <f>IF('Reference dates (hide)'!I72&lt;&gt;"",'Reference dates (hide)'!I72,"")</f>
        <v>44032</v>
      </c>
      <c r="N87" s="99">
        <f t="shared" si="0"/>
        <v>2020</v>
      </c>
      <c r="O87" s="8">
        <f t="shared" si="1"/>
        <v>30</v>
      </c>
      <c r="P87">
        <f ca="1">'Reference dates (hide)'!K72</f>
        <v>1.968503937007874E-2</v>
      </c>
    </row>
    <row r="88" spans="2:16" x14ac:dyDescent="0.25">
      <c r="B88"/>
      <c r="C88"/>
      <c r="D88"/>
      <c r="M88" s="101">
        <f>IF('Reference dates (hide)'!I73&lt;&gt;"",'Reference dates (hide)'!I73,"")</f>
        <v>44039</v>
      </c>
      <c r="N88" s="99">
        <f t="shared" si="0"/>
        <v>2020</v>
      </c>
      <c r="O88" s="8">
        <f t="shared" si="1"/>
        <v>31</v>
      </c>
      <c r="P88">
        <f ca="1">'Reference dates (hide)'!K73</f>
        <v>1.968503937007874E-2</v>
      </c>
    </row>
    <row r="89" spans="2:16" x14ac:dyDescent="0.25">
      <c r="B89"/>
      <c r="C89"/>
      <c r="D89"/>
      <c r="M89" s="101">
        <f>IF('Reference dates (hide)'!I74&lt;&gt;"",'Reference dates (hide)'!I74,"")</f>
        <v>44046</v>
      </c>
      <c r="N89" s="99">
        <f t="shared" si="0"/>
        <v>2020</v>
      </c>
      <c r="O89" s="8">
        <f t="shared" si="1"/>
        <v>32</v>
      </c>
      <c r="P89">
        <f ca="1">'Reference dates (hide)'!K74</f>
        <v>1.968503937007874E-2</v>
      </c>
    </row>
    <row r="90" spans="2:16" x14ac:dyDescent="0.25">
      <c r="B90"/>
      <c r="C90"/>
      <c r="D90"/>
      <c r="M90" s="101">
        <f>IF('Reference dates (hide)'!I75&lt;&gt;"",'Reference dates (hide)'!I75,"")</f>
        <v>44053</v>
      </c>
      <c r="N90" s="99">
        <f t="shared" si="0"/>
        <v>2020</v>
      </c>
      <c r="O90" s="8">
        <f t="shared" si="1"/>
        <v>33</v>
      </c>
      <c r="P90">
        <f ca="1">'Reference dates (hide)'!K75</f>
        <v>1.968503937007874E-2</v>
      </c>
    </row>
    <row r="91" spans="2:16" x14ac:dyDescent="0.25">
      <c r="B91"/>
      <c r="C91"/>
      <c r="D91"/>
      <c r="M91" s="101">
        <f>IF('Reference dates (hide)'!I76&lt;&gt;"",'Reference dates (hide)'!I76,"")</f>
        <v>44060</v>
      </c>
      <c r="N91" s="99">
        <f t="shared" si="0"/>
        <v>2020</v>
      </c>
      <c r="O91" s="8">
        <f t="shared" si="1"/>
        <v>34</v>
      </c>
      <c r="P91">
        <f ca="1">'Reference dates (hide)'!K76</f>
        <v>1.968503937007874E-2</v>
      </c>
    </row>
    <row r="92" spans="2:16" x14ac:dyDescent="0.25">
      <c r="B92"/>
      <c r="C92"/>
      <c r="D92"/>
      <c r="M92" s="101">
        <f>IF('Reference dates (hide)'!I77&lt;&gt;"",'Reference dates (hide)'!I77,"")</f>
        <v>44067</v>
      </c>
      <c r="N92" s="99">
        <f t="shared" si="0"/>
        <v>2020</v>
      </c>
      <c r="O92" s="8">
        <f t="shared" si="1"/>
        <v>35</v>
      </c>
      <c r="P92">
        <f ca="1">'Reference dates (hide)'!K77</f>
        <v>1.968503937007874E-2</v>
      </c>
    </row>
    <row r="93" spans="2:16" x14ac:dyDescent="0.25">
      <c r="B93"/>
      <c r="C93"/>
      <c r="D93"/>
      <c r="M93" s="101">
        <f>IF('Reference dates (hide)'!I78&lt;&gt;"",'Reference dates (hide)'!I78,"")</f>
        <v>44074</v>
      </c>
      <c r="N93" s="99">
        <f t="shared" si="0"/>
        <v>2020</v>
      </c>
      <c r="O93" s="8">
        <f t="shared" si="1"/>
        <v>36</v>
      </c>
      <c r="P93">
        <f ca="1">'Reference dates (hide)'!K78</f>
        <v>1.5748031496062992E-2</v>
      </c>
    </row>
    <row r="94" spans="2:16" x14ac:dyDescent="0.25">
      <c r="B94"/>
      <c r="C94"/>
      <c r="D94"/>
      <c r="M94" s="101">
        <f>IF('Reference dates (hide)'!I79&lt;&gt;"",'Reference dates (hide)'!I79,"")</f>
        <v>44081</v>
      </c>
      <c r="N94" s="99">
        <f t="shared" si="0"/>
        <v>2020</v>
      </c>
      <c r="O94" s="8">
        <f t="shared" si="1"/>
        <v>37</v>
      </c>
      <c r="P94">
        <f ca="1">'Reference dates (hide)'!K79</f>
        <v>1.968503937007874E-2</v>
      </c>
    </row>
    <row r="95" spans="2:16" x14ac:dyDescent="0.25">
      <c r="B95"/>
      <c r="C95"/>
      <c r="D95"/>
      <c r="M95" s="101">
        <f>IF('Reference dates (hide)'!I80&lt;&gt;"",'Reference dates (hide)'!I80,"")</f>
        <v>44088</v>
      </c>
      <c r="N95" s="99">
        <f t="shared" si="0"/>
        <v>2020</v>
      </c>
      <c r="O95" s="8">
        <f t="shared" si="1"/>
        <v>38</v>
      </c>
      <c r="P95">
        <f ca="1">'Reference dates (hide)'!K80</f>
        <v>1.968503937007874E-2</v>
      </c>
    </row>
    <row r="96" spans="2:16" x14ac:dyDescent="0.25">
      <c r="B96"/>
      <c r="C96"/>
      <c r="D96"/>
      <c r="M96" s="101">
        <f>IF('Reference dates (hide)'!I81&lt;&gt;"",'Reference dates (hide)'!I81,"")</f>
        <v>44095</v>
      </c>
      <c r="N96" s="99">
        <f t="shared" si="0"/>
        <v>2020</v>
      </c>
      <c r="O96" s="8">
        <f t="shared" si="1"/>
        <v>39</v>
      </c>
      <c r="P96">
        <f ca="1">'Reference dates (hide)'!K81</f>
        <v>1.968503937007874E-2</v>
      </c>
    </row>
    <row r="97" spans="2:31" x14ac:dyDescent="0.25">
      <c r="B97"/>
      <c r="C97"/>
      <c r="D97"/>
      <c r="M97" s="101">
        <f>IF('Reference dates (hide)'!I82&lt;&gt;"",'Reference dates (hide)'!I82,"")</f>
        <v>44102</v>
      </c>
      <c r="N97" s="99">
        <f t="shared" si="0"/>
        <v>2020</v>
      </c>
      <c r="O97" s="8">
        <f t="shared" si="1"/>
        <v>40</v>
      </c>
      <c r="P97">
        <f ca="1">'Reference dates (hide)'!K82</f>
        <v>1.968503937007874E-2</v>
      </c>
    </row>
    <row r="98" spans="2:31" x14ac:dyDescent="0.25">
      <c r="B98"/>
      <c r="C98"/>
      <c r="D98"/>
      <c r="M98" s="101">
        <f>IF('Reference dates (hide)'!I83&lt;&gt;"",'Reference dates (hide)'!I83,"")</f>
        <v>44109</v>
      </c>
      <c r="N98" s="99">
        <f t="shared" si="0"/>
        <v>2020</v>
      </c>
      <c r="O98" s="8">
        <f t="shared" si="1"/>
        <v>41</v>
      </c>
      <c r="P98">
        <f ca="1">'Reference dates (hide)'!K83</f>
        <v>1.968503937007874E-2</v>
      </c>
    </row>
    <row r="99" spans="2:31" x14ac:dyDescent="0.25">
      <c r="B99"/>
      <c r="C99"/>
      <c r="D99"/>
      <c r="M99" s="101">
        <f>IF('Reference dates (hide)'!I84&lt;&gt;"",'Reference dates (hide)'!I84,"")</f>
        <v>44116</v>
      </c>
      <c r="N99" s="99">
        <f t="shared" si="0"/>
        <v>2020</v>
      </c>
      <c r="O99" s="8">
        <f t="shared" si="1"/>
        <v>42</v>
      </c>
      <c r="P99">
        <f ca="1">'Reference dates (hide)'!K84</f>
        <v>1.968503937007874E-2</v>
      </c>
    </row>
    <row r="100" spans="2:31" x14ac:dyDescent="0.25">
      <c r="B100"/>
      <c r="C100"/>
      <c r="D100"/>
      <c r="M100" s="101">
        <f>IF('Reference dates (hide)'!I85&lt;&gt;"",'Reference dates (hide)'!I85,"")</f>
        <v>44123</v>
      </c>
      <c r="N100" s="99">
        <f t="shared" si="0"/>
        <v>2020</v>
      </c>
      <c r="O100" s="8">
        <f t="shared" si="1"/>
        <v>43</v>
      </c>
      <c r="P100">
        <f ca="1">'Reference dates (hide)'!K85</f>
        <v>1.968503937007874E-2</v>
      </c>
    </row>
    <row r="101" spans="2:31" x14ac:dyDescent="0.25">
      <c r="B101"/>
      <c r="C101"/>
      <c r="D101"/>
      <c r="M101" s="101">
        <f>IF('Reference dates (hide)'!I86&lt;&gt;"",'Reference dates (hide)'!I86,"")</f>
        <v>44130</v>
      </c>
      <c r="N101" s="99">
        <f t="shared" si="0"/>
        <v>2020</v>
      </c>
      <c r="O101" s="8">
        <f t="shared" si="1"/>
        <v>44</v>
      </c>
      <c r="P101">
        <f ca="1">'Reference dates (hide)'!K86</f>
        <v>1.968503937007874E-2</v>
      </c>
    </row>
    <row r="102" spans="2:31" x14ac:dyDescent="0.25">
      <c r="B102"/>
      <c r="C102"/>
      <c r="D102"/>
      <c r="M102" s="101">
        <f>IF('Reference dates (hide)'!I87&lt;&gt;"",'Reference dates (hide)'!I87,"")</f>
        <v>44137</v>
      </c>
      <c r="N102" s="99">
        <f t="shared" si="0"/>
        <v>2020</v>
      </c>
      <c r="O102" s="8">
        <f t="shared" si="1"/>
        <v>45</v>
      </c>
      <c r="P102">
        <f ca="1">'Reference dates (hide)'!K87</f>
        <v>1.968503937007874E-2</v>
      </c>
    </row>
    <row r="103" spans="2:31" x14ac:dyDescent="0.25">
      <c r="B103"/>
      <c r="C103"/>
      <c r="D103"/>
      <c r="M103" s="101">
        <f>IF('Reference dates (hide)'!I88&lt;&gt;"",'Reference dates (hide)'!I88,"")</f>
        <v>44144</v>
      </c>
      <c r="N103" s="99">
        <f t="shared" si="0"/>
        <v>2020</v>
      </c>
      <c r="O103" s="8">
        <f t="shared" si="1"/>
        <v>46</v>
      </c>
      <c r="P103">
        <f ca="1">'Reference dates (hide)'!K88</f>
        <v>1.968503937007874E-2</v>
      </c>
    </row>
    <row r="104" spans="2:31" x14ac:dyDescent="0.25">
      <c r="B104"/>
      <c r="C104"/>
      <c r="D104"/>
      <c r="M104" s="101">
        <f>IF('Reference dates (hide)'!I89&lt;&gt;"",'Reference dates (hide)'!I89,"")</f>
        <v>44151</v>
      </c>
      <c r="N104" s="99">
        <f t="shared" si="0"/>
        <v>2020</v>
      </c>
      <c r="O104" s="8">
        <f t="shared" si="1"/>
        <v>47</v>
      </c>
      <c r="P104">
        <f ca="1">'Reference dates (hide)'!K89</f>
        <v>1.968503937007874E-2</v>
      </c>
    </row>
    <row r="105" spans="2:31" x14ac:dyDescent="0.25">
      <c r="B105"/>
      <c r="C105"/>
      <c r="D105"/>
      <c r="M105" s="101">
        <f>IF('Reference dates (hide)'!I90&lt;&gt;"",'Reference dates (hide)'!I90,"")</f>
        <v>44158</v>
      </c>
      <c r="N105" s="99">
        <f t="shared" si="0"/>
        <v>2020</v>
      </c>
      <c r="O105" s="8">
        <f t="shared" si="1"/>
        <v>48</v>
      </c>
      <c r="P105">
        <f ca="1">'Reference dates (hide)'!K90</f>
        <v>1.968503937007874E-2</v>
      </c>
    </row>
    <row r="106" spans="2:31" x14ac:dyDescent="0.25">
      <c r="B106"/>
      <c r="C106"/>
      <c r="D106"/>
      <c r="M106" s="101">
        <f>IF('Reference dates (hide)'!I91&lt;&gt;"",'Reference dates (hide)'!I91,"")</f>
        <v>44165</v>
      </c>
      <c r="N106" s="99">
        <f t="shared" si="0"/>
        <v>2020</v>
      </c>
      <c r="O106" s="8">
        <f t="shared" si="1"/>
        <v>49</v>
      </c>
      <c r="P106">
        <f ca="1">'Reference dates (hide)'!K91</f>
        <v>1.968503937007874E-2</v>
      </c>
    </row>
    <row r="107" spans="2:31" x14ac:dyDescent="0.25">
      <c r="B107"/>
      <c r="C107"/>
      <c r="D107"/>
      <c r="M107" s="101">
        <f>IF('Reference dates (hide)'!I92&lt;&gt;"",'Reference dates (hide)'!I92,"")</f>
        <v>44172</v>
      </c>
      <c r="N107" s="99">
        <f t="shared" si="0"/>
        <v>2020</v>
      </c>
      <c r="O107" s="8">
        <f t="shared" si="1"/>
        <v>50</v>
      </c>
      <c r="P107">
        <f ca="1">'Reference dates (hide)'!K92</f>
        <v>1.968503937007874E-2</v>
      </c>
    </row>
    <row r="108" spans="2:31" x14ac:dyDescent="0.25">
      <c r="B108"/>
      <c r="C108"/>
      <c r="D108"/>
      <c r="M108" s="101">
        <f>IF('Reference dates (hide)'!I93&lt;&gt;"",'Reference dates (hide)'!I93,"")</f>
        <v>44179</v>
      </c>
      <c r="N108" s="99">
        <f t="shared" si="0"/>
        <v>2020</v>
      </c>
      <c r="O108" s="8">
        <f t="shared" si="1"/>
        <v>51</v>
      </c>
      <c r="P108">
        <f ca="1">'Reference dates (hide)'!K93</f>
        <v>1.968503937007874E-2</v>
      </c>
    </row>
    <row r="109" spans="2:31" x14ac:dyDescent="0.25">
      <c r="B109"/>
      <c r="C109"/>
      <c r="D109"/>
      <c r="M109" s="101">
        <f>IF('Reference dates (hide)'!I94&lt;&gt;"",'Reference dates (hide)'!I94,"")</f>
        <v>44186</v>
      </c>
      <c r="N109" s="99">
        <f t="shared" si="0"/>
        <v>2020</v>
      </c>
      <c r="O109" s="8">
        <f t="shared" si="1"/>
        <v>52</v>
      </c>
      <c r="P109">
        <f ca="1">'Reference dates (hide)'!K94</f>
        <v>1.5748031496062992E-2</v>
      </c>
    </row>
    <row r="110" spans="2:31" x14ac:dyDescent="0.25">
      <c r="B110"/>
      <c r="C110"/>
      <c r="D110"/>
      <c r="M110" s="101">
        <f>IF('Reference dates (hide)'!I95&lt;&gt;"",'Reference dates (hide)'!I95,"")</f>
        <v>44193</v>
      </c>
      <c r="N110" s="99">
        <f t="shared" si="0"/>
        <v>2020</v>
      </c>
      <c r="O110" s="8">
        <f t="shared" si="1"/>
        <v>53</v>
      </c>
      <c r="P110">
        <f ca="1">'Reference dates (hide)'!K95</f>
        <v>1.1811023622047244E-2</v>
      </c>
    </row>
    <row r="111" spans="2:31" x14ac:dyDescent="0.25">
      <c r="M111">
        <f>MAX(T58:AB110)</f>
        <v>0</v>
      </c>
      <c r="Q111">
        <f>MAX(Q58:Q109)/$Q$54</f>
        <v>0</v>
      </c>
      <c r="R111">
        <f>MAX(R58:R109)/IF($R$54=0,1,$Q$54)</f>
        <v>0</v>
      </c>
      <c r="S111">
        <f>MAX(S58:S109)/IF($S$54=0,1,$Q$54)</f>
        <v>0</v>
      </c>
      <c r="Z111">
        <f>MAX(Z58:Z109)/IF($Z$52=0,1,Q$54)</f>
        <v>0</v>
      </c>
      <c r="AA111">
        <f>MAX(AA58:AA109)/IF($Z$52=0,1,R$54)</f>
        <v>0</v>
      </c>
      <c r="AB111">
        <f>MAX(AB58:AB109)/IF($Z$52=0,1,S$54)</f>
        <v>0</v>
      </c>
      <c r="AC111">
        <f>MAX(AC58:AC109)/IF($Z$52=0,1,Q$54)</f>
        <v>0</v>
      </c>
      <c r="AD111">
        <f>MAX(AD58:AD109)/IF($Z$52=0,1,R$54)</f>
        <v>0</v>
      </c>
      <c r="AE111">
        <f>MAX(AE58:AE109)/IF($Z$52=0,1,S$54)</f>
        <v>0</v>
      </c>
    </row>
    <row r="118" spans="26:26" x14ac:dyDescent="0.25">
      <c r="Z118" s="121"/>
    </row>
    <row r="119" spans="26:26" x14ac:dyDescent="0.25">
      <c r="Z119" s="121"/>
    </row>
  </sheetData>
  <pageMargins left="0.7" right="0.7" top="0.75" bottom="0.75" header="0.3" footer="0.3"/>
  <legacyDrawing r:id="rId1"/>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2"/>
  <dimension ref="A1:AN119"/>
  <sheetViews>
    <sheetView workbookViewId="0">
      <selection activeCell="AK59" sqref="AK59"/>
    </sheetView>
  </sheetViews>
  <sheetFormatPr defaultRowHeight="13.8" x14ac:dyDescent="0.25"/>
  <cols>
    <col min="1" max="1" width="27.69921875" bestFit="1" customWidth="1"/>
    <col min="2" max="2" width="16.8984375" style="6" customWidth="1"/>
    <col min="3" max="3" width="12.09765625" style="6" bestFit="1" customWidth="1"/>
    <col min="4" max="4" width="16.09765625" style="7" bestFit="1" customWidth="1"/>
    <col min="11" max="11" width="10.8984375" bestFit="1" customWidth="1"/>
    <col min="13" max="13" width="16.69921875" bestFit="1" customWidth="1"/>
    <col min="17" max="17" width="6.8984375" customWidth="1"/>
    <col min="26" max="26" width="11.8984375" bestFit="1" customWidth="1"/>
  </cols>
  <sheetData>
    <row r="1" spans="1:19" x14ac:dyDescent="0.25">
      <c r="A1" t="s">
        <v>1078</v>
      </c>
      <c r="B1" s="6" t="s">
        <v>931</v>
      </c>
      <c r="C1" s="6" t="b">
        <f>ISERR(SUM(B25:M49))</f>
        <v>0</v>
      </c>
    </row>
    <row r="2" spans="1:19" x14ac:dyDescent="0.25">
      <c r="A2" t="s">
        <v>932</v>
      </c>
      <c r="B2"/>
    </row>
    <row r="3" spans="1:19" x14ac:dyDescent="0.25">
      <c r="B3" s="6" t="s">
        <v>933</v>
      </c>
      <c r="F3" t="s">
        <v>934</v>
      </c>
      <c r="J3" t="s">
        <v>935</v>
      </c>
    </row>
    <row r="4" spans="1:19" x14ac:dyDescent="0.25">
      <c r="B4" s="6" t="s">
        <v>936</v>
      </c>
      <c r="C4" s="6" t="s">
        <v>937</v>
      </c>
      <c r="D4" s="7" t="s">
        <v>1208</v>
      </c>
      <c r="F4" s="6" t="s">
        <v>936</v>
      </c>
      <c r="G4" s="6" t="s">
        <v>937</v>
      </c>
      <c r="H4" s="7" t="s">
        <v>1024</v>
      </c>
      <c r="J4" s="6" t="s">
        <v>936</v>
      </c>
      <c r="K4" s="6" t="s">
        <v>937</v>
      </c>
      <c r="L4" s="7" t="s">
        <v>1024</v>
      </c>
    </row>
    <row r="5" spans="1:19" x14ac:dyDescent="0.25">
      <c r="A5" t="s">
        <v>5</v>
      </c>
      <c r="B5" s="8"/>
      <c r="C5" s="6">
        <f>B5*52</f>
        <v>0</v>
      </c>
      <c r="D5" s="7">
        <f>IF($B$20=1,C5/$B$21,C5)</f>
        <v>0</v>
      </c>
      <c r="G5">
        <f>F5*$D5</f>
        <v>0</v>
      </c>
      <c r="H5">
        <f>G5/52</f>
        <v>0</v>
      </c>
      <c r="K5">
        <f>J5*D5</f>
        <v>0</v>
      </c>
      <c r="L5">
        <f>K5/52</f>
        <v>0</v>
      </c>
    </row>
    <row r="6" spans="1:19" x14ac:dyDescent="0.25">
      <c r="A6" t="s">
        <v>1209</v>
      </c>
      <c r="B6" s="8"/>
      <c r="D6" s="7">
        <f>IF($B$20=1,B6/$B$21,B6)</f>
        <v>0</v>
      </c>
      <c r="G6">
        <f>F6*52</f>
        <v>0</v>
      </c>
      <c r="H6">
        <f>F6</f>
        <v>0</v>
      </c>
      <c r="K6">
        <f>J6*52</f>
        <v>0</v>
      </c>
      <c r="L6">
        <f>J6</f>
        <v>0</v>
      </c>
    </row>
    <row r="7" spans="1:19" x14ac:dyDescent="0.25">
      <c r="A7" t="s">
        <v>1210</v>
      </c>
      <c r="B7" s="8"/>
      <c r="D7" s="7">
        <f>IF($B$20=1,B7/$B$21,B7)</f>
        <v>0</v>
      </c>
    </row>
    <row r="8" spans="1:19" x14ac:dyDescent="0.25">
      <c r="A8" t="s">
        <v>9</v>
      </c>
      <c r="B8"/>
    </row>
    <row r="9" spans="1:19" x14ac:dyDescent="0.25">
      <c r="A9" t="s">
        <v>964</v>
      </c>
      <c r="B9"/>
    </row>
    <row r="10" spans="1:19" x14ac:dyDescent="0.25">
      <c r="A10" t="s">
        <v>940</v>
      </c>
      <c r="B10"/>
      <c r="C10" s="6">
        <f xml:space="preserve"> NASR*NASRDC</f>
        <v>0</v>
      </c>
      <c r="G10">
        <f xml:space="preserve"> FU_NASR*FU_NASRDC</f>
        <v>0</v>
      </c>
      <c r="K10">
        <f xml:space="preserve"> IP_NASR*IP_NASRDC</f>
        <v>0</v>
      </c>
    </row>
    <row r="11" spans="1:19" x14ac:dyDescent="0.25">
      <c r="A11" t="s">
        <v>965</v>
      </c>
      <c r="B11"/>
    </row>
    <row r="12" spans="1:19" x14ac:dyDescent="0.25">
      <c r="A12" t="s">
        <v>859</v>
      </c>
      <c r="B12"/>
    </row>
    <row r="13" spans="1:19" x14ac:dyDescent="0.25">
      <c r="A13" t="s">
        <v>941</v>
      </c>
      <c r="B13" s="8"/>
      <c r="D13" s="7">
        <f>IF($B$20=1,B13/$B$21,B13)</f>
        <v>0</v>
      </c>
      <c r="G13">
        <f>F13*52</f>
        <v>0</v>
      </c>
      <c r="H13" s="7">
        <f>IF($B$20=1,F13/$B$21,F13)</f>
        <v>0</v>
      </c>
      <c r="K13">
        <f>J13*52</f>
        <v>0</v>
      </c>
      <c r="L13" s="7">
        <f>IF($B$20=1,J13/$B$21,J13)</f>
        <v>0</v>
      </c>
    </row>
    <row r="14" spans="1:19" x14ac:dyDescent="0.25">
      <c r="A14" t="s">
        <v>1275</v>
      </c>
      <c r="B14" s="8"/>
      <c r="H14" s="7"/>
      <c r="L14" s="7"/>
    </row>
    <row r="15" spans="1:19" x14ac:dyDescent="0.25">
      <c r="A15" t="s">
        <v>1278</v>
      </c>
      <c r="B15"/>
      <c r="D15" s="7">
        <f>IF($B$20=1,B15/$B$21,B15)</f>
        <v>0</v>
      </c>
      <c r="H15" s="7">
        <f>IF($B$20=1,F15/$B$21,F15)</f>
        <v>0</v>
      </c>
      <c r="L15" s="7">
        <f>IF($B$20=1,J15/$B$21,J15)</f>
        <v>0</v>
      </c>
    </row>
    <row r="16" spans="1:19" x14ac:dyDescent="0.25">
      <c r="A16" t="s">
        <v>861</v>
      </c>
      <c r="B16" s="8"/>
      <c r="D16" s="7">
        <f>IF($B$20=1,B16/$B$21,B16)</f>
        <v>0</v>
      </c>
      <c r="H16" s="7">
        <f>IF($B$20=1,F16/$B$21,F16)</f>
        <v>0</v>
      </c>
      <c r="L16" s="7">
        <f>IF($B$20=1,J16/$B$21,J16)</f>
        <v>0</v>
      </c>
      <c r="S16" t="s">
        <v>1213</v>
      </c>
    </row>
    <row r="17" spans="1:20" x14ac:dyDescent="0.25">
      <c r="A17" t="s">
        <v>7</v>
      </c>
      <c r="B17" s="8"/>
      <c r="D17" s="7">
        <f>IF($B$20=1,B17/$B$21,B17)</f>
        <v>0</v>
      </c>
      <c r="H17" s="7">
        <f>IF($B$20=1,F17/$B$21,F17)</f>
        <v>0</v>
      </c>
      <c r="L17" s="7">
        <f>IF($B$20=1,J17/$B$21,J17)</f>
        <v>0</v>
      </c>
      <c r="S17" t="s">
        <v>1159</v>
      </c>
    </row>
    <row r="18" spans="1:20" x14ac:dyDescent="0.25">
      <c r="A18" t="s">
        <v>1081</v>
      </c>
      <c r="B18"/>
      <c r="S18" t="s">
        <v>1187</v>
      </c>
    </row>
    <row r="19" spans="1:20" x14ac:dyDescent="0.25">
      <c r="A19" t="s">
        <v>863</v>
      </c>
      <c r="B19"/>
      <c r="S19" t="s">
        <v>1214</v>
      </c>
      <c r="T19" t="s">
        <v>1215</v>
      </c>
    </row>
    <row r="20" spans="1:20" x14ac:dyDescent="0.25">
      <c r="A20" t="s">
        <v>942</v>
      </c>
      <c r="B20"/>
      <c r="R20" t="s">
        <v>947</v>
      </c>
      <c r="S20" t="s">
        <v>984</v>
      </c>
      <c r="T20" t="s">
        <v>1216</v>
      </c>
    </row>
    <row r="21" spans="1:20" x14ac:dyDescent="0.25">
      <c r="A21" t="s">
        <v>943</v>
      </c>
      <c r="B21">
        <v>1</v>
      </c>
      <c r="D21" s="12"/>
      <c r="S21" t="s">
        <v>985</v>
      </c>
      <c r="T21" t="s">
        <v>1216</v>
      </c>
    </row>
    <row r="22" spans="1:20" x14ac:dyDescent="0.25">
      <c r="H22">
        <f>F22*$D$5</f>
        <v>0</v>
      </c>
      <c r="L22">
        <f>J22*$D$5</f>
        <v>0</v>
      </c>
      <c r="S22" t="s">
        <v>1217</v>
      </c>
      <c r="T22" t="s">
        <v>1218</v>
      </c>
    </row>
    <row r="23" spans="1:20" x14ac:dyDescent="0.25">
      <c r="S23" t="s">
        <v>1219</v>
      </c>
      <c r="T23" t="s">
        <v>1218</v>
      </c>
    </row>
    <row r="24" spans="1:20" x14ac:dyDescent="0.25">
      <c r="D24" s="7" t="s">
        <v>1023</v>
      </c>
      <c r="F24" t="s">
        <v>901</v>
      </c>
      <c r="G24" t="s">
        <v>1022</v>
      </c>
      <c r="H24" s="7" t="s">
        <v>1023</v>
      </c>
      <c r="J24" t="s">
        <v>901</v>
      </c>
      <c r="K24" t="s">
        <v>1022</v>
      </c>
      <c r="L24" s="7" t="s">
        <v>1023</v>
      </c>
      <c r="R24" t="s">
        <v>941</v>
      </c>
      <c r="S24" t="s">
        <v>25</v>
      </c>
      <c r="T24" t="s">
        <v>1218</v>
      </c>
    </row>
    <row r="25" spans="1:20" x14ac:dyDescent="0.25">
      <c r="A25" t="s">
        <v>944</v>
      </c>
      <c r="B25" s="6">
        <f>IF(B17-B16&lt;0,0,B17-B16)</f>
        <v>0</v>
      </c>
      <c r="D25" s="6">
        <f>IF(D17-D16&lt;0,0,D17-D16)</f>
        <v>0</v>
      </c>
      <c r="F25" s="8">
        <f>F5*B25</f>
        <v>0</v>
      </c>
      <c r="G25" s="8">
        <v>0</v>
      </c>
      <c r="H25" s="8"/>
      <c r="I25" s="8"/>
      <c r="J25" s="8">
        <f>(J5*B25)+IF(J17-J16&lt;=0,0,J17-J16)</f>
        <v>0</v>
      </c>
      <c r="K25" s="8">
        <f>IF(J17-J16&lt;=0,0,J17-J16)</f>
        <v>0</v>
      </c>
      <c r="L25" s="8"/>
      <c r="S25" t="s">
        <v>1220</v>
      </c>
      <c r="T25" t="s">
        <v>1218</v>
      </c>
    </row>
    <row r="26" spans="1:20" x14ac:dyDescent="0.25">
      <c r="A26" t="s">
        <v>945</v>
      </c>
      <c r="B26" s="9">
        <f>(1-NASLDC)*NASL</f>
        <v>0</v>
      </c>
      <c r="D26" s="11"/>
      <c r="F26" s="8">
        <f>FU_NASL*(1-FU_NASLDC)</f>
        <v>0</v>
      </c>
      <c r="G26" s="8"/>
      <c r="H26" s="8"/>
      <c r="I26" s="8"/>
      <c r="J26" s="8">
        <f>IP_NASL*(1-IP_NASLDC)</f>
        <v>0</v>
      </c>
      <c r="K26" s="8"/>
      <c r="L26" s="8"/>
      <c r="R26" t="s">
        <v>1221</v>
      </c>
      <c r="S26" t="s">
        <v>25</v>
      </c>
      <c r="T26" t="s">
        <v>1218</v>
      </c>
    </row>
    <row r="27" spans="1:20" x14ac:dyDescent="0.25">
      <c r="A27" t="s">
        <v>946</v>
      </c>
      <c r="B27" s="6">
        <f>NASR*(1-NASRDC)</f>
        <v>0</v>
      </c>
      <c r="D27" s="11"/>
      <c r="F27" s="8">
        <f>FU_NASR*(1-FU_NASRDC)</f>
        <v>0</v>
      </c>
      <c r="G27" s="8"/>
      <c r="H27" s="8"/>
      <c r="I27" s="8"/>
      <c r="J27" s="8">
        <f>IP_NASR*(1-IP_NASRDC)</f>
        <v>0</v>
      </c>
      <c r="K27" s="8"/>
      <c r="L27" s="8"/>
      <c r="S27" t="s">
        <v>1220</v>
      </c>
      <c r="T27" t="s">
        <v>1218</v>
      </c>
    </row>
    <row r="28" spans="1:20" x14ac:dyDescent="0.25">
      <c r="D28" s="11"/>
      <c r="F28" s="8"/>
      <c r="G28" s="8"/>
      <c r="H28" s="8"/>
      <c r="I28" s="8"/>
      <c r="J28" s="8"/>
      <c r="K28" s="8"/>
      <c r="L28" s="8"/>
      <c r="R28" t="s">
        <v>1093</v>
      </c>
      <c r="S28" t="s">
        <v>984</v>
      </c>
      <c r="T28" t="s">
        <v>1216</v>
      </c>
    </row>
    <row r="29" spans="1:20" ht="14.4" x14ac:dyDescent="0.3">
      <c r="A29" s="10" t="s">
        <v>947</v>
      </c>
      <c r="D29" s="12"/>
      <c r="F29" s="8"/>
      <c r="G29" s="8"/>
      <c r="H29" s="8"/>
      <c r="I29" s="8"/>
      <c r="J29" s="8"/>
      <c r="K29" s="8"/>
      <c r="L29" s="8"/>
      <c r="S29" t="s">
        <v>985</v>
      </c>
      <c r="T29" t="s">
        <v>1216</v>
      </c>
    </row>
    <row r="30" spans="1:20" x14ac:dyDescent="0.25">
      <c r="A30" t="s">
        <v>948</v>
      </c>
      <c r="B30" s="6">
        <f>B5*(NASL+NASR+ROTT)</f>
        <v>0</v>
      </c>
      <c r="F30" s="8">
        <f>H5*(F8+F10+F18)</f>
        <v>0</v>
      </c>
      <c r="G30" s="8"/>
      <c r="H30" s="8"/>
      <c r="I30" s="8"/>
      <c r="J30" s="8">
        <f>L5*(J8+J10+J18)</f>
        <v>0</v>
      </c>
      <c r="K30" s="8"/>
      <c r="L30" s="8"/>
    </row>
    <row r="31" spans="1:20" x14ac:dyDescent="0.25">
      <c r="A31" t="s">
        <v>949</v>
      </c>
      <c r="B31" s="6">
        <f>B5*(B26+B27)</f>
        <v>0</v>
      </c>
      <c r="F31" s="8">
        <f>H5*(F26+F27)</f>
        <v>0</v>
      </c>
      <c r="G31" s="8"/>
      <c r="H31" s="8"/>
      <c r="I31" s="8"/>
      <c r="J31" s="8">
        <f>L5*(J26+J27)</f>
        <v>0</v>
      </c>
      <c r="K31" s="8"/>
      <c r="L31" s="8"/>
      <c r="R31" t="s">
        <v>941</v>
      </c>
      <c r="S31" t="s">
        <v>25</v>
      </c>
      <c r="T31" t="s">
        <v>1218</v>
      </c>
    </row>
    <row r="32" spans="1:20" x14ac:dyDescent="0.25">
      <c r="F32" s="8"/>
      <c r="G32" s="8"/>
      <c r="H32" s="8"/>
      <c r="I32" s="8"/>
      <c r="J32" s="8"/>
      <c r="K32" s="8"/>
      <c r="L32" s="8"/>
      <c r="S32" t="s">
        <v>1220</v>
      </c>
      <c r="T32" t="s">
        <v>1218</v>
      </c>
    </row>
    <row r="33" spans="1:20" x14ac:dyDescent="0.25">
      <c r="A33" t="s">
        <v>950</v>
      </c>
      <c r="B33" s="6">
        <f>B31-B30+B5</f>
        <v>0</v>
      </c>
      <c r="C33" s="6">
        <f>B33*52</f>
        <v>0</v>
      </c>
      <c r="D33" s="7">
        <f>IF($B$20=1,C33/$B$21,C33)</f>
        <v>0</v>
      </c>
      <c r="F33" s="8">
        <f>(F31-F30+H5)/52</f>
        <v>0</v>
      </c>
      <c r="G33" s="8"/>
      <c r="H33" s="8">
        <f>(F31-F30+H5)*52</f>
        <v>0</v>
      </c>
      <c r="I33" s="8"/>
      <c r="J33" s="8">
        <f>(J31-J30+L5)/52</f>
        <v>0</v>
      </c>
      <c r="K33" s="8"/>
      <c r="L33" s="8">
        <f>(J31-J30+L5)*52</f>
        <v>0</v>
      </c>
      <c r="R33" t="s">
        <v>1221</v>
      </c>
      <c r="S33" t="s">
        <v>25</v>
      </c>
      <c r="T33" t="s">
        <v>1218</v>
      </c>
    </row>
    <row r="34" spans="1:20" x14ac:dyDescent="0.25">
      <c r="F34" s="8"/>
      <c r="G34" s="8"/>
      <c r="H34" s="8"/>
      <c r="I34" s="8"/>
      <c r="J34" s="8"/>
      <c r="K34" s="8"/>
      <c r="L34" s="8"/>
      <c r="S34" t="s">
        <v>1220</v>
      </c>
      <c r="T34" t="s">
        <v>1218</v>
      </c>
    </row>
    <row r="35" spans="1:20" x14ac:dyDescent="0.25">
      <c r="F35" s="8"/>
      <c r="G35" s="8"/>
      <c r="H35" s="8"/>
      <c r="I35" s="8"/>
      <c r="J35" s="8"/>
      <c r="K35" s="8"/>
      <c r="L35" s="8"/>
      <c r="R35" t="s">
        <v>1093</v>
      </c>
      <c r="S35" t="s">
        <v>984</v>
      </c>
      <c r="T35" t="s">
        <v>1218</v>
      </c>
    </row>
    <row r="36" spans="1:20" ht="14.4" x14ac:dyDescent="0.3">
      <c r="A36" s="10" t="s">
        <v>951</v>
      </c>
      <c r="F36" s="8"/>
      <c r="G36" s="8"/>
      <c r="H36" s="8"/>
      <c r="I36" s="8"/>
      <c r="J36" s="8"/>
      <c r="K36" s="8"/>
      <c r="L36" s="8"/>
      <c r="S36" t="s">
        <v>985</v>
      </c>
      <c r="T36" t="s">
        <v>1218</v>
      </c>
    </row>
    <row r="37" spans="1:20" x14ac:dyDescent="0.25">
      <c r="A37" t="s">
        <v>948</v>
      </c>
      <c r="B37" s="6">
        <f>B13*(B8+B10+B18)</f>
        <v>0</v>
      </c>
      <c r="F37" s="8">
        <f>F13*(F8+F10)</f>
        <v>0</v>
      </c>
      <c r="G37" s="8"/>
      <c r="H37" s="8"/>
      <c r="I37" s="8"/>
      <c r="J37" s="8">
        <f>J13*(J8+J10)</f>
        <v>0</v>
      </c>
      <c r="K37" s="8"/>
      <c r="L37" s="8"/>
      <c r="S37" t="s">
        <v>1222</v>
      </c>
      <c r="T37" t="s">
        <v>1218</v>
      </c>
    </row>
    <row r="38" spans="1:20" x14ac:dyDescent="0.25">
      <c r="A38" t="s">
        <v>949</v>
      </c>
      <c r="B38" s="6">
        <f>B13*(B26+B27)</f>
        <v>0</v>
      </c>
      <c r="F38" s="8">
        <f>F13*(F26+F27)</f>
        <v>0</v>
      </c>
      <c r="G38" s="8"/>
      <c r="H38" s="8"/>
      <c r="I38" s="8"/>
      <c r="J38" s="8">
        <f>J13*(J26+J27)</f>
        <v>0</v>
      </c>
      <c r="K38" s="8"/>
      <c r="L38" s="8"/>
    </row>
    <row r="39" spans="1:20" x14ac:dyDescent="0.25">
      <c r="F39" s="8"/>
      <c r="G39" s="8"/>
      <c r="H39" s="8"/>
      <c r="I39" s="8"/>
      <c r="J39" s="8"/>
      <c r="K39" s="8"/>
      <c r="L39" s="8"/>
      <c r="R39" t="s">
        <v>1203</v>
      </c>
      <c r="T39" t="s">
        <v>1218</v>
      </c>
    </row>
    <row r="40" spans="1:20" x14ac:dyDescent="0.25">
      <c r="A40" t="s">
        <v>952</v>
      </c>
      <c r="B40" s="6">
        <f>B13+B38-B37</f>
        <v>0</v>
      </c>
      <c r="C40" s="6">
        <f>B40*52</f>
        <v>0</v>
      </c>
      <c r="D40" s="7">
        <f>IF($B$20=1,C40/$B$21,C40)</f>
        <v>0</v>
      </c>
      <c r="F40" s="8">
        <f>F13+F38-F37</f>
        <v>0</v>
      </c>
      <c r="G40" s="8"/>
      <c r="H40" s="8">
        <f>F40*52</f>
        <v>0</v>
      </c>
      <c r="I40" s="8"/>
      <c r="J40" s="8">
        <f>J13+J38-J37</f>
        <v>0</v>
      </c>
      <c r="K40" s="8"/>
      <c r="L40" s="8">
        <f>J40*52</f>
        <v>0</v>
      </c>
    </row>
    <row r="41" spans="1:20" x14ac:dyDescent="0.25">
      <c r="F41" s="8"/>
      <c r="G41" s="8"/>
      <c r="H41" s="8"/>
      <c r="I41" s="8"/>
      <c r="J41" s="8"/>
      <c r="K41" s="8"/>
      <c r="L41" s="8"/>
    </row>
    <row r="42" spans="1:20" x14ac:dyDescent="0.25">
      <c r="F42" s="8"/>
      <c r="G42" s="8"/>
      <c r="H42" s="8"/>
      <c r="I42" s="8"/>
      <c r="J42" s="8"/>
      <c r="K42" s="8"/>
      <c r="L42" s="8"/>
    </row>
    <row r="43" spans="1:20" ht="14.4" x14ac:dyDescent="0.3">
      <c r="A43" s="10" t="s">
        <v>953</v>
      </c>
      <c r="F43" s="8"/>
      <c r="G43" s="8"/>
      <c r="H43" s="8"/>
      <c r="I43" s="8"/>
      <c r="J43" s="8"/>
      <c r="K43" s="8"/>
      <c r="L43" s="8"/>
    </row>
    <row r="44" spans="1:20" x14ac:dyDescent="0.25">
      <c r="A44" t="s">
        <v>954</v>
      </c>
      <c r="F44" s="8"/>
      <c r="G44" s="8"/>
      <c r="H44" s="8"/>
      <c r="I44" s="8"/>
      <c r="J44" s="8"/>
      <c r="K44" s="8"/>
      <c r="L44" s="8"/>
    </row>
    <row r="45" spans="1:20" x14ac:dyDescent="0.25">
      <c r="F45" s="8"/>
      <c r="G45" s="8"/>
      <c r="H45" s="8"/>
      <c r="I45" s="8"/>
      <c r="J45" s="8"/>
      <c r="K45" s="8"/>
      <c r="L45" s="8"/>
    </row>
    <row r="46" spans="1:20" x14ac:dyDescent="0.25">
      <c r="A46" t="s">
        <v>948</v>
      </c>
      <c r="B46" s="6">
        <f>B25*(B8+B10+B18)</f>
        <v>0</v>
      </c>
      <c r="F46" s="8">
        <f>F25*(F8+F10)</f>
        <v>0</v>
      </c>
      <c r="G46" s="8"/>
      <c r="H46" s="8"/>
      <c r="I46" s="8"/>
      <c r="J46" s="8">
        <f>J25*(J8+J10)</f>
        <v>0</v>
      </c>
      <c r="K46" s="8"/>
      <c r="L46" s="8"/>
    </row>
    <row r="47" spans="1:20" x14ac:dyDescent="0.25">
      <c r="A47" t="s">
        <v>949</v>
      </c>
      <c r="B47" s="6">
        <f>B25*(B26+B27)</f>
        <v>0</v>
      </c>
      <c r="F47" s="8">
        <f>F25*(F26+F27)</f>
        <v>0</v>
      </c>
      <c r="G47" s="8"/>
      <c r="H47" s="8"/>
      <c r="I47" s="8"/>
      <c r="J47" s="8">
        <f>J25*(J26+J27)</f>
        <v>0</v>
      </c>
      <c r="K47" s="8"/>
      <c r="L47" s="8"/>
    </row>
    <row r="48" spans="1:20" x14ac:dyDescent="0.25">
      <c r="F48" s="8" t="s">
        <v>901</v>
      </c>
      <c r="G48" s="8"/>
      <c r="H48" s="8"/>
      <c r="I48" s="8"/>
      <c r="J48" s="8" t="s">
        <v>901</v>
      </c>
      <c r="K48" s="8"/>
      <c r="L48" s="8"/>
    </row>
    <row r="49" spans="1:40" x14ac:dyDescent="0.25">
      <c r="A49" t="s">
        <v>955</v>
      </c>
      <c r="B49" s="6">
        <f>B25+B47-B46</f>
        <v>0</v>
      </c>
      <c r="C49" s="6">
        <f>B49</f>
        <v>0</v>
      </c>
      <c r="D49" s="7">
        <f>IF($B$20=1,C49/$B$21,C49)</f>
        <v>0</v>
      </c>
      <c r="F49" s="8">
        <f>F25+F47-F46</f>
        <v>0</v>
      </c>
      <c r="G49" s="8">
        <f>F49</f>
        <v>0</v>
      </c>
      <c r="H49" s="8">
        <f>IF($F$20=1,G49/$F$21,G49)</f>
        <v>0</v>
      </c>
      <c r="I49" s="8"/>
      <c r="J49" s="8">
        <f>J25+J47-J46</f>
        <v>0</v>
      </c>
      <c r="K49" s="8">
        <f>J49</f>
        <v>0</v>
      </c>
      <c r="L49" s="8">
        <f>IF($J$20=1,K49/$J$21,K49)</f>
        <v>0</v>
      </c>
    </row>
    <row r="50" spans="1:40" x14ac:dyDescent="0.25">
      <c r="F50" t="s">
        <v>1022</v>
      </c>
      <c r="J50" t="s">
        <v>1022</v>
      </c>
    </row>
    <row r="51" spans="1:40" x14ac:dyDescent="0.25">
      <c r="F51">
        <v>0</v>
      </c>
      <c r="H51">
        <v>0</v>
      </c>
      <c r="J51">
        <f>K25*(1+(J8*(1-J9))-(J8+J10+J18)+(J10*(1-J11)))</f>
        <v>0</v>
      </c>
      <c r="K51">
        <f>J51</f>
        <v>0</v>
      </c>
      <c r="L51" s="8">
        <f>IF($J$20=1,K51/$J$21,K51)</f>
        <v>0</v>
      </c>
    </row>
    <row r="52" spans="1:40" x14ac:dyDescent="0.25">
      <c r="A52" s="1" t="s">
        <v>956</v>
      </c>
      <c r="M52" t="s">
        <v>1016</v>
      </c>
      <c r="Z52">
        <f>1-(NASL*NASLDC)</f>
        <v>1</v>
      </c>
    </row>
    <row r="53" spans="1:40" x14ac:dyDescent="0.25">
      <c r="A53" t="s">
        <v>1141</v>
      </c>
      <c r="B53" s="92" t="s">
        <v>1142</v>
      </c>
    </row>
    <row r="54" spans="1:40" x14ac:dyDescent="0.25">
      <c r="M54" t="s">
        <v>1207</v>
      </c>
      <c r="Q54">
        <f>(1-ROTT)*(1-(NASR*NASRDC) - (NASL*NASLDC))</f>
        <v>1</v>
      </c>
      <c r="R54">
        <f>(1-FU_ROTT)*(1-(FU_NASR*FU_NASRDC) - (FU_NASL*FU_NASLDC))</f>
        <v>1</v>
      </c>
      <c r="S54">
        <f>(1-IP_ROTT)*(1-(IP_NASR*IP_NASRDC) - (IP_NASL*IP_NASLDC))</f>
        <v>1</v>
      </c>
      <c r="Z54">
        <f>1-(NASL*NASLDC)</f>
        <v>1</v>
      </c>
      <c r="AA54">
        <f>1-(FU_NASL*FU_NASLDC)</f>
        <v>1</v>
      </c>
      <c r="AB54">
        <f>1-(IP_NASL*IP_NASLDC)</f>
        <v>1</v>
      </c>
    </row>
    <row r="55" spans="1:40" x14ac:dyDescent="0.25">
      <c r="A55" t="s">
        <v>1143</v>
      </c>
      <c r="B55" s="100">
        <f>'Reference dates (hide)'!B40</f>
        <v>43831</v>
      </c>
      <c r="C55" s="6" t="s">
        <v>1150</v>
      </c>
      <c r="G55" s="7"/>
      <c r="Q55" s="116" t="str">
        <f ca="1">IF(OFFSET('Control Sheet'!E$45,MID($A$1,6,LEN($A$1)-6),0,1,1)=0,"",OFFSET('Control Sheet'!E$45,MID($A$1,6,LEN($A$1)-6),0,1,1))</f>
        <v/>
      </c>
      <c r="R55" s="116" t="str">
        <f ca="1">IF(OFFSET('Control Sheet'!F$45,MID($A$1,6,LEN($A$1)-6),0,1,1)=0,"",OFFSET('Control Sheet'!F$45,MID($A$1,6,LEN($A$1)-6),0,1,1))</f>
        <v/>
      </c>
      <c r="S55" s="116" t="str">
        <f ca="1">IF(OFFSET('Control Sheet'!G$45,MID($A$1,6,LEN($A$1)-6),0,1,1)=0,"",OFFSET('Control Sheet'!G$45,MID($A$1,6,LEN($A$1)-6),0,1,1))</f>
        <v/>
      </c>
      <c r="T55" s="118" t="str">
        <f ca="1">IF(OFFSET('Control Sheet'!I$45,MID($A$1,6,LEN($A$1)-6),0,1,1)="0","",OFFSET('Control Sheet'!I$45,MID($A$1,6,LEN($A$1)-6),0,1,1))</f>
        <v/>
      </c>
      <c r="U55" s="118" t="str">
        <f ca="1">IF(OFFSET('Control Sheet'!J$45,MID($A$1,6,LEN($A$1)-6),0,1,1)=0,"",OFFSET('Control Sheet'!J$45,MID($A$1,6,LEN($A$1)-6),0,1,1))</f>
        <v/>
      </c>
      <c r="V55" s="118" t="str">
        <f ca="1">IF(OFFSET('Control Sheet'!K$45,MID($A$1,6,LEN($A$1)-6),0,1,1)=0,"",OFFSET('Control Sheet'!K$45,MID($A$1,6,LEN($A$1)-6),0,1,1))</f>
        <v/>
      </c>
    </row>
    <row r="56" spans="1:40" ht="14.4" x14ac:dyDescent="0.3">
      <c r="A56" t="s">
        <v>1202</v>
      </c>
      <c r="C56" s="6" t="s">
        <v>1204</v>
      </c>
      <c r="D56" s="6"/>
      <c r="E56" s="7"/>
      <c r="F56" t="s">
        <v>860</v>
      </c>
      <c r="N56" s="6"/>
      <c r="O56" s="6"/>
      <c r="P56" s="7"/>
      <c r="Q56" s="93" t="s">
        <v>1236</v>
      </c>
      <c r="R56" s="6"/>
      <c r="T56" s="107" t="s">
        <v>1093</v>
      </c>
      <c r="Z56" s="93" t="s">
        <v>1212</v>
      </c>
      <c r="AC56" s="108" t="s">
        <v>1276</v>
      </c>
      <c r="AF56" s="1" t="s">
        <v>1306</v>
      </c>
      <c r="AI56" t="s">
        <v>1275</v>
      </c>
      <c r="AL56" t="s">
        <v>1312</v>
      </c>
    </row>
    <row r="57" spans="1:40" x14ac:dyDescent="0.25">
      <c r="A57" s="1" t="s">
        <v>1144</v>
      </c>
      <c r="B57" s="1" t="s">
        <v>1151</v>
      </c>
      <c r="C57" s="94" t="s">
        <v>1203</v>
      </c>
      <c r="D57" s="94" t="s">
        <v>984</v>
      </c>
      <c r="E57" s="111" t="s">
        <v>985</v>
      </c>
      <c r="F57" s="1" t="s">
        <v>951</v>
      </c>
      <c r="G57" s="1" t="s">
        <v>1205</v>
      </c>
      <c r="H57" s="1" t="s">
        <v>1206</v>
      </c>
      <c r="I57" s="1" t="s">
        <v>25</v>
      </c>
      <c r="J57" s="1" t="s">
        <v>1220</v>
      </c>
      <c r="K57" s="1" t="s">
        <v>1266</v>
      </c>
      <c r="M57" s="1" t="s">
        <v>1144</v>
      </c>
      <c r="N57" s="94" t="s">
        <v>1159</v>
      </c>
      <c r="O57" s="94" t="s">
        <v>1151</v>
      </c>
      <c r="P57" s="7" t="s">
        <v>1201</v>
      </c>
      <c r="Q57" s="6" t="s">
        <v>1196</v>
      </c>
      <c r="R57" s="6" t="s">
        <v>1197</v>
      </c>
      <c r="S57" s="7" t="s">
        <v>1198</v>
      </c>
      <c r="T57" s="109" t="s">
        <v>1188</v>
      </c>
      <c r="U57" s="109" t="s">
        <v>1189</v>
      </c>
      <c r="V57" s="109" t="s">
        <v>1190</v>
      </c>
      <c r="W57" s="110" t="s">
        <v>1191</v>
      </c>
      <c r="X57" s="110" t="s">
        <v>1192</v>
      </c>
      <c r="Y57" s="110" t="s">
        <v>1193</v>
      </c>
      <c r="Z57" s="57">
        <v>1</v>
      </c>
      <c r="AA57">
        <v>2</v>
      </c>
      <c r="AB57">
        <v>3</v>
      </c>
      <c r="AC57" t="s">
        <v>1146</v>
      </c>
      <c r="AD57" t="s">
        <v>1147</v>
      </c>
      <c r="AE57" t="s">
        <v>1148</v>
      </c>
      <c r="AF57" t="s">
        <v>1146</v>
      </c>
      <c r="AG57" t="s">
        <v>1147</v>
      </c>
      <c r="AH57" t="s">
        <v>1148</v>
      </c>
      <c r="AI57" t="s">
        <v>1146</v>
      </c>
      <c r="AJ57" t="s">
        <v>1147</v>
      </c>
      <c r="AK57" t="s">
        <v>1148</v>
      </c>
      <c r="AL57" t="s">
        <v>1146</v>
      </c>
      <c r="AM57" t="s">
        <v>1147</v>
      </c>
      <c r="AN57" t="s">
        <v>1148</v>
      </c>
    </row>
    <row r="58" spans="1:40" x14ac:dyDescent="0.25">
      <c r="B58"/>
      <c r="C58"/>
      <c r="D58"/>
      <c r="M58" s="101">
        <f>IF(B55&lt;&gt;"",B55-WEEKDAY(B55,3),"")</f>
        <v>43829</v>
      </c>
      <c r="N58" s="99">
        <f>YEAR(M58)</f>
        <v>2019</v>
      </c>
      <c r="O58" s="8">
        <f>WEEKNUM(M58,21)</f>
        <v>1</v>
      </c>
      <c r="P58">
        <f ca="1">'Reference dates (hide)'!K43</f>
        <v>7.874015748031496E-3</v>
      </c>
    </row>
    <row r="59" spans="1:40" x14ac:dyDescent="0.25">
      <c r="B59"/>
      <c r="C59"/>
      <c r="D59"/>
      <c r="M59" s="101">
        <f>IF('Reference dates (hide)'!I44&lt;&gt;"",'Reference dates (hide)'!I44,"")</f>
        <v>43836</v>
      </c>
      <c r="N59" s="99">
        <f t="shared" ref="N59:N110" si="0">YEAR(M59)</f>
        <v>2020</v>
      </c>
      <c r="O59" s="8">
        <f t="shared" ref="O59:O110" si="1">WEEKNUM(M59,21)</f>
        <v>2</v>
      </c>
      <c r="P59">
        <f ca="1">'Reference dates (hide)'!K44</f>
        <v>1.968503937007874E-2</v>
      </c>
    </row>
    <row r="60" spans="1:40" x14ac:dyDescent="0.25">
      <c r="B60"/>
      <c r="C60"/>
      <c r="D60"/>
      <c r="M60" s="101">
        <f>IF('Reference dates (hide)'!I45&lt;&gt;"",'Reference dates (hide)'!I45,"")</f>
        <v>43843</v>
      </c>
      <c r="N60" s="99">
        <f t="shared" si="0"/>
        <v>2020</v>
      </c>
      <c r="O60" s="8">
        <f t="shared" si="1"/>
        <v>3</v>
      </c>
      <c r="P60">
        <f ca="1">'Reference dates (hide)'!K45</f>
        <v>1.968503937007874E-2</v>
      </c>
    </row>
    <row r="61" spans="1:40" x14ac:dyDescent="0.25">
      <c r="B61"/>
      <c r="C61"/>
      <c r="D61"/>
      <c r="M61" s="101">
        <f>IF('Reference dates (hide)'!I46&lt;&gt;"",'Reference dates (hide)'!I46,"")</f>
        <v>43850</v>
      </c>
      <c r="N61" s="99">
        <f t="shared" si="0"/>
        <v>2020</v>
      </c>
      <c r="O61" s="8">
        <f t="shared" si="1"/>
        <v>4</v>
      </c>
      <c r="P61">
        <f ca="1">'Reference dates (hide)'!K46</f>
        <v>1.968503937007874E-2</v>
      </c>
    </row>
    <row r="62" spans="1:40" x14ac:dyDescent="0.25">
      <c r="B62"/>
      <c r="C62"/>
      <c r="D62"/>
      <c r="M62" s="101">
        <f>IF('Reference dates (hide)'!I47&lt;&gt;"",'Reference dates (hide)'!I47,"")</f>
        <v>43857</v>
      </c>
      <c r="N62" s="99">
        <f t="shared" si="0"/>
        <v>2020</v>
      </c>
      <c r="O62" s="8">
        <f t="shared" si="1"/>
        <v>5</v>
      </c>
      <c r="P62">
        <f ca="1">'Reference dates (hide)'!K47</f>
        <v>1.968503937007874E-2</v>
      </c>
    </row>
    <row r="63" spans="1:40" x14ac:dyDescent="0.25">
      <c r="B63"/>
      <c r="C63"/>
      <c r="D63"/>
      <c r="M63" s="101">
        <f>IF('Reference dates (hide)'!I48&lt;&gt;"",'Reference dates (hide)'!I48,"")</f>
        <v>43864</v>
      </c>
      <c r="N63" s="99">
        <f t="shared" si="0"/>
        <v>2020</v>
      </c>
      <c r="O63" s="8">
        <f t="shared" si="1"/>
        <v>6</v>
      </c>
      <c r="P63">
        <f ca="1">'Reference dates (hide)'!K48</f>
        <v>1.968503937007874E-2</v>
      </c>
    </row>
    <row r="64" spans="1:40" x14ac:dyDescent="0.25">
      <c r="B64"/>
      <c r="C64"/>
      <c r="D64"/>
      <c r="M64" s="101">
        <f>IF('Reference dates (hide)'!I49&lt;&gt;"",'Reference dates (hide)'!I49,"")</f>
        <v>43871</v>
      </c>
      <c r="N64" s="99">
        <f t="shared" si="0"/>
        <v>2020</v>
      </c>
      <c r="O64" s="8">
        <f t="shared" si="1"/>
        <v>7</v>
      </c>
      <c r="P64">
        <f ca="1">'Reference dates (hide)'!K49</f>
        <v>1.968503937007874E-2</v>
      </c>
    </row>
    <row r="65" spans="2:16" x14ac:dyDescent="0.25">
      <c r="B65"/>
      <c r="C65"/>
      <c r="D65"/>
      <c r="M65" s="101">
        <f>IF('Reference dates (hide)'!I50&lt;&gt;"",'Reference dates (hide)'!I50,"")</f>
        <v>43878</v>
      </c>
      <c r="N65" s="99">
        <f t="shared" si="0"/>
        <v>2020</v>
      </c>
      <c r="O65" s="8">
        <f t="shared" si="1"/>
        <v>8</v>
      </c>
      <c r="P65">
        <f ca="1">'Reference dates (hide)'!K50</f>
        <v>1.968503937007874E-2</v>
      </c>
    </row>
    <row r="66" spans="2:16" x14ac:dyDescent="0.25">
      <c r="B66"/>
      <c r="C66"/>
      <c r="D66"/>
      <c r="M66" s="101">
        <f>IF('Reference dates (hide)'!I51&lt;&gt;"",'Reference dates (hide)'!I51,"")</f>
        <v>43885</v>
      </c>
      <c r="N66" s="99">
        <f t="shared" si="0"/>
        <v>2020</v>
      </c>
      <c r="O66" s="8">
        <f t="shared" si="1"/>
        <v>9</v>
      </c>
      <c r="P66">
        <f ca="1">'Reference dates (hide)'!K51</f>
        <v>1.968503937007874E-2</v>
      </c>
    </row>
    <row r="67" spans="2:16" x14ac:dyDescent="0.25">
      <c r="B67"/>
      <c r="C67"/>
      <c r="D67"/>
      <c r="M67" s="101">
        <f>IF('Reference dates (hide)'!I52&lt;&gt;"",'Reference dates (hide)'!I52,"")</f>
        <v>43892</v>
      </c>
      <c r="N67" s="99">
        <f t="shared" si="0"/>
        <v>2020</v>
      </c>
      <c r="O67" s="8">
        <f t="shared" si="1"/>
        <v>10</v>
      </c>
      <c r="P67">
        <f ca="1">'Reference dates (hide)'!K52</f>
        <v>1.968503937007874E-2</v>
      </c>
    </row>
    <row r="68" spans="2:16" x14ac:dyDescent="0.25">
      <c r="B68"/>
      <c r="C68"/>
      <c r="D68"/>
      <c r="M68" s="101">
        <f>IF('Reference dates (hide)'!I53&lt;&gt;"",'Reference dates (hide)'!I53,"")</f>
        <v>43899</v>
      </c>
      <c r="N68" s="99">
        <f t="shared" si="0"/>
        <v>2020</v>
      </c>
      <c r="O68" s="8">
        <f t="shared" si="1"/>
        <v>11</v>
      </c>
      <c r="P68">
        <f ca="1">'Reference dates (hide)'!K53</f>
        <v>1.968503937007874E-2</v>
      </c>
    </row>
    <row r="69" spans="2:16" x14ac:dyDescent="0.25">
      <c r="B69"/>
      <c r="C69"/>
      <c r="D69"/>
      <c r="M69" s="101">
        <f>IF('Reference dates (hide)'!I54&lt;&gt;"",'Reference dates (hide)'!I54,"")</f>
        <v>43906</v>
      </c>
      <c r="N69" s="99">
        <f t="shared" si="0"/>
        <v>2020</v>
      </c>
      <c r="O69" s="8">
        <f t="shared" si="1"/>
        <v>12</v>
      </c>
      <c r="P69">
        <f ca="1">'Reference dates (hide)'!K54</f>
        <v>1.968503937007874E-2</v>
      </c>
    </row>
    <row r="70" spans="2:16" x14ac:dyDescent="0.25">
      <c r="B70"/>
      <c r="C70"/>
      <c r="D70"/>
      <c r="M70" s="101">
        <f>IF('Reference dates (hide)'!I55&lt;&gt;"",'Reference dates (hide)'!I55,"")</f>
        <v>43913</v>
      </c>
      <c r="N70" s="99">
        <f t="shared" si="0"/>
        <v>2020</v>
      </c>
      <c r="O70" s="8">
        <f t="shared" si="1"/>
        <v>13</v>
      </c>
      <c r="P70">
        <f ca="1">'Reference dates (hide)'!K55</f>
        <v>1.968503937007874E-2</v>
      </c>
    </row>
    <row r="71" spans="2:16" x14ac:dyDescent="0.25">
      <c r="B71"/>
      <c r="C71"/>
      <c r="D71"/>
      <c r="M71" s="101">
        <f>IF('Reference dates (hide)'!I56&lt;&gt;"",'Reference dates (hide)'!I56,"")</f>
        <v>43920</v>
      </c>
      <c r="N71" s="99">
        <f t="shared" si="0"/>
        <v>2020</v>
      </c>
      <c r="O71" s="8">
        <f t="shared" si="1"/>
        <v>14</v>
      </c>
      <c r="P71">
        <f ca="1">'Reference dates (hide)'!K56</f>
        <v>1.968503937007874E-2</v>
      </c>
    </row>
    <row r="72" spans="2:16" x14ac:dyDescent="0.25">
      <c r="B72"/>
      <c r="C72"/>
      <c r="D72"/>
      <c r="M72" s="101">
        <f>IF('Reference dates (hide)'!I57&lt;&gt;"",'Reference dates (hide)'!I57,"")</f>
        <v>43927</v>
      </c>
      <c r="N72" s="99">
        <f t="shared" si="0"/>
        <v>2020</v>
      </c>
      <c r="O72" s="8">
        <f t="shared" si="1"/>
        <v>15</v>
      </c>
      <c r="P72">
        <f ca="1">'Reference dates (hide)'!K57</f>
        <v>1.5748031496062992E-2</v>
      </c>
    </row>
    <row r="73" spans="2:16" x14ac:dyDescent="0.25">
      <c r="B73"/>
      <c r="C73"/>
      <c r="D73"/>
      <c r="M73" s="101">
        <f>IF('Reference dates (hide)'!I58&lt;&gt;"",'Reference dates (hide)'!I58,"")</f>
        <v>43934</v>
      </c>
      <c r="N73" s="99">
        <f t="shared" si="0"/>
        <v>2020</v>
      </c>
      <c r="O73" s="8">
        <f t="shared" si="1"/>
        <v>16</v>
      </c>
      <c r="P73">
        <f ca="1">'Reference dates (hide)'!K58</f>
        <v>1.5748031496062992E-2</v>
      </c>
    </row>
    <row r="74" spans="2:16" x14ac:dyDescent="0.25">
      <c r="B74"/>
      <c r="C74"/>
      <c r="D74"/>
      <c r="M74" s="101">
        <f>IF('Reference dates (hide)'!I59&lt;&gt;"",'Reference dates (hide)'!I59,"")</f>
        <v>43941</v>
      </c>
      <c r="N74" s="99">
        <f t="shared" si="0"/>
        <v>2020</v>
      </c>
      <c r="O74" s="8">
        <f t="shared" si="1"/>
        <v>17</v>
      </c>
      <c r="P74">
        <f ca="1">'Reference dates (hide)'!K59</f>
        <v>1.968503937007874E-2</v>
      </c>
    </row>
    <row r="75" spans="2:16" x14ac:dyDescent="0.25">
      <c r="B75"/>
      <c r="C75"/>
      <c r="D75"/>
      <c r="M75" s="101">
        <f>IF('Reference dates (hide)'!I60&lt;&gt;"",'Reference dates (hide)'!I60,"")</f>
        <v>43948</v>
      </c>
      <c r="N75" s="99">
        <f t="shared" si="0"/>
        <v>2020</v>
      </c>
      <c r="O75" s="8">
        <f t="shared" si="1"/>
        <v>18</v>
      </c>
      <c r="P75">
        <f ca="1">'Reference dates (hide)'!K60</f>
        <v>1.968503937007874E-2</v>
      </c>
    </row>
    <row r="76" spans="2:16" x14ac:dyDescent="0.25">
      <c r="B76"/>
      <c r="C76"/>
      <c r="D76"/>
      <c r="M76" s="101">
        <f>IF('Reference dates (hide)'!I61&lt;&gt;"",'Reference dates (hide)'!I61,"")</f>
        <v>43955</v>
      </c>
      <c r="N76" s="99">
        <f t="shared" si="0"/>
        <v>2020</v>
      </c>
      <c r="O76" s="8">
        <f t="shared" si="1"/>
        <v>19</v>
      </c>
      <c r="P76">
        <f ca="1">'Reference dates (hide)'!K61</f>
        <v>1.5748031496062992E-2</v>
      </c>
    </row>
    <row r="77" spans="2:16" x14ac:dyDescent="0.25">
      <c r="B77"/>
      <c r="C77"/>
      <c r="D77"/>
      <c r="M77" s="101">
        <f>IF('Reference dates (hide)'!I62&lt;&gt;"",'Reference dates (hide)'!I62,"")</f>
        <v>43962</v>
      </c>
      <c r="N77" s="99">
        <f t="shared" si="0"/>
        <v>2020</v>
      </c>
      <c r="O77" s="8">
        <f t="shared" si="1"/>
        <v>20</v>
      </c>
      <c r="P77">
        <f ca="1">'Reference dates (hide)'!K62</f>
        <v>1.968503937007874E-2</v>
      </c>
    </row>
    <row r="78" spans="2:16" x14ac:dyDescent="0.25">
      <c r="B78"/>
      <c r="C78"/>
      <c r="D78"/>
      <c r="M78" s="101">
        <f>IF('Reference dates (hide)'!I63&lt;&gt;"",'Reference dates (hide)'!I63,"")</f>
        <v>43969</v>
      </c>
      <c r="N78" s="99">
        <f t="shared" si="0"/>
        <v>2020</v>
      </c>
      <c r="O78" s="8">
        <f t="shared" si="1"/>
        <v>21</v>
      </c>
      <c r="P78">
        <f ca="1">'Reference dates (hide)'!K63</f>
        <v>1.968503937007874E-2</v>
      </c>
    </row>
    <row r="79" spans="2:16" x14ac:dyDescent="0.25">
      <c r="B79"/>
      <c r="C79"/>
      <c r="D79"/>
      <c r="M79" s="101">
        <f>IF('Reference dates (hide)'!I64&lt;&gt;"",'Reference dates (hide)'!I64,"")</f>
        <v>43976</v>
      </c>
      <c r="N79" s="99">
        <f t="shared" si="0"/>
        <v>2020</v>
      </c>
      <c r="O79" s="8">
        <f t="shared" si="1"/>
        <v>22</v>
      </c>
      <c r="P79">
        <f ca="1">'Reference dates (hide)'!K64</f>
        <v>1.5748031496062992E-2</v>
      </c>
    </row>
    <row r="80" spans="2:16" x14ac:dyDescent="0.25">
      <c r="B80"/>
      <c r="C80"/>
      <c r="D80"/>
      <c r="M80" s="101">
        <f>IF('Reference dates (hide)'!I65&lt;&gt;"",'Reference dates (hide)'!I65,"")</f>
        <v>43983</v>
      </c>
      <c r="N80" s="99">
        <f t="shared" si="0"/>
        <v>2020</v>
      </c>
      <c r="O80" s="8">
        <f t="shared" si="1"/>
        <v>23</v>
      </c>
      <c r="P80">
        <f ca="1">'Reference dates (hide)'!K65</f>
        <v>1.968503937007874E-2</v>
      </c>
    </row>
    <row r="81" spans="2:16" x14ac:dyDescent="0.25">
      <c r="B81"/>
      <c r="C81"/>
      <c r="D81"/>
      <c r="M81" s="101">
        <f>IF('Reference dates (hide)'!I66&lt;&gt;"",'Reference dates (hide)'!I66,"")</f>
        <v>43990</v>
      </c>
      <c r="N81" s="99">
        <f t="shared" si="0"/>
        <v>2020</v>
      </c>
      <c r="O81" s="8">
        <f t="shared" si="1"/>
        <v>24</v>
      </c>
      <c r="P81">
        <f ca="1">'Reference dates (hide)'!K66</f>
        <v>1.968503937007874E-2</v>
      </c>
    </row>
    <row r="82" spans="2:16" x14ac:dyDescent="0.25">
      <c r="B82"/>
      <c r="C82"/>
      <c r="D82"/>
      <c r="M82" s="101">
        <f>IF('Reference dates (hide)'!I67&lt;&gt;"",'Reference dates (hide)'!I67,"")</f>
        <v>43997</v>
      </c>
      <c r="N82" s="99">
        <f t="shared" si="0"/>
        <v>2020</v>
      </c>
      <c r="O82" s="8">
        <f t="shared" si="1"/>
        <v>25</v>
      </c>
      <c r="P82">
        <f ca="1">'Reference dates (hide)'!K67</f>
        <v>1.968503937007874E-2</v>
      </c>
    </row>
    <row r="83" spans="2:16" x14ac:dyDescent="0.25">
      <c r="B83"/>
      <c r="C83"/>
      <c r="D83"/>
      <c r="M83" s="101">
        <f>IF('Reference dates (hide)'!I68&lt;&gt;"",'Reference dates (hide)'!I68,"")</f>
        <v>44004</v>
      </c>
      <c r="N83" s="99">
        <f t="shared" si="0"/>
        <v>2020</v>
      </c>
      <c r="O83" s="8">
        <f t="shared" si="1"/>
        <v>26</v>
      </c>
      <c r="P83">
        <f ca="1">'Reference dates (hide)'!K68</f>
        <v>1.968503937007874E-2</v>
      </c>
    </row>
    <row r="84" spans="2:16" x14ac:dyDescent="0.25">
      <c r="B84"/>
      <c r="C84"/>
      <c r="D84"/>
      <c r="M84" s="101">
        <f>IF('Reference dates (hide)'!I69&lt;&gt;"",'Reference dates (hide)'!I69,"")</f>
        <v>44011</v>
      </c>
      <c r="N84" s="99">
        <f t="shared" si="0"/>
        <v>2020</v>
      </c>
      <c r="O84" s="8">
        <f t="shared" si="1"/>
        <v>27</v>
      </c>
      <c r="P84">
        <f ca="1">'Reference dates (hide)'!K69</f>
        <v>1.968503937007874E-2</v>
      </c>
    </row>
    <row r="85" spans="2:16" x14ac:dyDescent="0.25">
      <c r="B85"/>
      <c r="C85"/>
      <c r="D85"/>
      <c r="M85" s="101">
        <f>IF('Reference dates (hide)'!I70&lt;&gt;"",'Reference dates (hide)'!I70,"")</f>
        <v>44018</v>
      </c>
      <c r="N85" s="99">
        <f t="shared" si="0"/>
        <v>2020</v>
      </c>
      <c r="O85" s="8">
        <f t="shared" si="1"/>
        <v>28</v>
      </c>
      <c r="P85">
        <f ca="1">'Reference dates (hide)'!K70</f>
        <v>1.968503937007874E-2</v>
      </c>
    </row>
    <row r="86" spans="2:16" x14ac:dyDescent="0.25">
      <c r="B86"/>
      <c r="C86"/>
      <c r="D86"/>
      <c r="M86" s="101">
        <f>IF('Reference dates (hide)'!I71&lt;&gt;"",'Reference dates (hide)'!I71,"")</f>
        <v>44025</v>
      </c>
      <c r="N86" s="99">
        <f t="shared" si="0"/>
        <v>2020</v>
      </c>
      <c r="O86" s="8">
        <f t="shared" si="1"/>
        <v>29</v>
      </c>
      <c r="P86">
        <f ca="1">'Reference dates (hide)'!K71</f>
        <v>1.968503937007874E-2</v>
      </c>
    </row>
    <row r="87" spans="2:16" x14ac:dyDescent="0.25">
      <c r="B87"/>
      <c r="C87"/>
      <c r="D87"/>
      <c r="M87" s="101">
        <f>IF('Reference dates (hide)'!I72&lt;&gt;"",'Reference dates (hide)'!I72,"")</f>
        <v>44032</v>
      </c>
      <c r="N87" s="99">
        <f t="shared" si="0"/>
        <v>2020</v>
      </c>
      <c r="O87" s="8">
        <f t="shared" si="1"/>
        <v>30</v>
      </c>
      <c r="P87">
        <f ca="1">'Reference dates (hide)'!K72</f>
        <v>1.968503937007874E-2</v>
      </c>
    </row>
    <row r="88" spans="2:16" x14ac:dyDescent="0.25">
      <c r="B88"/>
      <c r="C88"/>
      <c r="D88"/>
      <c r="M88" s="101">
        <f>IF('Reference dates (hide)'!I73&lt;&gt;"",'Reference dates (hide)'!I73,"")</f>
        <v>44039</v>
      </c>
      <c r="N88" s="99">
        <f t="shared" si="0"/>
        <v>2020</v>
      </c>
      <c r="O88" s="8">
        <f t="shared" si="1"/>
        <v>31</v>
      </c>
      <c r="P88">
        <f ca="1">'Reference dates (hide)'!K73</f>
        <v>1.968503937007874E-2</v>
      </c>
    </row>
    <row r="89" spans="2:16" x14ac:dyDescent="0.25">
      <c r="B89"/>
      <c r="C89"/>
      <c r="D89"/>
      <c r="M89" s="101">
        <f>IF('Reference dates (hide)'!I74&lt;&gt;"",'Reference dates (hide)'!I74,"")</f>
        <v>44046</v>
      </c>
      <c r="N89" s="99">
        <f t="shared" si="0"/>
        <v>2020</v>
      </c>
      <c r="O89" s="8">
        <f t="shared" si="1"/>
        <v>32</v>
      </c>
      <c r="P89">
        <f ca="1">'Reference dates (hide)'!K74</f>
        <v>1.968503937007874E-2</v>
      </c>
    </row>
    <row r="90" spans="2:16" x14ac:dyDescent="0.25">
      <c r="B90"/>
      <c r="C90"/>
      <c r="D90"/>
      <c r="M90" s="101">
        <f>IF('Reference dates (hide)'!I75&lt;&gt;"",'Reference dates (hide)'!I75,"")</f>
        <v>44053</v>
      </c>
      <c r="N90" s="99">
        <f t="shared" si="0"/>
        <v>2020</v>
      </c>
      <c r="O90" s="8">
        <f t="shared" si="1"/>
        <v>33</v>
      </c>
      <c r="P90">
        <f ca="1">'Reference dates (hide)'!K75</f>
        <v>1.968503937007874E-2</v>
      </c>
    </row>
    <row r="91" spans="2:16" x14ac:dyDescent="0.25">
      <c r="B91"/>
      <c r="C91"/>
      <c r="D91"/>
      <c r="M91" s="101">
        <f>IF('Reference dates (hide)'!I76&lt;&gt;"",'Reference dates (hide)'!I76,"")</f>
        <v>44060</v>
      </c>
      <c r="N91" s="99">
        <f t="shared" si="0"/>
        <v>2020</v>
      </c>
      <c r="O91" s="8">
        <f t="shared" si="1"/>
        <v>34</v>
      </c>
      <c r="P91">
        <f ca="1">'Reference dates (hide)'!K76</f>
        <v>1.968503937007874E-2</v>
      </c>
    </row>
    <row r="92" spans="2:16" x14ac:dyDescent="0.25">
      <c r="B92"/>
      <c r="C92"/>
      <c r="D92"/>
      <c r="M92" s="101">
        <f>IF('Reference dates (hide)'!I77&lt;&gt;"",'Reference dates (hide)'!I77,"")</f>
        <v>44067</v>
      </c>
      <c r="N92" s="99">
        <f t="shared" si="0"/>
        <v>2020</v>
      </c>
      <c r="O92" s="8">
        <f t="shared" si="1"/>
        <v>35</v>
      </c>
      <c r="P92">
        <f ca="1">'Reference dates (hide)'!K77</f>
        <v>1.968503937007874E-2</v>
      </c>
    </row>
    <row r="93" spans="2:16" x14ac:dyDescent="0.25">
      <c r="B93"/>
      <c r="C93"/>
      <c r="D93"/>
      <c r="M93" s="101">
        <f>IF('Reference dates (hide)'!I78&lt;&gt;"",'Reference dates (hide)'!I78,"")</f>
        <v>44074</v>
      </c>
      <c r="N93" s="99">
        <f t="shared" si="0"/>
        <v>2020</v>
      </c>
      <c r="O93" s="8">
        <f t="shared" si="1"/>
        <v>36</v>
      </c>
      <c r="P93">
        <f ca="1">'Reference dates (hide)'!K78</f>
        <v>1.5748031496062992E-2</v>
      </c>
    </row>
    <row r="94" spans="2:16" x14ac:dyDescent="0.25">
      <c r="B94"/>
      <c r="C94"/>
      <c r="D94"/>
      <c r="M94" s="101">
        <f>IF('Reference dates (hide)'!I79&lt;&gt;"",'Reference dates (hide)'!I79,"")</f>
        <v>44081</v>
      </c>
      <c r="N94" s="99">
        <f t="shared" si="0"/>
        <v>2020</v>
      </c>
      <c r="O94" s="8">
        <f t="shared" si="1"/>
        <v>37</v>
      </c>
      <c r="P94">
        <f ca="1">'Reference dates (hide)'!K79</f>
        <v>1.968503937007874E-2</v>
      </c>
    </row>
    <row r="95" spans="2:16" x14ac:dyDescent="0.25">
      <c r="B95"/>
      <c r="C95"/>
      <c r="D95"/>
      <c r="M95" s="101">
        <f>IF('Reference dates (hide)'!I80&lt;&gt;"",'Reference dates (hide)'!I80,"")</f>
        <v>44088</v>
      </c>
      <c r="N95" s="99">
        <f t="shared" si="0"/>
        <v>2020</v>
      </c>
      <c r="O95" s="8">
        <f t="shared" si="1"/>
        <v>38</v>
      </c>
      <c r="P95">
        <f ca="1">'Reference dates (hide)'!K80</f>
        <v>1.968503937007874E-2</v>
      </c>
    </row>
    <row r="96" spans="2:16" x14ac:dyDescent="0.25">
      <c r="B96"/>
      <c r="C96"/>
      <c r="D96"/>
      <c r="M96" s="101">
        <f>IF('Reference dates (hide)'!I81&lt;&gt;"",'Reference dates (hide)'!I81,"")</f>
        <v>44095</v>
      </c>
      <c r="N96" s="99">
        <f t="shared" si="0"/>
        <v>2020</v>
      </c>
      <c r="O96" s="8">
        <f t="shared" si="1"/>
        <v>39</v>
      </c>
      <c r="P96">
        <f ca="1">'Reference dates (hide)'!K81</f>
        <v>1.968503937007874E-2</v>
      </c>
    </row>
    <row r="97" spans="2:31" x14ac:dyDescent="0.25">
      <c r="B97"/>
      <c r="C97"/>
      <c r="D97"/>
      <c r="M97" s="101">
        <f>IF('Reference dates (hide)'!I82&lt;&gt;"",'Reference dates (hide)'!I82,"")</f>
        <v>44102</v>
      </c>
      <c r="N97" s="99">
        <f t="shared" si="0"/>
        <v>2020</v>
      </c>
      <c r="O97" s="8">
        <f t="shared" si="1"/>
        <v>40</v>
      </c>
      <c r="P97">
        <f ca="1">'Reference dates (hide)'!K82</f>
        <v>1.968503937007874E-2</v>
      </c>
    </row>
    <row r="98" spans="2:31" x14ac:dyDescent="0.25">
      <c r="B98"/>
      <c r="C98"/>
      <c r="D98"/>
      <c r="M98" s="101">
        <f>IF('Reference dates (hide)'!I83&lt;&gt;"",'Reference dates (hide)'!I83,"")</f>
        <v>44109</v>
      </c>
      <c r="N98" s="99">
        <f t="shared" si="0"/>
        <v>2020</v>
      </c>
      <c r="O98" s="8">
        <f t="shared" si="1"/>
        <v>41</v>
      </c>
      <c r="P98">
        <f ca="1">'Reference dates (hide)'!K83</f>
        <v>1.968503937007874E-2</v>
      </c>
    </row>
    <row r="99" spans="2:31" x14ac:dyDescent="0.25">
      <c r="B99"/>
      <c r="C99"/>
      <c r="D99"/>
      <c r="M99" s="101">
        <f>IF('Reference dates (hide)'!I84&lt;&gt;"",'Reference dates (hide)'!I84,"")</f>
        <v>44116</v>
      </c>
      <c r="N99" s="99">
        <f t="shared" si="0"/>
        <v>2020</v>
      </c>
      <c r="O99" s="8">
        <f t="shared" si="1"/>
        <v>42</v>
      </c>
      <c r="P99">
        <f ca="1">'Reference dates (hide)'!K84</f>
        <v>1.968503937007874E-2</v>
      </c>
    </row>
    <row r="100" spans="2:31" x14ac:dyDescent="0.25">
      <c r="B100"/>
      <c r="C100"/>
      <c r="D100"/>
      <c r="M100" s="101">
        <f>IF('Reference dates (hide)'!I85&lt;&gt;"",'Reference dates (hide)'!I85,"")</f>
        <v>44123</v>
      </c>
      <c r="N100" s="99">
        <f t="shared" si="0"/>
        <v>2020</v>
      </c>
      <c r="O100" s="8">
        <f t="shared" si="1"/>
        <v>43</v>
      </c>
      <c r="P100">
        <f ca="1">'Reference dates (hide)'!K85</f>
        <v>1.968503937007874E-2</v>
      </c>
    </row>
    <row r="101" spans="2:31" x14ac:dyDescent="0.25">
      <c r="B101"/>
      <c r="C101"/>
      <c r="D101"/>
      <c r="M101" s="101">
        <f>IF('Reference dates (hide)'!I86&lt;&gt;"",'Reference dates (hide)'!I86,"")</f>
        <v>44130</v>
      </c>
      <c r="N101" s="99">
        <f t="shared" si="0"/>
        <v>2020</v>
      </c>
      <c r="O101" s="8">
        <f t="shared" si="1"/>
        <v>44</v>
      </c>
      <c r="P101">
        <f ca="1">'Reference dates (hide)'!K86</f>
        <v>1.968503937007874E-2</v>
      </c>
    </row>
    <row r="102" spans="2:31" x14ac:dyDescent="0.25">
      <c r="B102"/>
      <c r="C102"/>
      <c r="D102"/>
      <c r="M102" s="101">
        <f>IF('Reference dates (hide)'!I87&lt;&gt;"",'Reference dates (hide)'!I87,"")</f>
        <v>44137</v>
      </c>
      <c r="N102" s="99">
        <f t="shared" si="0"/>
        <v>2020</v>
      </c>
      <c r="O102" s="8">
        <f t="shared" si="1"/>
        <v>45</v>
      </c>
      <c r="P102">
        <f ca="1">'Reference dates (hide)'!K87</f>
        <v>1.968503937007874E-2</v>
      </c>
    </row>
    <row r="103" spans="2:31" x14ac:dyDescent="0.25">
      <c r="B103"/>
      <c r="C103"/>
      <c r="D103"/>
      <c r="M103" s="101">
        <f>IF('Reference dates (hide)'!I88&lt;&gt;"",'Reference dates (hide)'!I88,"")</f>
        <v>44144</v>
      </c>
      <c r="N103" s="99">
        <f t="shared" si="0"/>
        <v>2020</v>
      </c>
      <c r="O103" s="8">
        <f t="shared" si="1"/>
        <v>46</v>
      </c>
      <c r="P103">
        <f ca="1">'Reference dates (hide)'!K88</f>
        <v>1.968503937007874E-2</v>
      </c>
    </row>
    <row r="104" spans="2:31" x14ac:dyDescent="0.25">
      <c r="B104"/>
      <c r="C104"/>
      <c r="D104"/>
      <c r="M104" s="101">
        <f>IF('Reference dates (hide)'!I89&lt;&gt;"",'Reference dates (hide)'!I89,"")</f>
        <v>44151</v>
      </c>
      <c r="N104" s="99">
        <f t="shared" si="0"/>
        <v>2020</v>
      </c>
      <c r="O104" s="8">
        <f t="shared" si="1"/>
        <v>47</v>
      </c>
      <c r="P104">
        <f ca="1">'Reference dates (hide)'!K89</f>
        <v>1.968503937007874E-2</v>
      </c>
    </row>
    <row r="105" spans="2:31" x14ac:dyDescent="0.25">
      <c r="B105"/>
      <c r="C105"/>
      <c r="D105"/>
      <c r="M105" s="101">
        <f>IF('Reference dates (hide)'!I90&lt;&gt;"",'Reference dates (hide)'!I90,"")</f>
        <v>44158</v>
      </c>
      <c r="N105" s="99">
        <f t="shared" si="0"/>
        <v>2020</v>
      </c>
      <c r="O105" s="8">
        <f t="shared" si="1"/>
        <v>48</v>
      </c>
      <c r="P105">
        <f ca="1">'Reference dates (hide)'!K90</f>
        <v>1.968503937007874E-2</v>
      </c>
    </row>
    <row r="106" spans="2:31" x14ac:dyDescent="0.25">
      <c r="B106"/>
      <c r="C106"/>
      <c r="D106"/>
      <c r="M106" s="101">
        <f>IF('Reference dates (hide)'!I91&lt;&gt;"",'Reference dates (hide)'!I91,"")</f>
        <v>44165</v>
      </c>
      <c r="N106" s="99">
        <f t="shared" si="0"/>
        <v>2020</v>
      </c>
      <c r="O106" s="8">
        <f t="shared" si="1"/>
        <v>49</v>
      </c>
      <c r="P106">
        <f ca="1">'Reference dates (hide)'!K91</f>
        <v>1.968503937007874E-2</v>
      </c>
    </row>
    <row r="107" spans="2:31" x14ac:dyDescent="0.25">
      <c r="B107"/>
      <c r="C107"/>
      <c r="D107"/>
      <c r="M107" s="101">
        <f>IF('Reference dates (hide)'!I92&lt;&gt;"",'Reference dates (hide)'!I92,"")</f>
        <v>44172</v>
      </c>
      <c r="N107" s="99">
        <f t="shared" si="0"/>
        <v>2020</v>
      </c>
      <c r="O107" s="8">
        <f t="shared" si="1"/>
        <v>50</v>
      </c>
      <c r="P107">
        <f ca="1">'Reference dates (hide)'!K92</f>
        <v>1.968503937007874E-2</v>
      </c>
    </row>
    <row r="108" spans="2:31" x14ac:dyDescent="0.25">
      <c r="B108"/>
      <c r="C108"/>
      <c r="D108"/>
      <c r="M108" s="101">
        <f>IF('Reference dates (hide)'!I93&lt;&gt;"",'Reference dates (hide)'!I93,"")</f>
        <v>44179</v>
      </c>
      <c r="N108" s="99">
        <f t="shared" si="0"/>
        <v>2020</v>
      </c>
      <c r="O108" s="8">
        <f t="shared" si="1"/>
        <v>51</v>
      </c>
      <c r="P108">
        <f ca="1">'Reference dates (hide)'!K93</f>
        <v>1.968503937007874E-2</v>
      </c>
    </row>
    <row r="109" spans="2:31" x14ac:dyDescent="0.25">
      <c r="B109"/>
      <c r="C109"/>
      <c r="D109"/>
      <c r="M109" s="101">
        <f>IF('Reference dates (hide)'!I94&lt;&gt;"",'Reference dates (hide)'!I94,"")</f>
        <v>44186</v>
      </c>
      <c r="N109" s="99">
        <f t="shared" si="0"/>
        <v>2020</v>
      </c>
      <c r="O109" s="8">
        <f t="shared" si="1"/>
        <v>52</v>
      </c>
      <c r="P109">
        <f ca="1">'Reference dates (hide)'!K94</f>
        <v>1.5748031496062992E-2</v>
      </c>
    </row>
    <row r="110" spans="2:31" x14ac:dyDescent="0.25">
      <c r="B110"/>
      <c r="C110"/>
      <c r="D110"/>
      <c r="M110" s="101">
        <f>IF('Reference dates (hide)'!I95&lt;&gt;"",'Reference dates (hide)'!I95,"")</f>
        <v>44193</v>
      </c>
      <c r="N110" s="99">
        <f t="shared" si="0"/>
        <v>2020</v>
      </c>
      <c r="O110" s="8">
        <f t="shared" si="1"/>
        <v>53</v>
      </c>
      <c r="P110">
        <f ca="1">'Reference dates (hide)'!K95</f>
        <v>1.1811023622047244E-2</v>
      </c>
    </row>
    <row r="111" spans="2:31" x14ac:dyDescent="0.25">
      <c r="M111">
        <f>MAX(T58:AB110)</f>
        <v>0</v>
      </c>
      <c r="Q111">
        <f>MAX(Q58:Q109)/$Q$54</f>
        <v>0</v>
      </c>
      <c r="R111">
        <f>MAX(R58:R109)/IF($R$54=0,1,$Q$54)</f>
        <v>0</v>
      </c>
      <c r="S111">
        <f>MAX(S58:S109)/IF($S$54=0,1,$Q$54)</f>
        <v>0</v>
      </c>
      <c r="Z111">
        <f>MAX(Z58:Z109)/IF($Z$52=0,1,Q$54)</f>
        <v>0</v>
      </c>
      <c r="AA111">
        <f>MAX(AA58:AA109)/IF($Z$52=0,1,R$54)</f>
        <v>0</v>
      </c>
      <c r="AB111">
        <f>MAX(AB58:AB109)/IF($Z$52=0,1,S$54)</f>
        <v>0</v>
      </c>
      <c r="AC111">
        <f>MAX(AC58:AC109)/IF($Z$52=0,1,Q$54)</f>
        <v>0</v>
      </c>
      <c r="AD111">
        <f>MAX(AD58:AD109)/IF($Z$52=0,1,R$54)</f>
        <v>0</v>
      </c>
      <c r="AE111">
        <f>MAX(AE58:AE109)/IF($Z$52=0,1,S$54)</f>
        <v>0</v>
      </c>
    </row>
    <row r="118" spans="26:26" x14ac:dyDescent="0.25">
      <c r="Z118" s="121"/>
    </row>
    <row r="119" spans="26:26" x14ac:dyDescent="0.25">
      <c r="Z119" s="121"/>
    </row>
  </sheetData>
  <pageMargins left="0.7" right="0.7" top="0.75" bottom="0.75" header="0.3" footer="0.3"/>
  <legacyDrawing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3"/>
  <dimension ref="A1:AN119"/>
  <sheetViews>
    <sheetView workbookViewId="0">
      <selection activeCell="AK59" sqref="AK59"/>
    </sheetView>
  </sheetViews>
  <sheetFormatPr defaultRowHeight="13.8" x14ac:dyDescent="0.25"/>
  <cols>
    <col min="1" max="1" width="27.69921875" bestFit="1" customWidth="1"/>
    <col min="2" max="2" width="16.8984375" style="6" customWidth="1"/>
    <col min="3" max="3" width="12.09765625" style="6" bestFit="1" customWidth="1"/>
    <col min="4" max="4" width="16.09765625" style="7" bestFit="1" customWidth="1"/>
    <col min="11" max="11" width="10.8984375" bestFit="1" customWidth="1"/>
    <col min="13" max="13" width="16.69921875" bestFit="1" customWidth="1"/>
    <col min="17" max="17" width="6.8984375" customWidth="1"/>
    <col min="26" max="26" width="11.8984375" bestFit="1" customWidth="1"/>
  </cols>
  <sheetData>
    <row r="1" spans="1:19" x14ac:dyDescent="0.25">
      <c r="A1" t="s">
        <v>1079</v>
      </c>
      <c r="B1" s="6" t="s">
        <v>931</v>
      </c>
      <c r="C1" s="6" t="b">
        <f>ISERR(SUM(B25:M49))</f>
        <v>0</v>
      </c>
    </row>
    <row r="2" spans="1:19" x14ac:dyDescent="0.25">
      <c r="A2" t="s">
        <v>932</v>
      </c>
      <c r="B2"/>
    </row>
    <row r="3" spans="1:19" x14ac:dyDescent="0.25">
      <c r="B3" s="6" t="s">
        <v>933</v>
      </c>
      <c r="F3" t="s">
        <v>934</v>
      </c>
      <c r="J3" t="s">
        <v>935</v>
      </c>
    </row>
    <row r="4" spans="1:19" x14ac:dyDescent="0.25">
      <c r="B4" s="6" t="s">
        <v>936</v>
      </c>
      <c r="C4" s="6" t="s">
        <v>937</v>
      </c>
      <c r="D4" s="7" t="s">
        <v>1208</v>
      </c>
      <c r="F4" s="6" t="s">
        <v>936</v>
      </c>
      <c r="G4" s="6" t="s">
        <v>937</v>
      </c>
      <c r="H4" s="7" t="s">
        <v>1024</v>
      </c>
      <c r="J4" s="6" t="s">
        <v>936</v>
      </c>
      <c r="K4" s="6" t="s">
        <v>937</v>
      </c>
      <c r="L4" s="7" t="s">
        <v>1024</v>
      </c>
    </row>
    <row r="5" spans="1:19" x14ac:dyDescent="0.25">
      <c r="A5" t="s">
        <v>5</v>
      </c>
      <c r="B5" s="8"/>
      <c r="C5" s="6">
        <f>B5*52</f>
        <v>0</v>
      </c>
      <c r="D5" s="7">
        <f>IF($B$20=1,C5/$B$21,C5)</f>
        <v>0</v>
      </c>
      <c r="G5">
        <f>F5*$D5</f>
        <v>0</v>
      </c>
      <c r="H5">
        <f>G5/52</f>
        <v>0</v>
      </c>
      <c r="K5">
        <f>J5*D5</f>
        <v>0</v>
      </c>
      <c r="L5">
        <f>K5/52</f>
        <v>0</v>
      </c>
    </row>
    <row r="6" spans="1:19" x14ac:dyDescent="0.25">
      <c r="A6" t="s">
        <v>1209</v>
      </c>
      <c r="B6" s="8"/>
      <c r="D6" s="7">
        <f>IF($B$20=1,B6/$B$21,B6)</f>
        <v>0</v>
      </c>
      <c r="G6">
        <f>F6*52</f>
        <v>0</v>
      </c>
      <c r="H6">
        <f>F6</f>
        <v>0</v>
      </c>
      <c r="K6">
        <f>J6*52</f>
        <v>0</v>
      </c>
      <c r="L6">
        <f>J6</f>
        <v>0</v>
      </c>
    </row>
    <row r="7" spans="1:19" x14ac:dyDescent="0.25">
      <c r="A7" t="s">
        <v>1210</v>
      </c>
      <c r="B7" s="8"/>
      <c r="D7" s="7">
        <f>IF($B$20=1,B7/$B$21,B7)</f>
        <v>0</v>
      </c>
    </row>
    <row r="8" spans="1:19" x14ac:dyDescent="0.25">
      <c r="A8" t="s">
        <v>9</v>
      </c>
      <c r="B8"/>
    </row>
    <row r="9" spans="1:19" x14ac:dyDescent="0.25">
      <c r="A9" t="s">
        <v>964</v>
      </c>
      <c r="B9"/>
    </row>
    <row r="10" spans="1:19" x14ac:dyDescent="0.25">
      <c r="A10" t="s">
        <v>940</v>
      </c>
      <c r="B10"/>
      <c r="C10" s="6">
        <f xml:space="preserve"> NASR*NASRDC</f>
        <v>0</v>
      </c>
      <c r="G10">
        <f xml:space="preserve"> FU_NASR*FU_NASRDC</f>
        <v>0</v>
      </c>
      <c r="K10">
        <f xml:space="preserve"> IP_NASR*IP_NASRDC</f>
        <v>0</v>
      </c>
    </row>
    <row r="11" spans="1:19" x14ac:dyDescent="0.25">
      <c r="A11" t="s">
        <v>965</v>
      </c>
      <c r="B11"/>
    </row>
    <row r="12" spans="1:19" x14ac:dyDescent="0.25">
      <c r="A12" t="s">
        <v>859</v>
      </c>
      <c r="B12"/>
    </row>
    <row r="13" spans="1:19" x14ac:dyDescent="0.25">
      <c r="A13" t="s">
        <v>941</v>
      </c>
      <c r="B13" s="8"/>
      <c r="D13" s="7">
        <f>IF($B$20=1,B13/$B$21,B13)</f>
        <v>0</v>
      </c>
      <c r="G13">
        <f>F13*52</f>
        <v>0</v>
      </c>
      <c r="H13" s="7">
        <f>IF($B$20=1,F13/$B$21,F13)</f>
        <v>0</v>
      </c>
      <c r="K13">
        <f>J13*52</f>
        <v>0</v>
      </c>
      <c r="L13" s="7">
        <f>IF($B$20=1,J13/$B$21,J13)</f>
        <v>0</v>
      </c>
    </row>
    <row r="14" spans="1:19" x14ac:dyDescent="0.25">
      <c r="A14" t="s">
        <v>1275</v>
      </c>
      <c r="B14" s="8"/>
      <c r="H14" s="7"/>
      <c r="L14" s="7"/>
    </row>
    <row r="15" spans="1:19" x14ac:dyDescent="0.25">
      <c r="A15" t="s">
        <v>1278</v>
      </c>
      <c r="B15"/>
      <c r="D15" s="7">
        <f>IF($B$20=1,B15/$B$21,B15)</f>
        <v>0</v>
      </c>
      <c r="H15" s="7">
        <f>IF($B$20=1,F15/$B$21,F15)</f>
        <v>0</v>
      </c>
      <c r="L15" s="7">
        <f>IF($B$20=1,J15/$B$21,J15)</f>
        <v>0</v>
      </c>
    </row>
    <row r="16" spans="1:19" x14ac:dyDescent="0.25">
      <c r="A16" t="s">
        <v>861</v>
      </c>
      <c r="B16" s="8"/>
      <c r="D16" s="7">
        <f>IF($B$20=1,B16/$B$21,B16)</f>
        <v>0</v>
      </c>
      <c r="H16" s="7">
        <f>IF($B$20=1,F16/$B$21,F16)</f>
        <v>0</v>
      </c>
      <c r="L16" s="7">
        <f>IF($B$20=1,J16/$B$21,J16)</f>
        <v>0</v>
      </c>
      <c r="S16" t="s">
        <v>1213</v>
      </c>
    </row>
    <row r="17" spans="1:20" x14ac:dyDescent="0.25">
      <c r="A17" t="s">
        <v>7</v>
      </c>
      <c r="B17" s="8"/>
      <c r="D17" s="7">
        <f>IF($B$20=1,B17/$B$21,B17)</f>
        <v>0</v>
      </c>
      <c r="H17" s="7">
        <f>IF($B$20=1,F17/$B$21,F17)</f>
        <v>0</v>
      </c>
      <c r="L17" s="7">
        <f>IF($B$20=1,J17/$B$21,J17)</f>
        <v>0</v>
      </c>
      <c r="S17" t="s">
        <v>1159</v>
      </c>
    </row>
    <row r="18" spans="1:20" x14ac:dyDescent="0.25">
      <c r="A18" t="s">
        <v>1081</v>
      </c>
      <c r="B18"/>
      <c r="S18" t="s">
        <v>1187</v>
      </c>
    </row>
    <row r="19" spans="1:20" x14ac:dyDescent="0.25">
      <c r="A19" t="s">
        <v>863</v>
      </c>
      <c r="B19"/>
      <c r="S19" t="s">
        <v>1214</v>
      </c>
      <c r="T19" t="s">
        <v>1215</v>
      </c>
    </row>
    <row r="20" spans="1:20" x14ac:dyDescent="0.25">
      <c r="A20" t="s">
        <v>942</v>
      </c>
      <c r="B20"/>
      <c r="R20" t="s">
        <v>947</v>
      </c>
      <c r="S20" t="s">
        <v>984</v>
      </c>
      <c r="T20" t="s">
        <v>1216</v>
      </c>
    </row>
    <row r="21" spans="1:20" x14ac:dyDescent="0.25">
      <c r="A21" t="s">
        <v>943</v>
      </c>
      <c r="B21">
        <v>1</v>
      </c>
      <c r="D21" s="12"/>
      <c r="S21" t="s">
        <v>985</v>
      </c>
      <c r="T21" t="s">
        <v>1216</v>
      </c>
    </row>
    <row r="22" spans="1:20" x14ac:dyDescent="0.25">
      <c r="H22">
        <f>F22*$D$5</f>
        <v>0</v>
      </c>
      <c r="L22">
        <f>J22*$D$5</f>
        <v>0</v>
      </c>
      <c r="S22" t="s">
        <v>1217</v>
      </c>
      <c r="T22" t="s">
        <v>1218</v>
      </c>
    </row>
    <row r="23" spans="1:20" x14ac:dyDescent="0.25">
      <c r="S23" t="s">
        <v>1219</v>
      </c>
      <c r="T23" t="s">
        <v>1218</v>
      </c>
    </row>
    <row r="24" spans="1:20" x14ac:dyDescent="0.25">
      <c r="D24" s="7" t="s">
        <v>1023</v>
      </c>
      <c r="F24" t="s">
        <v>901</v>
      </c>
      <c r="G24" t="s">
        <v>1022</v>
      </c>
      <c r="H24" s="7" t="s">
        <v>1023</v>
      </c>
      <c r="J24" t="s">
        <v>901</v>
      </c>
      <c r="K24" t="s">
        <v>1022</v>
      </c>
      <c r="L24" s="7" t="s">
        <v>1023</v>
      </c>
      <c r="R24" t="s">
        <v>941</v>
      </c>
      <c r="S24" t="s">
        <v>25</v>
      </c>
      <c r="T24" t="s">
        <v>1218</v>
      </c>
    </row>
    <row r="25" spans="1:20" x14ac:dyDescent="0.25">
      <c r="A25" t="s">
        <v>944</v>
      </c>
      <c r="B25" s="6">
        <f>IF(B17-B16&lt;0,0,B17-B16)</f>
        <v>0</v>
      </c>
      <c r="D25" s="6">
        <f>IF(D17-D16&lt;0,0,D17-D16)</f>
        <v>0</v>
      </c>
      <c r="F25" s="8">
        <f>F5*B25</f>
        <v>0</v>
      </c>
      <c r="G25" s="8">
        <v>0</v>
      </c>
      <c r="H25" s="8"/>
      <c r="I25" s="8"/>
      <c r="J25" s="8">
        <f>(J5*B25)+IF(J17-J16&lt;=0,0,J17-J16)</f>
        <v>0</v>
      </c>
      <c r="K25" s="8">
        <f>IF(J17-J16&lt;=0,0,J17-J16)</f>
        <v>0</v>
      </c>
      <c r="L25" s="8"/>
      <c r="S25" t="s">
        <v>1220</v>
      </c>
      <c r="T25" t="s">
        <v>1218</v>
      </c>
    </row>
    <row r="26" spans="1:20" x14ac:dyDescent="0.25">
      <c r="A26" t="s">
        <v>945</v>
      </c>
      <c r="B26" s="9">
        <f>(1-NASLDC)*NASL</f>
        <v>0</v>
      </c>
      <c r="D26" s="11"/>
      <c r="F26" s="8">
        <f>FU_NASL*(1-FU_NASLDC)</f>
        <v>0</v>
      </c>
      <c r="G26" s="8"/>
      <c r="H26" s="8"/>
      <c r="I26" s="8"/>
      <c r="J26" s="8">
        <f>IP_NASL*(1-IP_NASLDC)</f>
        <v>0</v>
      </c>
      <c r="K26" s="8"/>
      <c r="L26" s="8"/>
      <c r="R26" t="s">
        <v>1221</v>
      </c>
      <c r="S26" t="s">
        <v>25</v>
      </c>
      <c r="T26" t="s">
        <v>1218</v>
      </c>
    </row>
    <row r="27" spans="1:20" x14ac:dyDescent="0.25">
      <c r="A27" t="s">
        <v>946</v>
      </c>
      <c r="B27" s="6">
        <f>NASR*(1-NASRDC)</f>
        <v>0</v>
      </c>
      <c r="D27" s="11"/>
      <c r="F27" s="8">
        <f>FU_NASR*(1-FU_NASRDC)</f>
        <v>0</v>
      </c>
      <c r="G27" s="8"/>
      <c r="H27" s="8"/>
      <c r="I27" s="8"/>
      <c r="J27" s="8">
        <f>IP_NASR*(1-IP_NASRDC)</f>
        <v>0</v>
      </c>
      <c r="K27" s="8"/>
      <c r="L27" s="8"/>
      <c r="S27" t="s">
        <v>1220</v>
      </c>
      <c r="T27" t="s">
        <v>1218</v>
      </c>
    </row>
    <row r="28" spans="1:20" x14ac:dyDescent="0.25">
      <c r="D28" s="11"/>
      <c r="F28" s="8"/>
      <c r="G28" s="8"/>
      <c r="H28" s="8"/>
      <c r="I28" s="8"/>
      <c r="J28" s="8"/>
      <c r="K28" s="8"/>
      <c r="L28" s="8"/>
      <c r="R28" t="s">
        <v>1093</v>
      </c>
      <c r="S28" t="s">
        <v>984</v>
      </c>
      <c r="T28" t="s">
        <v>1216</v>
      </c>
    </row>
    <row r="29" spans="1:20" ht="14.4" x14ac:dyDescent="0.3">
      <c r="A29" s="10" t="s">
        <v>947</v>
      </c>
      <c r="D29" s="12"/>
      <c r="F29" s="8"/>
      <c r="G29" s="8"/>
      <c r="H29" s="8"/>
      <c r="I29" s="8"/>
      <c r="J29" s="8"/>
      <c r="K29" s="8"/>
      <c r="L29" s="8"/>
      <c r="S29" t="s">
        <v>985</v>
      </c>
      <c r="T29" t="s">
        <v>1216</v>
      </c>
    </row>
    <row r="30" spans="1:20" x14ac:dyDescent="0.25">
      <c r="A30" t="s">
        <v>948</v>
      </c>
      <c r="B30" s="6">
        <f>B5*(NASL+NASR+ROTT)</f>
        <v>0</v>
      </c>
      <c r="F30" s="8">
        <f>H5*(F8+F10+F18)</f>
        <v>0</v>
      </c>
      <c r="G30" s="8"/>
      <c r="H30" s="8"/>
      <c r="I30" s="8"/>
      <c r="J30" s="8">
        <f>L5*(J8+J10+J18)</f>
        <v>0</v>
      </c>
      <c r="K30" s="8"/>
      <c r="L30" s="8"/>
    </row>
    <row r="31" spans="1:20" x14ac:dyDescent="0.25">
      <c r="A31" t="s">
        <v>949</v>
      </c>
      <c r="B31" s="6">
        <f>B5*(B26+B27)</f>
        <v>0</v>
      </c>
      <c r="F31" s="8">
        <f>H5*(F26+F27)</f>
        <v>0</v>
      </c>
      <c r="G31" s="8"/>
      <c r="H31" s="8"/>
      <c r="I31" s="8"/>
      <c r="J31" s="8">
        <f>L5*(J26+J27)</f>
        <v>0</v>
      </c>
      <c r="K31" s="8"/>
      <c r="L31" s="8"/>
      <c r="R31" t="s">
        <v>941</v>
      </c>
      <c r="S31" t="s">
        <v>25</v>
      </c>
      <c r="T31" t="s">
        <v>1218</v>
      </c>
    </row>
    <row r="32" spans="1:20" x14ac:dyDescent="0.25">
      <c r="F32" s="8"/>
      <c r="G32" s="8"/>
      <c r="H32" s="8"/>
      <c r="I32" s="8"/>
      <c r="J32" s="8"/>
      <c r="K32" s="8"/>
      <c r="L32" s="8"/>
      <c r="S32" t="s">
        <v>1220</v>
      </c>
      <c r="T32" t="s">
        <v>1218</v>
      </c>
    </row>
    <row r="33" spans="1:20" x14ac:dyDescent="0.25">
      <c r="A33" t="s">
        <v>950</v>
      </c>
      <c r="B33" s="6">
        <f>B31-B30+B5</f>
        <v>0</v>
      </c>
      <c r="C33" s="6">
        <f>B33*52</f>
        <v>0</v>
      </c>
      <c r="D33" s="7">
        <f>IF($B$20=1,C33/$B$21,C33)</f>
        <v>0</v>
      </c>
      <c r="F33" s="8">
        <f>(F31-F30+H5)/52</f>
        <v>0</v>
      </c>
      <c r="G33" s="8"/>
      <c r="H33" s="8">
        <f>(F31-F30+H5)*52</f>
        <v>0</v>
      </c>
      <c r="I33" s="8"/>
      <c r="J33" s="8">
        <f>(J31-J30+L5)/52</f>
        <v>0</v>
      </c>
      <c r="K33" s="8"/>
      <c r="L33" s="8">
        <f>(J31-J30+L5)*52</f>
        <v>0</v>
      </c>
      <c r="R33" t="s">
        <v>1221</v>
      </c>
      <c r="S33" t="s">
        <v>25</v>
      </c>
      <c r="T33" t="s">
        <v>1218</v>
      </c>
    </row>
    <row r="34" spans="1:20" x14ac:dyDescent="0.25">
      <c r="F34" s="8"/>
      <c r="G34" s="8"/>
      <c r="H34" s="8"/>
      <c r="I34" s="8"/>
      <c r="J34" s="8"/>
      <c r="K34" s="8"/>
      <c r="L34" s="8"/>
      <c r="S34" t="s">
        <v>1220</v>
      </c>
      <c r="T34" t="s">
        <v>1218</v>
      </c>
    </row>
    <row r="35" spans="1:20" x14ac:dyDescent="0.25">
      <c r="F35" s="8"/>
      <c r="G35" s="8"/>
      <c r="H35" s="8"/>
      <c r="I35" s="8"/>
      <c r="J35" s="8"/>
      <c r="K35" s="8"/>
      <c r="L35" s="8"/>
      <c r="R35" t="s">
        <v>1093</v>
      </c>
      <c r="S35" t="s">
        <v>984</v>
      </c>
      <c r="T35" t="s">
        <v>1218</v>
      </c>
    </row>
    <row r="36" spans="1:20" ht="14.4" x14ac:dyDescent="0.3">
      <c r="A36" s="10" t="s">
        <v>951</v>
      </c>
      <c r="F36" s="8"/>
      <c r="G36" s="8"/>
      <c r="H36" s="8"/>
      <c r="I36" s="8"/>
      <c r="J36" s="8"/>
      <c r="K36" s="8"/>
      <c r="L36" s="8"/>
      <c r="S36" t="s">
        <v>985</v>
      </c>
      <c r="T36" t="s">
        <v>1218</v>
      </c>
    </row>
    <row r="37" spans="1:20" x14ac:dyDescent="0.25">
      <c r="A37" t="s">
        <v>948</v>
      </c>
      <c r="B37" s="6">
        <f>B13*(B8+B10+B18)</f>
        <v>0</v>
      </c>
      <c r="F37" s="8">
        <f>F13*(F8+F10)</f>
        <v>0</v>
      </c>
      <c r="G37" s="8"/>
      <c r="H37" s="8"/>
      <c r="I37" s="8"/>
      <c r="J37" s="8">
        <f>J13*(J8+J10)</f>
        <v>0</v>
      </c>
      <c r="K37" s="8"/>
      <c r="L37" s="8"/>
      <c r="S37" t="s">
        <v>1222</v>
      </c>
      <c r="T37" t="s">
        <v>1218</v>
      </c>
    </row>
    <row r="38" spans="1:20" x14ac:dyDescent="0.25">
      <c r="A38" t="s">
        <v>949</v>
      </c>
      <c r="B38" s="6">
        <f>B13*(B26+B27)</f>
        <v>0</v>
      </c>
      <c r="F38" s="8">
        <f>F13*(F26+F27)</f>
        <v>0</v>
      </c>
      <c r="G38" s="8"/>
      <c r="H38" s="8"/>
      <c r="I38" s="8"/>
      <c r="J38" s="8">
        <f>J13*(J26+J27)</f>
        <v>0</v>
      </c>
      <c r="K38" s="8"/>
      <c r="L38" s="8"/>
    </row>
    <row r="39" spans="1:20" x14ac:dyDescent="0.25">
      <c r="F39" s="8"/>
      <c r="G39" s="8"/>
      <c r="H39" s="8"/>
      <c r="I39" s="8"/>
      <c r="J39" s="8"/>
      <c r="K39" s="8"/>
      <c r="L39" s="8"/>
      <c r="R39" t="s">
        <v>1203</v>
      </c>
      <c r="T39" t="s">
        <v>1218</v>
      </c>
    </row>
    <row r="40" spans="1:20" x14ac:dyDescent="0.25">
      <c r="A40" t="s">
        <v>952</v>
      </c>
      <c r="B40" s="6">
        <f>B13+B38-B37</f>
        <v>0</v>
      </c>
      <c r="C40" s="6">
        <f>B40*52</f>
        <v>0</v>
      </c>
      <c r="D40" s="7">
        <f>IF($B$20=1,C40/$B$21,C40)</f>
        <v>0</v>
      </c>
      <c r="F40" s="8">
        <f>F13+F38-F37</f>
        <v>0</v>
      </c>
      <c r="G40" s="8"/>
      <c r="H40" s="8">
        <f>F40*52</f>
        <v>0</v>
      </c>
      <c r="I40" s="8"/>
      <c r="J40" s="8">
        <f>J13+J38-J37</f>
        <v>0</v>
      </c>
      <c r="K40" s="8"/>
      <c r="L40" s="8">
        <f>J40*52</f>
        <v>0</v>
      </c>
    </row>
    <row r="41" spans="1:20" x14ac:dyDescent="0.25">
      <c r="F41" s="8"/>
      <c r="G41" s="8"/>
      <c r="H41" s="8"/>
      <c r="I41" s="8"/>
      <c r="J41" s="8"/>
      <c r="K41" s="8"/>
      <c r="L41" s="8"/>
    </row>
    <row r="42" spans="1:20" x14ac:dyDescent="0.25">
      <c r="F42" s="8"/>
      <c r="G42" s="8"/>
      <c r="H42" s="8"/>
      <c r="I42" s="8"/>
      <c r="J42" s="8"/>
      <c r="K42" s="8"/>
      <c r="L42" s="8"/>
    </row>
    <row r="43" spans="1:20" ht="14.4" x14ac:dyDescent="0.3">
      <c r="A43" s="10" t="s">
        <v>953</v>
      </c>
      <c r="F43" s="8"/>
      <c r="G43" s="8"/>
      <c r="H43" s="8"/>
      <c r="I43" s="8"/>
      <c r="J43" s="8"/>
      <c r="K43" s="8"/>
      <c r="L43" s="8"/>
    </row>
    <row r="44" spans="1:20" x14ac:dyDescent="0.25">
      <c r="A44" t="s">
        <v>954</v>
      </c>
      <c r="F44" s="8"/>
      <c r="G44" s="8"/>
      <c r="H44" s="8"/>
      <c r="I44" s="8"/>
      <c r="J44" s="8"/>
      <c r="K44" s="8"/>
      <c r="L44" s="8"/>
    </row>
    <row r="45" spans="1:20" x14ac:dyDescent="0.25">
      <c r="F45" s="8"/>
      <c r="G45" s="8"/>
      <c r="H45" s="8"/>
      <c r="I45" s="8"/>
      <c r="J45" s="8"/>
      <c r="K45" s="8"/>
      <c r="L45" s="8"/>
    </row>
    <row r="46" spans="1:20" x14ac:dyDescent="0.25">
      <c r="A46" t="s">
        <v>948</v>
      </c>
      <c r="B46" s="6">
        <f>B25*(B8+B10+B18)</f>
        <v>0</v>
      </c>
      <c r="F46" s="8">
        <f>F25*(F8+F10)</f>
        <v>0</v>
      </c>
      <c r="G46" s="8"/>
      <c r="H46" s="8"/>
      <c r="I46" s="8"/>
      <c r="J46" s="8">
        <f>J25*(J8+J10)</f>
        <v>0</v>
      </c>
      <c r="K46" s="8"/>
      <c r="L46" s="8"/>
    </row>
    <row r="47" spans="1:20" x14ac:dyDescent="0.25">
      <c r="A47" t="s">
        <v>949</v>
      </c>
      <c r="B47" s="6">
        <f>B25*(B26+B27)</f>
        <v>0</v>
      </c>
      <c r="F47" s="8">
        <f>F25*(F26+F27)</f>
        <v>0</v>
      </c>
      <c r="G47" s="8"/>
      <c r="H47" s="8"/>
      <c r="I47" s="8"/>
      <c r="J47" s="8">
        <f>J25*(J26+J27)</f>
        <v>0</v>
      </c>
      <c r="K47" s="8"/>
      <c r="L47" s="8"/>
    </row>
    <row r="48" spans="1:20" x14ac:dyDescent="0.25">
      <c r="F48" s="8" t="s">
        <v>901</v>
      </c>
      <c r="G48" s="8"/>
      <c r="H48" s="8"/>
      <c r="I48" s="8"/>
      <c r="J48" s="8" t="s">
        <v>901</v>
      </c>
      <c r="K48" s="8"/>
      <c r="L48" s="8"/>
    </row>
    <row r="49" spans="1:40" x14ac:dyDescent="0.25">
      <c r="A49" t="s">
        <v>955</v>
      </c>
      <c r="B49" s="6">
        <f>B25+B47-B46</f>
        <v>0</v>
      </c>
      <c r="C49" s="6">
        <f>B49</f>
        <v>0</v>
      </c>
      <c r="D49" s="7">
        <f>IF($B$20=1,C49/$B$21,C49)</f>
        <v>0</v>
      </c>
      <c r="F49" s="8">
        <f>F25+F47-F46</f>
        <v>0</v>
      </c>
      <c r="G49" s="8">
        <f>F49</f>
        <v>0</v>
      </c>
      <c r="H49" s="8">
        <f>IF($F$20=1,G49/$F$21,G49)</f>
        <v>0</v>
      </c>
      <c r="I49" s="8"/>
      <c r="J49" s="8">
        <f>J25+J47-J46</f>
        <v>0</v>
      </c>
      <c r="K49" s="8">
        <f>J49</f>
        <v>0</v>
      </c>
      <c r="L49" s="8">
        <f>IF($J$20=1,K49/$J$21,K49)</f>
        <v>0</v>
      </c>
    </row>
    <row r="50" spans="1:40" x14ac:dyDescent="0.25">
      <c r="F50" t="s">
        <v>1022</v>
      </c>
      <c r="J50" t="s">
        <v>1022</v>
      </c>
    </row>
    <row r="51" spans="1:40" x14ac:dyDescent="0.25">
      <c r="F51">
        <v>0</v>
      </c>
      <c r="H51">
        <v>0</v>
      </c>
      <c r="J51">
        <f>K25*(1+(J8*(1-J9))-(J8+J10+J18)+(J10*(1-J11)))</f>
        <v>0</v>
      </c>
      <c r="K51">
        <f>J51</f>
        <v>0</v>
      </c>
      <c r="L51" s="8">
        <f>IF($J$20=1,K51/$J$21,K51)</f>
        <v>0</v>
      </c>
    </row>
    <row r="52" spans="1:40" x14ac:dyDescent="0.25">
      <c r="A52" s="1" t="s">
        <v>956</v>
      </c>
      <c r="M52" t="s">
        <v>1016</v>
      </c>
      <c r="Z52">
        <f>1-(NASL*NASLDC)</f>
        <v>1</v>
      </c>
    </row>
    <row r="53" spans="1:40" x14ac:dyDescent="0.25">
      <c r="A53" t="s">
        <v>1141</v>
      </c>
      <c r="B53" s="92" t="s">
        <v>1142</v>
      </c>
    </row>
    <row r="54" spans="1:40" x14ac:dyDescent="0.25">
      <c r="M54" t="s">
        <v>1207</v>
      </c>
      <c r="Q54">
        <f>(1-ROTT)*(1-(NASR*NASRDC) - (NASL*NASLDC))</f>
        <v>1</v>
      </c>
      <c r="R54">
        <f>(1-FU_ROTT)*(1-(FU_NASR*FU_NASRDC) - (FU_NASL*FU_NASLDC))</f>
        <v>1</v>
      </c>
      <c r="S54">
        <f>(1-IP_ROTT)*(1-(IP_NASR*IP_NASRDC) - (IP_NASL*IP_NASLDC))</f>
        <v>1</v>
      </c>
      <c r="Z54">
        <f>1-(NASL*NASLDC)</f>
        <v>1</v>
      </c>
      <c r="AA54">
        <f>1-(FU_NASL*FU_NASLDC)</f>
        <v>1</v>
      </c>
      <c r="AB54">
        <f>1-(IP_NASL*IP_NASLDC)</f>
        <v>1</v>
      </c>
    </row>
    <row r="55" spans="1:40" x14ac:dyDescent="0.25">
      <c r="A55" t="s">
        <v>1143</v>
      </c>
      <c r="B55" s="100">
        <f>'Reference dates (hide)'!B40</f>
        <v>43831</v>
      </c>
      <c r="C55" s="6" t="s">
        <v>1150</v>
      </c>
      <c r="G55" s="7"/>
      <c r="Q55" s="116" t="str">
        <f ca="1">IF(OFFSET('Control Sheet'!E$45,MID($A$1,6,LEN($A$1)-6),0,1,1)=0,"",OFFSET('Control Sheet'!E$45,MID($A$1,6,LEN($A$1)-6),0,1,1))</f>
        <v/>
      </c>
      <c r="R55" s="116" t="str">
        <f ca="1">IF(OFFSET('Control Sheet'!F$45,MID($A$1,6,LEN($A$1)-6),0,1,1)=0,"",OFFSET('Control Sheet'!F$45,MID($A$1,6,LEN($A$1)-6),0,1,1))</f>
        <v/>
      </c>
      <c r="S55" s="116" t="str">
        <f ca="1">IF(OFFSET('Control Sheet'!G$45,MID($A$1,6,LEN($A$1)-6),0,1,1)=0,"",OFFSET('Control Sheet'!G$45,MID($A$1,6,LEN($A$1)-6),0,1,1))</f>
        <v/>
      </c>
      <c r="T55" s="118" t="str">
        <f ca="1">IF(OFFSET('Control Sheet'!I$45,MID($A$1,6,LEN($A$1)-6),0,1,1)="0","",OFFSET('Control Sheet'!I$45,MID($A$1,6,LEN($A$1)-6),0,1,1))</f>
        <v/>
      </c>
      <c r="U55" s="118" t="str">
        <f ca="1">IF(OFFSET('Control Sheet'!J$45,MID($A$1,6,LEN($A$1)-6),0,1,1)=0,"",OFFSET('Control Sheet'!J$45,MID($A$1,6,LEN($A$1)-6),0,1,1))</f>
        <v/>
      </c>
      <c r="V55" s="118" t="str">
        <f ca="1">IF(OFFSET('Control Sheet'!K$45,MID($A$1,6,LEN($A$1)-6),0,1,1)=0,"",OFFSET('Control Sheet'!K$45,MID($A$1,6,LEN($A$1)-6),0,1,1))</f>
        <v/>
      </c>
    </row>
    <row r="56" spans="1:40" ht="14.4" x14ac:dyDescent="0.3">
      <c r="A56" t="s">
        <v>1202</v>
      </c>
      <c r="C56" s="6" t="s">
        <v>1204</v>
      </c>
      <c r="D56" s="6"/>
      <c r="E56" s="7"/>
      <c r="F56" t="s">
        <v>860</v>
      </c>
      <c r="N56" s="6"/>
      <c r="O56" s="6"/>
      <c r="P56" s="7"/>
      <c r="Q56" s="93" t="s">
        <v>1236</v>
      </c>
      <c r="R56" s="6"/>
      <c r="T56" s="107" t="s">
        <v>1093</v>
      </c>
      <c r="Z56" s="93" t="s">
        <v>1212</v>
      </c>
      <c r="AC56" s="108" t="s">
        <v>1276</v>
      </c>
      <c r="AF56" s="1" t="s">
        <v>1306</v>
      </c>
      <c r="AI56" t="s">
        <v>1275</v>
      </c>
      <c r="AL56" t="s">
        <v>1312</v>
      </c>
    </row>
    <row r="57" spans="1:40" x14ac:dyDescent="0.25">
      <c r="A57" s="1" t="s">
        <v>1144</v>
      </c>
      <c r="B57" s="1" t="s">
        <v>1151</v>
      </c>
      <c r="C57" s="94" t="s">
        <v>1203</v>
      </c>
      <c r="D57" s="94" t="s">
        <v>984</v>
      </c>
      <c r="E57" s="111" t="s">
        <v>985</v>
      </c>
      <c r="F57" s="1" t="s">
        <v>951</v>
      </c>
      <c r="G57" s="1" t="s">
        <v>1205</v>
      </c>
      <c r="H57" s="1" t="s">
        <v>1206</v>
      </c>
      <c r="I57" s="1" t="s">
        <v>25</v>
      </c>
      <c r="J57" s="1" t="s">
        <v>1220</v>
      </c>
      <c r="K57" s="1" t="s">
        <v>1266</v>
      </c>
      <c r="M57" s="1" t="s">
        <v>1144</v>
      </c>
      <c r="N57" s="94" t="s">
        <v>1159</v>
      </c>
      <c r="O57" s="94" t="s">
        <v>1151</v>
      </c>
      <c r="P57" s="7" t="s">
        <v>1201</v>
      </c>
      <c r="Q57" s="6" t="s">
        <v>1196</v>
      </c>
      <c r="R57" s="6" t="s">
        <v>1197</v>
      </c>
      <c r="S57" s="7" t="s">
        <v>1198</v>
      </c>
      <c r="T57" s="109" t="s">
        <v>1188</v>
      </c>
      <c r="U57" s="109" t="s">
        <v>1189</v>
      </c>
      <c r="V57" s="109" t="s">
        <v>1190</v>
      </c>
      <c r="W57" s="110" t="s">
        <v>1191</v>
      </c>
      <c r="X57" s="110" t="s">
        <v>1192</v>
      </c>
      <c r="Y57" s="110" t="s">
        <v>1193</v>
      </c>
      <c r="Z57" s="57">
        <v>1</v>
      </c>
      <c r="AA57">
        <v>2</v>
      </c>
      <c r="AB57">
        <v>3</v>
      </c>
      <c r="AC57" t="s">
        <v>1146</v>
      </c>
      <c r="AD57" t="s">
        <v>1147</v>
      </c>
      <c r="AE57" t="s">
        <v>1148</v>
      </c>
      <c r="AF57" t="s">
        <v>1146</v>
      </c>
      <c r="AG57" t="s">
        <v>1147</v>
      </c>
      <c r="AH57" t="s">
        <v>1148</v>
      </c>
      <c r="AI57" t="s">
        <v>1146</v>
      </c>
      <c r="AJ57" t="s">
        <v>1147</v>
      </c>
      <c r="AK57" t="s">
        <v>1148</v>
      </c>
      <c r="AL57" t="s">
        <v>1146</v>
      </c>
      <c r="AM57" t="s">
        <v>1147</v>
      </c>
      <c r="AN57" t="s">
        <v>1148</v>
      </c>
    </row>
    <row r="58" spans="1:40" x14ac:dyDescent="0.25">
      <c r="B58"/>
      <c r="C58"/>
      <c r="D58"/>
      <c r="M58" s="101">
        <f>IF(B55&lt;&gt;"",B55-WEEKDAY(B55,3),"")</f>
        <v>43829</v>
      </c>
      <c r="N58" s="99">
        <f>YEAR(M58)</f>
        <v>2019</v>
      </c>
      <c r="O58" s="8">
        <f>WEEKNUM(M58,21)</f>
        <v>1</v>
      </c>
      <c r="P58">
        <f ca="1">'Reference dates (hide)'!K43</f>
        <v>7.874015748031496E-3</v>
      </c>
    </row>
    <row r="59" spans="1:40" x14ac:dyDescent="0.25">
      <c r="B59"/>
      <c r="C59"/>
      <c r="D59"/>
      <c r="M59" s="101">
        <f>IF('Reference dates (hide)'!I44&lt;&gt;"",'Reference dates (hide)'!I44,"")</f>
        <v>43836</v>
      </c>
      <c r="N59" s="99">
        <f t="shared" ref="N59:N110" si="0">YEAR(M59)</f>
        <v>2020</v>
      </c>
      <c r="O59" s="8">
        <f t="shared" ref="O59:O110" si="1">WEEKNUM(M59,21)</f>
        <v>2</v>
      </c>
      <c r="P59">
        <f ca="1">'Reference dates (hide)'!K44</f>
        <v>1.968503937007874E-2</v>
      </c>
    </row>
    <row r="60" spans="1:40" x14ac:dyDescent="0.25">
      <c r="B60"/>
      <c r="C60"/>
      <c r="D60"/>
      <c r="M60" s="101">
        <f>IF('Reference dates (hide)'!I45&lt;&gt;"",'Reference dates (hide)'!I45,"")</f>
        <v>43843</v>
      </c>
      <c r="N60" s="99">
        <f t="shared" si="0"/>
        <v>2020</v>
      </c>
      <c r="O60" s="8">
        <f t="shared" si="1"/>
        <v>3</v>
      </c>
      <c r="P60">
        <f ca="1">'Reference dates (hide)'!K45</f>
        <v>1.968503937007874E-2</v>
      </c>
    </row>
    <row r="61" spans="1:40" x14ac:dyDescent="0.25">
      <c r="B61"/>
      <c r="C61"/>
      <c r="D61"/>
      <c r="M61" s="101">
        <f>IF('Reference dates (hide)'!I46&lt;&gt;"",'Reference dates (hide)'!I46,"")</f>
        <v>43850</v>
      </c>
      <c r="N61" s="99">
        <f t="shared" si="0"/>
        <v>2020</v>
      </c>
      <c r="O61" s="8">
        <f t="shared" si="1"/>
        <v>4</v>
      </c>
      <c r="P61">
        <f ca="1">'Reference dates (hide)'!K46</f>
        <v>1.968503937007874E-2</v>
      </c>
    </row>
    <row r="62" spans="1:40" x14ac:dyDescent="0.25">
      <c r="B62"/>
      <c r="C62"/>
      <c r="D62"/>
      <c r="M62" s="101">
        <f>IF('Reference dates (hide)'!I47&lt;&gt;"",'Reference dates (hide)'!I47,"")</f>
        <v>43857</v>
      </c>
      <c r="N62" s="99">
        <f t="shared" si="0"/>
        <v>2020</v>
      </c>
      <c r="O62" s="8">
        <f t="shared" si="1"/>
        <v>5</v>
      </c>
      <c r="P62">
        <f ca="1">'Reference dates (hide)'!K47</f>
        <v>1.968503937007874E-2</v>
      </c>
    </row>
    <row r="63" spans="1:40" x14ac:dyDescent="0.25">
      <c r="B63"/>
      <c r="C63"/>
      <c r="D63"/>
      <c r="M63" s="101">
        <f>IF('Reference dates (hide)'!I48&lt;&gt;"",'Reference dates (hide)'!I48,"")</f>
        <v>43864</v>
      </c>
      <c r="N63" s="99">
        <f t="shared" si="0"/>
        <v>2020</v>
      </c>
      <c r="O63" s="8">
        <f t="shared" si="1"/>
        <v>6</v>
      </c>
      <c r="P63">
        <f ca="1">'Reference dates (hide)'!K48</f>
        <v>1.968503937007874E-2</v>
      </c>
    </row>
    <row r="64" spans="1:40" x14ac:dyDescent="0.25">
      <c r="B64"/>
      <c r="C64"/>
      <c r="D64"/>
      <c r="M64" s="101">
        <f>IF('Reference dates (hide)'!I49&lt;&gt;"",'Reference dates (hide)'!I49,"")</f>
        <v>43871</v>
      </c>
      <c r="N64" s="99">
        <f t="shared" si="0"/>
        <v>2020</v>
      </c>
      <c r="O64" s="8">
        <f t="shared" si="1"/>
        <v>7</v>
      </c>
      <c r="P64">
        <f ca="1">'Reference dates (hide)'!K49</f>
        <v>1.968503937007874E-2</v>
      </c>
    </row>
    <row r="65" spans="2:16" x14ac:dyDescent="0.25">
      <c r="B65"/>
      <c r="C65"/>
      <c r="D65"/>
      <c r="M65" s="101">
        <f>IF('Reference dates (hide)'!I50&lt;&gt;"",'Reference dates (hide)'!I50,"")</f>
        <v>43878</v>
      </c>
      <c r="N65" s="99">
        <f t="shared" si="0"/>
        <v>2020</v>
      </c>
      <c r="O65" s="8">
        <f t="shared" si="1"/>
        <v>8</v>
      </c>
      <c r="P65">
        <f ca="1">'Reference dates (hide)'!K50</f>
        <v>1.968503937007874E-2</v>
      </c>
    </row>
    <row r="66" spans="2:16" x14ac:dyDescent="0.25">
      <c r="B66"/>
      <c r="C66"/>
      <c r="D66"/>
      <c r="M66" s="101">
        <f>IF('Reference dates (hide)'!I51&lt;&gt;"",'Reference dates (hide)'!I51,"")</f>
        <v>43885</v>
      </c>
      <c r="N66" s="99">
        <f t="shared" si="0"/>
        <v>2020</v>
      </c>
      <c r="O66" s="8">
        <f t="shared" si="1"/>
        <v>9</v>
      </c>
      <c r="P66">
        <f ca="1">'Reference dates (hide)'!K51</f>
        <v>1.968503937007874E-2</v>
      </c>
    </row>
    <row r="67" spans="2:16" x14ac:dyDescent="0.25">
      <c r="B67"/>
      <c r="C67"/>
      <c r="D67"/>
      <c r="M67" s="101">
        <f>IF('Reference dates (hide)'!I52&lt;&gt;"",'Reference dates (hide)'!I52,"")</f>
        <v>43892</v>
      </c>
      <c r="N67" s="99">
        <f t="shared" si="0"/>
        <v>2020</v>
      </c>
      <c r="O67" s="8">
        <f t="shared" si="1"/>
        <v>10</v>
      </c>
      <c r="P67">
        <f ca="1">'Reference dates (hide)'!K52</f>
        <v>1.968503937007874E-2</v>
      </c>
    </row>
    <row r="68" spans="2:16" x14ac:dyDescent="0.25">
      <c r="B68"/>
      <c r="C68"/>
      <c r="D68"/>
      <c r="M68" s="101">
        <f>IF('Reference dates (hide)'!I53&lt;&gt;"",'Reference dates (hide)'!I53,"")</f>
        <v>43899</v>
      </c>
      <c r="N68" s="99">
        <f t="shared" si="0"/>
        <v>2020</v>
      </c>
      <c r="O68" s="8">
        <f t="shared" si="1"/>
        <v>11</v>
      </c>
      <c r="P68">
        <f ca="1">'Reference dates (hide)'!K53</f>
        <v>1.968503937007874E-2</v>
      </c>
    </row>
    <row r="69" spans="2:16" x14ac:dyDescent="0.25">
      <c r="B69"/>
      <c r="C69"/>
      <c r="D69"/>
      <c r="M69" s="101">
        <f>IF('Reference dates (hide)'!I54&lt;&gt;"",'Reference dates (hide)'!I54,"")</f>
        <v>43906</v>
      </c>
      <c r="N69" s="99">
        <f t="shared" si="0"/>
        <v>2020</v>
      </c>
      <c r="O69" s="8">
        <f t="shared" si="1"/>
        <v>12</v>
      </c>
      <c r="P69">
        <f ca="1">'Reference dates (hide)'!K54</f>
        <v>1.968503937007874E-2</v>
      </c>
    </row>
    <row r="70" spans="2:16" x14ac:dyDescent="0.25">
      <c r="B70"/>
      <c r="C70"/>
      <c r="D70"/>
      <c r="M70" s="101">
        <f>IF('Reference dates (hide)'!I55&lt;&gt;"",'Reference dates (hide)'!I55,"")</f>
        <v>43913</v>
      </c>
      <c r="N70" s="99">
        <f t="shared" si="0"/>
        <v>2020</v>
      </c>
      <c r="O70" s="8">
        <f t="shared" si="1"/>
        <v>13</v>
      </c>
      <c r="P70">
        <f ca="1">'Reference dates (hide)'!K55</f>
        <v>1.968503937007874E-2</v>
      </c>
    </row>
    <row r="71" spans="2:16" x14ac:dyDescent="0.25">
      <c r="B71"/>
      <c r="C71"/>
      <c r="D71"/>
      <c r="M71" s="101">
        <f>IF('Reference dates (hide)'!I56&lt;&gt;"",'Reference dates (hide)'!I56,"")</f>
        <v>43920</v>
      </c>
      <c r="N71" s="99">
        <f t="shared" si="0"/>
        <v>2020</v>
      </c>
      <c r="O71" s="8">
        <f t="shared" si="1"/>
        <v>14</v>
      </c>
      <c r="P71">
        <f ca="1">'Reference dates (hide)'!K56</f>
        <v>1.968503937007874E-2</v>
      </c>
    </row>
    <row r="72" spans="2:16" x14ac:dyDescent="0.25">
      <c r="B72"/>
      <c r="C72"/>
      <c r="D72"/>
      <c r="M72" s="101">
        <f>IF('Reference dates (hide)'!I57&lt;&gt;"",'Reference dates (hide)'!I57,"")</f>
        <v>43927</v>
      </c>
      <c r="N72" s="99">
        <f t="shared" si="0"/>
        <v>2020</v>
      </c>
      <c r="O72" s="8">
        <f t="shared" si="1"/>
        <v>15</v>
      </c>
      <c r="P72">
        <f ca="1">'Reference dates (hide)'!K57</f>
        <v>1.5748031496062992E-2</v>
      </c>
    </row>
    <row r="73" spans="2:16" x14ac:dyDescent="0.25">
      <c r="B73"/>
      <c r="C73"/>
      <c r="D73"/>
      <c r="M73" s="101">
        <f>IF('Reference dates (hide)'!I58&lt;&gt;"",'Reference dates (hide)'!I58,"")</f>
        <v>43934</v>
      </c>
      <c r="N73" s="99">
        <f t="shared" si="0"/>
        <v>2020</v>
      </c>
      <c r="O73" s="8">
        <f t="shared" si="1"/>
        <v>16</v>
      </c>
      <c r="P73">
        <f ca="1">'Reference dates (hide)'!K58</f>
        <v>1.5748031496062992E-2</v>
      </c>
    </row>
    <row r="74" spans="2:16" x14ac:dyDescent="0.25">
      <c r="B74"/>
      <c r="C74"/>
      <c r="D74"/>
      <c r="M74" s="101">
        <f>IF('Reference dates (hide)'!I59&lt;&gt;"",'Reference dates (hide)'!I59,"")</f>
        <v>43941</v>
      </c>
      <c r="N74" s="99">
        <f t="shared" si="0"/>
        <v>2020</v>
      </c>
      <c r="O74" s="8">
        <f t="shared" si="1"/>
        <v>17</v>
      </c>
      <c r="P74">
        <f ca="1">'Reference dates (hide)'!K59</f>
        <v>1.968503937007874E-2</v>
      </c>
    </row>
    <row r="75" spans="2:16" x14ac:dyDescent="0.25">
      <c r="B75"/>
      <c r="C75"/>
      <c r="D75"/>
      <c r="M75" s="101">
        <f>IF('Reference dates (hide)'!I60&lt;&gt;"",'Reference dates (hide)'!I60,"")</f>
        <v>43948</v>
      </c>
      <c r="N75" s="99">
        <f t="shared" si="0"/>
        <v>2020</v>
      </c>
      <c r="O75" s="8">
        <f t="shared" si="1"/>
        <v>18</v>
      </c>
      <c r="P75">
        <f ca="1">'Reference dates (hide)'!K60</f>
        <v>1.968503937007874E-2</v>
      </c>
    </row>
    <row r="76" spans="2:16" x14ac:dyDescent="0.25">
      <c r="B76"/>
      <c r="C76"/>
      <c r="D76"/>
      <c r="M76" s="101">
        <f>IF('Reference dates (hide)'!I61&lt;&gt;"",'Reference dates (hide)'!I61,"")</f>
        <v>43955</v>
      </c>
      <c r="N76" s="99">
        <f t="shared" si="0"/>
        <v>2020</v>
      </c>
      <c r="O76" s="8">
        <f t="shared" si="1"/>
        <v>19</v>
      </c>
      <c r="P76">
        <f ca="1">'Reference dates (hide)'!K61</f>
        <v>1.5748031496062992E-2</v>
      </c>
    </row>
    <row r="77" spans="2:16" x14ac:dyDescent="0.25">
      <c r="B77"/>
      <c r="C77"/>
      <c r="D77"/>
      <c r="M77" s="101">
        <f>IF('Reference dates (hide)'!I62&lt;&gt;"",'Reference dates (hide)'!I62,"")</f>
        <v>43962</v>
      </c>
      <c r="N77" s="99">
        <f t="shared" si="0"/>
        <v>2020</v>
      </c>
      <c r="O77" s="8">
        <f t="shared" si="1"/>
        <v>20</v>
      </c>
      <c r="P77">
        <f ca="1">'Reference dates (hide)'!K62</f>
        <v>1.968503937007874E-2</v>
      </c>
    </row>
    <row r="78" spans="2:16" x14ac:dyDescent="0.25">
      <c r="B78"/>
      <c r="C78"/>
      <c r="D78"/>
      <c r="M78" s="101">
        <f>IF('Reference dates (hide)'!I63&lt;&gt;"",'Reference dates (hide)'!I63,"")</f>
        <v>43969</v>
      </c>
      <c r="N78" s="99">
        <f t="shared" si="0"/>
        <v>2020</v>
      </c>
      <c r="O78" s="8">
        <f t="shared" si="1"/>
        <v>21</v>
      </c>
      <c r="P78">
        <f ca="1">'Reference dates (hide)'!K63</f>
        <v>1.968503937007874E-2</v>
      </c>
    </row>
    <row r="79" spans="2:16" x14ac:dyDescent="0.25">
      <c r="B79"/>
      <c r="C79"/>
      <c r="D79"/>
      <c r="M79" s="101">
        <f>IF('Reference dates (hide)'!I64&lt;&gt;"",'Reference dates (hide)'!I64,"")</f>
        <v>43976</v>
      </c>
      <c r="N79" s="99">
        <f t="shared" si="0"/>
        <v>2020</v>
      </c>
      <c r="O79" s="8">
        <f t="shared" si="1"/>
        <v>22</v>
      </c>
      <c r="P79">
        <f ca="1">'Reference dates (hide)'!K64</f>
        <v>1.5748031496062992E-2</v>
      </c>
    </row>
    <row r="80" spans="2:16" x14ac:dyDescent="0.25">
      <c r="B80"/>
      <c r="C80"/>
      <c r="D80"/>
      <c r="M80" s="101">
        <f>IF('Reference dates (hide)'!I65&lt;&gt;"",'Reference dates (hide)'!I65,"")</f>
        <v>43983</v>
      </c>
      <c r="N80" s="99">
        <f t="shared" si="0"/>
        <v>2020</v>
      </c>
      <c r="O80" s="8">
        <f t="shared" si="1"/>
        <v>23</v>
      </c>
      <c r="P80">
        <f ca="1">'Reference dates (hide)'!K65</f>
        <v>1.968503937007874E-2</v>
      </c>
    </row>
    <row r="81" spans="2:16" x14ac:dyDescent="0.25">
      <c r="B81"/>
      <c r="C81"/>
      <c r="D81"/>
      <c r="M81" s="101">
        <f>IF('Reference dates (hide)'!I66&lt;&gt;"",'Reference dates (hide)'!I66,"")</f>
        <v>43990</v>
      </c>
      <c r="N81" s="99">
        <f t="shared" si="0"/>
        <v>2020</v>
      </c>
      <c r="O81" s="8">
        <f t="shared" si="1"/>
        <v>24</v>
      </c>
      <c r="P81">
        <f ca="1">'Reference dates (hide)'!K66</f>
        <v>1.968503937007874E-2</v>
      </c>
    </row>
    <row r="82" spans="2:16" x14ac:dyDescent="0.25">
      <c r="B82"/>
      <c r="C82"/>
      <c r="D82"/>
      <c r="M82" s="101">
        <f>IF('Reference dates (hide)'!I67&lt;&gt;"",'Reference dates (hide)'!I67,"")</f>
        <v>43997</v>
      </c>
      <c r="N82" s="99">
        <f t="shared" si="0"/>
        <v>2020</v>
      </c>
      <c r="O82" s="8">
        <f t="shared" si="1"/>
        <v>25</v>
      </c>
      <c r="P82">
        <f ca="1">'Reference dates (hide)'!K67</f>
        <v>1.968503937007874E-2</v>
      </c>
    </row>
    <row r="83" spans="2:16" x14ac:dyDescent="0.25">
      <c r="B83"/>
      <c r="C83"/>
      <c r="D83"/>
      <c r="M83" s="101">
        <f>IF('Reference dates (hide)'!I68&lt;&gt;"",'Reference dates (hide)'!I68,"")</f>
        <v>44004</v>
      </c>
      <c r="N83" s="99">
        <f t="shared" si="0"/>
        <v>2020</v>
      </c>
      <c r="O83" s="8">
        <f t="shared" si="1"/>
        <v>26</v>
      </c>
      <c r="P83">
        <f ca="1">'Reference dates (hide)'!K68</f>
        <v>1.968503937007874E-2</v>
      </c>
    </row>
    <row r="84" spans="2:16" x14ac:dyDescent="0.25">
      <c r="B84"/>
      <c r="C84"/>
      <c r="D84"/>
      <c r="M84" s="101">
        <f>IF('Reference dates (hide)'!I69&lt;&gt;"",'Reference dates (hide)'!I69,"")</f>
        <v>44011</v>
      </c>
      <c r="N84" s="99">
        <f t="shared" si="0"/>
        <v>2020</v>
      </c>
      <c r="O84" s="8">
        <f t="shared" si="1"/>
        <v>27</v>
      </c>
      <c r="P84">
        <f ca="1">'Reference dates (hide)'!K69</f>
        <v>1.968503937007874E-2</v>
      </c>
    </row>
    <row r="85" spans="2:16" x14ac:dyDescent="0.25">
      <c r="B85"/>
      <c r="C85"/>
      <c r="D85"/>
      <c r="M85" s="101">
        <f>IF('Reference dates (hide)'!I70&lt;&gt;"",'Reference dates (hide)'!I70,"")</f>
        <v>44018</v>
      </c>
      <c r="N85" s="99">
        <f t="shared" si="0"/>
        <v>2020</v>
      </c>
      <c r="O85" s="8">
        <f t="shared" si="1"/>
        <v>28</v>
      </c>
      <c r="P85">
        <f ca="1">'Reference dates (hide)'!K70</f>
        <v>1.968503937007874E-2</v>
      </c>
    </row>
    <row r="86" spans="2:16" x14ac:dyDescent="0.25">
      <c r="B86"/>
      <c r="C86"/>
      <c r="D86"/>
      <c r="M86" s="101">
        <f>IF('Reference dates (hide)'!I71&lt;&gt;"",'Reference dates (hide)'!I71,"")</f>
        <v>44025</v>
      </c>
      <c r="N86" s="99">
        <f t="shared" si="0"/>
        <v>2020</v>
      </c>
      <c r="O86" s="8">
        <f t="shared" si="1"/>
        <v>29</v>
      </c>
      <c r="P86">
        <f ca="1">'Reference dates (hide)'!K71</f>
        <v>1.968503937007874E-2</v>
      </c>
    </row>
    <row r="87" spans="2:16" x14ac:dyDescent="0.25">
      <c r="B87"/>
      <c r="C87"/>
      <c r="D87"/>
      <c r="M87" s="101">
        <f>IF('Reference dates (hide)'!I72&lt;&gt;"",'Reference dates (hide)'!I72,"")</f>
        <v>44032</v>
      </c>
      <c r="N87" s="99">
        <f t="shared" si="0"/>
        <v>2020</v>
      </c>
      <c r="O87" s="8">
        <f t="shared" si="1"/>
        <v>30</v>
      </c>
      <c r="P87">
        <f ca="1">'Reference dates (hide)'!K72</f>
        <v>1.968503937007874E-2</v>
      </c>
    </row>
    <row r="88" spans="2:16" x14ac:dyDescent="0.25">
      <c r="B88"/>
      <c r="C88"/>
      <c r="D88"/>
      <c r="M88" s="101">
        <f>IF('Reference dates (hide)'!I73&lt;&gt;"",'Reference dates (hide)'!I73,"")</f>
        <v>44039</v>
      </c>
      <c r="N88" s="99">
        <f t="shared" si="0"/>
        <v>2020</v>
      </c>
      <c r="O88" s="8">
        <f t="shared" si="1"/>
        <v>31</v>
      </c>
      <c r="P88">
        <f ca="1">'Reference dates (hide)'!K73</f>
        <v>1.968503937007874E-2</v>
      </c>
    </row>
    <row r="89" spans="2:16" x14ac:dyDescent="0.25">
      <c r="B89"/>
      <c r="C89"/>
      <c r="D89"/>
      <c r="M89" s="101">
        <f>IF('Reference dates (hide)'!I74&lt;&gt;"",'Reference dates (hide)'!I74,"")</f>
        <v>44046</v>
      </c>
      <c r="N89" s="99">
        <f t="shared" si="0"/>
        <v>2020</v>
      </c>
      <c r="O89" s="8">
        <f t="shared" si="1"/>
        <v>32</v>
      </c>
      <c r="P89">
        <f ca="1">'Reference dates (hide)'!K74</f>
        <v>1.968503937007874E-2</v>
      </c>
    </row>
    <row r="90" spans="2:16" x14ac:dyDescent="0.25">
      <c r="B90"/>
      <c r="C90"/>
      <c r="D90"/>
      <c r="M90" s="101">
        <f>IF('Reference dates (hide)'!I75&lt;&gt;"",'Reference dates (hide)'!I75,"")</f>
        <v>44053</v>
      </c>
      <c r="N90" s="99">
        <f t="shared" si="0"/>
        <v>2020</v>
      </c>
      <c r="O90" s="8">
        <f t="shared" si="1"/>
        <v>33</v>
      </c>
      <c r="P90">
        <f ca="1">'Reference dates (hide)'!K75</f>
        <v>1.968503937007874E-2</v>
      </c>
    </row>
    <row r="91" spans="2:16" x14ac:dyDescent="0.25">
      <c r="B91"/>
      <c r="C91"/>
      <c r="D91"/>
      <c r="M91" s="101">
        <f>IF('Reference dates (hide)'!I76&lt;&gt;"",'Reference dates (hide)'!I76,"")</f>
        <v>44060</v>
      </c>
      <c r="N91" s="99">
        <f t="shared" si="0"/>
        <v>2020</v>
      </c>
      <c r="O91" s="8">
        <f t="shared" si="1"/>
        <v>34</v>
      </c>
      <c r="P91">
        <f ca="1">'Reference dates (hide)'!K76</f>
        <v>1.968503937007874E-2</v>
      </c>
    </row>
    <row r="92" spans="2:16" x14ac:dyDescent="0.25">
      <c r="B92"/>
      <c r="C92"/>
      <c r="D92"/>
      <c r="M92" s="101">
        <f>IF('Reference dates (hide)'!I77&lt;&gt;"",'Reference dates (hide)'!I77,"")</f>
        <v>44067</v>
      </c>
      <c r="N92" s="99">
        <f t="shared" si="0"/>
        <v>2020</v>
      </c>
      <c r="O92" s="8">
        <f t="shared" si="1"/>
        <v>35</v>
      </c>
      <c r="P92">
        <f ca="1">'Reference dates (hide)'!K77</f>
        <v>1.968503937007874E-2</v>
      </c>
    </row>
    <row r="93" spans="2:16" x14ac:dyDescent="0.25">
      <c r="B93"/>
      <c r="C93"/>
      <c r="D93"/>
      <c r="M93" s="101">
        <f>IF('Reference dates (hide)'!I78&lt;&gt;"",'Reference dates (hide)'!I78,"")</f>
        <v>44074</v>
      </c>
      <c r="N93" s="99">
        <f t="shared" si="0"/>
        <v>2020</v>
      </c>
      <c r="O93" s="8">
        <f t="shared" si="1"/>
        <v>36</v>
      </c>
      <c r="P93">
        <f ca="1">'Reference dates (hide)'!K78</f>
        <v>1.5748031496062992E-2</v>
      </c>
    </row>
    <row r="94" spans="2:16" x14ac:dyDescent="0.25">
      <c r="B94"/>
      <c r="C94"/>
      <c r="D94"/>
      <c r="M94" s="101">
        <f>IF('Reference dates (hide)'!I79&lt;&gt;"",'Reference dates (hide)'!I79,"")</f>
        <v>44081</v>
      </c>
      <c r="N94" s="99">
        <f t="shared" si="0"/>
        <v>2020</v>
      </c>
      <c r="O94" s="8">
        <f t="shared" si="1"/>
        <v>37</v>
      </c>
      <c r="P94">
        <f ca="1">'Reference dates (hide)'!K79</f>
        <v>1.968503937007874E-2</v>
      </c>
    </row>
    <row r="95" spans="2:16" x14ac:dyDescent="0.25">
      <c r="B95"/>
      <c r="C95"/>
      <c r="D95"/>
      <c r="M95" s="101">
        <f>IF('Reference dates (hide)'!I80&lt;&gt;"",'Reference dates (hide)'!I80,"")</f>
        <v>44088</v>
      </c>
      <c r="N95" s="99">
        <f t="shared" si="0"/>
        <v>2020</v>
      </c>
      <c r="O95" s="8">
        <f t="shared" si="1"/>
        <v>38</v>
      </c>
      <c r="P95">
        <f ca="1">'Reference dates (hide)'!K80</f>
        <v>1.968503937007874E-2</v>
      </c>
    </row>
    <row r="96" spans="2:16" x14ac:dyDescent="0.25">
      <c r="B96"/>
      <c r="C96"/>
      <c r="D96"/>
      <c r="M96" s="101">
        <f>IF('Reference dates (hide)'!I81&lt;&gt;"",'Reference dates (hide)'!I81,"")</f>
        <v>44095</v>
      </c>
      <c r="N96" s="99">
        <f t="shared" si="0"/>
        <v>2020</v>
      </c>
      <c r="O96" s="8">
        <f t="shared" si="1"/>
        <v>39</v>
      </c>
      <c r="P96">
        <f ca="1">'Reference dates (hide)'!K81</f>
        <v>1.968503937007874E-2</v>
      </c>
    </row>
    <row r="97" spans="2:31" x14ac:dyDescent="0.25">
      <c r="B97"/>
      <c r="C97"/>
      <c r="D97"/>
      <c r="M97" s="101">
        <f>IF('Reference dates (hide)'!I82&lt;&gt;"",'Reference dates (hide)'!I82,"")</f>
        <v>44102</v>
      </c>
      <c r="N97" s="99">
        <f t="shared" si="0"/>
        <v>2020</v>
      </c>
      <c r="O97" s="8">
        <f t="shared" si="1"/>
        <v>40</v>
      </c>
      <c r="P97">
        <f ca="1">'Reference dates (hide)'!K82</f>
        <v>1.968503937007874E-2</v>
      </c>
    </row>
    <row r="98" spans="2:31" x14ac:dyDescent="0.25">
      <c r="B98"/>
      <c r="C98"/>
      <c r="D98"/>
      <c r="M98" s="101">
        <f>IF('Reference dates (hide)'!I83&lt;&gt;"",'Reference dates (hide)'!I83,"")</f>
        <v>44109</v>
      </c>
      <c r="N98" s="99">
        <f t="shared" si="0"/>
        <v>2020</v>
      </c>
      <c r="O98" s="8">
        <f t="shared" si="1"/>
        <v>41</v>
      </c>
      <c r="P98">
        <f ca="1">'Reference dates (hide)'!K83</f>
        <v>1.968503937007874E-2</v>
      </c>
    </row>
    <row r="99" spans="2:31" x14ac:dyDescent="0.25">
      <c r="B99"/>
      <c r="C99"/>
      <c r="D99"/>
      <c r="M99" s="101">
        <f>IF('Reference dates (hide)'!I84&lt;&gt;"",'Reference dates (hide)'!I84,"")</f>
        <v>44116</v>
      </c>
      <c r="N99" s="99">
        <f t="shared" si="0"/>
        <v>2020</v>
      </c>
      <c r="O99" s="8">
        <f t="shared" si="1"/>
        <v>42</v>
      </c>
      <c r="P99">
        <f ca="1">'Reference dates (hide)'!K84</f>
        <v>1.968503937007874E-2</v>
      </c>
    </row>
    <row r="100" spans="2:31" x14ac:dyDescent="0.25">
      <c r="B100"/>
      <c r="C100"/>
      <c r="D100"/>
      <c r="M100" s="101">
        <f>IF('Reference dates (hide)'!I85&lt;&gt;"",'Reference dates (hide)'!I85,"")</f>
        <v>44123</v>
      </c>
      <c r="N100" s="99">
        <f t="shared" si="0"/>
        <v>2020</v>
      </c>
      <c r="O100" s="8">
        <f t="shared" si="1"/>
        <v>43</v>
      </c>
      <c r="P100">
        <f ca="1">'Reference dates (hide)'!K85</f>
        <v>1.968503937007874E-2</v>
      </c>
    </row>
    <row r="101" spans="2:31" x14ac:dyDescent="0.25">
      <c r="B101"/>
      <c r="C101"/>
      <c r="D101"/>
      <c r="M101" s="101">
        <f>IF('Reference dates (hide)'!I86&lt;&gt;"",'Reference dates (hide)'!I86,"")</f>
        <v>44130</v>
      </c>
      <c r="N101" s="99">
        <f t="shared" si="0"/>
        <v>2020</v>
      </c>
      <c r="O101" s="8">
        <f t="shared" si="1"/>
        <v>44</v>
      </c>
      <c r="P101">
        <f ca="1">'Reference dates (hide)'!K86</f>
        <v>1.968503937007874E-2</v>
      </c>
    </row>
    <row r="102" spans="2:31" x14ac:dyDescent="0.25">
      <c r="B102"/>
      <c r="C102"/>
      <c r="D102"/>
      <c r="M102" s="101">
        <f>IF('Reference dates (hide)'!I87&lt;&gt;"",'Reference dates (hide)'!I87,"")</f>
        <v>44137</v>
      </c>
      <c r="N102" s="99">
        <f t="shared" si="0"/>
        <v>2020</v>
      </c>
      <c r="O102" s="8">
        <f t="shared" si="1"/>
        <v>45</v>
      </c>
      <c r="P102">
        <f ca="1">'Reference dates (hide)'!K87</f>
        <v>1.968503937007874E-2</v>
      </c>
    </row>
    <row r="103" spans="2:31" x14ac:dyDescent="0.25">
      <c r="B103"/>
      <c r="C103"/>
      <c r="D103"/>
      <c r="M103" s="101">
        <f>IF('Reference dates (hide)'!I88&lt;&gt;"",'Reference dates (hide)'!I88,"")</f>
        <v>44144</v>
      </c>
      <c r="N103" s="99">
        <f t="shared" si="0"/>
        <v>2020</v>
      </c>
      <c r="O103" s="8">
        <f t="shared" si="1"/>
        <v>46</v>
      </c>
      <c r="P103">
        <f ca="1">'Reference dates (hide)'!K88</f>
        <v>1.968503937007874E-2</v>
      </c>
    </row>
    <row r="104" spans="2:31" x14ac:dyDescent="0.25">
      <c r="B104"/>
      <c r="C104"/>
      <c r="D104"/>
      <c r="M104" s="101">
        <f>IF('Reference dates (hide)'!I89&lt;&gt;"",'Reference dates (hide)'!I89,"")</f>
        <v>44151</v>
      </c>
      <c r="N104" s="99">
        <f t="shared" si="0"/>
        <v>2020</v>
      </c>
      <c r="O104" s="8">
        <f t="shared" si="1"/>
        <v>47</v>
      </c>
      <c r="P104">
        <f ca="1">'Reference dates (hide)'!K89</f>
        <v>1.968503937007874E-2</v>
      </c>
    </row>
    <row r="105" spans="2:31" x14ac:dyDescent="0.25">
      <c r="B105"/>
      <c r="C105"/>
      <c r="D105"/>
      <c r="M105" s="101">
        <f>IF('Reference dates (hide)'!I90&lt;&gt;"",'Reference dates (hide)'!I90,"")</f>
        <v>44158</v>
      </c>
      <c r="N105" s="99">
        <f t="shared" si="0"/>
        <v>2020</v>
      </c>
      <c r="O105" s="8">
        <f t="shared" si="1"/>
        <v>48</v>
      </c>
      <c r="P105">
        <f ca="1">'Reference dates (hide)'!K90</f>
        <v>1.968503937007874E-2</v>
      </c>
    </row>
    <row r="106" spans="2:31" x14ac:dyDescent="0.25">
      <c r="B106"/>
      <c r="C106"/>
      <c r="D106"/>
      <c r="M106" s="101">
        <f>IF('Reference dates (hide)'!I91&lt;&gt;"",'Reference dates (hide)'!I91,"")</f>
        <v>44165</v>
      </c>
      <c r="N106" s="99">
        <f t="shared" si="0"/>
        <v>2020</v>
      </c>
      <c r="O106" s="8">
        <f t="shared" si="1"/>
        <v>49</v>
      </c>
      <c r="P106">
        <f ca="1">'Reference dates (hide)'!K91</f>
        <v>1.968503937007874E-2</v>
      </c>
    </row>
    <row r="107" spans="2:31" x14ac:dyDescent="0.25">
      <c r="B107"/>
      <c r="C107"/>
      <c r="D107"/>
      <c r="M107" s="101">
        <f>IF('Reference dates (hide)'!I92&lt;&gt;"",'Reference dates (hide)'!I92,"")</f>
        <v>44172</v>
      </c>
      <c r="N107" s="99">
        <f t="shared" si="0"/>
        <v>2020</v>
      </c>
      <c r="O107" s="8">
        <f t="shared" si="1"/>
        <v>50</v>
      </c>
      <c r="P107">
        <f ca="1">'Reference dates (hide)'!K92</f>
        <v>1.968503937007874E-2</v>
      </c>
    </row>
    <row r="108" spans="2:31" x14ac:dyDescent="0.25">
      <c r="B108"/>
      <c r="C108"/>
      <c r="D108"/>
      <c r="M108" s="101">
        <f>IF('Reference dates (hide)'!I93&lt;&gt;"",'Reference dates (hide)'!I93,"")</f>
        <v>44179</v>
      </c>
      <c r="N108" s="99">
        <f t="shared" si="0"/>
        <v>2020</v>
      </c>
      <c r="O108" s="8">
        <f t="shared" si="1"/>
        <v>51</v>
      </c>
      <c r="P108">
        <f ca="1">'Reference dates (hide)'!K93</f>
        <v>1.968503937007874E-2</v>
      </c>
    </row>
    <row r="109" spans="2:31" x14ac:dyDescent="0.25">
      <c r="B109"/>
      <c r="C109"/>
      <c r="D109"/>
      <c r="M109" s="101">
        <f>IF('Reference dates (hide)'!I94&lt;&gt;"",'Reference dates (hide)'!I94,"")</f>
        <v>44186</v>
      </c>
      <c r="N109" s="99">
        <f t="shared" si="0"/>
        <v>2020</v>
      </c>
      <c r="O109" s="8">
        <f t="shared" si="1"/>
        <v>52</v>
      </c>
      <c r="P109">
        <f ca="1">'Reference dates (hide)'!K94</f>
        <v>1.5748031496062992E-2</v>
      </c>
    </row>
    <row r="110" spans="2:31" x14ac:dyDescent="0.25">
      <c r="B110"/>
      <c r="C110"/>
      <c r="D110"/>
      <c r="M110" s="101">
        <f>IF('Reference dates (hide)'!I95&lt;&gt;"",'Reference dates (hide)'!I95,"")</f>
        <v>44193</v>
      </c>
      <c r="N110" s="99">
        <f t="shared" si="0"/>
        <v>2020</v>
      </c>
      <c r="O110" s="8">
        <f t="shared" si="1"/>
        <v>53</v>
      </c>
      <c r="P110">
        <f ca="1">'Reference dates (hide)'!K95</f>
        <v>1.1811023622047244E-2</v>
      </c>
    </row>
    <row r="111" spans="2:31" x14ac:dyDescent="0.25">
      <c r="M111">
        <f>MAX(T58:AB110)</f>
        <v>0</v>
      </c>
      <c r="Q111">
        <f>MAX(Q58:Q109)/$Q$54</f>
        <v>0</v>
      </c>
      <c r="R111">
        <f>MAX(R58:R109)/IF($R$54=0,1,$Q$54)</f>
        <v>0</v>
      </c>
      <c r="S111">
        <f>MAX(S58:S109)/IF($S$54=0,1,$Q$54)</f>
        <v>0</v>
      </c>
      <c r="Z111">
        <f>MAX(Z58:Z109)/IF($Z$52=0,1,Q$54)</f>
        <v>0</v>
      </c>
      <c r="AA111">
        <f>MAX(AA58:AA109)/IF($Z$52=0,1,R$54)</f>
        <v>0</v>
      </c>
      <c r="AB111">
        <f>MAX(AB58:AB109)/IF($Z$52=0,1,S$54)</f>
        <v>0</v>
      </c>
      <c r="AC111">
        <f>MAX(AC58:AC109)/IF($Z$52=0,1,Q$54)</f>
        <v>0</v>
      </c>
      <c r="AD111">
        <f>MAX(AD58:AD109)/IF($Z$52=0,1,R$54)</f>
        <v>0</v>
      </c>
      <c r="AE111">
        <f>MAX(AE58:AE109)/IF($Z$52=0,1,S$54)</f>
        <v>0</v>
      </c>
    </row>
    <row r="118" spans="26:26" x14ac:dyDescent="0.25">
      <c r="Z118" s="121"/>
    </row>
    <row r="119" spans="26:26" x14ac:dyDescent="0.25">
      <c r="Z119" s="121"/>
    </row>
  </sheetData>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 
</file>

<file path=customXml/itemProps1.xml><?xml version="1.0" encoding="utf-8"?>
<ds:datastoreItem xmlns:ds="http://schemas.openxmlformats.org/officeDocument/2006/customXml" ds:itemID="{CEC55237-BE24-4979-81D1-33A57FA631FD}">
  <ds:schemaRefs>
    <ds:schemaRef ds:uri="http://www.w3.org/2001/XMLSchema"/>
    <ds:schemaRef ds:uri="http://microsoft.data.visualization.Client.Excel/1.0"/>
  </ds:schemaRefs>
</ds:datastoreItem>
</file>

<file path=customXml/itemProps2.xml><?xml version="1.0" encoding="utf-8"?>
<ds:datastoreItem xmlns:ds="http://schemas.openxmlformats.org/officeDocument/2006/customXml" ds:itemID="{4B8BE42E-E003-4852-BAF3-A3D2D648FDEC}">
  <ds:schemaRefs>
    <ds:schemaRef ds:uri="http://www.w3.org/2001/XMLSchema"/>
    <ds:schemaRef ds:uri="http://microsoft.data.visualization.engine.tours/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39</vt:i4>
      </vt:variant>
      <vt:variant>
        <vt:lpstr>Named Ranges</vt:lpstr>
      </vt:variant>
      <vt:variant>
        <vt:i4>664</vt:i4>
      </vt:variant>
    </vt:vector>
  </HeadingPairs>
  <TitlesOfParts>
    <vt:vector size="703" baseType="lpstr">
      <vt:lpstr>Org and TFC lookup</vt:lpstr>
      <vt:lpstr>Version control</vt:lpstr>
      <vt:lpstr>Read me first</vt:lpstr>
      <vt:lpstr>Data files</vt:lpstr>
      <vt:lpstr>Control Sheet</vt:lpstr>
      <vt:lpstr>Dependency setup</vt:lpstr>
      <vt:lpstr>DC Balance (hide)</vt:lpstr>
      <vt:lpstr>DC Balance</vt:lpstr>
      <vt:lpstr>WL Balance</vt:lpstr>
      <vt:lpstr>Parameter check</vt:lpstr>
      <vt:lpstr>WL Balance (hide)</vt:lpstr>
      <vt:lpstr>Sense check</vt:lpstr>
      <vt:lpstr>Dependency (hide)</vt:lpstr>
      <vt:lpstr>WL Clearance</vt:lpstr>
      <vt:lpstr>Reference dates (hide)</vt:lpstr>
      <vt:lpstr>Time based aggregation (hide)</vt:lpstr>
      <vt:lpstr>Aggregate activity</vt:lpstr>
      <vt:lpstr>Aggregate summary</vt:lpstr>
      <vt:lpstr>required data (hide)</vt:lpstr>
      <vt:lpstr>File 1</vt:lpstr>
      <vt:lpstr>File 2</vt:lpstr>
      <vt:lpstr>File 3</vt:lpstr>
      <vt:lpstr>File 4</vt:lpstr>
      <vt:lpstr>File 5</vt:lpstr>
      <vt:lpstr>File 6</vt:lpstr>
      <vt:lpstr>File 7</vt:lpstr>
      <vt:lpstr>File 8</vt:lpstr>
      <vt:lpstr>File 9</vt:lpstr>
      <vt:lpstr>File 10</vt:lpstr>
      <vt:lpstr>File 11</vt:lpstr>
      <vt:lpstr>File 12</vt:lpstr>
      <vt:lpstr>File 13</vt:lpstr>
      <vt:lpstr>File 14</vt:lpstr>
      <vt:lpstr>File 15</vt:lpstr>
      <vt:lpstr>File 16</vt:lpstr>
      <vt:lpstr>File 17</vt:lpstr>
      <vt:lpstr>File 18</vt:lpstr>
      <vt:lpstr>File 19</vt:lpstr>
      <vt:lpstr>File 20</vt:lpstr>
      <vt:lpstr>Aggregate_POD_Select</vt:lpstr>
      <vt:lpstr>Aggregate_PODProcess_Switch</vt:lpstr>
      <vt:lpstr>Aggregate_Process_Select</vt:lpstr>
      <vt:lpstr>Aggregate_Table_Monthly</vt:lpstr>
      <vt:lpstr>Aggregate_Table_WL_Monthly</vt:lpstr>
      <vt:lpstr>'Reference dates (hide)'!Capacity_Activity_Final</vt:lpstr>
      <vt:lpstr>'Reference dates (hide)'!Capacity_Activity_Monthly</vt:lpstr>
      <vt:lpstr>'Reference dates (hide)'!Capacity_Activity_Weekly_Summary</vt:lpstr>
      <vt:lpstr>'File 1'!Capacity_Adjustment</vt:lpstr>
      <vt:lpstr>'File 10'!Capacity_Adjustment</vt:lpstr>
      <vt:lpstr>'File 11'!Capacity_Adjustment</vt:lpstr>
      <vt:lpstr>'File 12'!Capacity_Adjustment</vt:lpstr>
      <vt:lpstr>'File 13'!Capacity_Adjustment</vt:lpstr>
      <vt:lpstr>'File 14'!Capacity_Adjustment</vt:lpstr>
      <vt:lpstr>'File 15'!Capacity_Adjustment</vt:lpstr>
      <vt:lpstr>'File 16'!Capacity_Adjustment</vt:lpstr>
      <vt:lpstr>'File 17'!Capacity_Adjustment</vt:lpstr>
      <vt:lpstr>'File 18'!Capacity_Adjustment</vt:lpstr>
      <vt:lpstr>'File 19'!Capacity_Adjustment</vt:lpstr>
      <vt:lpstr>'File 2'!Capacity_Adjustment</vt:lpstr>
      <vt:lpstr>'File 20'!Capacity_Adjustment</vt:lpstr>
      <vt:lpstr>'File 3'!Capacity_Adjustment</vt:lpstr>
      <vt:lpstr>'File 4'!Capacity_Adjustment</vt:lpstr>
      <vt:lpstr>'File 5'!Capacity_Adjustment</vt:lpstr>
      <vt:lpstr>'File 6'!Capacity_Adjustment</vt:lpstr>
      <vt:lpstr>'File 7'!Capacity_Adjustment</vt:lpstr>
      <vt:lpstr>'File 8'!Capacity_Adjustment</vt:lpstr>
      <vt:lpstr>'File 9'!Capacity_Adjustment</vt:lpstr>
      <vt:lpstr>'Reference dates (hide)'!CapacityCore_Activity_Final</vt:lpstr>
      <vt:lpstr>'Reference dates (hide)'!CapacityCore_Activity_Monthly</vt:lpstr>
      <vt:lpstr>'Reference dates (hide)'!CapacityCore_Activity_Weekly_Summary</vt:lpstr>
      <vt:lpstr>Control_Filename</vt:lpstr>
      <vt:lpstr>Control_First_Base</vt:lpstr>
      <vt:lpstr>Control_FU_Base</vt:lpstr>
      <vt:lpstr>Control_IP_Base</vt:lpstr>
      <vt:lpstr>Control_Path</vt:lpstr>
      <vt:lpstr>Control_Status</vt:lpstr>
      <vt:lpstr>Control_Type</vt:lpstr>
      <vt:lpstr>Current_Months</vt:lpstr>
      <vt:lpstr>'Reference dates (hide)'!Demand_Activity_Final</vt:lpstr>
      <vt:lpstr>'Reference dates (hide)'!Demand_Activity_Monthly</vt:lpstr>
      <vt:lpstr>'Reference dates (hide)'!Demand_Activity_Weekly_Summary</vt:lpstr>
      <vt:lpstr>Demand_Activity_Yearly</vt:lpstr>
      <vt:lpstr>'File 1'!Demand_Adjustment</vt:lpstr>
      <vt:lpstr>'File 10'!Demand_Adjustment</vt:lpstr>
      <vt:lpstr>'File 11'!Demand_Adjustment</vt:lpstr>
      <vt:lpstr>'File 12'!Demand_Adjustment</vt:lpstr>
      <vt:lpstr>'File 13'!Demand_Adjustment</vt:lpstr>
      <vt:lpstr>'File 14'!Demand_Adjustment</vt:lpstr>
      <vt:lpstr>'File 15'!Demand_Adjustment</vt:lpstr>
      <vt:lpstr>'File 16'!Demand_Adjustment</vt:lpstr>
      <vt:lpstr>'File 17'!Demand_Adjustment</vt:lpstr>
      <vt:lpstr>'File 18'!Demand_Adjustment</vt:lpstr>
      <vt:lpstr>'File 19'!Demand_Adjustment</vt:lpstr>
      <vt:lpstr>'File 2'!Demand_Adjustment</vt:lpstr>
      <vt:lpstr>'File 20'!Demand_Adjustment</vt:lpstr>
      <vt:lpstr>'File 3'!Demand_Adjustment</vt:lpstr>
      <vt:lpstr>'File 4'!Demand_Adjustment</vt:lpstr>
      <vt:lpstr>'File 5'!Demand_Adjustment</vt:lpstr>
      <vt:lpstr>'File 6'!Demand_Adjustment</vt:lpstr>
      <vt:lpstr>'File 7'!Demand_Adjustment</vt:lpstr>
      <vt:lpstr>'File 8'!Demand_Adjustment</vt:lpstr>
      <vt:lpstr>'File 9'!Demand_Adjustment</vt:lpstr>
      <vt:lpstr>'File 1'!First_Base</vt:lpstr>
      <vt:lpstr>'File 10'!First_Base</vt:lpstr>
      <vt:lpstr>'File 11'!First_Base</vt:lpstr>
      <vt:lpstr>'File 12'!First_Base</vt:lpstr>
      <vt:lpstr>'File 13'!First_Base</vt:lpstr>
      <vt:lpstr>'File 14'!First_Base</vt:lpstr>
      <vt:lpstr>'File 15'!First_Base</vt:lpstr>
      <vt:lpstr>'File 16'!First_Base</vt:lpstr>
      <vt:lpstr>'File 17'!First_Base</vt:lpstr>
      <vt:lpstr>'File 18'!First_Base</vt:lpstr>
      <vt:lpstr>'File 19'!First_Base</vt:lpstr>
      <vt:lpstr>'File 2'!First_Base</vt:lpstr>
      <vt:lpstr>'File 20'!First_Base</vt:lpstr>
      <vt:lpstr>'File 3'!First_Base</vt:lpstr>
      <vt:lpstr>'File 4'!First_Base</vt:lpstr>
      <vt:lpstr>'File 5'!First_Base</vt:lpstr>
      <vt:lpstr>'File 6'!First_Base</vt:lpstr>
      <vt:lpstr>'File 7'!First_Base</vt:lpstr>
      <vt:lpstr>'File 8'!First_Base</vt:lpstr>
      <vt:lpstr>'File 9'!First_Base</vt:lpstr>
      <vt:lpstr>'File 1'!FU_Base</vt:lpstr>
      <vt:lpstr>'File 10'!FU_Base</vt:lpstr>
      <vt:lpstr>'File 11'!FU_Base</vt:lpstr>
      <vt:lpstr>'File 12'!FU_Base</vt:lpstr>
      <vt:lpstr>'File 13'!FU_Base</vt:lpstr>
      <vt:lpstr>'File 14'!FU_Base</vt:lpstr>
      <vt:lpstr>'File 15'!FU_Base</vt:lpstr>
      <vt:lpstr>'File 16'!FU_Base</vt:lpstr>
      <vt:lpstr>'File 17'!FU_Base</vt:lpstr>
      <vt:lpstr>'File 18'!FU_Base</vt:lpstr>
      <vt:lpstr>'File 19'!FU_Base</vt:lpstr>
      <vt:lpstr>'File 2'!FU_Base</vt:lpstr>
      <vt:lpstr>'File 20'!FU_Base</vt:lpstr>
      <vt:lpstr>'File 3'!FU_Base</vt:lpstr>
      <vt:lpstr>'File 4'!FU_Base</vt:lpstr>
      <vt:lpstr>'File 5'!FU_Base</vt:lpstr>
      <vt:lpstr>'File 6'!FU_Base</vt:lpstr>
      <vt:lpstr>'File 7'!FU_Base</vt:lpstr>
      <vt:lpstr>'File 8'!FU_Base</vt:lpstr>
      <vt:lpstr>'File 9'!FU_Base</vt:lpstr>
      <vt:lpstr>'File 1'!FU_NASL</vt:lpstr>
      <vt:lpstr>'File 10'!FU_NASL</vt:lpstr>
      <vt:lpstr>'File 11'!FU_NASL</vt:lpstr>
      <vt:lpstr>'File 12'!FU_NASL</vt:lpstr>
      <vt:lpstr>'File 13'!FU_NASL</vt:lpstr>
      <vt:lpstr>'File 14'!FU_NASL</vt:lpstr>
      <vt:lpstr>'File 15'!FU_NASL</vt:lpstr>
      <vt:lpstr>'File 16'!FU_NASL</vt:lpstr>
      <vt:lpstr>'File 17'!FU_NASL</vt:lpstr>
      <vt:lpstr>'File 18'!FU_NASL</vt:lpstr>
      <vt:lpstr>'File 19'!FU_NASL</vt:lpstr>
      <vt:lpstr>'File 2'!FU_NASL</vt:lpstr>
      <vt:lpstr>'File 20'!FU_NASL</vt:lpstr>
      <vt:lpstr>'File 3'!FU_NASL</vt:lpstr>
      <vt:lpstr>'File 4'!FU_NASL</vt:lpstr>
      <vt:lpstr>'File 5'!FU_NASL</vt:lpstr>
      <vt:lpstr>'File 6'!FU_NASL</vt:lpstr>
      <vt:lpstr>'File 7'!FU_NASL</vt:lpstr>
      <vt:lpstr>'File 8'!FU_NASL</vt:lpstr>
      <vt:lpstr>'File 9'!FU_NASL</vt:lpstr>
      <vt:lpstr>'File 1'!FU_NASLDC</vt:lpstr>
      <vt:lpstr>'File 10'!FU_NASLDC</vt:lpstr>
      <vt:lpstr>'File 11'!FU_NASLDC</vt:lpstr>
      <vt:lpstr>'File 12'!FU_NASLDC</vt:lpstr>
      <vt:lpstr>'File 13'!FU_NASLDC</vt:lpstr>
      <vt:lpstr>'File 14'!FU_NASLDC</vt:lpstr>
      <vt:lpstr>'File 15'!FU_NASLDC</vt:lpstr>
      <vt:lpstr>'File 16'!FU_NASLDC</vt:lpstr>
      <vt:lpstr>'File 17'!FU_NASLDC</vt:lpstr>
      <vt:lpstr>'File 18'!FU_NASLDC</vt:lpstr>
      <vt:lpstr>'File 19'!FU_NASLDC</vt:lpstr>
      <vt:lpstr>'File 2'!FU_NASLDC</vt:lpstr>
      <vt:lpstr>'File 20'!FU_NASLDC</vt:lpstr>
      <vt:lpstr>'File 3'!FU_NASLDC</vt:lpstr>
      <vt:lpstr>'File 4'!FU_NASLDC</vt:lpstr>
      <vt:lpstr>'File 5'!FU_NASLDC</vt:lpstr>
      <vt:lpstr>'File 6'!FU_NASLDC</vt:lpstr>
      <vt:lpstr>'File 7'!FU_NASLDC</vt:lpstr>
      <vt:lpstr>'File 8'!FU_NASLDC</vt:lpstr>
      <vt:lpstr>'File 9'!FU_NASLDC</vt:lpstr>
      <vt:lpstr>'File 1'!FU_NASR</vt:lpstr>
      <vt:lpstr>'File 10'!FU_NASR</vt:lpstr>
      <vt:lpstr>'File 11'!FU_NASR</vt:lpstr>
      <vt:lpstr>'File 12'!FU_NASR</vt:lpstr>
      <vt:lpstr>'File 13'!FU_NASR</vt:lpstr>
      <vt:lpstr>'File 14'!FU_NASR</vt:lpstr>
      <vt:lpstr>'File 15'!FU_NASR</vt:lpstr>
      <vt:lpstr>'File 16'!FU_NASR</vt:lpstr>
      <vt:lpstr>'File 17'!FU_NASR</vt:lpstr>
      <vt:lpstr>'File 18'!FU_NASR</vt:lpstr>
      <vt:lpstr>'File 19'!FU_NASR</vt:lpstr>
      <vt:lpstr>'File 2'!FU_NASR</vt:lpstr>
      <vt:lpstr>'File 20'!FU_NASR</vt:lpstr>
      <vt:lpstr>'File 3'!FU_NASR</vt:lpstr>
      <vt:lpstr>'File 4'!FU_NASR</vt:lpstr>
      <vt:lpstr>'File 5'!FU_NASR</vt:lpstr>
      <vt:lpstr>'File 6'!FU_NASR</vt:lpstr>
      <vt:lpstr>'File 7'!FU_NASR</vt:lpstr>
      <vt:lpstr>'File 8'!FU_NASR</vt:lpstr>
      <vt:lpstr>'File 9'!FU_NASR</vt:lpstr>
      <vt:lpstr>'File 1'!FU_NASRDC</vt:lpstr>
      <vt:lpstr>'File 10'!FU_NASRDC</vt:lpstr>
      <vt:lpstr>'File 11'!FU_NASRDC</vt:lpstr>
      <vt:lpstr>'File 12'!FU_NASRDC</vt:lpstr>
      <vt:lpstr>'File 13'!FU_NASRDC</vt:lpstr>
      <vt:lpstr>'File 14'!FU_NASRDC</vt:lpstr>
      <vt:lpstr>'File 15'!FU_NASRDC</vt:lpstr>
      <vt:lpstr>'File 16'!FU_NASRDC</vt:lpstr>
      <vt:lpstr>'File 17'!FU_NASRDC</vt:lpstr>
      <vt:lpstr>'File 18'!FU_NASRDC</vt:lpstr>
      <vt:lpstr>'File 19'!FU_NASRDC</vt:lpstr>
      <vt:lpstr>'File 2'!FU_NASRDC</vt:lpstr>
      <vt:lpstr>'File 20'!FU_NASRDC</vt:lpstr>
      <vt:lpstr>'File 3'!FU_NASRDC</vt:lpstr>
      <vt:lpstr>'File 4'!FU_NASRDC</vt:lpstr>
      <vt:lpstr>'File 5'!FU_NASRDC</vt:lpstr>
      <vt:lpstr>'File 6'!FU_NASRDC</vt:lpstr>
      <vt:lpstr>'File 7'!FU_NASRDC</vt:lpstr>
      <vt:lpstr>'File 8'!FU_NASRDC</vt:lpstr>
      <vt:lpstr>'File 9'!FU_NASRDC</vt:lpstr>
      <vt:lpstr>'File 1'!FU_NASRDC_Overall</vt:lpstr>
      <vt:lpstr>'File 10'!FU_NASRDC_Overall</vt:lpstr>
      <vt:lpstr>'File 11'!FU_NASRDC_Overall</vt:lpstr>
      <vt:lpstr>'File 12'!FU_NASRDC_Overall</vt:lpstr>
      <vt:lpstr>'File 13'!FU_NASRDC_Overall</vt:lpstr>
      <vt:lpstr>'File 14'!FU_NASRDC_Overall</vt:lpstr>
      <vt:lpstr>'File 15'!FU_NASRDC_Overall</vt:lpstr>
      <vt:lpstr>'File 16'!FU_NASRDC_Overall</vt:lpstr>
      <vt:lpstr>'File 17'!FU_NASRDC_Overall</vt:lpstr>
      <vt:lpstr>'File 18'!FU_NASRDC_Overall</vt:lpstr>
      <vt:lpstr>'File 19'!FU_NASRDC_Overall</vt:lpstr>
      <vt:lpstr>'File 2'!FU_NASRDC_Overall</vt:lpstr>
      <vt:lpstr>'File 20'!FU_NASRDC_Overall</vt:lpstr>
      <vt:lpstr>'File 3'!FU_NASRDC_Overall</vt:lpstr>
      <vt:lpstr>'File 4'!FU_NASRDC_Overall</vt:lpstr>
      <vt:lpstr>'File 5'!FU_NASRDC_Overall</vt:lpstr>
      <vt:lpstr>'File 6'!FU_NASRDC_Overall</vt:lpstr>
      <vt:lpstr>'File 7'!FU_NASRDC_Overall</vt:lpstr>
      <vt:lpstr>'File 8'!FU_NASRDC_Overall</vt:lpstr>
      <vt:lpstr>'File 9'!FU_NASRDC_Overall</vt:lpstr>
      <vt:lpstr>'File 1'!FU_ROTT</vt:lpstr>
      <vt:lpstr>'File 10'!FU_ROTT</vt:lpstr>
      <vt:lpstr>'File 11'!FU_ROTT</vt:lpstr>
      <vt:lpstr>'File 12'!FU_ROTT</vt:lpstr>
      <vt:lpstr>'File 13'!FU_ROTT</vt:lpstr>
      <vt:lpstr>'File 14'!FU_ROTT</vt:lpstr>
      <vt:lpstr>'File 15'!FU_ROTT</vt:lpstr>
      <vt:lpstr>'File 16'!FU_ROTT</vt:lpstr>
      <vt:lpstr>'File 17'!FU_ROTT</vt:lpstr>
      <vt:lpstr>'File 18'!FU_ROTT</vt:lpstr>
      <vt:lpstr>'File 19'!FU_ROTT</vt:lpstr>
      <vt:lpstr>'File 2'!FU_ROTT</vt:lpstr>
      <vt:lpstr>'File 20'!FU_ROTT</vt:lpstr>
      <vt:lpstr>'File 3'!FU_ROTT</vt:lpstr>
      <vt:lpstr>'File 4'!FU_ROTT</vt:lpstr>
      <vt:lpstr>'File 5'!FU_ROTT</vt:lpstr>
      <vt:lpstr>'File 6'!FU_ROTT</vt:lpstr>
      <vt:lpstr>'File 7'!FU_ROTT</vt:lpstr>
      <vt:lpstr>'File 8'!FU_ROTT</vt:lpstr>
      <vt:lpstr>'File 9'!FU_ROTT</vt:lpstr>
      <vt:lpstr>'Aggregate activity'!Group_By</vt:lpstr>
      <vt:lpstr>'File 1'!IP_Base</vt:lpstr>
      <vt:lpstr>'File 10'!IP_Base</vt:lpstr>
      <vt:lpstr>'File 11'!IP_Base</vt:lpstr>
      <vt:lpstr>'File 12'!IP_Base</vt:lpstr>
      <vt:lpstr>'File 13'!IP_Base</vt:lpstr>
      <vt:lpstr>'File 14'!IP_Base</vt:lpstr>
      <vt:lpstr>'File 15'!IP_Base</vt:lpstr>
      <vt:lpstr>'File 16'!IP_Base</vt:lpstr>
      <vt:lpstr>'File 17'!IP_Base</vt:lpstr>
      <vt:lpstr>'File 18'!IP_Base</vt:lpstr>
      <vt:lpstr>'File 19'!IP_Base</vt:lpstr>
      <vt:lpstr>'File 2'!IP_Base</vt:lpstr>
      <vt:lpstr>'File 20'!IP_Base</vt:lpstr>
      <vt:lpstr>'File 3'!IP_Base</vt:lpstr>
      <vt:lpstr>'File 4'!IP_Base</vt:lpstr>
      <vt:lpstr>'File 5'!IP_Base</vt:lpstr>
      <vt:lpstr>'File 6'!IP_Base</vt:lpstr>
      <vt:lpstr>'File 7'!IP_Base</vt:lpstr>
      <vt:lpstr>'File 8'!IP_Base</vt:lpstr>
      <vt:lpstr>'File 9'!IP_Base</vt:lpstr>
      <vt:lpstr>'File 1'!IP_NASL</vt:lpstr>
      <vt:lpstr>'File 10'!IP_NASL</vt:lpstr>
      <vt:lpstr>'File 11'!IP_NASL</vt:lpstr>
      <vt:lpstr>'File 12'!IP_NASL</vt:lpstr>
      <vt:lpstr>'File 13'!IP_NASL</vt:lpstr>
      <vt:lpstr>'File 14'!IP_NASL</vt:lpstr>
      <vt:lpstr>'File 15'!IP_NASL</vt:lpstr>
      <vt:lpstr>'File 16'!IP_NASL</vt:lpstr>
      <vt:lpstr>'File 17'!IP_NASL</vt:lpstr>
      <vt:lpstr>'File 18'!IP_NASL</vt:lpstr>
      <vt:lpstr>'File 19'!IP_NASL</vt:lpstr>
      <vt:lpstr>'File 2'!IP_NASL</vt:lpstr>
      <vt:lpstr>'File 20'!IP_NASL</vt:lpstr>
      <vt:lpstr>'File 3'!IP_NASL</vt:lpstr>
      <vt:lpstr>'File 4'!IP_NASL</vt:lpstr>
      <vt:lpstr>'File 5'!IP_NASL</vt:lpstr>
      <vt:lpstr>'File 6'!IP_NASL</vt:lpstr>
      <vt:lpstr>'File 7'!IP_NASL</vt:lpstr>
      <vt:lpstr>'File 8'!IP_NASL</vt:lpstr>
      <vt:lpstr>'File 9'!IP_NASL</vt:lpstr>
      <vt:lpstr>'File 1'!IP_NASLDC</vt:lpstr>
      <vt:lpstr>'File 10'!IP_NASLDC</vt:lpstr>
      <vt:lpstr>'File 11'!IP_NASLDC</vt:lpstr>
      <vt:lpstr>'File 12'!IP_NASLDC</vt:lpstr>
      <vt:lpstr>'File 13'!IP_NASLDC</vt:lpstr>
      <vt:lpstr>'File 14'!IP_NASLDC</vt:lpstr>
      <vt:lpstr>'File 15'!IP_NASLDC</vt:lpstr>
      <vt:lpstr>'File 16'!IP_NASLDC</vt:lpstr>
      <vt:lpstr>'File 17'!IP_NASLDC</vt:lpstr>
      <vt:lpstr>'File 18'!IP_NASLDC</vt:lpstr>
      <vt:lpstr>'File 19'!IP_NASLDC</vt:lpstr>
      <vt:lpstr>'File 2'!IP_NASLDC</vt:lpstr>
      <vt:lpstr>'File 20'!IP_NASLDC</vt:lpstr>
      <vt:lpstr>'File 3'!IP_NASLDC</vt:lpstr>
      <vt:lpstr>'File 4'!IP_NASLDC</vt:lpstr>
      <vt:lpstr>'File 5'!IP_NASLDC</vt:lpstr>
      <vt:lpstr>'File 6'!IP_NASLDC</vt:lpstr>
      <vt:lpstr>'File 7'!IP_NASLDC</vt:lpstr>
      <vt:lpstr>'File 8'!IP_NASLDC</vt:lpstr>
      <vt:lpstr>'File 9'!IP_NASLDC</vt:lpstr>
      <vt:lpstr>'File 1'!IP_NASR</vt:lpstr>
      <vt:lpstr>'File 10'!IP_NASR</vt:lpstr>
      <vt:lpstr>'File 11'!IP_NASR</vt:lpstr>
      <vt:lpstr>'File 12'!IP_NASR</vt:lpstr>
      <vt:lpstr>'File 13'!IP_NASR</vt:lpstr>
      <vt:lpstr>'File 14'!IP_NASR</vt:lpstr>
      <vt:lpstr>'File 15'!IP_NASR</vt:lpstr>
      <vt:lpstr>'File 16'!IP_NASR</vt:lpstr>
      <vt:lpstr>'File 17'!IP_NASR</vt:lpstr>
      <vt:lpstr>'File 18'!IP_NASR</vt:lpstr>
      <vt:lpstr>'File 19'!IP_NASR</vt:lpstr>
      <vt:lpstr>'File 2'!IP_NASR</vt:lpstr>
      <vt:lpstr>'File 20'!IP_NASR</vt:lpstr>
      <vt:lpstr>'File 3'!IP_NASR</vt:lpstr>
      <vt:lpstr>'File 4'!IP_NASR</vt:lpstr>
      <vt:lpstr>'File 5'!IP_NASR</vt:lpstr>
      <vt:lpstr>'File 6'!IP_NASR</vt:lpstr>
      <vt:lpstr>'File 7'!IP_NASR</vt:lpstr>
      <vt:lpstr>'File 8'!IP_NASR</vt:lpstr>
      <vt:lpstr>'File 9'!IP_NASR</vt:lpstr>
      <vt:lpstr>'File 1'!IP_NASRDC</vt:lpstr>
      <vt:lpstr>'File 10'!IP_NASRDC</vt:lpstr>
      <vt:lpstr>'File 11'!IP_NASRDC</vt:lpstr>
      <vt:lpstr>'File 12'!IP_NASRDC</vt:lpstr>
      <vt:lpstr>'File 13'!IP_NASRDC</vt:lpstr>
      <vt:lpstr>'File 14'!IP_NASRDC</vt:lpstr>
      <vt:lpstr>'File 15'!IP_NASRDC</vt:lpstr>
      <vt:lpstr>'File 16'!IP_NASRDC</vt:lpstr>
      <vt:lpstr>'File 17'!IP_NASRDC</vt:lpstr>
      <vt:lpstr>'File 18'!IP_NASRDC</vt:lpstr>
      <vt:lpstr>'File 19'!IP_NASRDC</vt:lpstr>
      <vt:lpstr>'File 2'!IP_NASRDC</vt:lpstr>
      <vt:lpstr>'File 20'!IP_NASRDC</vt:lpstr>
      <vt:lpstr>'File 3'!IP_NASRDC</vt:lpstr>
      <vt:lpstr>'File 4'!IP_NASRDC</vt:lpstr>
      <vt:lpstr>'File 5'!IP_NASRDC</vt:lpstr>
      <vt:lpstr>'File 6'!IP_NASRDC</vt:lpstr>
      <vt:lpstr>'File 7'!IP_NASRDC</vt:lpstr>
      <vt:lpstr>'File 8'!IP_NASRDC</vt:lpstr>
      <vt:lpstr>'File 9'!IP_NASRDC</vt:lpstr>
      <vt:lpstr>'File 1'!IP_NASRDC_Overall</vt:lpstr>
      <vt:lpstr>'File 10'!IP_NASRDC_Overall</vt:lpstr>
      <vt:lpstr>'File 11'!IP_NASRDC_Overall</vt:lpstr>
      <vt:lpstr>'File 12'!IP_NASRDC_Overall</vt:lpstr>
      <vt:lpstr>'File 13'!IP_NASRDC_Overall</vt:lpstr>
      <vt:lpstr>'File 14'!IP_NASRDC_Overall</vt:lpstr>
      <vt:lpstr>'File 15'!IP_NASRDC_Overall</vt:lpstr>
      <vt:lpstr>'File 16'!IP_NASRDC_Overall</vt:lpstr>
      <vt:lpstr>'File 17'!IP_NASRDC_Overall</vt:lpstr>
      <vt:lpstr>'File 18'!IP_NASRDC_Overall</vt:lpstr>
      <vt:lpstr>'File 19'!IP_NASRDC_Overall</vt:lpstr>
      <vt:lpstr>'File 2'!IP_NASRDC_Overall</vt:lpstr>
      <vt:lpstr>'File 20'!IP_NASRDC_Overall</vt:lpstr>
      <vt:lpstr>'File 3'!IP_NASRDC_Overall</vt:lpstr>
      <vt:lpstr>'File 4'!IP_NASRDC_Overall</vt:lpstr>
      <vt:lpstr>'File 5'!IP_NASRDC_Overall</vt:lpstr>
      <vt:lpstr>'File 6'!IP_NASRDC_Overall</vt:lpstr>
      <vt:lpstr>'File 7'!IP_NASRDC_Overall</vt:lpstr>
      <vt:lpstr>'File 8'!IP_NASRDC_Overall</vt:lpstr>
      <vt:lpstr>'File 9'!IP_NASRDC_Overall</vt:lpstr>
      <vt:lpstr>'File 1'!IP_ROTT</vt:lpstr>
      <vt:lpstr>'File 10'!IP_ROTT</vt:lpstr>
      <vt:lpstr>'File 11'!IP_ROTT</vt:lpstr>
      <vt:lpstr>'File 12'!IP_ROTT</vt:lpstr>
      <vt:lpstr>'File 13'!IP_ROTT</vt:lpstr>
      <vt:lpstr>'File 14'!IP_ROTT</vt:lpstr>
      <vt:lpstr>'File 15'!IP_ROTT</vt:lpstr>
      <vt:lpstr>'File 16'!IP_ROTT</vt:lpstr>
      <vt:lpstr>'File 17'!IP_ROTT</vt:lpstr>
      <vt:lpstr>'File 18'!IP_ROTT</vt:lpstr>
      <vt:lpstr>'File 19'!IP_ROTT</vt:lpstr>
      <vt:lpstr>'File 2'!IP_ROTT</vt:lpstr>
      <vt:lpstr>'File 20'!IP_ROTT</vt:lpstr>
      <vt:lpstr>'File 3'!IP_ROTT</vt:lpstr>
      <vt:lpstr>'File 4'!IP_ROTT</vt:lpstr>
      <vt:lpstr>'File 5'!IP_ROTT</vt:lpstr>
      <vt:lpstr>'File 6'!IP_ROTT</vt:lpstr>
      <vt:lpstr>'File 7'!IP_ROTT</vt:lpstr>
      <vt:lpstr>'File 8'!IP_ROTT</vt:lpstr>
      <vt:lpstr>'File 9'!IP_ROTT</vt:lpstr>
      <vt:lpstr>'File 1'!NASL</vt:lpstr>
      <vt:lpstr>'File 10'!NASL</vt:lpstr>
      <vt:lpstr>'File 11'!NASL</vt:lpstr>
      <vt:lpstr>'File 12'!NASL</vt:lpstr>
      <vt:lpstr>'File 13'!NASL</vt:lpstr>
      <vt:lpstr>'File 14'!NASL</vt:lpstr>
      <vt:lpstr>'File 15'!NASL</vt:lpstr>
      <vt:lpstr>'File 16'!NASL</vt:lpstr>
      <vt:lpstr>'File 17'!NASL</vt:lpstr>
      <vt:lpstr>'File 18'!NASL</vt:lpstr>
      <vt:lpstr>'File 19'!NASL</vt:lpstr>
      <vt:lpstr>'File 2'!NASL</vt:lpstr>
      <vt:lpstr>'File 20'!NASL</vt:lpstr>
      <vt:lpstr>'File 3'!NASL</vt:lpstr>
      <vt:lpstr>'File 4'!NASL</vt:lpstr>
      <vt:lpstr>'File 5'!NASL</vt:lpstr>
      <vt:lpstr>'File 6'!NASL</vt:lpstr>
      <vt:lpstr>'File 7'!NASL</vt:lpstr>
      <vt:lpstr>'File 8'!NASL</vt:lpstr>
      <vt:lpstr>'File 9'!NASL</vt:lpstr>
      <vt:lpstr>'File 1'!NASLDC</vt:lpstr>
      <vt:lpstr>'File 10'!NASLDC</vt:lpstr>
      <vt:lpstr>'File 11'!NASLDC</vt:lpstr>
      <vt:lpstr>'File 12'!NASLDC</vt:lpstr>
      <vt:lpstr>'File 13'!NASLDC</vt:lpstr>
      <vt:lpstr>'File 14'!NASLDC</vt:lpstr>
      <vt:lpstr>'File 15'!NASLDC</vt:lpstr>
      <vt:lpstr>'File 16'!NASLDC</vt:lpstr>
      <vt:lpstr>'File 17'!NASLDC</vt:lpstr>
      <vt:lpstr>'File 18'!NASLDC</vt:lpstr>
      <vt:lpstr>'File 19'!NASLDC</vt:lpstr>
      <vt:lpstr>'File 2'!NASLDC</vt:lpstr>
      <vt:lpstr>'File 20'!NASLDC</vt:lpstr>
      <vt:lpstr>'File 3'!NASLDC</vt:lpstr>
      <vt:lpstr>'File 4'!NASLDC</vt:lpstr>
      <vt:lpstr>'File 5'!NASLDC</vt:lpstr>
      <vt:lpstr>'File 6'!NASLDC</vt:lpstr>
      <vt:lpstr>'File 7'!NASLDC</vt:lpstr>
      <vt:lpstr>'File 8'!NASLDC</vt:lpstr>
      <vt:lpstr>'File 9'!NASLDC</vt:lpstr>
      <vt:lpstr>'File 1'!NASR</vt:lpstr>
      <vt:lpstr>'File 10'!NASR</vt:lpstr>
      <vt:lpstr>'File 11'!NASR</vt:lpstr>
      <vt:lpstr>'File 12'!NASR</vt:lpstr>
      <vt:lpstr>'File 13'!NASR</vt:lpstr>
      <vt:lpstr>'File 14'!NASR</vt:lpstr>
      <vt:lpstr>'File 15'!NASR</vt:lpstr>
      <vt:lpstr>'File 16'!NASR</vt:lpstr>
      <vt:lpstr>'File 17'!NASR</vt:lpstr>
      <vt:lpstr>'File 18'!NASR</vt:lpstr>
      <vt:lpstr>'File 19'!NASR</vt:lpstr>
      <vt:lpstr>'File 2'!NASR</vt:lpstr>
      <vt:lpstr>'File 20'!NASR</vt:lpstr>
      <vt:lpstr>'File 3'!NASR</vt:lpstr>
      <vt:lpstr>'File 4'!NASR</vt:lpstr>
      <vt:lpstr>'File 5'!NASR</vt:lpstr>
      <vt:lpstr>'File 6'!NASR</vt:lpstr>
      <vt:lpstr>'File 7'!NASR</vt:lpstr>
      <vt:lpstr>'File 8'!NASR</vt:lpstr>
      <vt:lpstr>'File 9'!NASR</vt:lpstr>
      <vt:lpstr>'File 1'!NASRDC</vt:lpstr>
      <vt:lpstr>'File 10'!NASRDC</vt:lpstr>
      <vt:lpstr>'File 11'!NASRDC</vt:lpstr>
      <vt:lpstr>'File 12'!NASRDC</vt:lpstr>
      <vt:lpstr>'File 13'!NASRDC</vt:lpstr>
      <vt:lpstr>'File 14'!NASRDC</vt:lpstr>
      <vt:lpstr>'File 15'!NASRDC</vt:lpstr>
      <vt:lpstr>'File 16'!NASRDC</vt:lpstr>
      <vt:lpstr>'File 17'!NASRDC</vt:lpstr>
      <vt:lpstr>'File 18'!NASRDC</vt:lpstr>
      <vt:lpstr>'File 19'!NASRDC</vt:lpstr>
      <vt:lpstr>'File 2'!NASRDC</vt:lpstr>
      <vt:lpstr>'File 20'!NASRDC</vt:lpstr>
      <vt:lpstr>'File 3'!NASRDC</vt:lpstr>
      <vt:lpstr>'File 4'!NASRDC</vt:lpstr>
      <vt:lpstr>'File 5'!NASRDC</vt:lpstr>
      <vt:lpstr>'File 6'!NASRDC</vt:lpstr>
      <vt:lpstr>'File 7'!NASRDC</vt:lpstr>
      <vt:lpstr>'File 8'!NASRDC</vt:lpstr>
      <vt:lpstr>'File 9'!NASRDC</vt:lpstr>
      <vt:lpstr>'File 1'!NASRDC_Overall</vt:lpstr>
      <vt:lpstr>'File 10'!NASRDC_Overall</vt:lpstr>
      <vt:lpstr>'File 11'!NASRDC_Overall</vt:lpstr>
      <vt:lpstr>'File 12'!NASRDC_Overall</vt:lpstr>
      <vt:lpstr>'File 13'!NASRDC_Overall</vt:lpstr>
      <vt:lpstr>'File 14'!NASRDC_Overall</vt:lpstr>
      <vt:lpstr>'File 15'!NASRDC_Overall</vt:lpstr>
      <vt:lpstr>'File 16'!NASRDC_Overall</vt:lpstr>
      <vt:lpstr>'File 17'!NASRDC_Overall</vt:lpstr>
      <vt:lpstr>'File 18'!NASRDC_Overall</vt:lpstr>
      <vt:lpstr>'File 19'!NASRDC_Overall</vt:lpstr>
      <vt:lpstr>'File 2'!NASRDC_Overall</vt:lpstr>
      <vt:lpstr>'File 20'!NASRDC_Overall</vt:lpstr>
      <vt:lpstr>'File 3'!NASRDC_Overall</vt:lpstr>
      <vt:lpstr>'File 4'!NASRDC_Overall</vt:lpstr>
      <vt:lpstr>'File 5'!NASRDC_Overall</vt:lpstr>
      <vt:lpstr>'File 6'!NASRDC_Overall</vt:lpstr>
      <vt:lpstr>'File 7'!NASRDC_Overall</vt:lpstr>
      <vt:lpstr>'File 8'!NASRDC_Overall</vt:lpstr>
      <vt:lpstr>'File 9'!NASRDC_Overall</vt:lpstr>
      <vt:lpstr>No_Components</vt:lpstr>
      <vt:lpstr>'DC Balance (hide)'!Parameter_Table</vt:lpstr>
      <vt:lpstr>'Aggregate activity'!POD_By</vt:lpstr>
      <vt:lpstr>'Aggregate activity'!Process_By</vt:lpstr>
      <vt:lpstr>Range_DCBalance_CapacityCore_Time</vt:lpstr>
      <vt:lpstr>Range_DCBalance_CapacityTime</vt:lpstr>
      <vt:lpstr>Range_DCBalance_LowerTIme</vt:lpstr>
      <vt:lpstr>Range_DCBalance_Week</vt:lpstr>
      <vt:lpstr>'File 1'!ROTT</vt:lpstr>
      <vt:lpstr>'File 10'!ROTT</vt:lpstr>
      <vt:lpstr>'File 11'!ROTT</vt:lpstr>
      <vt:lpstr>'File 12'!ROTT</vt:lpstr>
      <vt:lpstr>'File 13'!ROTT</vt:lpstr>
      <vt:lpstr>'File 14'!ROTT</vt:lpstr>
      <vt:lpstr>'File 15'!ROTT</vt:lpstr>
      <vt:lpstr>'File 16'!ROTT</vt:lpstr>
      <vt:lpstr>'File 17'!ROTT</vt:lpstr>
      <vt:lpstr>'File 18'!ROTT</vt:lpstr>
      <vt:lpstr>'File 19'!ROTT</vt:lpstr>
      <vt:lpstr>'File 2'!ROTT</vt:lpstr>
      <vt:lpstr>'File 20'!ROTT</vt:lpstr>
      <vt:lpstr>'File 3'!ROTT</vt:lpstr>
      <vt:lpstr>'File 4'!ROTT</vt:lpstr>
      <vt:lpstr>'File 5'!ROTT</vt:lpstr>
      <vt:lpstr>'File 6'!ROTT</vt:lpstr>
      <vt:lpstr>'File 7'!ROTT</vt:lpstr>
      <vt:lpstr>'File 8'!ROTT</vt:lpstr>
      <vt:lpstr>'File 9'!ROTT</vt:lpstr>
      <vt:lpstr>'Aggregate activity'!Show_By</vt:lpstr>
      <vt:lpstr>var_Service_Components</vt:lpstr>
      <vt:lpstr>'File 1'!Weekly_Adjusted</vt:lpstr>
      <vt:lpstr>'File 10'!Weekly_Adjusted</vt:lpstr>
      <vt:lpstr>'File 11'!Weekly_Adjusted</vt:lpstr>
      <vt:lpstr>'File 12'!Weekly_Adjusted</vt:lpstr>
      <vt:lpstr>'File 13'!Weekly_Adjusted</vt:lpstr>
      <vt:lpstr>'File 14'!Weekly_Adjusted</vt:lpstr>
      <vt:lpstr>'File 15'!Weekly_Adjusted</vt:lpstr>
      <vt:lpstr>'File 16'!Weekly_Adjusted</vt:lpstr>
      <vt:lpstr>'File 17'!Weekly_Adjusted</vt:lpstr>
      <vt:lpstr>'File 18'!Weekly_Adjusted</vt:lpstr>
      <vt:lpstr>'File 19'!Weekly_Adjusted</vt:lpstr>
      <vt:lpstr>'File 2'!Weekly_Adjusted</vt:lpstr>
      <vt:lpstr>'File 20'!Weekly_Adjusted</vt:lpstr>
      <vt:lpstr>'File 3'!Weekly_Adjusted</vt:lpstr>
      <vt:lpstr>'File 4'!Weekly_Adjusted</vt:lpstr>
      <vt:lpstr>'File 5'!Weekly_Adjusted</vt:lpstr>
      <vt:lpstr>'File 6'!Weekly_Adjusted</vt:lpstr>
      <vt:lpstr>'File 7'!Weekly_Adjusted</vt:lpstr>
      <vt:lpstr>'File 8'!Weekly_Adjusted</vt:lpstr>
      <vt:lpstr>'File 9'!Weekly_Adjusted</vt:lpstr>
      <vt:lpstr>'File 1'!Weekly_Source</vt:lpstr>
      <vt:lpstr>'File 10'!Weekly_Source</vt:lpstr>
      <vt:lpstr>'File 11'!Weekly_Source</vt:lpstr>
      <vt:lpstr>'File 12'!Weekly_Source</vt:lpstr>
      <vt:lpstr>'File 13'!Weekly_Source</vt:lpstr>
      <vt:lpstr>'File 14'!Weekly_Source</vt:lpstr>
      <vt:lpstr>'File 15'!Weekly_Source</vt:lpstr>
      <vt:lpstr>'File 16'!Weekly_Source</vt:lpstr>
      <vt:lpstr>'File 17'!Weekly_Source</vt:lpstr>
      <vt:lpstr>'File 18'!Weekly_Source</vt:lpstr>
      <vt:lpstr>'File 19'!Weekly_Source</vt:lpstr>
      <vt:lpstr>'File 2'!Weekly_Source</vt:lpstr>
      <vt:lpstr>'File 20'!Weekly_Source</vt:lpstr>
      <vt:lpstr>'File 3'!Weekly_Source</vt:lpstr>
      <vt:lpstr>'File 4'!Weekly_Source</vt:lpstr>
      <vt:lpstr>'File 5'!Weekly_Source</vt:lpstr>
      <vt:lpstr>'File 6'!Weekly_Source</vt:lpstr>
      <vt:lpstr>'File 7'!Weekly_Source</vt:lpstr>
      <vt:lpstr>'File 8'!Weekly_Source</vt:lpstr>
      <vt:lpstr>'File 9'!Weekly_Source</vt:lpstr>
      <vt:lpstr>'File 1'!WL_Current</vt:lpstr>
      <vt:lpstr>'File 10'!WL_Current</vt:lpstr>
      <vt:lpstr>'File 11'!WL_Current</vt:lpstr>
      <vt:lpstr>'File 12'!WL_Current</vt:lpstr>
      <vt:lpstr>'File 13'!WL_Current</vt:lpstr>
      <vt:lpstr>'File 14'!WL_Current</vt:lpstr>
      <vt:lpstr>'File 15'!WL_Current</vt:lpstr>
      <vt:lpstr>'File 16'!WL_Current</vt:lpstr>
      <vt:lpstr>'File 17'!WL_Current</vt:lpstr>
      <vt:lpstr>'File 18'!WL_Current</vt:lpstr>
      <vt:lpstr>'File 19'!WL_Current</vt:lpstr>
      <vt:lpstr>'File 2'!WL_Current</vt:lpstr>
      <vt:lpstr>'File 20'!WL_Current</vt:lpstr>
      <vt:lpstr>'File 3'!WL_Current</vt:lpstr>
      <vt:lpstr>'File 4'!WL_Current</vt:lpstr>
      <vt:lpstr>'File 5'!WL_Current</vt:lpstr>
      <vt:lpstr>'File 6'!WL_Current</vt:lpstr>
      <vt:lpstr>'File 7'!WL_Current</vt:lpstr>
      <vt:lpstr>'File 8'!WL_Current</vt:lpstr>
      <vt:lpstr>'File 9'!WL_Current</vt:lpstr>
      <vt:lpstr>'WL Balance (hide)'!WL_Current</vt:lpstr>
      <vt:lpstr>'File 1'!WL_Current_FU</vt:lpstr>
      <vt:lpstr>'File 10'!WL_Current_FU</vt:lpstr>
      <vt:lpstr>'File 11'!WL_Current_FU</vt:lpstr>
      <vt:lpstr>'File 12'!WL_Current_FU</vt:lpstr>
      <vt:lpstr>'File 13'!WL_Current_FU</vt:lpstr>
      <vt:lpstr>'File 14'!WL_Current_FU</vt:lpstr>
      <vt:lpstr>'File 15'!WL_Current_FU</vt:lpstr>
      <vt:lpstr>'File 16'!WL_Current_FU</vt:lpstr>
      <vt:lpstr>'File 17'!WL_Current_FU</vt:lpstr>
      <vt:lpstr>'File 18'!WL_Current_FU</vt:lpstr>
      <vt:lpstr>'File 19'!WL_Current_FU</vt:lpstr>
      <vt:lpstr>'File 2'!WL_Current_FU</vt:lpstr>
      <vt:lpstr>'File 20'!WL_Current_FU</vt:lpstr>
      <vt:lpstr>'File 3'!WL_Current_FU</vt:lpstr>
      <vt:lpstr>'File 4'!WL_Current_FU</vt:lpstr>
      <vt:lpstr>'File 5'!WL_Current_FU</vt:lpstr>
      <vt:lpstr>'File 6'!WL_Current_FU</vt:lpstr>
      <vt:lpstr>'File 7'!WL_Current_FU</vt:lpstr>
      <vt:lpstr>'File 8'!WL_Current_FU</vt:lpstr>
      <vt:lpstr>'File 9'!WL_Current_FU</vt:lpstr>
      <vt:lpstr>'File 1'!WL_Current_IP</vt:lpstr>
      <vt:lpstr>'File 10'!WL_Current_IP</vt:lpstr>
      <vt:lpstr>'File 11'!WL_Current_IP</vt:lpstr>
      <vt:lpstr>'File 12'!WL_Current_IP</vt:lpstr>
      <vt:lpstr>'File 13'!WL_Current_IP</vt:lpstr>
      <vt:lpstr>'File 14'!WL_Current_IP</vt:lpstr>
      <vt:lpstr>'File 15'!WL_Current_IP</vt:lpstr>
      <vt:lpstr>'File 16'!WL_Current_IP</vt:lpstr>
      <vt:lpstr>'File 17'!WL_Current_IP</vt:lpstr>
      <vt:lpstr>'File 18'!WL_Current_IP</vt:lpstr>
      <vt:lpstr>'File 19'!WL_Current_IP</vt:lpstr>
      <vt:lpstr>'File 2'!WL_Current_IP</vt:lpstr>
      <vt:lpstr>'File 20'!WL_Current_IP</vt:lpstr>
      <vt:lpstr>'File 3'!WL_Current_IP</vt:lpstr>
      <vt:lpstr>'File 4'!WL_Current_IP</vt:lpstr>
      <vt:lpstr>'File 5'!WL_Current_IP</vt:lpstr>
      <vt:lpstr>'File 6'!WL_Current_IP</vt:lpstr>
      <vt:lpstr>'File 7'!WL_Current_IP</vt:lpstr>
      <vt:lpstr>'File 8'!WL_Current_IP</vt:lpstr>
      <vt:lpstr>'File 9'!WL_Current_IP</vt:lpstr>
      <vt:lpstr>'File 1'!WL_Ideal</vt:lpstr>
      <vt:lpstr>'File 10'!WL_Ideal</vt:lpstr>
      <vt:lpstr>'File 11'!WL_Ideal</vt:lpstr>
      <vt:lpstr>'File 12'!WL_Ideal</vt:lpstr>
      <vt:lpstr>'File 13'!WL_Ideal</vt:lpstr>
      <vt:lpstr>'File 14'!WL_Ideal</vt:lpstr>
      <vt:lpstr>'File 15'!WL_Ideal</vt:lpstr>
      <vt:lpstr>'File 16'!WL_Ideal</vt:lpstr>
      <vt:lpstr>'File 17'!WL_Ideal</vt:lpstr>
      <vt:lpstr>'File 18'!WL_Ideal</vt:lpstr>
      <vt:lpstr>'File 19'!WL_Ideal</vt:lpstr>
      <vt:lpstr>'File 2'!WL_Ideal</vt:lpstr>
      <vt:lpstr>'File 20'!WL_Ideal</vt:lpstr>
      <vt:lpstr>'File 3'!WL_Ideal</vt:lpstr>
      <vt:lpstr>'File 4'!WL_Ideal</vt:lpstr>
      <vt:lpstr>'File 5'!WL_Ideal</vt:lpstr>
      <vt:lpstr>'File 6'!WL_Ideal</vt:lpstr>
      <vt:lpstr>'File 7'!WL_Ideal</vt:lpstr>
      <vt:lpstr>'File 8'!WL_Ideal</vt:lpstr>
      <vt:lpstr>'File 9'!WL_Ideal</vt:lpstr>
      <vt:lpstr>'WL Balance (hide)'!WL_Ideal</vt:lpstr>
      <vt:lpstr>'File 1'!WL_Ideal_FU</vt:lpstr>
      <vt:lpstr>'File 10'!WL_Ideal_FU</vt:lpstr>
      <vt:lpstr>'File 11'!WL_Ideal_FU</vt:lpstr>
      <vt:lpstr>'File 12'!WL_Ideal_FU</vt:lpstr>
      <vt:lpstr>'File 13'!WL_Ideal_FU</vt:lpstr>
      <vt:lpstr>'File 14'!WL_Ideal_FU</vt:lpstr>
      <vt:lpstr>'File 15'!WL_Ideal_FU</vt:lpstr>
      <vt:lpstr>'File 16'!WL_Ideal_FU</vt:lpstr>
      <vt:lpstr>'File 17'!WL_Ideal_FU</vt:lpstr>
      <vt:lpstr>'File 18'!WL_Ideal_FU</vt:lpstr>
      <vt:lpstr>'File 19'!WL_Ideal_FU</vt:lpstr>
      <vt:lpstr>'File 2'!WL_Ideal_FU</vt:lpstr>
      <vt:lpstr>'File 20'!WL_Ideal_FU</vt:lpstr>
      <vt:lpstr>'File 3'!WL_Ideal_FU</vt:lpstr>
      <vt:lpstr>'File 4'!WL_Ideal_FU</vt:lpstr>
      <vt:lpstr>'File 5'!WL_Ideal_FU</vt:lpstr>
      <vt:lpstr>'File 6'!WL_Ideal_FU</vt:lpstr>
      <vt:lpstr>'File 7'!WL_Ideal_FU</vt:lpstr>
      <vt:lpstr>'File 8'!WL_Ideal_FU</vt:lpstr>
      <vt:lpstr>'File 9'!WL_Ideal_FU</vt:lpstr>
      <vt:lpstr>'File 1'!WL_Ideal_IP</vt:lpstr>
      <vt:lpstr>'File 10'!WL_Ideal_IP</vt:lpstr>
      <vt:lpstr>'File 11'!WL_Ideal_IP</vt:lpstr>
      <vt:lpstr>'File 12'!WL_Ideal_IP</vt:lpstr>
      <vt:lpstr>'File 13'!WL_Ideal_IP</vt:lpstr>
      <vt:lpstr>'File 14'!WL_Ideal_IP</vt:lpstr>
      <vt:lpstr>'File 15'!WL_Ideal_IP</vt:lpstr>
      <vt:lpstr>'File 16'!WL_Ideal_IP</vt:lpstr>
      <vt:lpstr>'File 17'!WL_Ideal_IP</vt:lpstr>
      <vt:lpstr>'File 18'!WL_Ideal_IP</vt:lpstr>
      <vt:lpstr>'File 19'!WL_Ideal_IP</vt:lpstr>
      <vt:lpstr>'File 2'!WL_Ideal_IP</vt:lpstr>
      <vt:lpstr>'File 20'!WL_Ideal_IP</vt:lpstr>
      <vt:lpstr>'File 3'!WL_Ideal_IP</vt:lpstr>
      <vt:lpstr>'File 4'!WL_Ideal_IP</vt:lpstr>
      <vt:lpstr>'File 5'!WL_Ideal_IP</vt:lpstr>
      <vt:lpstr>'File 6'!WL_Ideal_IP</vt:lpstr>
      <vt:lpstr>'File 7'!WL_Ideal_IP</vt:lpstr>
      <vt:lpstr>'File 8'!WL_Ideal_IP</vt:lpstr>
      <vt:lpstr>'File 9'!WL_Ideal_IP</vt:lpstr>
      <vt:lpstr>'Reference dates (hide)'!WLBasic_Activity_Final</vt:lpstr>
      <vt:lpstr>'Reference dates (hide)'!WLBasic_Activity_Monthly</vt:lpstr>
      <vt:lpstr>'Reference dates (hide)'!WLBasic_Activity_Weekly_Summary</vt:lpstr>
      <vt:lpstr>WLBasic_Activity_Yearly</vt:lpstr>
      <vt:lpstr>'Reference dates (hide)'!WLFlow_Activity_Final</vt:lpstr>
      <vt:lpstr>'Reference dates (hide)'!WLFlow_Activity_Monthly</vt:lpstr>
      <vt:lpstr>'Reference dates (hide)'!WLFlow_Activity_Weekly_Summary</vt:lpstr>
      <vt:lpstr>WLFlow_Activity_Yearly</vt:lpstr>
    </vt:vector>
  </TitlesOfParts>
  <Company>IMS3</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Khunpha, Keith</dc:creator>
  <cp:lastModifiedBy>Khunpha, Keith</cp:lastModifiedBy>
  <dcterms:created xsi:type="dcterms:W3CDTF">2017-10-12T19:33:28Z</dcterms:created>
  <dcterms:modified xsi:type="dcterms:W3CDTF">2021-06-08T14:26:13Z</dcterms:modified>
</cp:coreProperties>
</file>